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workbookProtection revisionsPassword="8DB0" lockRevision="1"/>
  <bookViews>
    <workbookView xWindow="-120" yWindow="-120" windowWidth="29040" windowHeight="15840"/>
  </bookViews>
  <sheets>
    <sheet name="Plumbing" sheetId="1" r:id="rId1"/>
    <sheet name="Support" sheetId="2" state="hidden" r:id="rId2"/>
    <sheet name="Count" sheetId="3" state="hidden" r:id="rId3"/>
    <sheet name="Count (2)" sheetId="4" state="hidden" r:id="rId4"/>
  </sheets>
  <definedNames>
    <definedName name="_xlnm.Print_Area" localSheetId="0">Plumbing!$A$1:$Q$90</definedName>
    <definedName name="Z_2B6667DB_A691_4F19_97E8_D67F3ED6538B_.wvu.PrintArea" localSheetId="0" hidden="1">Plumbing!$A$1:$Q$90</definedName>
    <definedName name="Z_2B6667DB_A691_4F19_97E8_D67F3ED6538B_.wvu.Rows" localSheetId="0" hidden="1">Plumbing!$4:$6,Plumbing!$17:$19,Plumbing!$30:$32</definedName>
    <definedName name="Z_96D8A50A_96D4_4A72_9572_2CD989544578_.wvu.PrintArea" localSheetId="0" hidden="1">Plumbing!$A$1:$Q$90</definedName>
    <definedName name="Z_96D8A50A_96D4_4A72_9572_2CD989544578_.wvu.Rows" localSheetId="0" hidden="1">Plumbing!$4:$6,Plumbing!$17:$19,Plumbing!$30:$32</definedName>
    <definedName name="Z_FE69FE72_605C_46E9_A1C5_BEF8735596CB_.wvu.PrintArea" localSheetId="0" hidden="1">Plumbing!$A$1:$Q$90</definedName>
    <definedName name="Z_FE69FE72_605C_46E9_A1C5_BEF8735596CB_.wvu.Rows" localSheetId="0" hidden="1">Plumbing!$4:$6,Plumbing!$17:$19,Plumbing!$30:$32</definedName>
    <definedName name="Z_FF105486_337B_4F9D_974B_49C037148D9B_.wvu.PrintArea" localSheetId="0" hidden="1">Plumbing!$A$1:$Q$90</definedName>
    <definedName name="Z_FF105486_337B_4F9D_974B_49C037148D9B_.wvu.Rows" localSheetId="0" hidden="1">Plumbing!$4:$6,Plumbing!$17:$19,Plumbing!$30:$32</definedName>
  </definedNames>
  <calcPr calcId="145621"/>
  <customWorkbookViews>
    <customWorkbookView name="Ara - Personal View" guid="{FF105486-337B-4F9D-974B-49C037148D9B}" mergeInterval="0" personalView="1" maximized="1" windowWidth="1675" windowHeight="855" activeSheetId="1"/>
    <customWorkbookView name="Dell - Personal View" guid="{96D8A50A-96D4-4A72-9572-2CD989544578}" mergeInterval="0" personalView="1" maximized="1" windowWidth="1916" windowHeight="915" activeSheetId="1"/>
    <customWorkbookView name="ASARGSYA - Personal View" guid="{FE69FE72-605C-46E9-A1C5-BEF8735596CB}" mergeInterval="0" personalView="1" maximized="1" showSheetTabs="0" xWindow="1" yWindow="1" windowWidth="1280" windowHeight="585" activeSheetId="1" showComments="commIndAndComment"/>
    <customWorkbookView name="Sargsyan - Personal View" guid="{2B6667DB-A691-4F19-97E8-D67F3ED6538B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" i="4" l="1"/>
  <c r="V44" i="4" s="1"/>
  <c r="Q2" i="4"/>
  <c r="U14" i="4" s="1"/>
  <c r="X2" i="4"/>
  <c r="AC2" i="4"/>
  <c r="AE14" i="4" s="1"/>
  <c r="AJ2" i="4"/>
  <c r="AT44" i="4" s="1"/>
  <c r="AO2" i="4"/>
  <c r="AT14" i="4" s="1"/>
  <c r="L3" i="4"/>
  <c r="X3" i="4"/>
  <c r="AJ3" i="4"/>
  <c r="AG14" i="4"/>
  <c r="U16" i="4"/>
  <c r="AH16" i="4"/>
  <c r="M44" i="4"/>
  <c r="Q54" i="4" s="1"/>
  <c r="Y44" i="4"/>
  <c r="Y54" i="4" s="1"/>
  <c r="AH44" i="4"/>
  <c r="AK44" i="4"/>
  <c r="AK54" i="4" s="1"/>
  <c r="AC54" i="4"/>
  <c r="L57" i="4"/>
  <c r="X57" i="4"/>
  <c r="AJ57" i="4"/>
  <c r="B95" i="4"/>
  <c r="B96" i="4"/>
  <c r="B97" i="4"/>
  <c r="B102" i="4"/>
  <c r="B104" i="4"/>
  <c r="B105" i="4"/>
  <c r="A132" i="4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L2" i="3"/>
  <c r="M44" i="3" s="1"/>
  <c r="M54" i="3" s="1"/>
  <c r="I10" i="1" s="1"/>
  <c r="Q2" i="3"/>
  <c r="S14" i="3" s="1"/>
  <c r="X2" i="3"/>
  <c r="B96" i="3" s="1"/>
  <c r="H25" i="1" s="1"/>
  <c r="AC2" i="3"/>
  <c r="AH14" i="3" s="1"/>
  <c r="AJ2" i="3"/>
  <c r="AK44" i="3" s="1"/>
  <c r="AO2" i="3"/>
  <c r="AT14" i="3" s="1"/>
  <c r="L3" i="3"/>
  <c r="X3" i="3"/>
  <c r="AJ3" i="3"/>
  <c r="U14" i="3"/>
  <c r="V14" i="3"/>
  <c r="AE14" i="3"/>
  <c r="AG14" i="3"/>
  <c r="AS14" i="3"/>
  <c r="R16" i="3"/>
  <c r="U16" i="3"/>
  <c r="V16" i="3"/>
  <c r="AD16" i="3"/>
  <c r="AG16" i="3"/>
  <c r="AH16" i="3"/>
  <c r="AS16" i="3"/>
  <c r="AT16" i="3"/>
  <c r="V44" i="3"/>
  <c r="AH44" i="3"/>
  <c r="AT44" i="3"/>
  <c r="L57" i="3"/>
  <c r="X57" i="3"/>
  <c r="AJ57" i="3"/>
  <c r="B97" i="3"/>
  <c r="H38" i="1" s="1"/>
  <c r="B102" i="3"/>
  <c r="B104" i="3"/>
  <c r="B103" i="3" s="1"/>
  <c r="B1" i="2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05" i="3"/>
  <c r="A132" i="3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U2" i="2"/>
  <c r="U3" i="2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B28" i="2"/>
  <c r="B29" i="2" s="1"/>
  <c r="B30" i="2" s="1"/>
  <c r="B31" i="2" s="1"/>
  <c r="B32" i="2" s="1"/>
  <c r="B33" i="2" s="1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C43" i="2"/>
  <c r="D43" i="2"/>
  <c r="A44" i="2"/>
  <c r="A45" i="2" s="1"/>
  <c r="C44" i="2"/>
  <c r="D44" i="2"/>
  <c r="C45" i="2"/>
  <c r="D45" i="2"/>
  <c r="H45" i="2" s="1"/>
  <c r="F45" i="2"/>
  <c r="F5" i="1"/>
  <c r="G5" i="1"/>
  <c r="B6" i="1"/>
  <c r="N6" i="1" s="1"/>
  <c r="C6" i="1"/>
  <c r="D6" i="1"/>
  <c r="B10" i="1"/>
  <c r="B16" i="1" s="1"/>
  <c r="G10" i="1"/>
  <c r="B11" i="1"/>
  <c r="G11" i="1"/>
  <c r="G13" i="1"/>
  <c r="D14" i="1"/>
  <c r="E14" i="1"/>
  <c r="E5" i="1" s="1"/>
  <c r="E43" i="2" s="1"/>
  <c r="E15" i="1"/>
  <c r="F15" i="1"/>
  <c r="F18" i="1"/>
  <c r="G18" i="1"/>
  <c r="C19" i="1"/>
  <c r="D19" i="1"/>
  <c r="B23" i="1"/>
  <c r="G24" i="1" s="1"/>
  <c r="G23" i="1"/>
  <c r="B24" i="1"/>
  <c r="G26" i="1"/>
  <c r="B19" i="1" s="1"/>
  <c r="N19" i="1" s="1"/>
  <c r="D27" i="1"/>
  <c r="B29" i="1" s="1"/>
  <c r="F28" i="1"/>
  <c r="F31" i="1"/>
  <c r="G31" i="1"/>
  <c r="C32" i="1"/>
  <c r="B36" i="1"/>
  <c r="D32" i="1" s="1"/>
  <c r="N32" i="1" s="1"/>
  <c r="G36" i="1"/>
  <c r="B37" i="1"/>
  <c r="G38" i="1"/>
  <c r="G41" i="1" s="1"/>
  <c r="AN2" i="3" s="1"/>
  <c r="G39" i="1"/>
  <c r="B32" i="1" s="1"/>
  <c r="E40" i="1"/>
  <c r="E31" i="1" s="1"/>
  <c r="E45" i="2" s="1"/>
  <c r="F41" i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U55" i="3" s="1"/>
  <c r="U56" i="3" s="1"/>
  <c r="B103" i="4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O54" i="3"/>
  <c r="M36" i="1" s="1"/>
  <c r="AK54" i="3"/>
  <c r="I36" i="1" s="1"/>
  <c r="D40" i="1"/>
  <c r="B42" i="1" s="1"/>
  <c r="B98" i="3"/>
  <c r="AG16" i="4"/>
  <c r="G37" i="1"/>
  <c r="E28" i="1"/>
  <c r="G35" i="1"/>
  <c r="G34" i="1" s="1"/>
  <c r="B95" i="3"/>
  <c r="H12" i="1" s="1"/>
  <c r="AS14" i="4"/>
  <c r="AO54" i="4"/>
  <c r="AQ14" i="4"/>
  <c r="G45" i="2"/>
  <c r="E39" i="1" s="1"/>
  <c r="Q72" i="3" s="1"/>
  <c r="E2" i="1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P54" i="3" s="1"/>
  <c r="L10" i="1" s="1"/>
  <c r="E27" i="1"/>
  <c r="E18" i="1" s="1"/>
  <c r="E44" i="2" s="1"/>
  <c r="Y44" i="3"/>
  <c r="Y54" i="3" s="1"/>
  <c r="I23" i="1" s="1"/>
  <c r="B98" i="4"/>
  <c r="AH14" i="4"/>
  <c r="AS16" i="4"/>
  <c r="D84" i="4"/>
  <c r="B84" i="3"/>
  <c r="B84" i="4"/>
  <c r="I44" i="2"/>
  <c r="C84" i="3"/>
  <c r="I43" i="2"/>
  <c r="C84" i="4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G43" i="2"/>
  <c r="E13" i="1" s="1"/>
  <c r="D84" i="3"/>
  <c r="U44" i="3"/>
  <c r="R43" i="3"/>
  <c r="Q43" i="3"/>
  <c r="T43" i="3"/>
  <c r="AS55" i="3"/>
  <c r="AS56" i="3" s="1"/>
  <c r="AD54" i="3"/>
  <c r="N23" i="1" s="1"/>
  <c r="P72" i="4"/>
  <c r="M72" i="4"/>
  <c r="P72" i="3"/>
  <c r="O72" i="4"/>
  <c r="M72" i="3"/>
  <c r="E41" i="1"/>
  <c r="O72" i="3"/>
  <c r="E38" i="1"/>
  <c r="F43" i="2"/>
  <c r="E12" i="1" s="1"/>
  <c r="N72" i="4"/>
  <c r="AK2" i="3"/>
  <c r="G40" i="1"/>
  <c r="N72" i="3"/>
  <c r="H43" i="2"/>
  <c r="G9" i="1" s="1"/>
  <c r="G8" i="1" s="1"/>
  <c r="G25" i="1"/>
  <c r="O71" i="4" s="1"/>
  <c r="G12" i="1"/>
  <c r="P70" i="3" s="1"/>
  <c r="E41" i="2"/>
  <c r="B34" i="2"/>
  <c r="B35" i="2" s="1"/>
  <c r="B36" i="2" s="1"/>
  <c r="B37" i="2" s="1"/>
  <c r="B38" i="2" s="1"/>
  <c r="B39" i="2" s="1"/>
  <c r="B40" i="2" s="1"/>
  <c r="AO5" i="3"/>
  <c r="AM11" i="3"/>
  <c r="AM13" i="3"/>
  <c r="AM15" i="3"/>
  <c r="AM6" i="3"/>
  <c r="AO8" i="3"/>
  <c r="AO6" i="3"/>
  <c r="AM8" i="3"/>
  <c r="AM10" i="3"/>
  <c r="AM12" i="3"/>
  <c r="AO22" i="3"/>
  <c r="AM17" i="3"/>
  <c r="AM19" i="3"/>
  <c r="AM20" i="3"/>
  <c r="AM24" i="3"/>
  <c r="AO25" i="3"/>
  <c r="AM5" i="3"/>
  <c r="AO7" i="3"/>
  <c r="AM21" i="3"/>
  <c r="AO17" i="3"/>
  <c r="AM25" i="3"/>
  <c r="AM18" i="3"/>
  <c r="AO21" i="3"/>
  <c r="AO12" i="3"/>
  <c r="AO15" i="3"/>
  <c r="AO18" i="3"/>
  <c r="AM23" i="3"/>
  <c r="AO24" i="3"/>
  <c r="AM9" i="3"/>
  <c r="AO11" i="3"/>
  <c r="AO13" i="3"/>
  <c r="AO10" i="3"/>
  <c r="AO19" i="3"/>
  <c r="AO23" i="3"/>
  <c r="AM26" i="3"/>
  <c r="AM7" i="3"/>
  <c r="AO9" i="3"/>
  <c r="AM22" i="3"/>
  <c r="AO20" i="3"/>
  <c r="AO26" i="3"/>
  <c r="I45" i="2"/>
  <c r="F44" i="2"/>
  <c r="E25" i="1" s="1"/>
  <c r="H44" i="2"/>
  <c r="G22" i="1" s="1"/>
  <c r="G21" i="1" s="1"/>
  <c r="G44" i="2"/>
  <c r="E26" i="1" s="1"/>
  <c r="AC54" i="3"/>
  <c r="M23" i="1" s="1"/>
  <c r="M70" i="4"/>
  <c r="AK45" i="3"/>
  <c r="Q54" i="3"/>
  <c r="M10" i="1" s="1"/>
  <c r="M71" i="3"/>
  <c r="AQ14" i="3"/>
  <c r="AP16" i="3"/>
  <c r="M54" i="4"/>
  <c r="R16" i="4"/>
  <c r="S14" i="4"/>
  <c r="V14" i="4"/>
  <c r="V16" i="4"/>
  <c r="AT16" i="4"/>
  <c r="AD16" i="4"/>
  <c r="U54" i="3" l="1"/>
  <c r="Q10" i="1" s="1"/>
  <c r="AE54" i="3"/>
  <c r="O23" i="1" s="1"/>
  <c r="AM43" i="3"/>
  <c r="AN43" i="3"/>
  <c r="AQ43" i="3"/>
  <c r="O54" i="3"/>
  <c r="K10" i="1" s="1"/>
  <c r="S54" i="3"/>
  <c r="O10" i="1" s="1"/>
  <c r="AO43" i="3"/>
  <c r="R54" i="3"/>
  <c r="N10" i="1" s="1"/>
  <c r="AA43" i="3"/>
  <c r="AP54" i="3"/>
  <c r="N36" i="1" s="1"/>
  <c r="AD43" i="3"/>
  <c r="S43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A54" i="3"/>
  <c r="K23" i="1" s="1"/>
  <c r="O43" i="3"/>
  <c r="AB43" i="3"/>
  <c r="AL54" i="3"/>
  <c r="J36" i="1" s="1"/>
  <c r="T54" i="3"/>
  <c r="P10" i="1" s="1"/>
  <c r="Z43" i="3"/>
  <c r="Z44" i="3" s="1"/>
  <c r="AF55" i="3"/>
  <c r="AF56" i="3" s="1"/>
  <c r="AF57" i="3" s="1"/>
  <c r="P24" i="1" s="1"/>
  <c r="AS54" i="3"/>
  <c r="Q36" i="1" s="1"/>
  <c r="N54" i="3"/>
  <c r="J10" i="1" s="1"/>
  <c r="AR43" i="3"/>
  <c r="AG44" i="3"/>
  <c r="AN54" i="3"/>
  <c r="L36" i="1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S44" i="3"/>
  <c r="AC43" i="3"/>
  <c r="AF43" i="3"/>
  <c r="Z54" i="3"/>
  <c r="J23" i="1" s="1"/>
  <c r="AR54" i="3"/>
  <c r="P36" i="1" s="1"/>
  <c r="T55" i="3"/>
  <c r="T56" i="3" s="1"/>
  <c r="T77" i="3" s="1"/>
  <c r="AL43" i="3"/>
  <c r="AL44" i="3" s="1"/>
  <c r="N43" i="3"/>
  <c r="N44" i="3" s="1"/>
  <c r="AF54" i="3"/>
  <c r="P23" i="1" s="1"/>
  <c r="AQ54" i="3"/>
  <c r="O36" i="1" s="1"/>
  <c r="AE43" i="3"/>
  <c r="AP43" i="3"/>
  <c r="P43" i="3"/>
  <c r="AG54" i="3"/>
  <c r="Q23" i="1" s="1"/>
  <c r="AM54" i="3"/>
  <c r="K36" i="1" s="1"/>
  <c r="AB54" i="3"/>
  <c r="L23" i="1" s="1"/>
  <c r="AG55" i="3"/>
  <c r="AG56" i="3" s="1"/>
  <c r="AG57" i="3" s="1"/>
  <c r="AR55" i="3"/>
  <c r="AR56" i="3" s="1"/>
  <c r="T79" i="3" s="1"/>
  <c r="P54" i="4"/>
  <c r="AE54" i="4"/>
  <c r="U54" i="4"/>
  <c r="AB54" i="4"/>
  <c r="AR54" i="4"/>
  <c r="AD54" i="4"/>
  <c r="S54" i="4"/>
  <c r="R54" i="4"/>
  <c r="O54" i="4"/>
  <c r="AF54" i="4"/>
  <c r="AN54" i="4"/>
  <c r="AL54" i="4"/>
  <c r="AA54" i="4"/>
  <c r="AP54" i="4"/>
  <c r="AG54" i="4"/>
  <c r="N54" i="4"/>
  <c r="Z54" i="4"/>
  <c r="AQ54" i="4"/>
  <c r="AS54" i="4"/>
  <c r="A55" i="4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Q72" i="4"/>
  <c r="M71" i="4"/>
  <c r="M73" i="4" s="1"/>
  <c r="M63" i="4" s="1"/>
  <c r="AM54" i="4"/>
  <c r="T54" i="4"/>
  <c r="N71" i="4"/>
  <c r="Y2" i="3"/>
  <c r="N71" i="3"/>
  <c r="G27" i="1"/>
  <c r="G28" i="1"/>
  <c r="AB2" i="3" s="1"/>
  <c r="P71" i="3"/>
  <c r="Q70" i="3"/>
  <c r="Q70" i="4"/>
  <c r="P71" i="4"/>
  <c r="M2" i="4"/>
  <c r="Y2" i="4"/>
  <c r="AK2" i="4"/>
  <c r="N70" i="4"/>
  <c r="M2" i="3"/>
  <c r="M70" i="3"/>
  <c r="M73" i="3" s="1"/>
  <c r="N70" i="3"/>
  <c r="O70" i="3"/>
  <c r="G14" i="1"/>
  <c r="G15" i="1"/>
  <c r="Q71" i="4"/>
  <c r="Q71" i="3"/>
  <c r="P73" i="3"/>
  <c r="G51" i="1" s="1"/>
  <c r="AM45" i="3"/>
  <c r="AS57" i="3"/>
  <c r="U79" i="3"/>
  <c r="O71" i="3"/>
  <c r="AL2" i="3"/>
  <c r="AM2" i="3"/>
  <c r="O70" i="4"/>
  <c r="O73" i="4" s="1"/>
  <c r="P70" i="4"/>
  <c r="AR7" i="3"/>
  <c r="AQ10" i="3"/>
  <c r="AQ5" i="3"/>
  <c r="AR10" i="3"/>
  <c r="AR14" i="3"/>
  <c r="AR17" i="3"/>
  <c r="AQ20" i="3"/>
  <c r="AP13" i="3"/>
  <c r="AR23" i="3"/>
  <c r="AQ6" i="3"/>
  <c r="AQ8" i="3"/>
  <c r="AQ13" i="3"/>
  <c r="AQ22" i="3"/>
  <c r="AR9" i="3"/>
  <c r="AR20" i="3"/>
  <c r="AR22" i="3"/>
  <c r="AQ26" i="3"/>
  <c r="AR6" i="3"/>
  <c r="AQ7" i="3"/>
  <c r="AR26" i="3"/>
  <c r="AL49" i="3"/>
  <c r="AN45" i="3" s="1"/>
  <c r="AR5" i="3"/>
  <c r="AP17" i="3"/>
  <c r="AP25" i="3"/>
  <c r="AQ17" i="3"/>
  <c r="AP21" i="3"/>
  <c r="AQ25" i="3"/>
  <c r="AQ12" i="3"/>
  <c r="AQ15" i="3"/>
  <c r="AQ18" i="3"/>
  <c r="AQ21" i="3"/>
  <c r="AP24" i="3"/>
  <c r="AR25" i="3"/>
  <c r="AM48" i="3"/>
  <c r="AQ11" i="3"/>
  <c r="AR12" i="3"/>
  <c r="AR13" i="3"/>
  <c r="AR15" i="3"/>
  <c r="AR18" i="3"/>
  <c r="AR21" i="3"/>
  <c r="AQ24" i="3"/>
  <c r="AN48" i="3"/>
  <c r="AR11" i="3"/>
  <c r="AQ16" i="3"/>
  <c r="AQ19" i="3"/>
  <c r="AP23" i="3"/>
  <c r="AR24" i="3"/>
  <c r="AR8" i="3"/>
  <c r="AQ9" i="3"/>
  <c r="AR16" i="3"/>
  <c r="AR19" i="3"/>
  <c r="AQ23" i="3"/>
  <c r="U77" i="3"/>
  <c r="U57" i="3"/>
  <c r="T78" i="3" l="1"/>
  <c r="O44" i="3"/>
  <c r="T57" i="3"/>
  <c r="P11" i="1" s="1"/>
  <c r="AB44" i="3"/>
  <c r="AM44" i="3"/>
  <c r="AE44" i="3"/>
  <c r="AN44" i="3"/>
  <c r="AO44" i="3"/>
  <c r="AQ44" i="3"/>
  <c r="AA44" i="3"/>
  <c r="AD44" i="3"/>
  <c r="AC44" i="3"/>
  <c r="AP44" i="3"/>
  <c r="Q44" i="3"/>
  <c r="S44" i="3"/>
  <c r="R44" i="3"/>
  <c r="AR57" i="3"/>
  <c r="P37" i="1" s="1"/>
  <c r="P44" i="3"/>
  <c r="U78" i="3"/>
  <c r="U80" i="3" s="1"/>
  <c r="U81" i="3" s="1"/>
  <c r="AG55" i="4"/>
  <c r="AG56" i="4" s="1"/>
  <c r="U55" i="4"/>
  <c r="U56" i="4" s="1"/>
  <c r="R43" i="4"/>
  <c r="O43" i="4"/>
  <c r="T43" i="4"/>
  <c r="AR43" i="4"/>
  <c r="Z43" i="4"/>
  <c r="Z44" i="4" s="1"/>
  <c r="AN43" i="4"/>
  <c r="N43" i="4"/>
  <c r="N44" i="4" s="1"/>
  <c r="U44" i="4"/>
  <c r="AR55" i="4"/>
  <c r="AR56" i="4" s="1"/>
  <c r="AB43" i="4"/>
  <c r="AS55" i="4"/>
  <c r="AS56" i="4" s="1"/>
  <c r="AL43" i="4"/>
  <c r="AL44" i="4" s="1"/>
  <c r="AQ43" i="4"/>
  <c r="AE43" i="4"/>
  <c r="AA43" i="4"/>
  <c r="T55" i="4"/>
  <c r="T56" i="4" s="1"/>
  <c r="P43" i="4"/>
  <c r="S43" i="4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Q43" i="4"/>
  <c r="AP43" i="4"/>
  <c r="AO43" i="4"/>
  <c r="AS44" i="4"/>
  <c r="AM43" i="4"/>
  <c r="AF55" i="4"/>
  <c r="AF56" i="4" s="1"/>
  <c r="AF43" i="4"/>
  <c r="AC43" i="4"/>
  <c r="AD43" i="4"/>
  <c r="AG44" i="4"/>
  <c r="O73" i="3"/>
  <c r="G50" i="1" s="1"/>
  <c r="N73" i="3"/>
  <c r="Q73" i="4"/>
  <c r="Q73" i="3"/>
  <c r="G49" i="1" s="1"/>
  <c r="T44" i="3"/>
  <c r="Q11" i="1"/>
  <c r="M63" i="3"/>
  <c r="G48" i="1"/>
  <c r="N73" i="4"/>
  <c r="AK46" i="3"/>
  <c r="AL6" i="3"/>
  <c r="AN8" i="3"/>
  <c r="AT8" i="3" s="1"/>
  <c r="AK9" i="3"/>
  <c r="AS9" i="3" s="1"/>
  <c r="AL9" i="3"/>
  <c r="AN11" i="3"/>
  <c r="AT11" i="3" s="1"/>
  <c r="AK12" i="3"/>
  <c r="AS12" i="3" s="1"/>
  <c r="AN13" i="3"/>
  <c r="AT13" i="3" s="1"/>
  <c r="AN15" i="3"/>
  <c r="AT15" i="3" s="1"/>
  <c r="AN18" i="3"/>
  <c r="AT18" i="3" s="1"/>
  <c r="AK19" i="3"/>
  <c r="AS19" i="3" s="1"/>
  <c r="AK21" i="3"/>
  <c r="AS21" i="3" s="1"/>
  <c r="AL17" i="3"/>
  <c r="AK18" i="3"/>
  <c r="AS18" i="3" s="1"/>
  <c r="AL19" i="3"/>
  <c r="AL20" i="3"/>
  <c r="AL24" i="3"/>
  <c r="AN25" i="3"/>
  <c r="AT25" i="3" s="1"/>
  <c r="AK5" i="3"/>
  <c r="AS5" i="3" s="1"/>
  <c r="AK7" i="3"/>
  <c r="AS7" i="3" s="1"/>
  <c r="AN10" i="3"/>
  <c r="AT10" i="3" s="1"/>
  <c r="AN12" i="3"/>
  <c r="AT12" i="3" s="1"/>
  <c r="AL18" i="3"/>
  <c r="AL21" i="3"/>
  <c r="AK23" i="3"/>
  <c r="AS23" i="3" s="1"/>
  <c r="AK26" i="3"/>
  <c r="AS26" i="3" s="1"/>
  <c r="AN6" i="3"/>
  <c r="AT6" i="3" s="1"/>
  <c r="AN17" i="3"/>
  <c r="AT17" i="3" s="1"/>
  <c r="AL25" i="3"/>
  <c r="AN5" i="3"/>
  <c r="AT5" i="3" s="1"/>
  <c r="AK15" i="3"/>
  <c r="AS15" i="3" s="1"/>
  <c r="AN21" i="3"/>
  <c r="AT21" i="3" s="1"/>
  <c r="AK24" i="3"/>
  <c r="AS24" i="3" s="1"/>
  <c r="AK11" i="3"/>
  <c r="AS11" i="3" s="1"/>
  <c r="AL12" i="3"/>
  <c r="AK13" i="3"/>
  <c r="AS13" i="3" s="1"/>
  <c r="AL15" i="3"/>
  <c r="AL23" i="3"/>
  <c r="AN24" i="3"/>
  <c r="AT24" i="3" s="1"/>
  <c r="AK10" i="3"/>
  <c r="AS10" i="3" s="1"/>
  <c r="AL11" i="3"/>
  <c r="AL13" i="3"/>
  <c r="AL10" i="3"/>
  <c r="AN19" i="3"/>
  <c r="AT19" i="3" s="1"/>
  <c r="AK22" i="3"/>
  <c r="AS22" i="3" s="1"/>
  <c r="AN23" i="3"/>
  <c r="AT23" i="3" s="1"/>
  <c r="AL26" i="3"/>
  <c r="AL7" i="3"/>
  <c r="AK8" i="3"/>
  <c r="AS8" i="3" s="1"/>
  <c r="AN9" i="3"/>
  <c r="AT9" i="3" s="1"/>
  <c r="AK20" i="3"/>
  <c r="AS20" i="3" s="1"/>
  <c r="AL22" i="3"/>
  <c r="AL8" i="3"/>
  <c r="AN20" i="3"/>
  <c r="AT20" i="3" s="1"/>
  <c r="AN26" i="3"/>
  <c r="AT26" i="3" s="1"/>
  <c r="AL5" i="3"/>
  <c r="AK6" i="3"/>
  <c r="AS6" i="3" s="1"/>
  <c r="AN7" i="3"/>
  <c r="AT7" i="3" s="1"/>
  <c r="AK17" i="3"/>
  <c r="AS17" i="3" s="1"/>
  <c r="AN22" i="3"/>
  <c r="AT22" i="3" s="1"/>
  <c r="AK25" i="3"/>
  <c r="AS25" i="3" s="1"/>
  <c r="T80" i="3"/>
  <c r="T81" i="3" s="1"/>
  <c r="AA6" i="3"/>
  <c r="AC8" i="3"/>
  <c r="AC13" i="3"/>
  <c r="AA9" i="3"/>
  <c r="AC11" i="3"/>
  <c r="AC15" i="3"/>
  <c r="AC18" i="3"/>
  <c r="AA21" i="3"/>
  <c r="AA17" i="3"/>
  <c r="AC6" i="3"/>
  <c r="AA8" i="3"/>
  <c r="AA10" i="3"/>
  <c r="AA12" i="3"/>
  <c r="AA19" i="3"/>
  <c r="AA20" i="3"/>
  <c r="AA23" i="3"/>
  <c r="AC24" i="3"/>
  <c r="AC10" i="3"/>
  <c r="AC26" i="3"/>
  <c r="AA7" i="3"/>
  <c r="AC9" i="3"/>
  <c r="AC20" i="3"/>
  <c r="AC22" i="3"/>
  <c r="AA25" i="3"/>
  <c r="AC17" i="3"/>
  <c r="AA5" i="3"/>
  <c r="AC7" i="3"/>
  <c r="AC21" i="3"/>
  <c r="AA24" i="3"/>
  <c r="AC25" i="3"/>
  <c r="AA18" i="3"/>
  <c r="AC5" i="3"/>
  <c r="AC23" i="3"/>
  <c r="AC12" i="3"/>
  <c r="AA13" i="3"/>
  <c r="AA15" i="3"/>
  <c r="AA26" i="3"/>
  <c r="AA11" i="3"/>
  <c r="AC19" i="3"/>
  <c r="AA22" i="3"/>
  <c r="AF44" i="3"/>
  <c r="Q24" i="1"/>
  <c r="Q37" i="1"/>
  <c r="AR44" i="3"/>
  <c r="AN2" i="4"/>
  <c r="AB2" i="4"/>
  <c r="P2" i="4"/>
  <c r="P2" i="3"/>
  <c r="AF9" i="4"/>
  <c r="AE12" i="4"/>
  <c r="AF14" i="4"/>
  <c r="AE16" i="4"/>
  <c r="AE17" i="4"/>
  <c r="AF19" i="4"/>
  <c r="AF21" i="4"/>
  <c r="AE23" i="4"/>
  <c r="AE26" i="4"/>
  <c r="AE7" i="4"/>
  <c r="AF12" i="4"/>
  <c r="AF16" i="4"/>
  <c r="AF17" i="4"/>
  <c r="AF23" i="4"/>
  <c r="AF26" i="4"/>
  <c r="AF7" i="4"/>
  <c r="AE10" i="4"/>
  <c r="AE20" i="4"/>
  <c r="AE5" i="4"/>
  <c r="AF10" i="4"/>
  <c r="AF20" i="4"/>
  <c r="AE22" i="4"/>
  <c r="AD25" i="4"/>
  <c r="AF5" i="4"/>
  <c r="AE8" i="4"/>
  <c r="AD13" i="4"/>
  <c r="AE18" i="4"/>
  <c r="AF22" i="4"/>
  <c r="AE25" i="4"/>
  <c r="AE6" i="4"/>
  <c r="AF11" i="4"/>
  <c r="AF13" i="4"/>
  <c r="AF15" i="4"/>
  <c r="AD21" i="4"/>
  <c r="AE24" i="4"/>
  <c r="AF6" i="4"/>
  <c r="AE9" i="4"/>
  <c r="AD17" i="4"/>
  <c r="AE19" i="4"/>
  <c r="AE21" i="4"/>
  <c r="AD23" i="4"/>
  <c r="AF24" i="4"/>
  <c r="Y45" i="4"/>
  <c r="AE11" i="4"/>
  <c r="AF8" i="4"/>
  <c r="AA48" i="4"/>
  <c r="AB48" i="4"/>
  <c r="AE15" i="4"/>
  <c r="AF18" i="4"/>
  <c r="AE13" i="4"/>
  <c r="AF25" i="4"/>
  <c r="AD24" i="4"/>
  <c r="Z49" i="4"/>
  <c r="AB45" i="4" s="1"/>
  <c r="Z2" i="3"/>
  <c r="AA2" i="3"/>
  <c r="AE5" i="3"/>
  <c r="AF10" i="3"/>
  <c r="AF5" i="3"/>
  <c r="AE8" i="3"/>
  <c r="AD13" i="3"/>
  <c r="AF20" i="3"/>
  <c r="AF7" i="3"/>
  <c r="AF9" i="3"/>
  <c r="AF11" i="3"/>
  <c r="AF14" i="3"/>
  <c r="AF15" i="3"/>
  <c r="AE22" i="3"/>
  <c r="AD25" i="3"/>
  <c r="AE13" i="3"/>
  <c r="AF22" i="3"/>
  <c r="AE25" i="3"/>
  <c r="Z49" i="3"/>
  <c r="AB45" i="3" s="1"/>
  <c r="AE11" i="3"/>
  <c r="AF12" i="3"/>
  <c r="AE19" i="3"/>
  <c r="AF23" i="3"/>
  <c r="AE10" i="3"/>
  <c r="AF19" i="3"/>
  <c r="AE26" i="3"/>
  <c r="AF8" i="3"/>
  <c r="AE9" i="3"/>
  <c r="AE16" i="3"/>
  <c r="AE20" i="3"/>
  <c r="AF26" i="3"/>
  <c r="Y45" i="3"/>
  <c r="AA48" i="3"/>
  <c r="AE6" i="3"/>
  <c r="AF6" i="3" s="1"/>
  <c r="AF16" i="3"/>
  <c r="AD17" i="3"/>
  <c r="AB48" i="3"/>
  <c r="AE7" i="3"/>
  <c r="AE17" i="3"/>
  <c r="AD21" i="3"/>
  <c r="AD24" i="3"/>
  <c r="AF25" i="3"/>
  <c r="AF17" i="3"/>
  <c r="AE21" i="3"/>
  <c r="AE24" i="3"/>
  <c r="AE18" i="3"/>
  <c r="AF21" i="3"/>
  <c r="AD23" i="3"/>
  <c r="AF24" i="3"/>
  <c r="AE12" i="3"/>
  <c r="AF13" i="3"/>
  <c r="AE15" i="3"/>
  <c r="AF18" i="3"/>
  <c r="AE23" i="3"/>
  <c r="T5" i="3"/>
  <c r="S8" i="3"/>
  <c r="S13" i="3"/>
  <c r="S16" i="3"/>
  <c r="T8" i="3"/>
  <c r="S11" i="3"/>
  <c r="T13" i="3"/>
  <c r="T14" i="3"/>
  <c r="S15" i="3"/>
  <c r="T16" i="3"/>
  <c r="S18" i="3"/>
  <c r="S5" i="3"/>
  <c r="S7" i="3"/>
  <c r="S9" i="3"/>
  <c r="T22" i="3"/>
  <c r="R24" i="3"/>
  <c r="T25" i="3"/>
  <c r="O48" i="3"/>
  <c r="M46" i="3" s="1"/>
  <c r="M64" i="3" s="1"/>
  <c r="T7" i="3"/>
  <c r="T9" i="3"/>
  <c r="T11" i="3"/>
  <c r="T15" i="3"/>
  <c r="S24" i="3"/>
  <c r="P48" i="3"/>
  <c r="T23" i="3"/>
  <c r="R13" i="3"/>
  <c r="T18" i="3"/>
  <c r="S12" i="3"/>
  <c r="S19" i="3"/>
  <c r="S26" i="3"/>
  <c r="T12" i="3"/>
  <c r="T19" i="3"/>
  <c r="S22" i="3"/>
  <c r="T26" i="3"/>
  <c r="S10" i="3"/>
  <c r="R17" i="3"/>
  <c r="S20" i="3"/>
  <c r="R25" i="3"/>
  <c r="T10" i="3"/>
  <c r="S17" i="3"/>
  <c r="T20" i="3"/>
  <c r="R21" i="3"/>
  <c r="S25" i="3"/>
  <c r="S6" i="3"/>
  <c r="T6" i="3" s="1"/>
  <c r="T17" i="3"/>
  <c r="S21" i="3"/>
  <c r="R23" i="3"/>
  <c r="T24" i="3"/>
  <c r="T21" i="3"/>
  <c r="S23" i="3"/>
  <c r="N49" i="3"/>
  <c r="P45" i="3" s="1"/>
  <c r="M45" i="3"/>
  <c r="P73" i="4"/>
  <c r="AQ9" i="4"/>
  <c r="AR13" i="4"/>
  <c r="AQ19" i="4"/>
  <c r="AP21" i="4"/>
  <c r="AQ24" i="4"/>
  <c r="AR9" i="4"/>
  <c r="AQ12" i="4"/>
  <c r="AP17" i="4"/>
  <c r="AR19" i="4"/>
  <c r="AQ21" i="4"/>
  <c r="AP23" i="4"/>
  <c r="AR24" i="4"/>
  <c r="AQ26" i="4"/>
  <c r="AQ7" i="4"/>
  <c r="AR12" i="4"/>
  <c r="AQ17" i="4"/>
  <c r="AR21" i="4"/>
  <c r="AQ23" i="4"/>
  <c r="AR26" i="4"/>
  <c r="AR7" i="4"/>
  <c r="AQ10" i="4"/>
  <c r="AR17" i="4"/>
  <c r="AQ20" i="4"/>
  <c r="AR23" i="4"/>
  <c r="AQ5" i="4"/>
  <c r="AR10" i="4"/>
  <c r="AR14" i="4"/>
  <c r="AQ16" i="4"/>
  <c r="AR20" i="4"/>
  <c r="AQ22" i="4"/>
  <c r="AM48" i="4"/>
  <c r="AR8" i="4"/>
  <c r="AQ11" i="4"/>
  <c r="AP13" i="4"/>
  <c r="AQ15" i="4"/>
  <c r="AR18" i="4"/>
  <c r="AQ25" i="4"/>
  <c r="AQ6" i="4"/>
  <c r="AR6" i="4" s="1"/>
  <c r="AR11" i="4"/>
  <c r="AQ13" i="4"/>
  <c r="AR15" i="4"/>
  <c r="AP24" i="4"/>
  <c r="AR25" i="4"/>
  <c r="AR5" i="4"/>
  <c r="AP25" i="4"/>
  <c r="AL49" i="4"/>
  <c r="AN45" i="4" s="1"/>
  <c r="AQ8" i="4"/>
  <c r="AN48" i="4"/>
  <c r="AQ18" i="4"/>
  <c r="AR22" i="4"/>
  <c r="AR16" i="4"/>
  <c r="AK45" i="4"/>
  <c r="Z2" i="4"/>
  <c r="AA2" i="4"/>
  <c r="N2" i="4"/>
  <c r="O2" i="4"/>
  <c r="AL2" i="4"/>
  <c r="AM2" i="4"/>
  <c r="O2" i="3"/>
  <c r="N2" i="3"/>
  <c r="S7" i="4"/>
  <c r="T12" i="4"/>
  <c r="T26" i="4"/>
  <c r="T7" i="4"/>
  <c r="S10" i="4"/>
  <c r="S20" i="4"/>
  <c r="R25" i="4"/>
  <c r="S5" i="4"/>
  <c r="T10" i="4"/>
  <c r="R13" i="4"/>
  <c r="T20" i="4"/>
  <c r="S22" i="4"/>
  <c r="S25" i="4"/>
  <c r="T5" i="4"/>
  <c r="S8" i="4"/>
  <c r="S13" i="4"/>
  <c r="S16" i="4"/>
  <c r="S18" i="4"/>
  <c r="T22" i="4"/>
  <c r="R24" i="4"/>
  <c r="T25" i="4"/>
  <c r="T8" i="4"/>
  <c r="S11" i="4"/>
  <c r="T13" i="4"/>
  <c r="T14" i="4"/>
  <c r="S15" i="4"/>
  <c r="T16" i="4"/>
  <c r="T18" i="4"/>
  <c r="R21" i="4"/>
  <c r="S24" i="4"/>
  <c r="T6" i="4"/>
  <c r="S9" i="4"/>
  <c r="S17" i="4"/>
  <c r="S19" i="4"/>
  <c r="T21" i="4"/>
  <c r="S23" i="4"/>
  <c r="T9" i="4"/>
  <c r="S12" i="4"/>
  <c r="T17" i="4"/>
  <c r="T19" i="4"/>
  <c r="T23" i="4"/>
  <c r="S26" i="4"/>
  <c r="P48" i="4"/>
  <c r="S6" i="4"/>
  <c r="T15" i="4"/>
  <c r="R17" i="4"/>
  <c r="S21" i="4"/>
  <c r="N49" i="4"/>
  <c r="P45" i="4" s="1"/>
  <c r="R23" i="4"/>
  <c r="T11" i="4"/>
  <c r="T24" i="4"/>
  <c r="O48" i="4"/>
  <c r="M45" i="4"/>
  <c r="AP44" i="4" l="1"/>
  <c r="AC44" i="4"/>
  <c r="AA44" i="4"/>
  <c r="P44" i="4"/>
  <c r="AM44" i="4"/>
  <c r="S44" i="4"/>
  <c r="AD44" i="4"/>
  <c r="Q44" i="4"/>
  <c r="B45" i="1"/>
  <c r="H48" i="1" s="1"/>
  <c r="AO44" i="4"/>
  <c r="AE44" i="4"/>
  <c r="AN44" i="4"/>
  <c r="AQ44" i="4"/>
  <c r="U79" i="4"/>
  <c r="AS57" i="4"/>
  <c r="AR44" i="4" s="1"/>
  <c r="AB44" i="4"/>
  <c r="O44" i="4"/>
  <c r="AF57" i="4"/>
  <c r="T78" i="4"/>
  <c r="T79" i="4"/>
  <c r="AR57" i="4"/>
  <c r="R44" i="4"/>
  <c r="T57" i="4"/>
  <c r="T77" i="4"/>
  <c r="U57" i="4"/>
  <c r="T44" i="4" s="1"/>
  <c r="U77" i="4"/>
  <c r="Q87" i="3"/>
  <c r="AG57" i="4"/>
  <c r="AF44" i="4" s="1"/>
  <c r="U78" i="4"/>
  <c r="Y46" i="4"/>
  <c r="N64" i="4" s="1"/>
  <c r="M46" i="4"/>
  <c r="M64" i="4" s="1"/>
  <c r="M65" i="4" s="1"/>
  <c r="M87" i="3"/>
  <c r="AK46" i="4"/>
  <c r="O64" i="4" s="1"/>
  <c r="Q64" i="4"/>
  <c r="P64" i="4"/>
  <c r="S64" i="4"/>
  <c r="O9" i="3"/>
  <c r="Q11" i="3"/>
  <c r="Q15" i="3"/>
  <c r="Q6" i="3"/>
  <c r="O12" i="3"/>
  <c r="O19" i="3"/>
  <c r="Q21" i="3"/>
  <c r="O17" i="3"/>
  <c r="Q13" i="3"/>
  <c r="Q17" i="3"/>
  <c r="O20" i="3"/>
  <c r="O21" i="3"/>
  <c r="Q23" i="3"/>
  <c r="O26" i="3"/>
  <c r="Q5" i="3"/>
  <c r="O13" i="3"/>
  <c r="Q18" i="3"/>
  <c r="O22" i="3"/>
  <c r="O10" i="3"/>
  <c r="Q12" i="3"/>
  <c r="O15" i="3"/>
  <c r="Q19" i="3"/>
  <c r="O25" i="3"/>
  <c r="Q26" i="3"/>
  <c r="O11" i="3"/>
  <c r="Q22" i="3"/>
  <c r="O8" i="3"/>
  <c r="Q10" i="3"/>
  <c r="Q20" i="3"/>
  <c r="O24" i="3"/>
  <c r="Q25" i="3"/>
  <c r="O7" i="3"/>
  <c r="Q9" i="3"/>
  <c r="O6" i="3"/>
  <c r="Q8" i="3"/>
  <c r="O23" i="3"/>
  <c r="Q24" i="3"/>
  <c r="O5" i="3"/>
  <c r="Q7" i="3"/>
  <c r="O18" i="3"/>
  <c r="O64" i="3"/>
  <c r="Q64" i="3" s="1"/>
  <c r="AM46" i="3"/>
  <c r="O62" i="3"/>
  <c r="AK47" i="3"/>
  <c r="P5" i="4"/>
  <c r="M6" i="4"/>
  <c r="N11" i="4"/>
  <c r="P13" i="4"/>
  <c r="N15" i="4"/>
  <c r="M17" i="4"/>
  <c r="N21" i="4"/>
  <c r="P22" i="4"/>
  <c r="M23" i="4"/>
  <c r="N6" i="4"/>
  <c r="P8" i="4"/>
  <c r="M9" i="4"/>
  <c r="N17" i="4"/>
  <c r="P18" i="4"/>
  <c r="M19" i="4"/>
  <c r="N23" i="4"/>
  <c r="P24" i="4"/>
  <c r="N9" i="4"/>
  <c r="P11" i="4"/>
  <c r="M12" i="4"/>
  <c r="P15" i="4"/>
  <c r="N19" i="4"/>
  <c r="P21" i="4"/>
  <c r="M26" i="4"/>
  <c r="P6" i="4"/>
  <c r="M7" i="4"/>
  <c r="N12" i="4"/>
  <c r="P17" i="4"/>
  <c r="P23" i="4"/>
  <c r="N26" i="4"/>
  <c r="N7" i="4"/>
  <c r="P9" i="4"/>
  <c r="M10" i="4"/>
  <c r="P19" i="4"/>
  <c r="M20" i="4"/>
  <c r="M25" i="4"/>
  <c r="N5" i="4"/>
  <c r="P7" i="4"/>
  <c r="M8" i="4"/>
  <c r="U8" i="4" s="1"/>
  <c r="N13" i="4"/>
  <c r="M18" i="4"/>
  <c r="N22" i="4"/>
  <c r="M24" i="4"/>
  <c r="N8" i="4"/>
  <c r="P10" i="4"/>
  <c r="M11" i="4"/>
  <c r="U11" i="4" s="1"/>
  <c r="M15" i="4"/>
  <c r="N18" i="4"/>
  <c r="P20" i="4"/>
  <c r="M21" i="4"/>
  <c r="N24" i="4"/>
  <c r="P25" i="4"/>
  <c r="N20" i="4"/>
  <c r="M13" i="4"/>
  <c r="P26" i="4"/>
  <c r="V26" i="4" s="1"/>
  <c r="P12" i="4"/>
  <c r="M5" i="4"/>
  <c r="M22" i="4"/>
  <c r="N25" i="4"/>
  <c r="N10" i="4"/>
  <c r="O8" i="4"/>
  <c r="Q10" i="4"/>
  <c r="O18" i="4"/>
  <c r="Q20" i="4"/>
  <c r="O24" i="4"/>
  <c r="Q25" i="4"/>
  <c r="Q5" i="4"/>
  <c r="O11" i="4"/>
  <c r="Q13" i="4"/>
  <c r="O15" i="4"/>
  <c r="O21" i="4"/>
  <c r="Q22" i="4"/>
  <c r="O6" i="4"/>
  <c r="Q8" i="4"/>
  <c r="O17" i="4"/>
  <c r="Q18" i="4"/>
  <c r="O23" i="4"/>
  <c r="Q24" i="4"/>
  <c r="O9" i="4"/>
  <c r="Q11" i="4"/>
  <c r="Q15" i="4"/>
  <c r="O19" i="4"/>
  <c r="Q21" i="4"/>
  <c r="Q6" i="4"/>
  <c r="O12" i="4"/>
  <c r="Q17" i="4"/>
  <c r="Q23" i="4"/>
  <c r="O26" i="4"/>
  <c r="O10" i="4"/>
  <c r="Q12" i="4"/>
  <c r="O20" i="4"/>
  <c r="O25" i="4"/>
  <c r="Q26" i="4"/>
  <c r="O5" i="4"/>
  <c r="Q7" i="4"/>
  <c r="O13" i="4"/>
  <c r="O22" i="4"/>
  <c r="Q9" i="4"/>
  <c r="Q19" i="4"/>
  <c r="O7" i="4"/>
  <c r="Y46" i="3"/>
  <c r="N64" i="3" s="1"/>
  <c r="P64" i="3" s="1"/>
  <c r="Z9" i="3"/>
  <c r="AB11" i="3"/>
  <c r="AH11" i="3" s="1"/>
  <c r="Y12" i="3"/>
  <c r="AG12" i="3" s="1"/>
  <c r="AB15" i="3"/>
  <c r="AH15" i="3" s="1"/>
  <c r="AB6" i="3"/>
  <c r="AH6" i="3" s="1"/>
  <c r="Y7" i="3"/>
  <c r="AG7" i="3" s="1"/>
  <c r="Z12" i="3"/>
  <c r="Z17" i="3"/>
  <c r="Z19" i="3"/>
  <c r="Z6" i="3"/>
  <c r="Z8" i="3"/>
  <c r="Z10" i="3"/>
  <c r="AB13" i="3"/>
  <c r="AH13" i="3" s="1"/>
  <c r="Y18" i="3"/>
  <c r="AG18" i="3" s="1"/>
  <c r="Y19" i="3"/>
  <c r="AG19" i="3" s="1"/>
  <c r="Z20" i="3"/>
  <c r="Y21" i="3"/>
  <c r="AG21" i="3" s="1"/>
  <c r="Z23" i="3"/>
  <c r="AB24" i="3"/>
  <c r="AH24" i="3" s="1"/>
  <c r="Y26" i="3"/>
  <c r="AG26" i="3" s="1"/>
  <c r="AB17" i="3"/>
  <c r="AH17" i="3" s="1"/>
  <c r="Z18" i="3"/>
  <c r="Z21" i="3"/>
  <c r="Z26" i="3"/>
  <c r="Z7" i="3"/>
  <c r="Y8" i="3"/>
  <c r="AG8" i="3" s="1"/>
  <c r="AB9" i="3"/>
  <c r="AH9" i="3" s="1"/>
  <c r="AB20" i="3"/>
  <c r="AH20" i="3" s="1"/>
  <c r="AB22" i="3"/>
  <c r="AH22" i="3" s="1"/>
  <c r="Z25" i="3"/>
  <c r="Y5" i="3"/>
  <c r="AG5" i="3" s="1"/>
  <c r="AB8" i="3"/>
  <c r="AH8" i="3" s="1"/>
  <c r="Y17" i="3"/>
  <c r="AG17" i="3" s="1"/>
  <c r="Y24" i="3"/>
  <c r="AG24" i="3" s="1"/>
  <c r="Z5" i="3"/>
  <c r="Y6" i="3"/>
  <c r="AG6" i="3" s="1"/>
  <c r="AB7" i="3"/>
  <c r="AH7" i="3" s="1"/>
  <c r="AB21" i="3"/>
  <c r="AH21" i="3" s="1"/>
  <c r="Z24" i="3"/>
  <c r="AB25" i="3"/>
  <c r="AH25" i="3" s="1"/>
  <c r="Y23" i="3"/>
  <c r="AG23" i="3" s="1"/>
  <c r="AB5" i="3"/>
  <c r="AH5" i="3" s="1"/>
  <c r="Y13" i="3"/>
  <c r="AG13" i="3" s="1"/>
  <c r="Y15" i="3"/>
  <c r="AG15" i="3" s="1"/>
  <c r="AB23" i="3"/>
  <c r="AH23" i="3" s="1"/>
  <c r="Y11" i="3"/>
  <c r="AG11" i="3" s="1"/>
  <c r="AB12" i="3"/>
  <c r="AH12" i="3" s="1"/>
  <c r="Z13" i="3"/>
  <c r="Z15" i="3"/>
  <c r="AB18" i="3"/>
  <c r="AH18" i="3" s="1"/>
  <c r="Y22" i="3"/>
  <c r="AG22" i="3" s="1"/>
  <c r="Y10" i="3"/>
  <c r="AG10" i="3" s="1"/>
  <c r="Z11" i="3"/>
  <c r="AB19" i="3"/>
  <c r="AH19" i="3" s="1"/>
  <c r="Z22" i="3"/>
  <c r="Y9" i="3"/>
  <c r="AG9" i="3" s="1"/>
  <c r="AB10" i="3"/>
  <c r="AH10" i="3" s="1"/>
  <c r="Y20" i="3"/>
  <c r="AG20" i="3" s="1"/>
  <c r="Y25" i="3"/>
  <c r="AG25" i="3" s="1"/>
  <c r="AB26" i="3"/>
  <c r="AH26" i="3" s="1"/>
  <c r="N65" i="4"/>
  <c r="R64" i="4"/>
  <c r="T64" i="4" s="1"/>
  <c r="AA5" i="4"/>
  <c r="AC7" i="4"/>
  <c r="AA22" i="4"/>
  <c r="AA25" i="4"/>
  <c r="AA8" i="4"/>
  <c r="AC10" i="4"/>
  <c r="AA13" i="4"/>
  <c r="AA18" i="4"/>
  <c r="AC20" i="4"/>
  <c r="AC5" i="4"/>
  <c r="AA11" i="4"/>
  <c r="AA15" i="4"/>
  <c r="AC22" i="4"/>
  <c r="AA24" i="4"/>
  <c r="AC25" i="4"/>
  <c r="AA6" i="4"/>
  <c r="AC8" i="4"/>
  <c r="AC13" i="4"/>
  <c r="AC18" i="4"/>
  <c r="AA21" i="4"/>
  <c r="AA9" i="4"/>
  <c r="AC11" i="4"/>
  <c r="AC15" i="4"/>
  <c r="AA17" i="4"/>
  <c r="AA19" i="4"/>
  <c r="AA23" i="4"/>
  <c r="AC24" i="4"/>
  <c r="AA7" i="4"/>
  <c r="AC9" i="4"/>
  <c r="AC17" i="4"/>
  <c r="AC19" i="4"/>
  <c r="AC23" i="4"/>
  <c r="AA10" i="4"/>
  <c r="AC12" i="4"/>
  <c r="AA20" i="4"/>
  <c r="AC26" i="4"/>
  <c r="AC21" i="4"/>
  <c r="AA12" i="4"/>
  <c r="AC6" i="4"/>
  <c r="AA26" i="4"/>
  <c r="Z8" i="4"/>
  <c r="AB10" i="4"/>
  <c r="Y11" i="4"/>
  <c r="AG11" i="4" s="1"/>
  <c r="Z13" i="4"/>
  <c r="Y15" i="4"/>
  <c r="Z18" i="4"/>
  <c r="AB20" i="4"/>
  <c r="Y24" i="4"/>
  <c r="AB5" i="4"/>
  <c r="AH5" i="4" s="1"/>
  <c r="Y6" i="4"/>
  <c r="Z11" i="4"/>
  <c r="Z15" i="4"/>
  <c r="Y21" i="4"/>
  <c r="AB22" i="4"/>
  <c r="Z24" i="4"/>
  <c r="AB25" i="4"/>
  <c r="Z6" i="4"/>
  <c r="AB8" i="4"/>
  <c r="AH8" i="4" s="1"/>
  <c r="Y9" i="4"/>
  <c r="AG9" i="4" s="1"/>
  <c r="AB13" i="4"/>
  <c r="AH13" i="4" s="1"/>
  <c r="Y17" i="4"/>
  <c r="AB18" i="4"/>
  <c r="Y19" i="4"/>
  <c r="Z21" i="4"/>
  <c r="Y23" i="4"/>
  <c r="AG23" i="4" s="1"/>
  <c r="Z9" i="4"/>
  <c r="AB11" i="4"/>
  <c r="AH11" i="4" s="1"/>
  <c r="Y12" i="4"/>
  <c r="AB15" i="4"/>
  <c r="Z17" i="4"/>
  <c r="Z19" i="4"/>
  <c r="Z23" i="4"/>
  <c r="AB24" i="4"/>
  <c r="Y26" i="4"/>
  <c r="AG26" i="4" s="1"/>
  <c r="AB6" i="4"/>
  <c r="AH6" i="4" s="1"/>
  <c r="Y7" i="4"/>
  <c r="Z12" i="4"/>
  <c r="AB21" i="4"/>
  <c r="Z26" i="4"/>
  <c r="Y5" i="4"/>
  <c r="AG5" i="4" s="1"/>
  <c r="Z10" i="4"/>
  <c r="AB12" i="4"/>
  <c r="AH12" i="4" s="1"/>
  <c r="Z20" i="4"/>
  <c r="Y22" i="4"/>
  <c r="AG22" i="4" s="1"/>
  <c r="Y25" i="4"/>
  <c r="AB26" i="4"/>
  <c r="Z5" i="4"/>
  <c r="AB7" i="4"/>
  <c r="Y8" i="4"/>
  <c r="Y13" i="4"/>
  <c r="Y18" i="4"/>
  <c r="AG18" i="4" s="1"/>
  <c r="Z22" i="4"/>
  <c r="Z25" i="4"/>
  <c r="AB19" i="4"/>
  <c r="AB9" i="4"/>
  <c r="Z7" i="4"/>
  <c r="AB17" i="4"/>
  <c r="Y10" i="4"/>
  <c r="AG10" i="4" s="1"/>
  <c r="Y20" i="4"/>
  <c r="AG20" i="4" s="1"/>
  <c r="AB23" i="4"/>
  <c r="AH23" i="4" s="1"/>
  <c r="O65" i="4"/>
  <c r="AA45" i="3"/>
  <c r="N62" i="3"/>
  <c r="AM10" i="4"/>
  <c r="AO12" i="4"/>
  <c r="AO17" i="4"/>
  <c r="AM20" i="4"/>
  <c r="AO23" i="4"/>
  <c r="AO26" i="4"/>
  <c r="AM5" i="4"/>
  <c r="AO7" i="4"/>
  <c r="AM22" i="4"/>
  <c r="AM8" i="4"/>
  <c r="AO10" i="4"/>
  <c r="AM18" i="4"/>
  <c r="AO20" i="4"/>
  <c r="AM25" i="4"/>
  <c r="AO5" i="4"/>
  <c r="AM11" i="4"/>
  <c r="AM13" i="4"/>
  <c r="AM15" i="4"/>
  <c r="AO22" i="4"/>
  <c r="AM6" i="4"/>
  <c r="AO8" i="4"/>
  <c r="AO18" i="4"/>
  <c r="AM24" i="4"/>
  <c r="AO25" i="4"/>
  <c r="AO6" i="4"/>
  <c r="AM12" i="4"/>
  <c r="AM17" i="4"/>
  <c r="AM23" i="4"/>
  <c r="AO24" i="4"/>
  <c r="AM26" i="4"/>
  <c r="AM7" i="4"/>
  <c r="AO9" i="4"/>
  <c r="AO19" i="4"/>
  <c r="AO21" i="4"/>
  <c r="AO13" i="4"/>
  <c r="AO15" i="4"/>
  <c r="AM21" i="4"/>
  <c r="AM9" i="4"/>
  <c r="AM19" i="4"/>
  <c r="AO11" i="4"/>
  <c r="O46" i="4"/>
  <c r="O45" i="4"/>
  <c r="M47" i="4"/>
  <c r="M62" i="4"/>
  <c r="P6" i="3"/>
  <c r="M7" i="3"/>
  <c r="U7" i="3" s="1"/>
  <c r="N12" i="3"/>
  <c r="N7" i="3"/>
  <c r="P9" i="3"/>
  <c r="V9" i="3" s="1"/>
  <c r="M10" i="3"/>
  <c r="U10" i="3" s="1"/>
  <c r="P17" i="3"/>
  <c r="M6" i="3"/>
  <c r="M8" i="3"/>
  <c r="P11" i="3"/>
  <c r="V11" i="3" s="1"/>
  <c r="P13" i="3"/>
  <c r="V13" i="3" s="1"/>
  <c r="P15" i="3"/>
  <c r="V15" i="3" s="1"/>
  <c r="M18" i="3"/>
  <c r="U18" i="3" s="1"/>
  <c r="M19" i="3"/>
  <c r="U19" i="3" s="1"/>
  <c r="N20" i="3"/>
  <c r="N21" i="3"/>
  <c r="P23" i="3"/>
  <c r="N26" i="3"/>
  <c r="N6" i="3"/>
  <c r="N8" i="3"/>
  <c r="N10" i="3"/>
  <c r="N18" i="3"/>
  <c r="N19" i="3"/>
  <c r="M25" i="3"/>
  <c r="U25" i="3" s="1"/>
  <c r="M11" i="3"/>
  <c r="U11" i="3" s="1"/>
  <c r="P12" i="3"/>
  <c r="V12" i="3" s="1"/>
  <c r="N15" i="3"/>
  <c r="P19" i="3"/>
  <c r="V19" i="3" s="1"/>
  <c r="N25" i="3"/>
  <c r="P26" i="3"/>
  <c r="V26" i="3" s="1"/>
  <c r="N11" i="3"/>
  <c r="M20" i="3"/>
  <c r="P22" i="3"/>
  <c r="M24" i="3"/>
  <c r="U24" i="3" s="1"/>
  <c r="M9" i="3"/>
  <c r="U9" i="3" s="1"/>
  <c r="P10" i="3"/>
  <c r="V10" i="3" s="1"/>
  <c r="M17" i="3"/>
  <c r="U17" i="3" s="1"/>
  <c r="P20" i="3"/>
  <c r="V20" i="3" s="1"/>
  <c r="N24" i="3"/>
  <c r="P25" i="3"/>
  <c r="V25" i="3" s="1"/>
  <c r="N9" i="3"/>
  <c r="N17" i="3"/>
  <c r="M21" i="3"/>
  <c r="U21" i="3" s="1"/>
  <c r="M23" i="3"/>
  <c r="U23" i="3" s="1"/>
  <c r="M5" i="3"/>
  <c r="U5" i="3" s="1"/>
  <c r="P8" i="3"/>
  <c r="V8" i="3" s="1"/>
  <c r="P21" i="3"/>
  <c r="V21" i="3" s="1"/>
  <c r="N23" i="3"/>
  <c r="P24" i="3"/>
  <c r="N5" i="3"/>
  <c r="P7" i="3"/>
  <c r="V7" i="3" s="1"/>
  <c r="M13" i="3"/>
  <c r="U13" i="3" s="1"/>
  <c r="M22" i="3"/>
  <c r="U22" i="3" s="1"/>
  <c r="P5" i="3"/>
  <c r="V5" i="3" s="1"/>
  <c r="M12" i="3"/>
  <c r="N13" i="3"/>
  <c r="M15" i="3"/>
  <c r="P18" i="3"/>
  <c r="V18" i="3" s="1"/>
  <c r="N22" i="3"/>
  <c r="M26" i="3"/>
  <c r="U26" i="3" s="1"/>
  <c r="O45" i="3"/>
  <c r="O46" i="3"/>
  <c r="M62" i="3"/>
  <c r="M47" i="3"/>
  <c r="AA46" i="4"/>
  <c r="N62" i="4"/>
  <c r="AA45" i="4"/>
  <c r="Y47" i="4"/>
  <c r="AM46" i="4"/>
  <c r="AM45" i="4"/>
  <c r="AK47" i="4"/>
  <c r="O62" i="4"/>
  <c r="AL5" i="4"/>
  <c r="AN7" i="4"/>
  <c r="AT7" i="4" s="1"/>
  <c r="AK8" i="4"/>
  <c r="AS8" i="4" s="1"/>
  <c r="AK18" i="4"/>
  <c r="AS18" i="4" s="1"/>
  <c r="AL22" i="4"/>
  <c r="AK25" i="4"/>
  <c r="AS25" i="4" s="1"/>
  <c r="AL8" i="4"/>
  <c r="AN10" i="4"/>
  <c r="AK11" i="4"/>
  <c r="AS11" i="4" s="1"/>
  <c r="AK13" i="4"/>
  <c r="AS13" i="4" s="1"/>
  <c r="AK15" i="4"/>
  <c r="AS15" i="4" s="1"/>
  <c r="AL18" i="4"/>
  <c r="AN20" i="4"/>
  <c r="AT20" i="4" s="1"/>
  <c r="AL25" i="4"/>
  <c r="AN5" i="4"/>
  <c r="AT5" i="4" s="1"/>
  <c r="AK6" i="4"/>
  <c r="AL11" i="4"/>
  <c r="AL13" i="4"/>
  <c r="AL15" i="4"/>
  <c r="AN22" i="4"/>
  <c r="AT22" i="4" s="1"/>
  <c r="AK24" i="4"/>
  <c r="AL6" i="4"/>
  <c r="AN8" i="4"/>
  <c r="AT8" i="4" s="1"/>
  <c r="AK9" i="4"/>
  <c r="AS9" i="4" s="1"/>
  <c r="AN18" i="4"/>
  <c r="AT18" i="4" s="1"/>
  <c r="AK19" i="4"/>
  <c r="AS19" i="4" s="1"/>
  <c r="AK21" i="4"/>
  <c r="AS21" i="4" s="1"/>
  <c r="AL24" i="4"/>
  <c r="AN25" i="4"/>
  <c r="AL9" i="4"/>
  <c r="AN11" i="4"/>
  <c r="AK12" i="4"/>
  <c r="AN13" i="4"/>
  <c r="AT13" i="4" s="1"/>
  <c r="AN15" i="4"/>
  <c r="AT15" i="4" s="1"/>
  <c r="AK17" i="4"/>
  <c r="AS17" i="4" s="1"/>
  <c r="AL19" i="4"/>
  <c r="AL21" i="4"/>
  <c r="AK23" i="4"/>
  <c r="AK26" i="4"/>
  <c r="AS26" i="4" s="1"/>
  <c r="AL7" i="4"/>
  <c r="AN9" i="4"/>
  <c r="AT9" i="4" s="1"/>
  <c r="AK10" i="4"/>
  <c r="AS10" i="4" s="1"/>
  <c r="AN19" i="4"/>
  <c r="AT19" i="4" s="1"/>
  <c r="AK20" i="4"/>
  <c r="AS20" i="4" s="1"/>
  <c r="AN21" i="4"/>
  <c r="AK5" i="4"/>
  <c r="AL10" i="4"/>
  <c r="AN12" i="4"/>
  <c r="AN17" i="4"/>
  <c r="AT17" i="4" s="1"/>
  <c r="AL20" i="4"/>
  <c r="AK22" i="4"/>
  <c r="AS22" i="4" s="1"/>
  <c r="AN23" i="4"/>
  <c r="AT23" i="4" s="1"/>
  <c r="AN26" i="4"/>
  <c r="AN6" i="4"/>
  <c r="AL17" i="4"/>
  <c r="AL23" i="4"/>
  <c r="AN24" i="4"/>
  <c r="AT24" i="4" s="1"/>
  <c r="AL12" i="4"/>
  <c r="AK7" i="4"/>
  <c r="AS7" i="4" s="1"/>
  <c r="AL26" i="4"/>
  <c r="T92" i="3" l="1"/>
  <c r="T80" i="4"/>
  <c r="T81" i="4" s="1"/>
  <c r="T83" i="4"/>
  <c r="T83" i="3" s="1"/>
  <c r="T84" i="3" s="1"/>
  <c r="T86" i="3" s="1"/>
  <c r="T92" i="4"/>
  <c r="U94" i="3"/>
  <c r="U94" i="4"/>
  <c r="U93" i="4"/>
  <c r="U93" i="3"/>
  <c r="T94" i="3"/>
  <c r="T94" i="4"/>
  <c r="T93" i="4"/>
  <c r="T93" i="3"/>
  <c r="U83" i="4"/>
  <c r="U83" i="3" s="1"/>
  <c r="U84" i="3" s="1"/>
  <c r="U92" i="4"/>
  <c r="U92" i="3"/>
  <c r="U80" i="4"/>
  <c r="U81" i="4" s="1"/>
  <c r="AH19" i="4"/>
  <c r="AH21" i="4"/>
  <c r="AH18" i="4"/>
  <c r="AH22" i="4"/>
  <c r="U5" i="4"/>
  <c r="V20" i="4"/>
  <c r="V6" i="4"/>
  <c r="U23" i="4"/>
  <c r="V5" i="4"/>
  <c r="AG25" i="4"/>
  <c r="AH15" i="4"/>
  <c r="AG17" i="4"/>
  <c r="AG21" i="4"/>
  <c r="S64" i="3"/>
  <c r="M65" i="3" s="1"/>
  <c r="U15" i="4"/>
  <c r="V21" i="4"/>
  <c r="U19" i="4"/>
  <c r="V18" i="4"/>
  <c r="U17" i="4"/>
  <c r="AG6" i="4"/>
  <c r="V19" i="4"/>
  <c r="U7" i="4"/>
  <c r="Q89" i="4"/>
  <c r="M89" i="4"/>
  <c r="AT12" i="4"/>
  <c r="AS12" i="4"/>
  <c r="AS6" i="4"/>
  <c r="AT10" i="4"/>
  <c r="AT11" i="4"/>
  <c r="M90" i="4"/>
  <c r="Q90" i="4"/>
  <c r="U15" i="3"/>
  <c r="V24" i="3"/>
  <c r="V22" i="3"/>
  <c r="V23" i="3"/>
  <c r="U8" i="3"/>
  <c r="AG8" i="4"/>
  <c r="AT6" i="4"/>
  <c r="AS5" i="4"/>
  <c r="AS23" i="4"/>
  <c r="AL55" i="4"/>
  <c r="AL56" i="4" s="1"/>
  <c r="AL57" i="4" s="1"/>
  <c r="AK49" i="4"/>
  <c r="AM55" i="4"/>
  <c r="AM56" i="4" s="1"/>
  <c r="AM57" i="4" s="1"/>
  <c r="AN55" i="4"/>
  <c r="AN56" i="4" s="1"/>
  <c r="AN58" i="4" s="1"/>
  <c r="AN57" i="4" s="1"/>
  <c r="AL45" i="4" s="1"/>
  <c r="AQ55" i="4"/>
  <c r="AQ56" i="4" s="1"/>
  <c r="AQ57" i="4" s="1"/>
  <c r="AP55" i="4"/>
  <c r="AP56" i="4" s="1"/>
  <c r="AP57" i="4" s="1"/>
  <c r="AK55" i="4"/>
  <c r="AK56" i="4" s="1"/>
  <c r="AK57" i="4" s="1"/>
  <c r="AO55" i="4"/>
  <c r="AO56" i="4" s="1"/>
  <c r="AO57" i="4" s="1"/>
  <c r="N55" i="3"/>
  <c r="N56" i="3" s="1"/>
  <c r="N57" i="3" s="1"/>
  <c r="O55" i="3"/>
  <c r="O56" i="3" s="1"/>
  <c r="O57" i="3" s="1"/>
  <c r="K11" i="1" s="1"/>
  <c r="P55" i="3"/>
  <c r="P56" i="3" s="1"/>
  <c r="P58" i="3" s="1"/>
  <c r="P57" i="3" s="1"/>
  <c r="R55" i="3"/>
  <c r="R56" i="3" s="1"/>
  <c r="R57" i="3" s="1"/>
  <c r="N11" i="1" s="1"/>
  <c r="M49" i="3"/>
  <c r="S55" i="3"/>
  <c r="S56" i="3" s="1"/>
  <c r="S57" i="3" s="1"/>
  <c r="O11" i="1" s="1"/>
  <c r="Q55" i="3"/>
  <c r="Q56" i="3" s="1"/>
  <c r="Q57" i="3" s="1"/>
  <c r="M11" i="1" s="1"/>
  <c r="M55" i="3"/>
  <c r="M56" i="3" s="1"/>
  <c r="M57" i="3" s="1"/>
  <c r="I11" i="1" s="1"/>
  <c r="U20" i="3"/>
  <c r="U6" i="3"/>
  <c r="Q88" i="4"/>
  <c r="M88" i="4"/>
  <c r="Y47" i="3"/>
  <c r="AH7" i="4"/>
  <c r="AH25" i="4"/>
  <c r="AG24" i="4"/>
  <c r="V25" i="4"/>
  <c r="U25" i="4"/>
  <c r="V17" i="4"/>
  <c r="U12" i="4"/>
  <c r="U9" i="4"/>
  <c r="V13" i="4"/>
  <c r="AT26" i="4"/>
  <c r="AT21" i="4"/>
  <c r="AT25" i="4"/>
  <c r="AS24" i="4"/>
  <c r="Q88" i="3"/>
  <c r="M88" i="3"/>
  <c r="U12" i="3"/>
  <c r="V17" i="3"/>
  <c r="P55" i="4"/>
  <c r="P56" i="4" s="1"/>
  <c r="P58" i="4" s="1"/>
  <c r="P57" i="4" s="1"/>
  <c r="O55" i="4"/>
  <c r="O56" i="4" s="1"/>
  <c r="O57" i="4" s="1"/>
  <c r="R55" i="4"/>
  <c r="R56" i="4" s="1"/>
  <c r="R57" i="4" s="1"/>
  <c r="M49" i="4"/>
  <c r="N55" i="4"/>
  <c r="N56" i="4" s="1"/>
  <c r="N57" i="4" s="1"/>
  <c r="S55" i="4"/>
  <c r="S56" i="4" s="1"/>
  <c r="S57" i="4" s="1"/>
  <c r="M55" i="4"/>
  <c r="M56" i="4" s="1"/>
  <c r="M57" i="4" s="1"/>
  <c r="Q55" i="4"/>
  <c r="Q56" i="4" s="1"/>
  <c r="Q57" i="4" s="1"/>
  <c r="AA46" i="3"/>
  <c r="AH9" i="4"/>
  <c r="AG19" i="4"/>
  <c r="AH20" i="4"/>
  <c r="U24" i="4"/>
  <c r="U20" i="4"/>
  <c r="V11" i="4"/>
  <c r="V8" i="4"/>
  <c r="AH26" i="4"/>
  <c r="M78" i="4"/>
  <c r="Q78" i="4"/>
  <c r="R71" i="4"/>
  <c r="R78" i="4"/>
  <c r="N78" i="4"/>
  <c r="O78" i="4"/>
  <c r="P78" i="4"/>
  <c r="S78" i="4"/>
  <c r="U22" i="4"/>
  <c r="U21" i="4"/>
  <c r="U6" i="4"/>
  <c r="R72" i="4"/>
  <c r="Q79" i="4"/>
  <c r="Q86" i="4" s="1"/>
  <c r="Q80" i="4" s="1"/>
  <c r="Q81" i="4" s="1"/>
  <c r="Q83" i="4" s="1"/>
  <c r="Q83" i="3" s="1"/>
  <c r="M79" i="4"/>
  <c r="S79" i="4"/>
  <c r="P79" i="4"/>
  <c r="O79" i="4"/>
  <c r="R79" i="4"/>
  <c r="N79" i="4"/>
  <c r="AG15" i="4"/>
  <c r="U18" i="4"/>
  <c r="U10" i="4"/>
  <c r="V24" i="4"/>
  <c r="Q77" i="4"/>
  <c r="R70" i="4"/>
  <c r="M77" i="4"/>
  <c r="N77" i="4"/>
  <c r="S77" i="4"/>
  <c r="O77" i="4"/>
  <c r="P77" i="4"/>
  <c r="R77" i="4"/>
  <c r="AG7" i="4"/>
  <c r="AG12" i="4"/>
  <c r="V12" i="4"/>
  <c r="V9" i="4"/>
  <c r="U26" i="4"/>
  <c r="V22" i="4"/>
  <c r="AK49" i="3"/>
  <c r="AQ55" i="3"/>
  <c r="AQ56" i="3" s="1"/>
  <c r="AQ57" i="3" s="1"/>
  <c r="O37" i="1" s="1"/>
  <c r="AL55" i="3"/>
  <c r="AL56" i="3" s="1"/>
  <c r="AL57" i="3" s="1"/>
  <c r="AM55" i="3"/>
  <c r="AM56" i="3" s="1"/>
  <c r="AM57" i="3" s="1"/>
  <c r="K37" i="1" s="1"/>
  <c r="AN55" i="3"/>
  <c r="AN56" i="3" s="1"/>
  <c r="AN58" i="3" s="1"/>
  <c r="AP55" i="3"/>
  <c r="AP56" i="3" s="1"/>
  <c r="AP57" i="3" s="1"/>
  <c r="N37" i="1" s="1"/>
  <c r="AN57" i="3"/>
  <c r="AK55" i="3"/>
  <c r="AK56" i="3" s="1"/>
  <c r="AK57" i="3" s="1"/>
  <c r="I37" i="1" s="1"/>
  <c r="AO55" i="3"/>
  <c r="AO56" i="3" s="1"/>
  <c r="AO57" i="3" s="1"/>
  <c r="M37" i="1" s="1"/>
  <c r="M90" i="3"/>
  <c r="Q90" i="3"/>
  <c r="AD55" i="4"/>
  <c r="AD56" i="4" s="1"/>
  <c r="AD57" i="4" s="1"/>
  <c r="AE55" i="4"/>
  <c r="AE56" i="4" s="1"/>
  <c r="AE57" i="4" s="1"/>
  <c r="Y49" i="4"/>
  <c r="AA55" i="4"/>
  <c r="AA56" i="4" s="1"/>
  <c r="AA57" i="4" s="1"/>
  <c r="AB55" i="4"/>
  <c r="AB56" i="4" s="1"/>
  <c r="AB58" i="4" s="1"/>
  <c r="AB57" i="4" s="1"/>
  <c r="Z45" i="4" s="1"/>
  <c r="Z55" i="4"/>
  <c r="Z56" i="4" s="1"/>
  <c r="Z57" i="4" s="1"/>
  <c r="AC55" i="4"/>
  <c r="AC56" i="4" s="1"/>
  <c r="AC57" i="4" s="1"/>
  <c r="Y55" i="4"/>
  <c r="Y56" i="4" s="1"/>
  <c r="Y57" i="4" s="1"/>
  <c r="AG13" i="4"/>
  <c r="V7" i="4"/>
  <c r="M89" i="3"/>
  <c r="Q89" i="3"/>
  <c r="AH10" i="4"/>
  <c r="U13" i="4"/>
  <c r="V6" i="3"/>
  <c r="AH17" i="4"/>
  <c r="AH24" i="4"/>
  <c r="R64" i="3"/>
  <c r="N65" i="3" s="1"/>
  <c r="V10" i="4"/>
  <c r="V23" i="4"/>
  <c r="V15" i="4"/>
  <c r="P46" i="1" l="1"/>
  <c r="U86" i="3"/>
  <c r="Q46" i="1"/>
  <c r="M77" i="3"/>
  <c r="R70" i="3"/>
  <c r="Q77" i="3"/>
  <c r="S77" i="3"/>
  <c r="N77" i="3"/>
  <c r="R77" i="3"/>
  <c r="O77" i="3"/>
  <c r="P77" i="3"/>
  <c r="O65" i="3"/>
  <c r="Q79" i="3" s="1"/>
  <c r="M78" i="3"/>
  <c r="Q78" i="3"/>
  <c r="R71" i="3"/>
  <c r="N78" i="3"/>
  <c r="R78" i="3"/>
  <c r="O78" i="3"/>
  <c r="P78" i="3"/>
  <c r="S78" i="3"/>
  <c r="N45" i="4"/>
  <c r="V77" i="4"/>
  <c r="N93" i="3"/>
  <c r="N93" i="4"/>
  <c r="S92" i="3"/>
  <c r="S80" i="4"/>
  <c r="S81" i="4" s="1"/>
  <c r="S92" i="4"/>
  <c r="S83" i="4"/>
  <c r="S83" i="3" s="1"/>
  <c r="R93" i="3"/>
  <c r="R93" i="4"/>
  <c r="N94" i="4"/>
  <c r="N94" i="3"/>
  <c r="M92" i="4"/>
  <c r="M92" i="3"/>
  <c r="R94" i="3"/>
  <c r="R94" i="4"/>
  <c r="Q93" i="4"/>
  <c r="Q93" i="3"/>
  <c r="M91" i="3"/>
  <c r="M80" i="3"/>
  <c r="M81" i="3" s="1"/>
  <c r="M91" i="4"/>
  <c r="O94" i="4"/>
  <c r="O94" i="3"/>
  <c r="M93" i="3"/>
  <c r="M93" i="4"/>
  <c r="Q91" i="3"/>
  <c r="Q80" i="3"/>
  <c r="Q81" i="3" s="1"/>
  <c r="Q91" i="4"/>
  <c r="R72" i="3"/>
  <c r="M79" i="3"/>
  <c r="S79" i="3"/>
  <c r="O79" i="3"/>
  <c r="R79" i="3"/>
  <c r="N79" i="3"/>
  <c r="P79" i="3"/>
  <c r="AL50" i="3"/>
  <c r="AL46" i="3" s="1"/>
  <c r="J37" i="1"/>
  <c r="Q92" i="4"/>
  <c r="Q92" i="3"/>
  <c r="P94" i="3"/>
  <c r="P94" i="4"/>
  <c r="S93" i="4"/>
  <c r="S93" i="3"/>
  <c r="N45" i="3"/>
  <c r="V77" i="3"/>
  <c r="L11" i="1"/>
  <c r="R92" i="4"/>
  <c r="R80" i="4"/>
  <c r="R81" i="4" s="1"/>
  <c r="R92" i="3"/>
  <c r="R83" i="4"/>
  <c r="R83" i="3" s="1"/>
  <c r="S94" i="4"/>
  <c r="S94" i="3"/>
  <c r="P93" i="3"/>
  <c r="P93" i="4"/>
  <c r="P83" i="4"/>
  <c r="P83" i="3" s="1"/>
  <c r="P92" i="4"/>
  <c r="P80" i="4"/>
  <c r="P82" i="4" s="1"/>
  <c r="P92" i="3"/>
  <c r="M94" i="4"/>
  <c r="M94" i="3"/>
  <c r="O93" i="3"/>
  <c r="O93" i="4"/>
  <c r="M86" i="4"/>
  <c r="M80" i="4" s="1"/>
  <c r="M81" i="4" s="1"/>
  <c r="M83" i="4" s="1"/>
  <c r="M83" i="3" s="1"/>
  <c r="N50" i="3"/>
  <c r="N46" i="3" s="1"/>
  <c r="J11" i="1"/>
  <c r="Q94" i="4"/>
  <c r="Q94" i="3"/>
  <c r="O92" i="3"/>
  <c r="O92" i="4"/>
  <c r="O83" i="4"/>
  <c r="O83" i="3" s="1"/>
  <c r="O80" i="4"/>
  <c r="O81" i="4" s="1"/>
  <c r="AL45" i="3"/>
  <c r="L37" i="1"/>
  <c r="N83" i="4"/>
  <c r="N83" i="3" s="1"/>
  <c r="N92" i="3"/>
  <c r="M99" i="3" s="1"/>
  <c r="N80" i="4"/>
  <c r="N81" i="4" s="1"/>
  <c r="N92" i="4"/>
  <c r="Y49" i="3"/>
  <c r="AA55" i="3"/>
  <c r="AA56" i="3" s="1"/>
  <c r="AA57" i="3" s="1"/>
  <c r="K24" i="1" s="1"/>
  <c r="AB55" i="3"/>
  <c r="AB56" i="3" s="1"/>
  <c r="AB58" i="3" s="1"/>
  <c r="AB57" i="3" s="1"/>
  <c r="AD55" i="3"/>
  <c r="AD56" i="3" s="1"/>
  <c r="AD57" i="3" s="1"/>
  <c r="N24" i="1" s="1"/>
  <c r="AE55" i="3"/>
  <c r="AE56" i="3" s="1"/>
  <c r="AE57" i="3" s="1"/>
  <c r="O24" i="1" s="1"/>
  <c r="Z55" i="3"/>
  <c r="Z56" i="3" s="1"/>
  <c r="Z57" i="3" s="1"/>
  <c r="AC55" i="3"/>
  <c r="AC56" i="3" s="1"/>
  <c r="AC57" i="3" s="1"/>
  <c r="M24" i="1" s="1"/>
  <c r="Y55" i="3"/>
  <c r="Y56" i="3" s="1"/>
  <c r="Y57" i="3" s="1"/>
  <c r="I24" i="1" s="1"/>
  <c r="P80" i="3" l="1"/>
  <c r="P82" i="3" s="1"/>
  <c r="N80" i="3"/>
  <c r="N81" i="3" s="1"/>
  <c r="R80" i="3"/>
  <c r="R81" i="3" s="1"/>
  <c r="O80" i="3"/>
  <c r="O81" i="3" s="1"/>
  <c r="S80" i="3"/>
  <c r="S81" i="3" s="1"/>
  <c r="Z45" i="3"/>
  <c r="L24" i="1"/>
  <c r="M100" i="3"/>
  <c r="M101" i="3"/>
  <c r="P81" i="4"/>
  <c r="Z50" i="3"/>
  <c r="Z46" i="3" s="1"/>
  <c r="J24" i="1"/>
  <c r="P81" i="3" l="1"/>
  <c r="N85" i="3" s="1"/>
  <c r="M102" i="3"/>
  <c r="O84" i="3" s="1"/>
  <c r="N84" i="3"/>
  <c r="Q84" i="3" l="1"/>
  <c r="Q86" i="3" s="1"/>
  <c r="S84" i="3"/>
  <c r="S86" i="3" s="1"/>
  <c r="M84" i="3"/>
  <c r="P84" i="3"/>
  <c r="P86" i="3" s="1"/>
  <c r="R84" i="3"/>
  <c r="N46" i="1" s="1"/>
  <c r="R86" i="3"/>
  <c r="O85" i="3"/>
  <c r="N86" i="3"/>
  <c r="J46" i="1"/>
  <c r="O46" i="1"/>
  <c r="M86" i="3"/>
  <c r="I46" i="1"/>
  <c r="N82" i="3"/>
  <c r="P85" i="3" s="1"/>
  <c r="O86" i="3"/>
  <c r="K46" i="1"/>
  <c r="M46" i="1" l="1"/>
  <c r="L46" i="1"/>
  <c r="V86" i="3"/>
  <c r="U85" i="3" s="1"/>
</calcChain>
</file>

<file path=xl/sharedStrings.xml><?xml version="1.0" encoding="utf-8"?>
<sst xmlns="http://schemas.openxmlformats.org/spreadsheetml/2006/main" count="1527" uniqueCount="268">
  <si>
    <t>OL</t>
  </si>
  <si>
    <t>OL Used</t>
  </si>
  <si>
    <t>Select Function of space for Occupant load</t>
  </si>
  <si>
    <t>Input Number of Cells</t>
  </si>
  <si>
    <t>Occ</t>
  </si>
  <si>
    <t>Record #</t>
  </si>
  <si>
    <t>use</t>
  </si>
  <si>
    <t>M/F</t>
  </si>
  <si>
    <t>Area</t>
  </si>
  <si>
    <t>Unit</t>
  </si>
  <si>
    <t xml:space="preserve"> </t>
  </si>
  <si>
    <t>Male</t>
  </si>
  <si>
    <t>Water Closets</t>
  </si>
  <si>
    <t>Female</t>
  </si>
  <si>
    <t>Lavatories</t>
  </si>
  <si>
    <t>Unisex</t>
  </si>
  <si>
    <t>Ratio</t>
  </si>
  <si>
    <t>Other</t>
  </si>
  <si>
    <t>M</t>
  </si>
  <si>
    <t>mwc</t>
  </si>
  <si>
    <t>fwc</t>
  </si>
  <si>
    <t>ml</t>
  </si>
  <si>
    <t>fl</t>
  </si>
  <si>
    <t>b/s</t>
  </si>
  <si>
    <t>fount</t>
  </si>
  <si>
    <t>F</t>
  </si>
  <si>
    <t>Units</t>
  </si>
  <si>
    <t>Master</t>
  </si>
  <si>
    <t>conditional</t>
  </si>
  <si>
    <t>per unit/ cell/ room</t>
  </si>
  <si>
    <t>Text</t>
  </si>
  <si>
    <t>Zero (not required)</t>
  </si>
  <si>
    <t>Not Req'd</t>
  </si>
  <si>
    <t>Required</t>
  </si>
  <si>
    <t>Drink Fount</t>
  </si>
  <si>
    <t>Bath/Shwr</t>
  </si>
  <si>
    <t>Uniwc</t>
  </si>
  <si>
    <t>UniLav</t>
  </si>
  <si>
    <t>mlav</t>
  </si>
  <si>
    <t>flav</t>
  </si>
  <si>
    <t>See comm</t>
  </si>
  <si>
    <t>1/40</t>
  </si>
  <si>
    <t>1/150</t>
  </si>
  <si>
    <t>1/50</t>
  </si>
  <si>
    <t>1/100</t>
  </si>
  <si>
    <t>1/10</t>
  </si>
  <si>
    <t>1/8</t>
  </si>
  <si>
    <t>Combined text for comments</t>
  </si>
  <si>
    <t>Input Occupant Load:</t>
  </si>
  <si>
    <t>Not Required</t>
  </si>
  <si>
    <t>Bathtub/ Shower</t>
  </si>
  <si>
    <t>Drinking Fountain</t>
  </si>
  <si>
    <t>Req'd</t>
  </si>
  <si>
    <t>Space 1</t>
  </si>
  <si>
    <t>Area 1</t>
  </si>
  <si>
    <t>Space 2</t>
  </si>
  <si>
    <t>Area 2</t>
  </si>
  <si>
    <t>Area 3</t>
  </si>
  <si>
    <t>Space 3</t>
  </si>
  <si>
    <t>Total for the Structure / Tenant space*</t>
  </si>
  <si>
    <t>*Use this table only if all occupants from each Area above have unrestricted access to the other two areas.</t>
  </si>
  <si>
    <t>total</t>
  </si>
  <si>
    <t>Corrected</t>
  </si>
  <si>
    <t>T</t>
  </si>
  <si>
    <t>tot</t>
  </si>
  <si>
    <t>Final</t>
  </si>
  <si>
    <t>Number of units:</t>
  </si>
  <si>
    <t>Male:</t>
  </si>
  <si>
    <t>Female:</t>
  </si>
  <si>
    <t>Calculated OL:</t>
  </si>
  <si>
    <t>DrFnt</t>
  </si>
  <si>
    <t>M Urinal</t>
  </si>
  <si>
    <t xml:space="preserve"> For OSHPD 1, 2, 3, &amp; 4 refer to CPC Table 4-2**</t>
  </si>
  <si>
    <t>Select Type of Building or Occupancy</t>
  </si>
  <si>
    <t>mur</t>
  </si>
  <si>
    <t>1/ Room</t>
  </si>
  <si>
    <t>1/2 WC</t>
  </si>
  <si>
    <t>1/20</t>
  </si>
  <si>
    <t>1/8 pat.</t>
  </si>
  <si>
    <t>1/10 pat.</t>
  </si>
  <si>
    <t>1/20 pat.</t>
  </si>
  <si>
    <t>1/30</t>
  </si>
  <si>
    <t>unisex</t>
  </si>
  <si>
    <t>MaleU</t>
  </si>
  <si>
    <t>MaleWC</t>
  </si>
  <si>
    <t>UnisexWC</t>
  </si>
  <si>
    <t>FemaleWC</t>
  </si>
  <si>
    <t>UnisexL</t>
  </si>
  <si>
    <t>MaleL</t>
  </si>
  <si>
    <t>FemaleL</t>
  </si>
  <si>
    <t>Total OL(all spaces combined) &lt;=10</t>
  </si>
  <si>
    <t>unisex-per unit/ cell/ room</t>
  </si>
  <si>
    <t>From S</t>
  </si>
  <si>
    <t>Future Family assist Unisex (09 IBC)</t>
  </si>
  <si>
    <t>Ftnt18</t>
  </si>
  <si>
    <t>Pr/Juv</t>
  </si>
  <si>
    <t>OL &lt;=10</t>
  </si>
  <si>
    <t>Ur Sub</t>
  </si>
  <si>
    <t>MB&lt;=1500</t>
  </si>
  <si>
    <t>Table A</t>
  </si>
  <si>
    <t>Input Floor area (sq.ft.):</t>
  </si>
  <si>
    <r>
      <t>◘</t>
    </r>
    <r>
      <rPr>
        <sz val="10"/>
        <rFont val="Times New Roman"/>
        <family val="1"/>
      </rPr>
      <t xml:space="preserve"> A- Auditorium, Conv. Hall, Dance floor, Stadium</t>
    </r>
  </si>
  <si>
    <r>
      <t>◘</t>
    </r>
    <r>
      <rPr>
        <sz val="10"/>
        <rFont val="Times New Roman"/>
        <family val="1"/>
      </rPr>
      <t xml:space="preserve"> A- Conference rm, Dining rm, Gym, Restaurant</t>
    </r>
  </si>
  <si>
    <r>
      <t>◘</t>
    </r>
    <r>
      <rPr>
        <sz val="10"/>
        <rFont val="Times New Roman"/>
        <family val="1"/>
      </rPr>
      <t xml:space="preserve"> A- Worship place- Assembly area</t>
    </r>
  </si>
  <si>
    <r>
      <t>◘</t>
    </r>
    <r>
      <rPr>
        <sz val="10"/>
        <rFont val="Times New Roman"/>
        <family val="1"/>
      </rPr>
      <t xml:space="preserve"> B- Office or public building</t>
    </r>
  </si>
  <si>
    <r>
      <t>◘</t>
    </r>
    <r>
      <rPr>
        <sz val="10"/>
        <rFont val="Times New Roman"/>
        <family val="1"/>
      </rPr>
      <t xml:space="preserve"> E- School for daycare, elementary, secondary</t>
    </r>
  </si>
  <si>
    <r>
      <t>◘</t>
    </r>
    <r>
      <rPr>
        <sz val="10"/>
        <rFont val="Times New Roman"/>
        <family val="1"/>
      </rPr>
      <t xml:space="preserve"> College, university, adult center</t>
    </r>
  </si>
  <si>
    <r>
      <t>◘</t>
    </r>
    <r>
      <rPr>
        <sz val="10"/>
        <rFont val="Times New Roman"/>
        <family val="1"/>
      </rPr>
      <t xml:space="preserve"> F- Workshop, Foundry</t>
    </r>
  </si>
  <si>
    <r>
      <t>◘</t>
    </r>
    <r>
      <rPr>
        <sz val="10"/>
        <rFont val="Times New Roman"/>
        <family val="1"/>
      </rPr>
      <t xml:space="preserve"> H- Hazardous materials fabrication and storage</t>
    </r>
  </si>
  <si>
    <r>
      <t>◘</t>
    </r>
    <r>
      <rPr>
        <sz val="10"/>
        <rFont val="Times New Roman"/>
        <family val="1"/>
      </rPr>
      <t xml:space="preserve"> I- Hospital- General use area, health care</t>
    </r>
  </si>
  <si>
    <r>
      <t>◘</t>
    </r>
    <r>
      <rPr>
        <sz val="10"/>
        <rFont val="Times New Roman"/>
        <family val="1"/>
      </rPr>
      <t xml:space="preserve"> M- Retail or wholesale store</t>
    </r>
  </si>
  <si>
    <r>
      <t>◘</t>
    </r>
    <r>
      <rPr>
        <sz val="10"/>
        <rFont val="Times New Roman"/>
        <family val="1"/>
      </rPr>
      <t xml:space="preserve"> R- Congregate residence</t>
    </r>
  </si>
  <si>
    <r>
      <t>◘ S</t>
    </r>
    <r>
      <rPr>
        <sz val="10"/>
        <rFont val="Times New Roman"/>
        <family val="1"/>
      </rPr>
      <t>- Warehouse</t>
    </r>
  </si>
  <si>
    <t xml:space="preserve"> M WC per person: 1: 1-100, 2: 101-200, 3: 201-400, 1/500 for remainder over 400**</t>
  </si>
  <si>
    <t xml:space="preserve"> M Ur per person: 1: 1-100, 2: 101-200, 3: 201-400, 4: 401-600, 1/300 for remainder over 600**</t>
  </si>
  <si>
    <t xml:space="preserve"> M/F Lav. per person: 1: 1-200, 2: 201-400, 3: 401-750, 1/500 for remainder over 750**</t>
  </si>
  <si>
    <t xml:space="preserve"> M WC per person: 1: 1-10, 1/25 for remainder over 10**</t>
  </si>
  <si>
    <t xml:space="preserve"> F WC per person: 1: 1-8, 1/20 for remainder over 8**</t>
  </si>
  <si>
    <t xml:space="preserve"> M Lav. per person: 1: 1-12, 1/20 for remainder over 12**</t>
  </si>
  <si>
    <t xml:space="preserve"> F Lav. per person: 1: 1-12, 1/15 for remainder over 12**</t>
  </si>
  <si>
    <t xml:space="preserve"> M/F WC per person: 1: 1-15, 2: 16-35, 3: 36-55, 1/40 for remainder over 55**</t>
  </si>
  <si>
    <t>B</t>
  </si>
  <si>
    <t>From Support</t>
  </si>
  <si>
    <t>Version:</t>
  </si>
  <si>
    <t>**Not Used**</t>
  </si>
  <si>
    <t>Ftnt7F</t>
  </si>
  <si>
    <t>B/Sh</t>
  </si>
  <si>
    <t>*</t>
  </si>
  <si>
    <t>End</t>
  </si>
  <si>
    <r>
      <t>●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Occupant load is known</t>
    </r>
  </si>
  <si>
    <t>Male Ur</t>
  </si>
  <si>
    <t>F WC adj</t>
  </si>
  <si>
    <t>1+2</t>
  </si>
  <si>
    <t>1+3</t>
  </si>
  <si>
    <t>2+3</t>
  </si>
  <si>
    <t>1+2+3</t>
  </si>
  <si>
    <t>1 only</t>
  </si>
  <si>
    <t>2 only</t>
  </si>
  <si>
    <t>3 only</t>
  </si>
  <si>
    <t xml:space="preserve">  See comments above**</t>
  </si>
  <si>
    <t>Input</t>
  </si>
  <si>
    <t>Table</t>
  </si>
  <si>
    <t>Expires:</t>
  </si>
  <si>
    <t>Expired Version- Contact ara@ara4help.com for help</t>
  </si>
  <si>
    <t>Unauthorized Copy- Contact ara@ara4help.com for help</t>
  </si>
  <si>
    <t>AHJ</t>
  </si>
  <si>
    <t>www.ara4help.com</t>
  </si>
  <si>
    <t>[project name]</t>
  </si>
  <si>
    <t xml:space="preserve">A-1. Assembly (theatre, concert hall, auditorium) </t>
  </si>
  <si>
    <t>A-2. Assembly (restaurant, pub, night club, banquet hall)</t>
  </si>
  <si>
    <t>A-3. Assembly (arcade, place of worship, lecture hall)</t>
  </si>
  <si>
    <t>A-4. Assembly (indor activities with spectator seating)</t>
  </si>
  <si>
    <t>A-5. Assembly (outdor activities with spectator seating)</t>
  </si>
  <si>
    <t>B. Business (office, profess. or servise type transactions)</t>
  </si>
  <si>
    <t>E. Educational (privat or public school)</t>
  </si>
  <si>
    <t>F-1, F-2. Factory or Industrial</t>
  </si>
  <si>
    <t>I-2. Institutional (hospital, nursing) indiv. rooms</t>
  </si>
  <si>
    <t>I-2. Institutional (hospital, nursing) waiting/visitor area</t>
  </si>
  <si>
    <t>I-2. Institutional (hospital, nursing) employee use</t>
  </si>
  <si>
    <t>I-3. Institutional (prison)</t>
  </si>
  <si>
    <t>I-3. Institutional (correct. facility, juvenile center)</t>
  </si>
  <si>
    <t>I-3. Institutional (employee use)</t>
  </si>
  <si>
    <t>I-4. Institutional (any age, &lt;24 hrs care)</t>
  </si>
  <si>
    <t>M. Mercantile</t>
  </si>
  <si>
    <t>R-2. Residential (dormitory)</t>
  </si>
  <si>
    <t>R-2. Residential (dormitory) employee use</t>
  </si>
  <si>
    <t>R-2.1. (I-1) houses more than 16 persons on a 24 hr basis</t>
  </si>
  <si>
    <t>R-3. Residential (long term or permanent, 6-16 occupants)</t>
  </si>
  <si>
    <t>R-4. Residential (residential care or assisted living)</t>
  </si>
  <si>
    <t>S-1, S-2. Storage or Warehouse</t>
  </si>
  <si>
    <t xml:space="preserve"> 1 service sink or Laundry tray**</t>
  </si>
  <si>
    <t>New</t>
  </si>
  <si>
    <t>I-2. Institutional (hospital, nursing) waiting/visitor room</t>
  </si>
  <si>
    <t>Input Number of Rooms</t>
  </si>
  <si>
    <t>1/ Cell</t>
  </si>
  <si>
    <t>1/ Floor</t>
  </si>
  <si>
    <t>1/15</t>
  </si>
  <si>
    <t xml:space="preserve"> F WC per person: 1: 1-25, 2: 26-50, 3: 51-100, 4: 101-200, 6: 201-300, 8: 301-400, 1/125 for remainder over 400**</t>
  </si>
  <si>
    <t xml:space="preserve"> M Lav. per person: 1: 1-200, 2: 201-400, 3: 401-750, 1/250 for remainder over 750**</t>
  </si>
  <si>
    <t xml:space="preserve"> DrF per person: 1: 1-250, 2: 251-500, 3: 501-750, 1/500 for remainder over 750**</t>
  </si>
  <si>
    <t xml:space="preserve"> M WC per person: 1: 1-50, 2: 51-150, 3: 151-300, 4: 301-400, 1/250 for remainder over 400**</t>
  </si>
  <si>
    <t xml:space="preserve"> M Lav. per person: 1: 1-150, 2: 151-200, 3: 201-400, 1/250 for remainder over 400**</t>
  </si>
  <si>
    <t xml:space="preserve"> F Lav. per person: 1: 1-150, 2: 151-200, 3: 201-400, 1/200 for remainder over 400**</t>
  </si>
  <si>
    <t>A-2</t>
  </si>
  <si>
    <t>A-3</t>
  </si>
  <si>
    <t>A-1</t>
  </si>
  <si>
    <t xml:space="preserve"> M Ur per person: 1: 1-200, 2: 201-300, 3: 301-400, 4: 401-600, 1/300 for remainder over 600**</t>
  </si>
  <si>
    <t xml:space="preserve"> M Lav. per person: 1: 1-200, 2: 201-400, 3: 401-600, 4: 601-750, 1/250 for remainder over 750**</t>
  </si>
  <si>
    <t>A-4</t>
  </si>
  <si>
    <t xml:space="preserve"> M WC per person: 1: 1-50, 2: 51-100, 3: 101-200, 4: 201-400, 1/500 for remainder over 400**</t>
  </si>
  <si>
    <t xml:space="preserve"> F WC per person: 1: 1-15, 2: 16-30, 3: 31-50, 4: 51-100, 8: 101-200, 8: 201-400, 1/150for remainder over 400**</t>
  </si>
  <si>
    <t xml:space="preserve"> M Lav. per person: 1: 1-75, 2: 76-150, 3: 151-200, 4: 201-300, 5: 301-400, 1/250 for remainder over 400**</t>
  </si>
  <si>
    <t xml:space="preserve"> F Lav. per person: 1: 1-50, 2: 51-100, 3: 101-150, 4: 151-200,  5: 201-300, 6: 301-400, 1/200 for remainder over 400*</t>
  </si>
  <si>
    <t xml:space="preserve"> F Lav. per person: 1: 1-100, 2: 101-200, 4: 201-300,  5: 301-500, 6: 501-750, 1/200 for remainder over 750**</t>
  </si>
  <si>
    <t xml:space="preserve"> M/F WC per person: 1: 1-50, 2: 51-75, 3: 76-100, 1/40 for remainder over 100**</t>
  </si>
  <si>
    <t xml:space="preserve"> M/F Lav. per person: 1: 1-50, 2: 51-75, 3: 76-100, 1/40 for remainder over 100**</t>
  </si>
  <si>
    <t>I-empl</t>
  </si>
  <si>
    <t>I-3</t>
  </si>
  <si>
    <t xml:space="preserve"> M Ur per person: 1: 1-200, 2: 201-400, 1/500 for remainder over 400**</t>
  </si>
  <si>
    <t xml:space="preserve"> M Lav. per person: 1: 1-200, 2: 201-400, 1/500 for remainder over 400**</t>
  </si>
  <si>
    <t xml:space="preserve"> M Ur per person: 1: 1-25, 2: 26-50, 1/50 for remainder over 50**</t>
  </si>
  <si>
    <t>R-2</t>
  </si>
  <si>
    <t xml:space="preserve"> Add 1 Shower per 15 persons exposed to extensive heat or skin contamination with poisonous, infectious or irritating material**</t>
  </si>
  <si>
    <t xml:space="preserve"> DrF required 1 per cell block / floor- Assumed single floor**</t>
  </si>
  <si>
    <t>F WC per person: 1: 1-100, 2: 101-200, 3: 201-400, 1/150 for remainder over 400**</t>
  </si>
  <si>
    <t>Same as 99901</t>
  </si>
  <si>
    <t>S</t>
  </si>
  <si>
    <t xml:space="preserve"> DrF is not required for OL not more than 30 (CPC Sec. 415.2)**</t>
  </si>
  <si>
    <t>Assembly (theatre, auditorium) Employee use</t>
  </si>
  <si>
    <t>Assembly (theatre, auditorium) Public use</t>
  </si>
  <si>
    <t>Dormitory- School or labor</t>
  </si>
  <si>
    <t>Dormitory- for staff use</t>
  </si>
  <si>
    <t>Dwelling, Apartment house</t>
  </si>
  <si>
    <t>Hospital waiting rooms</t>
  </si>
  <si>
    <t>Hospital- for Employee use</t>
  </si>
  <si>
    <t>Hospital- Individual rooms</t>
  </si>
  <si>
    <t>Hospital- Ward rooms</t>
  </si>
  <si>
    <t>Industrial warehouse, workshop- Employee use</t>
  </si>
  <si>
    <t>Institutional (no hospital/penal)</t>
  </si>
  <si>
    <t>Institutional (no hospital/penal) Employee use</t>
  </si>
  <si>
    <t>Office or public building</t>
  </si>
  <si>
    <t>Office or public building. Employee use</t>
  </si>
  <si>
    <t>Penal inst. Employee use</t>
  </si>
  <si>
    <t>Penal inst. Cell</t>
  </si>
  <si>
    <t>Penal inst. Exercise rooms</t>
  </si>
  <si>
    <t>Penal inst. Exercise area</t>
  </si>
  <si>
    <t>Agricaltural Building</t>
  </si>
  <si>
    <t>CSA- Juvenile Hall</t>
  </si>
  <si>
    <t>CSA- Camp</t>
  </si>
  <si>
    <t>CSA- Local Detention Facility</t>
  </si>
  <si>
    <t>Public or professional office</t>
  </si>
  <si>
    <t>Restaurant, pub or lounge</t>
  </si>
  <si>
    <t>Retail or Wholesale Store</t>
  </si>
  <si>
    <t>School- for Staff use (all schools)</t>
  </si>
  <si>
    <t>School, Nursery- for Student use</t>
  </si>
  <si>
    <t>School, Elementary- for Student use</t>
  </si>
  <si>
    <t>School, Secondary- for Student use</t>
  </si>
  <si>
    <t>College, Adult Center- for Student use</t>
  </si>
  <si>
    <t>Worship place- Educational &amp; activities Unit</t>
  </si>
  <si>
    <t>Worship place- Principal assembly</t>
  </si>
  <si>
    <t>Old</t>
  </si>
  <si>
    <t xml:space="preserve"> Where food is consumed indoors, water stations may be substituted for DrF (Sec. 415.2)**</t>
  </si>
  <si>
    <t>I3 B/S</t>
  </si>
  <si>
    <t xml:space="preserve"> Bathtub/Shower calculated assumed 1 peson/cell** All cells assumed at 1 floor/ 1 block**</t>
  </si>
  <si>
    <t>A/E&lt;50</t>
  </si>
  <si>
    <t>Ftnt3</t>
  </si>
  <si>
    <t xml:space="preserve"> M Ur may be omittd (See Footnote 3a)**</t>
  </si>
  <si>
    <t xml:space="preserve"> Occupant load does not exceed 10- Unisex facilities OK per CPC Sec. 422.2, Ex.2**</t>
  </si>
  <si>
    <t xml:space="preserve"> M or B OL does not exceed 50 - Unisex facilities OK per CPC Sec. 422.2, Ex.3**</t>
  </si>
  <si>
    <t>B or M OL &lt;=50 (check fields)</t>
  </si>
  <si>
    <t>ExtraUrinal (not used in2 013)</t>
  </si>
  <si>
    <t>Not used</t>
  </si>
  <si>
    <t>Fixtures calculated assuming single occup. Toilet rm. provided for each sex (see ftn. 3b)**</t>
  </si>
  <si>
    <t>Number of F WC shall be not less than M WC + M Ur (see T 422.1 ftn. 3)**</t>
  </si>
  <si>
    <t xml:space="preserve"> 1 service sink or Laundry tray** For food prep. areas also check Health Codes**</t>
  </si>
  <si>
    <t xml:space="preserve"> 1 service sink or Laundry tray** Provide at least 1 WC, 1Lav. &amp; 1 Bathtub/shower per rm** For OSHPD 1, 2, 3, &amp; 4 refer to CPC Table 4-2**</t>
  </si>
  <si>
    <t>min</t>
  </si>
  <si>
    <t>A/E &lt;50</t>
  </si>
  <si>
    <t>From the most restrictive Occupancy</t>
  </si>
  <si>
    <t>most restrictive Occupancy</t>
  </si>
  <si>
    <t>Transfer</t>
  </si>
  <si>
    <t>Min</t>
  </si>
  <si>
    <t>422.2.1</t>
  </si>
  <si>
    <t xml:space="preserve"> 2 family or assisted-use toilets may be used instead of 1 M WC and 1 F WC (Sec. 422.2.1)**</t>
  </si>
  <si>
    <t xml:space="preserve">  of the required Male WC (67% max) may be replaced by the same number of urinal(s) Footnote 4 of Table 422.1**</t>
  </si>
  <si>
    <t>Please note: CPC Chapter 4, Table A Occupant Load Factors are used for this Calaculator.</t>
  </si>
  <si>
    <t>CA-19-01</t>
  </si>
  <si>
    <t>2019 CBC / CPC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</si>
</sst>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?/???"/>
  </numFmts>
  <fonts count="39" x14ac:knownFonts="1">
    <font>
      <sz val="10"/>
      <name val="Arial"/>
    </font>
    <font>
      <sz val="8"/>
      <color indexed="20"/>
      <name val="Times New Roman"/>
      <family val="1"/>
    </font>
    <font>
      <i/>
      <sz val="10"/>
      <name val="Times New Roman"/>
      <family val="1"/>
    </font>
    <font>
      <sz val="8"/>
      <name val="Arial"/>
    </font>
    <font>
      <sz val="10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sz val="8"/>
      <color indexed="10"/>
      <name val="Arial"/>
    </font>
    <font>
      <sz val="6"/>
      <name val="Arial"/>
    </font>
    <font>
      <sz val="7"/>
      <name val="Arial"/>
    </font>
    <font>
      <sz val="7"/>
      <color indexed="10"/>
      <name val="Arial"/>
      <family val="2"/>
    </font>
    <font>
      <sz val="7"/>
      <color indexed="10"/>
      <name val="Arial"/>
    </font>
    <font>
      <sz val="7"/>
      <color indexed="12"/>
      <name val="Arial"/>
    </font>
    <font>
      <sz val="7"/>
      <color indexed="20"/>
      <name val="Arial"/>
    </font>
    <font>
      <b/>
      <sz val="8"/>
      <color indexed="20"/>
      <name val="Arial"/>
      <family val="2"/>
    </font>
    <font>
      <sz val="6"/>
      <color indexed="12"/>
      <name val="Arial"/>
    </font>
    <font>
      <b/>
      <sz val="10"/>
      <name val="Arial"/>
      <family val="2"/>
    </font>
    <font>
      <sz val="8"/>
      <color indexed="20"/>
      <name val="Arial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u/>
      <sz val="12"/>
      <color indexed="12"/>
      <name val="Arial"/>
    </font>
    <font>
      <sz val="12"/>
      <name val="Arial"/>
      <family val="2"/>
    </font>
    <font>
      <i/>
      <sz val="8"/>
      <color indexed="2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8"/>
      <color indexed="53"/>
      <name val="Arial"/>
    </font>
    <font>
      <sz val="10"/>
      <color indexed="10"/>
      <name val="Arial"/>
      <family val="2"/>
    </font>
    <font>
      <b/>
      <sz val="8"/>
      <name val="Arial"/>
    </font>
    <font>
      <sz val="10"/>
      <color indexed="10"/>
      <name val="Arial"/>
    </font>
    <font>
      <b/>
      <sz val="10"/>
      <color indexed="12"/>
      <name val="Arial"/>
      <family val="2"/>
    </font>
    <font>
      <sz val="10"/>
      <color indexed="8"/>
      <name val="Arial"/>
    </font>
    <font>
      <sz val="8"/>
      <color indexed="9"/>
      <name val="Arial"/>
    </font>
    <font>
      <sz val="8"/>
      <color indexed="10"/>
      <name val="Arial"/>
      <family val="2"/>
    </font>
    <font>
      <i/>
      <sz val="8"/>
      <name val="Arial"/>
      <family val="2"/>
    </font>
    <font>
      <sz val="6"/>
      <name val="Arial Narrow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25">
    <xf numFmtId="0" fontId="0" fillId="0" borderId="0" xfId="0"/>
    <xf numFmtId="0" fontId="0" fillId="0" borderId="0" xfId="0" applyFill="1" applyBorder="1"/>
    <xf numFmtId="3" fontId="2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3" xfId="0" applyFont="1" applyBorder="1" applyAlignment="1">
      <alignment horizontal="left" wrapText="1"/>
    </xf>
    <xf numFmtId="0" fontId="0" fillId="0" borderId="5" xfId="0" applyFill="1" applyBorder="1"/>
    <xf numFmtId="0" fontId="0" fillId="2" borderId="0" xfId="0" applyFill="1"/>
    <xf numFmtId="0" fontId="3" fillId="0" borderId="0" xfId="0" applyFont="1"/>
    <xf numFmtId="0" fontId="0" fillId="0" borderId="0" xfId="0" applyFill="1"/>
    <xf numFmtId="3" fontId="2" fillId="0" borderId="0" xfId="0" applyNumberFormat="1" applyFont="1" applyFill="1"/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2" xfId="0" applyFont="1" applyFill="1" applyBorder="1"/>
    <xf numFmtId="0" fontId="3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3" fillId="3" borderId="2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3" fillId="2" borderId="2" xfId="0" applyFont="1" applyFill="1" applyBorder="1"/>
    <xf numFmtId="0" fontId="3" fillId="4" borderId="0" xfId="0" applyFont="1" applyFill="1"/>
    <xf numFmtId="0" fontId="6" fillId="0" borderId="0" xfId="0" applyFont="1" applyFill="1" applyAlignment="1">
      <alignment horizontal="left"/>
    </xf>
    <xf numFmtId="0" fontId="3" fillId="3" borderId="0" xfId="0" applyFont="1" applyFill="1"/>
    <xf numFmtId="0" fontId="3" fillId="4" borderId="2" xfId="0" applyFont="1" applyFill="1" applyBorder="1"/>
    <xf numFmtId="0" fontId="3" fillId="5" borderId="2" xfId="0" applyFont="1" applyFill="1" applyBorder="1"/>
    <xf numFmtId="0" fontId="8" fillId="6" borderId="0" xfId="0" applyFont="1" applyFill="1"/>
    <xf numFmtId="0" fontId="3" fillId="7" borderId="2" xfId="0" applyFont="1" applyFill="1" applyBorder="1"/>
    <xf numFmtId="0" fontId="3" fillId="7" borderId="0" xfId="0" applyFont="1" applyFill="1"/>
    <xf numFmtId="0" fontId="3" fillId="5" borderId="0" xfId="0" applyFont="1" applyFill="1"/>
    <xf numFmtId="0" fontId="3" fillId="3" borderId="8" xfId="0" applyFont="1" applyFill="1" applyBorder="1"/>
    <xf numFmtId="0" fontId="6" fillId="0" borderId="0" xfId="0" applyFont="1" applyFill="1" applyAlignment="1">
      <alignment horizontal="right"/>
    </xf>
    <xf numFmtId="0" fontId="3" fillId="0" borderId="0" xfId="0" applyFont="1" applyFill="1" applyBorder="1"/>
    <xf numFmtId="0" fontId="7" fillId="0" borderId="0" xfId="0" applyFont="1" applyAlignment="1">
      <alignment horizontal="right"/>
    </xf>
    <xf numFmtId="0" fontId="3" fillId="0" borderId="0" xfId="0" applyFont="1" applyBorder="1"/>
    <xf numFmtId="0" fontId="7" fillId="0" borderId="0" xfId="0" applyFont="1"/>
    <xf numFmtId="0" fontId="3" fillId="8" borderId="0" xfId="0" applyFont="1" applyFill="1"/>
    <xf numFmtId="0" fontId="3" fillId="4" borderId="2" xfId="0" applyFont="1" applyFill="1" applyBorder="1" applyAlignment="1"/>
    <xf numFmtId="9" fontId="3" fillId="4" borderId="2" xfId="0" applyNumberFormat="1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3" fillId="2" borderId="0" xfId="0" applyFont="1" applyFill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 applyBorder="1"/>
    <xf numFmtId="0" fontId="3" fillId="9" borderId="8" xfId="0" applyFont="1" applyFill="1" applyBorder="1"/>
    <xf numFmtId="9" fontId="4" fillId="2" borderId="0" xfId="0" applyNumberFormat="1" applyFont="1" applyFill="1" applyBorder="1"/>
    <xf numFmtId="0" fontId="1" fillId="7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18" fillId="0" borderId="0" xfId="0" applyFont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0" fontId="3" fillId="0" borderId="2" xfId="0" applyFont="1" applyBorder="1" applyProtection="1">
      <protection locked="0" hidden="1"/>
    </xf>
    <xf numFmtId="0" fontId="14" fillId="10" borderId="12" xfId="0" applyFont="1" applyFill="1" applyBorder="1" applyProtection="1">
      <protection hidden="1"/>
    </xf>
    <xf numFmtId="0" fontId="14" fillId="10" borderId="13" xfId="0" applyFont="1" applyFill="1" applyBorder="1" applyProtection="1">
      <protection hidden="1"/>
    </xf>
    <xf numFmtId="0" fontId="17" fillId="10" borderId="13" xfId="0" applyFont="1" applyFill="1" applyBorder="1" applyProtection="1">
      <protection hidden="1"/>
    </xf>
    <xf numFmtId="0" fontId="19" fillId="10" borderId="14" xfId="0" applyFont="1" applyFill="1" applyBorder="1" applyAlignment="1" applyProtection="1">
      <alignment horizontal="left"/>
      <protection hidden="1"/>
    </xf>
    <xf numFmtId="0" fontId="3" fillId="10" borderId="0" xfId="0" applyFont="1" applyFill="1" applyBorder="1" applyProtection="1">
      <protection hidden="1"/>
    </xf>
    <xf numFmtId="0" fontId="19" fillId="10" borderId="0" xfId="0" applyFont="1" applyFill="1" applyBorder="1" applyProtection="1">
      <protection hidden="1"/>
    </xf>
    <xf numFmtId="0" fontId="21" fillId="10" borderId="0" xfId="0" applyFont="1" applyFill="1" applyBorder="1" applyProtection="1">
      <protection hidden="1"/>
    </xf>
    <xf numFmtId="0" fontId="3" fillId="10" borderId="15" xfId="0" applyFont="1" applyFill="1" applyBorder="1" applyProtection="1">
      <protection hidden="1"/>
    </xf>
    <xf numFmtId="0" fontId="3" fillId="10" borderId="16" xfId="0" applyFont="1" applyFill="1" applyBorder="1" applyProtection="1">
      <protection hidden="1"/>
    </xf>
    <xf numFmtId="0" fontId="4" fillId="0" borderId="17" xfId="0" applyFont="1" applyBorder="1" applyAlignment="1" applyProtection="1">
      <alignment horizontal="right"/>
      <protection hidden="1"/>
    </xf>
    <xf numFmtId="0" fontId="4" fillId="0" borderId="17" xfId="0" applyFont="1" applyFill="1" applyBorder="1" applyAlignment="1" applyProtection="1">
      <alignment horizontal="right" wrapText="1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2" xfId="0" applyFont="1" applyBorder="1" applyProtection="1">
      <protection hidden="1"/>
    </xf>
    <xf numFmtId="9" fontId="3" fillId="0" borderId="2" xfId="0" applyNumberFormat="1" applyFont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7" fillId="9" borderId="10" xfId="0" applyFont="1" applyFill="1" applyBorder="1" applyProtection="1">
      <protection hidden="1"/>
    </xf>
    <xf numFmtId="0" fontId="3" fillId="9" borderId="10" xfId="0" applyFont="1" applyFill="1" applyBorder="1" applyProtection="1">
      <protection hidden="1"/>
    </xf>
    <xf numFmtId="0" fontId="3" fillId="10" borderId="12" xfId="0" applyFont="1" applyFill="1" applyBorder="1" applyProtection="1">
      <protection hidden="1"/>
    </xf>
    <xf numFmtId="0" fontId="3" fillId="10" borderId="13" xfId="0" applyFont="1" applyFill="1" applyBorder="1" applyProtection="1">
      <protection hidden="1"/>
    </xf>
    <xf numFmtId="0" fontId="3" fillId="10" borderId="18" xfId="0" applyFont="1" applyFill="1" applyBorder="1" applyProtection="1">
      <protection hidden="1"/>
    </xf>
    <xf numFmtId="0" fontId="14" fillId="10" borderId="14" xfId="0" applyFont="1" applyFill="1" applyBorder="1" applyAlignment="1" applyProtection="1">
      <alignment horizontal="left"/>
      <protection hidden="1"/>
    </xf>
    <xf numFmtId="0" fontId="13" fillId="10" borderId="10" xfId="0" applyFont="1" applyFill="1" applyBorder="1" applyAlignment="1" applyProtection="1">
      <alignment horizontal="center"/>
      <protection hidden="1"/>
    </xf>
    <xf numFmtId="0" fontId="14" fillId="10" borderId="2" xfId="0" applyFont="1" applyFill="1" applyBorder="1" applyAlignment="1" applyProtection="1">
      <alignment horizontal="center" vertical="center"/>
      <protection hidden="1"/>
    </xf>
    <xf numFmtId="0" fontId="14" fillId="10" borderId="14" xfId="0" applyFont="1" applyFill="1" applyBorder="1" applyAlignment="1" applyProtection="1">
      <alignment horizontal="center"/>
      <protection hidden="1"/>
    </xf>
    <xf numFmtId="0" fontId="13" fillId="10" borderId="5" xfId="0" applyFont="1" applyFill="1" applyBorder="1" applyAlignment="1" applyProtection="1">
      <alignment horizontal="center"/>
      <protection hidden="1"/>
    </xf>
    <xf numFmtId="0" fontId="14" fillId="10" borderId="19" xfId="0" applyFont="1" applyFill="1" applyBorder="1" applyAlignment="1" applyProtection="1">
      <alignment horizontal="center" vertical="center"/>
      <protection hidden="1"/>
    </xf>
    <xf numFmtId="9" fontId="14" fillId="10" borderId="20" xfId="0" applyNumberFormat="1" applyFont="1" applyFill="1" applyBorder="1" applyAlignment="1" applyProtection="1">
      <alignment horizontal="center" vertical="center"/>
      <protection hidden="1"/>
    </xf>
    <xf numFmtId="0" fontId="14" fillId="10" borderId="21" xfId="0" applyFont="1" applyFill="1" applyBorder="1" applyAlignment="1" applyProtection="1">
      <alignment horizontal="center" vertical="center"/>
      <protection hidden="1"/>
    </xf>
    <xf numFmtId="0" fontId="15" fillId="10" borderId="14" xfId="0" applyFont="1" applyFill="1" applyBorder="1" applyProtection="1">
      <protection hidden="1"/>
    </xf>
    <xf numFmtId="0" fontId="3" fillId="11" borderId="17" xfId="0" applyFont="1" applyFill="1" applyBorder="1" applyAlignment="1" applyProtection="1">
      <alignment horizontal="center" shrinkToFit="1"/>
      <protection hidden="1"/>
    </xf>
    <xf numFmtId="0" fontId="3" fillId="11" borderId="22" xfId="0" applyFont="1" applyFill="1" applyBorder="1" applyAlignment="1" applyProtection="1">
      <alignment horizontal="center" vertical="center" shrinkToFit="1"/>
      <protection hidden="1"/>
    </xf>
    <xf numFmtId="0" fontId="3" fillId="11" borderId="23" xfId="0" applyFont="1" applyFill="1" applyBorder="1" applyAlignment="1" applyProtection="1">
      <alignment horizontal="center" vertical="center" shrinkToFit="1"/>
      <protection hidden="1"/>
    </xf>
    <xf numFmtId="0" fontId="3" fillId="11" borderId="24" xfId="0" applyFont="1" applyFill="1" applyBorder="1" applyAlignment="1" applyProtection="1">
      <alignment horizontal="center" vertical="center" shrinkToFit="1"/>
      <protection hidden="1"/>
    </xf>
    <xf numFmtId="0" fontId="3" fillId="11" borderId="25" xfId="0" applyFont="1" applyFill="1" applyBorder="1" applyAlignment="1" applyProtection="1">
      <alignment horizontal="center" vertical="center" shrinkToFit="1"/>
      <protection hidden="1"/>
    </xf>
    <xf numFmtId="0" fontId="3" fillId="11" borderId="26" xfId="0" applyFont="1" applyFill="1" applyBorder="1" applyAlignment="1" applyProtection="1">
      <alignment horizontal="center" vertical="center" shrinkToFit="1"/>
      <protection hidden="1"/>
    </xf>
    <xf numFmtId="0" fontId="12" fillId="10" borderId="14" xfId="0" applyFont="1" applyFill="1" applyBorder="1" applyProtection="1">
      <protection hidden="1"/>
    </xf>
    <xf numFmtId="0" fontId="3" fillId="11" borderId="27" xfId="0" applyFont="1" applyFill="1" applyBorder="1" applyAlignment="1" applyProtection="1">
      <alignment horizontal="center" vertical="center" shrinkToFit="1"/>
      <protection hidden="1"/>
    </xf>
    <xf numFmtId="0" fontId="3" fillId="11" borderId="28" xfId="0" applyFont="1" applyFill="1" applyBorder="1" applyAlignment="1" applyProtection="1">
      <alignment horizontal="center" vertical="center" shrinkToFit="1"/>
      <protection hidden="1"/>
    </xf>
    <xf numFmtId="0" fontId="3" fillId="11" borderId="29" xfId="0" applyFont="1" applyFill="1" applyBorder="1" applyAlignment="1" applyProtection="1">
      <alignment horizontal="center" vertical="center" shrinkToFit="1"/>
      <protection hidden="1"/>
    </xf>
    <xf numFmtId="0" fontId="3" fillId="11" borderId="30" xfId="0" applyFont="1" applyFill="1" applyBorder="1" applyAlignment="1" applyProtection="1">
      <alignment horizontal="center" vertical="center" shrinkToFit="1"/>
      <protection hidden="1"/>
    </xf>
    <xf numFmtId="0" fontId="3" fillId="11" borderId="31" xfId="0" applyFont="1" applyFill="1" applyBorder="1" applyAlignment="1" applyProtection="1">
      <alignment horizontal="center" vertical="center" shrinkToFit="1"/>
      <protection hidden="1"/>
    </xf>
    <xf numFmtId="0" fontId="7" fillId="10" borderId="14" xfId="0" applyFont="1" applyFill="1" applyBorder="1" applyProtection="1">
      <protection hidden="1"/>
    </xf>
    <xf numFmtId="0" fontId="3" fillId="10" borderId="0" xfId="0" applyFont="1" applyFill="1" applyBorder="1" applyAlignment="1" applyProtection="1">
      <alignment horizontal="right"/>
      <protection hidden="1"/>
    </xf>
    <xf numFmtId="0" fontId="3" fillId="12" borderId="2" xfId="0" applyFont="1" applyFill="1" applyBorder="1" applyAlignment="1" applyProtection="1">
      <alignment shrinkToFit="1"/>
      <protection locked="0" hidden="1"/>
    </xf>
    <xf numFmtId="0" fontId="3" fillId="11" borderId="32" xfId="0" applyFont="1" applyFill="1" applyBorder="1" applyAlignment="1" applyProtection="1">
      <alignment horizontal="center" shrinkToFit="1"/>
      <protection hidden="1"/>
    </xf>
    <xf numFmtId="0" fontId="3" fillId="10" borderId="14" xfId="0" applyFont="1" applyFill="1" applyBorder="1" applyProtection="1">
      <protection hidden="1"/>
    </xf>
    <xf numFmtId="49" fontId="3" fillId="10" borderId="0" xfId="0" applyNumberFormat="1" applyFont="1" applyFill="1" applyBorder="1" applyAlignment="1" applyProtection="1">
      <alignment horizontal="right"/>
      <protection hidden="1"/>
    </xf>
    <xf numFmtId="0" fontId="11" fillId="10" borderId="0" xfId="0" applyFont="1" applyFill="1" applyBorder="1" applyAlignment="1" applyProtection="1">
      <alignment horizontal="center"/>
      <protection hidden="1"/>
    </xf>
    <xf numFmtId="0" fontId="10" fillId="10" borderId="14" xfId="0" applyFont="1" applyFill="1" applyBorder="1" applyProtection="1">
      <protection hidden="1"/>
    </xf>
    <xf numFmtId="0" fontId="11" fillId="10" borderId="0" xfId="0" applyFont="1" applyFill="1" applyBorder="1" applyAlignment="1" applyProtection="1">
      <alignment horizontal="right"/>
      <protection hidden="1"/>
    </xf>
    <xf numFmtId="9" fontId="3" fillId="10" borderId="0" xfId="0" applyNumberFormat="1" applyFont="1" applyFill="1" applyBorder="1" applyAlignment="1" applyProtection="1">
      <alignment horizontal="right"/>
      <protection hidden="1"/>
    </xf>
    <xf numFmtId="9" fontId="3" fillId="12" borderId="2" xfId="0" applyNumberFormat="1" applyFont="1" applyFill="1" applyBorder="1" applyAlignment="1" applyProtection="1">
      <alignment shrinkToFit="1"/>
      <protection locked="0" hidden="1"/>
    </xf>
    <xf numFmtId="0" fontId="3" fillId="11" borderId="7" xfId="0" applyFont="1" applyFill="1" applyBorder="1" applyAlignment="1" applyProtection="1">
      <alignment horizontal="center" shrinkToFit="1"/>
      <protection hidden="1"/>
    </xf>
    <xf numFmtId="0" fontId="7" fillId="10" borderId="0" xfId="0" applyFont="1" applyFill="1" applyBorder="1" applyProtection="1">
      <protection hidden="1"/>
    </xf>
    <xf numFmtId="0" fontId="3" fillId="10" borderId="0" xfId="0" applyFont="1" applyFill="1" applyBorder="1" applyAlignment="1" applyProtection="1">
      <alignment horizontal="center"/>
      <protection hidden="1"/>
    </xf>
    <xf numFmtId="9" fontId="3" fillId="11" borderId="2" xfId="0" applyNumberFormat="1" applyFont="1" applyFill="1" applyBorder="1" applyAlignment="1" applyProtection="1">
      <alignment shrinkToFit="1"/>
      <protection hidden="1"/>
    </xf>
    <xf numFmtId="0" fontId="10" fillId="10" borderId="33" xfId="0" applyFont="1" applyFill="1" applyBorder="1" applyProtection="1">
      <protection hidden="1"/>
    </xf>
    <xf numFmtId="0" fontId="7" fillId="10" borderId="15" xfId="0" applyFont="1" applyFill="1" applyBorder="1" applyProtection="1"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 wrapText="1"/>
      <protection hidden="1"/>
    </xf>
    <xf numFmtId="0" fontId="3" fillId="0" borderId="2" xfId="0" applyFont="1" applyBorder="1" applyAlignment="1" applyProtection="1">
      <alignment horizontal="right"/>
      <protection hidden="1"/>
    </xf>
    <xf numFmtId="0" fontId="13" fillId="10" borderId="34" xfId="0" applyFont="1" applyFill="1" applyBorder="1" applyAlignment="1" applyProtection="1">
      <alignment horizontal="center"/>
      <protection hidden="1"/>
    </xf>
    <xf numFmtId="0" fontId="3" fillId="10" borderId="34" xfId="0" applyFont="1" applyFill="1" applyBorder="1" applyAlignment="1" applyProtection="1">
      <alignment horizontal="center"/>
      <protection hidden="1"/>
    </xf>
    <xf numFmtId="0" fontId="6" fillId="10" borderId="34" xfId="0" applyFont="1" applyFill="1" applyBorder="1" applyAlignment="1" applyProtection="1">
      <alignment horizontal="right"/>
      <protection hidden="1"/>
    </xf>
    <xf numFmtId="0" fontId="6" fillId="11" borderId="2" xfId="0" applyFont="1" applyFill="1" applyBorder="1" applyAlignment="1" applyProtection="1">
      <alignment horizontal="center" shrinkToFit="1"/>
      <protection hidden="1"/>
    </xf>
    <xf numFmtId="0" fontId="6" fillId="11" borderId="0" xfId="0" applyFont="1" applyFill="1" applyBorder="1" applyAlignment="1" applyProtection="1">
      <alignment horizontal="center" shrinkToFit="1"/>
      <protection hidden="1"/>
    </xf>
    <xf numFmtId="0" fontId="6" fillId="11" borderId="7" xfId="0" applyFont="1" applyFill="1" applyBorder="1" applyAlignment="1" applyProtection="1">
      <alignment horizontal="center" shrinkToFit="1"/>
      <protection hidden="1"/>
    </xf>
    <xf numFmtId="0" fontId="3" fillId="13" borderId="0" xfId="0" applyFont="1" applyFill="1"/>
    <xf numFmtId="0" fontId="22" fillId="10" borderId="15" xfId="0" applyFont="1" applyFill="1" applyBorder="1" applyProtection="1">
      <protection hidden="1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3" borderId="0" xfId="0" applyFill="1"/>
    <xf numFmtId="0" fontId="3" fillId="14" borderId="2" xfId="0" applyFont="1" applyFill="1" applyBorder="1"/>
    <xf numFmtId="0" fontId="3" fillId="9" borderId="2" xfId="0" applyFont="1" applyFill="1" applyBorder="1"/>
    <xf numFmtId="49" fontId="9" fillId="7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9" borderId="0" xfId="0" applyFont="1" applyFill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3" fillId="0" borderId="18" xfId="0" applyFont="1" applyBorder="1"/>
    <xf numFmtId="0" fontId="3" fillId="0" borderId="14" xfId="0" applyFont="1" applyBorder="1"/>
    <xf numFmtId="0" fontId="3" fillId="0" borderId="35" xfId="0" applyFont="1" applyBorder="1"/>
    <xf numFmtId="0" fontId="6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3" fillId="0" borderId="33" xfId="0" applyFont="1" applyBorder="1"/>
    <xf numFmtId="0" fontId="3" fillId="0" borderId="15" xfId="0" applyFont="1" applyBorder="1"/>
    <xf numFmtId="0" fontId="3" fillId="0" borderId="16" xfId="0" applyFont="1" applyBorder="1"/>
    <xf numFmtId="0" fontId="6" fillId="2" borderId="0" xfId="0" applyFont="1" applyFill="1" applyAlignment="1">
      <alignment horizontal="left" shrinkToFit="1"/>
    </xf>
    <xf numFmtId="0" fontId="1" fillId="2" borderId="36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37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shrinkToFit="1"/>
    </xf>
    <xf numFmtId="0" fontId="4" fillId="0" borderId="38" xfId="0" applyFont="1" applyBorder="1" applyAlignment="1">
      <alignment shrinkToFit="1"/>
    </xf>
    <xf numFmtId="0" fontId="4" fillId="0" borderId="39" xfId="0" applyFont="1" applyFill="1" applyBorder="1" applyAlignment="1">
      <alignment horizontal="right" shrinkToFit="1"/>
    </xf>
    <xf numFmtId="0" fontId="4" fillId="0" borderId="0" xfId="0" applyFont="1" applyBorder="1" applyAlignment="1">
      <alignment horizontal="right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23" fillId="0" borderId="2" xfId="0" applyFont="1" applyBorder="1" applyAlignment="1">
      <alignment shrinkToFit="1"/>
    </xf>
    <xf numFmtId="0" fontId="26" fillId="0" borderId="0" xfId="0" applyFont="1" applyBorder="1"/>
    <xf numFmtId="0" fontId="14" fillId="10" borderId="0" xfId="0" applyFont="1" applyFill="1" applyBorder="1" applyProtection="1">
      <protection hidden="1"/>
    </xf>
    <xf numFmtId="0" fontId="3" fillId="0" borderId="8" xfId="0" applyFont="1" applyFill="1" applyBorder="1"/>
    <xf numFmtId="0" fontId="27" fillId="0" borderId="2" xfId="0" applyFont="1" applyBorder="1" applyAlignment="1">
      <alignment shrinkToFit="1"/>
    </xf>
    <xf numFmtId="0" fontId="6" fillId="11" borderId="0" xfId="0" applyFont="1" applyFill="1" applyAlignment="1">
      <alignment horizontal="left"/>
    </xf>
    <xf numFmtId="0" fontId="1" fillId="11" borderId="1" xfId="0" applyFont="1" applyFill="1" applyBorder="1" applyAlignment="1">
      <alignment horizontal="left" vertical="center" wrapText="1"/>
    </xf>
    <xf numFmtId="0" fontId="6" fillId="15" borderId="0" xfId="0" applyFont="1" applyFill="1" applyAlignment="1">
      <alignment horizontal="left"/>
    </xf>
    <xf numFmtId="0" fontId="1" fillId="15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9" fontId="3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right"/>
    </xf>
    <xf numFmtId="0" fontId="3" fillId="15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6" fillId="13" borderId="0" xfId="0" applyFont="1" applyFill="1" applyAlignment="1">
      <alignment horizontal="left"/>
    </xf>
    <xf numFmtId="0" fontId="1" fillId="13" borderId="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right"/>
    </xf>
    <xf numFmtId="0" fontId="3" fillId="3" borderId="0" xfId="0" applyFont="1" applyFill="1" applyBorder="1"/>
    <xf numFmtId="0" fontId="17" fillId="0" borderId="0" xfId="0" applyFont="1" applyFill="1" applyBorder="1"/>
    <xf numFmtId="0" fontId="3" fillId="16" borderId="0" xfId="0" applyFont="1" applyFill="1" applyBorder="1" applyAlignment="1">
      <alignment horizontal="center"/>
    </xf>
    <xf numFmtId="0" fontId="3" fillId="3" borderId="40" xfId="0" applyFont="1" applyFill="1" applyBorder="1"/>
    <xf numFmtId="0" fontId="3" fillId="13" borderId="0" xfId="0" applyFont="1" applyFill="1" applyBorder="1"/>
    <xf numFmtId="0" fontId="3" fillId="3" borderId="7" xfId="0" applyFont="1" applyFill="1" applyBorder="1"/>
    <xf numFmtId="0" fontId="3" fillId="3" borderId="38" xfId="0" applyFont="1" applyFill="1" applyBorder="1"/>
    <xf numFmtId="0" fontId="3" fillId="3" borderId="41" xfId="0" applyFont="1" applyFill="1" applyBorder="1"/>
    <xf numFmtId="0" fontId="3" fillId="8" borderId="0" xfId="0" applyFont="1" applyFill="1" applyBorder="1" applyAlignment="1">
      <alignment horizontal="center"/>
    </xf>
    <xf numFmtId="0" fontId="3" fillId="14" borderId="0" xfId="0" applyFont="1" applyFill="1" applyBorder="1" applyAlignment="1"/>
    <xf numFmtId="0" fontId="3" fillId="2" borderId="0" xfId="0" applyFont="1" applyFill="1" applyBorder="1"/>
    <xf numFmtId="0" fontId="3" fillId="7" borderId="0" xfId="0" applyFont="1" applyFill="1" applyBorder="1" applyAlignment="1"/>
    <xf numFmtId="0" fontId="3" fillId="7" borderId="0" xfId="0" applyFont="1" applyFill="1" applyBorder="1"/>
    <xf numFmtId="0" fontId="4" fillId="2" borderId="0" xfId="0" applyFont="1" applyFill="1"/>
    <xf numFmtId="0" fontId="3" fillId="13" borderId="0" xfId="0" applyFont="1" applyFill="1" applyBorder="1" applyAlignment="1"/>
    <xf numFmtId="2" fontId="29" fillId="17" borderId="0" xfId="0" applyNumberFormat="1" applyFont="1" applyFill="1" applyAlignment="1">
      <alignment horizontal="center" wrapText="1"/>
    </xf>
    <xf numFmtId="14" fontId="29" fillId="17" borderId="0" xfId="0" applyNumberFormat="1" applyFont="1" applyFill="1" applyAlignment="1">
      <alignment horizontal="center" wrapText="1"/>
    </xf>
    <xf numFmtId="0" fontId="8" fillId="10" borderId="15" xfId="0" applyFont="1" applyFill="1" applyBorder="1" applyAlignment="1" applyProtection="1">
      <alignment horizontal="right" shrinkToFit="1"/>
      <protection hidden="1"/>
    </xf>
    <xf numFmtId="0" fontId="14" fillId="10" borderId="0" xfId="0" applyFont="1" applyFill="1" applyBorder="1" applyAlignment="1" applyProtection="1">
      <alignment horizontal="right"/>
      <protection hidden="1"/>
    </xf>
    <xf numFmtId="14" fontId="8" fillId="10" borderId="15" xfId="0" applyNumberFormat="1" applyFont="1" applyFill="1" applyBorder="1" applyAlignment="1" applyProtection="1">
      <alignment horizontal="left" shrinkToFit="1"/>
      <protection hidden="1"/>
    </xf>
    <xf numFmtId="0" fontId="3" fillId="0" borderId="0" xfId="0" applyFont="1" applyFill="1" applyAlignment="1">
      <alignment horizontal="left"/>
    </xf>
    <xf numFmtId="0" fontId="3" fillId="18" borderId="0" xfId="0" applyFont="1" applyFill="1"/>
    <xf numFmtId="0" fontId="31" fillId="0" borderId="0" xfId="0" applyFont="1" applyFill="1"/>
    <xf numFmtId="49" fontId="13" fillId="9" borderId="0" xfId="0" applyNumberFormat="1" applyFont="1" applyFill="1" applyAlignment="1">
      <alignment horizontal="center"/>
    </xf>
    <xf numFmtId="0" fontId="29" fillId="0" borderId="0" xfId="0" applyFont="1" applyFill="1"/>
    <xf numFmtId="0" fontId="17" fillId="9" borderId="0" xfId="0" applyFont="1" applyFill="1"/>
    <xf numFmtId="0" fontId="32" fillId="19" borderId="0" xfId="0" applyFont="1" applyFill="1" applyAlignment="1">
      <alignment horizontal="center"/>
    </xf>
    <xf numFmtId="49" fontId="9" fillId="9" borderId="0" xfId="0" applyNumberFormat="1" applyFont="1" applyFill="1" applyAlignment="1">
      <alignment horizontal="center"/>
    </xf>
    <xf numFmtId="0" fontId="3" fillId="20" borderId="0" xfId="0" applyFont="1" applyFill="1"/>
    <xf numFmtId="0" fontId="7" fillId="2" borderId="2" xfId="0" applyFont="1" applyFill="1" applyBorder="1"/>
    <xf numFmtId="0" fontId="7" fillId="9" borderId="2" xfId="0" applyFont="1" applyFill="1" applyBorder="1"/>
    <xf numFmtId="164" fontId="7" fillId="9" borderId="2" xfId="0" applyNumberFormat="1" applyFont="1" applyFill="1" applyBorder="1"/>
    <xf numFmtId="164" fontId="11" fillId="9" borderId="2" xfId="0" applyNumberFormat="1" applyFont="1" applyFill="1" applyBorder="1"/>
    <xf numFmtId="0" fontId="33" fillId="0" borderId="0" xfId="0" applyFont="1"/>
    <xf numFmtId="0" fontId="7" fillId="3" borderId="2" xfId="0" applyFont="1" applyFill="1" applyBorder="1"/>
    <xf numFmtId="0" fontId="17" fillId="21" borderId="0" xfId="0" applyFont="1" applyFill="1"/>
    <xf numFmtId="0" fontId="1" fillId="0" borderId="0" xfId="0" applyFont="1" applyFill="1" applyBorder="1" applyAlignment="1">
      <alignment horizontal="left" vertical="center" wrapText="1"/>
    </xf>
    <xf numFmtId="0" fontId="3" fillId="6" borderId="2" xfId="0" applyFont="1" applyFill="1" applyBorder="1"/>
    <xf numFmtId="0" fontId="7" fillId="6" borderId="2" xfId="0" applyFont="1" applyFill="1" applyBorder="1"/>
    <xf numFmtId="0" fontId="3" fillId="9" borderId="0" xfId="0" applyFont="1" applyFill="1"/>
    <xf numFmtId="164" fontId="3" fillId="6" borderId="2" xfId="0" applyNumberFormat="1" applyFont="1" applyFill="1" applyBorder="1"/>
    <xf numFmtId="164" fontId="3" fillId="6" borderId="2" xfId="0" applyNumberFormat="1" applyFont="1" applyFill="1" applyBorder="1" applyAlignment="1"/>
    <xf numFmtId="0" fontId="17" fillId="6" borderId="0" xfId="0" applyFont="1" applyFill="1"/>
    <xf numFmtId="0" fontId="3" fillId="6" borderId="0" xfId="0" applyFont="1" applyFill="1"/>
    <xf numFmtId="0" fontId="34" fillId="13" borderId="42" xfId="0" applyFont="1" applyFill="1" applyBorder="1" applyAlignment="1">
      <alignment horizontal="center"/>
    </xf>
    <xf numFmtId="0" fontId="3" fillId="3" borderId="43" xfId="0" applyFont="1" applyFill="1" applyBorder="1"/>
    <xf numFmtId="0" fontId="3" fillId="4" borderId="10" xfId="0" applyFont="1" applyFill="1" applyBorder="1" applyAlignment="1"/>
    <xf numFmtId="0" fontId="3" fillId="14" borderId="42" xfId="0" applyFont="1" applyFill="1" applyBorder="1" applyAlignment="1"/>
    <xf numFmtId="0" fontId="3" fillId="4" borderId="7" xfId="0" applyFont="1" applyFill="1" applyBorder="1"/>
    <xf numFmtId="0" fontId="3" fillId="0" borderId="38" xfId="0" applyFont="1" applyFill="1" applyBorder="1"/>
    <xf numFmtId="0" fontId="3" fillId="0" borderId="44" xfId="0" applyFont="1" applyBorder="1"/>
    <xf numFmtId="0" fontId="3" fillId="21" borderId="42" xfId="0" applyFont="1" applyFill="1" applyBorder="1"/>
    <xf numFmtId="0" fontId="17" fillId="6" borderId="2" xfId="0" applyFont="1" applyFill="1" applyBorder="1"/>
    <xf numFmtId="0" fontId="34" fillId="6" borderId="45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/>
    </xf>
    <xf numFmtId="9" fontId="3" fillId="4" borderId="10" xfId="0" applyNumberFormat="1" applyFont="1" applyFill="1" applyBorder="1" applyAlignment="1"/>
    <xf numFmtId="0" fontId="3" fillId="6" borderId="46" xfId="0" applyFont="1" applyFill="1" applyBorder="1" applyAlignment="1"/>
    <xf numFmtId="0" fontId="3" fillId="7" borderId="47" xfId="0" applyFont="1" applyFill="1" applyBorder="1" applyAlignment="1"/>
    <xf numFmtId="0" fontId="3" fillId="6" borderId="42" xfId="0" applyFont="1" applyFill="1" applyBorder="1" applyAlignment="1"/>
    <xf numFmtId="0" fontId="3" fillId="2" borderId="48" xfId="0" quotePrefix="1" applyFont="1" applyFill="1" applyBorder="1"/>
    <xf numFmtId="0" fontId="3" fillId="0" borderId="44" xfId="0" quotePrefix="1" applyFont="1" applyFill="1" applyBorder="1" applyAlignment="1"/>
    <xf numFmtId="0" fontId="3" fillId="0" borderId="45" xfId="0" applyFont="1" applyFill="1" applyBorder="1" applyAlignment="1"/>
    <xf numFmtId="0" fontId="3" fillId="0" borderId="17" xfId="0" applyFont="1" applyFill="1" applyBorder="1" applyAlignment="1"/>
    <xf numFmtId="0" fontId="34" fillId="3" borderId="8" xfId="0" applyFont="1" applyFill="1" applyBorder="1"/>
    <xf numFmtId="0" fontId="34" fillId="3" borderId="2" xfId="0" applyFont="1" applyFill="1" applyBorder="1"/>
    <xf numFmtId="0" fontId="35" fillId="2" borderId="0" xfId="0" applyFont="1" applyFill="1"/>
    <xf numFmtId="0" fontId="3" fillId="3" borderId="49" xfId="0" applyFont="1" applyFill="1" applyBorder="1"/>
    <xf numFmtId="0" fontId="3" fillId="3" borderId="46" xfId="0" applyFont="1" applyFill="1" applyBorder="1"/>
    <xf numFmtId="0" fontId="3" fillId="3" borderId="50" xfId="0" applyFont="1" applyFill="1" applyBorder="1"/>
    <xf numFmtId="0" fontId="3" fillId="3" borderId="51" xfId="0" applyFont="1" applyFill="1" applyBorder="1"/>
    <xf numFmtId="0" fontId="36" fillId="0" borderId="0" xfId="0" applyFont="1" applyFill="1" applyBorder="1"/>
    <xf numFmtId="0" fontId="36" fillId="0" borderId="39" xfId="0" applyFont="1" applyFill="1" applyBorder="1" applyAlignment="1">
      <alignment horizontal="right"/>
    </xf>
    <xf numFmtId="0" fontId="33" fillId="0" borderId="39" xfId="0" applyFont="1" applyFill="1" applyBorder="1" applyAlignment="1">
      <alignment horizontal="right"/>
    </xf>
    <xf numFmtId="0" fontId="36" fillId="3" borderId="2" xfId="0" applyFont="1" applyFill="1" applyBorder="1"/>
    <xf numFmtId="0" fontId="36" fillId="0" borderId="35" xfId="0" applyFont="1" applyBorder="1" applyAlignment="1">
      <alignment horizontal="center"/>
    </xf>
    <xf numFmtId="0" fontId="36" fillId="0" borderId="35" xfId="0" applyFont="1" applyFill="1" applyBorder="1"/>
    <xf numFmtId="0" fontId="3" fillId="0" borderId="33" xfId="0" applyFont="1" applyBorder="1" applyAlignment="1">
      <alignment horizontal="right"/>
    </xf>
    <xf numFmtId="0" fontId="34" fillId="0" borderId="15" xfId="0" applyFont="1" applyFill="1" applyBorder="1"/>
    <xf numFmtId="0" fontId="3" fillId="22" borderId="2" xfId="0" applyFont="1" applyFill="1" applyBorder="1"/>
    <xf numFmtId="0" fontId="3" fillId="0" borderId="2" xfId="0" applyFont="1" applyBorder="1" applyAlignment="1">
      <alignment horizontal="center"/>
    </xf>
    <xf numFmtId="0" fontId="36" fillId="0" borderId="14" xfId="0" applyFont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3" fillId="15" borderId="0" xfId="0" applyFont="1" applyFill="1" applyBorder="1" applyAlignment="1"/>
    <xf numFmtId="0" fontId="3" fillId="15" borderId="0" xfId="0" applyFont="1" applyFill="1" applyBorder="1"/>
    <xf numFmtId="0" fontId="17" fillId="15" borderId="0" xfId="0" applyFont="1" applyFill="1" applyBorder="1"/>
    <xf numFmtId="0" fontId="3" fillId="23" borderId="0" xfId="0" applyFont="1" applyFill="1" applyBorder="1" applyAlignment="1">
      <alignment horizontal="center"/>
    </xf>
    <xf numFmtId="0" fontId="37" fillId="10" borderId="14" xfId="0" applyFont="1" applyFill="1" applyBorder="1" applyAlignment="1" applyProtection="1">
      <alignment horizontal="left"/>
      <protection hidden="1"/>
    </xf>
    <xf numFmtId="0" fontId="25" fillId="0" borderId="0" xfId="0" applyFont="1" applyAlignment="1">
      <alignment horizontal="right"/>
    </xf>
    <xf numFmtId="0" fontId="25" fillId="12" borderId="2" xfId="0" applyFont="1" applyFill="1" applyBorder="1" applyAlignment="1" applyProtection="1">
      <alignment shrinkToFit="1"/>
      <protection locked="0" hidden="1"/>
    </xf>
    <xf numFmtId="0" fontId="3" fillId="24" borderId="0" xfId="0" applyFont="1" applyFill="1"/>
    <xf numFmtId="0" fontId="3" fillId="24" borderId="0" xfId="0" applyFont="1" applyFill="1" applyBorder="1" applyAlignment="1"/>
    <xf numFmtId="0" fontId="3" fillId="24" borderId="2" xfId="0" applyFont="1" applyFill="1" applyBorder="1"/>
    <xf numFmtId="0" fontId="3" fillId="24" borderId="44" xfId="0" quotePrefix="1" applyFont="1" applyFill="1" applyBorder="1" applyAlignment="1"/>
    <xf numFmtId="0" fontId="3" fillId="25" borderId="0" xfId="0" applyFont="1" applyFill="1" applyBorder="1"/>
    <xf numFmtId="9" fontId="3" fillId="26" borderId="0" xfId="0" applyNumberFormat="1" applyFont="1" applyFill="1" applyBorder="1" applyAlignment="1"/>
    <xf numFmtId="0" fontId="38" fillId="10" borderId="18" xfId="0" applyFont="1" applyFill="1" applyBorder="1" applyAlignment="1" applyProtection="1">
      <alignment horizontal="right"/>
      <protection hidden="1"/>
    </xf>
    <xf numFmtId="0" fontId="20" fillId="10" borderId="0" xfId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16" fillId="11" borderId="52" xfId="0" applyFont="1" applyFill="1" applyBorder="1" applyAlignment="1" applyProtection="1">
      <alignment horizontal="center" vertical="center" shrinkToFit="1"/>
      <protection hidden="1"/>
    </xf>
    <xf numFmtId="0" fontId="16" fillId="11" borderId="53" xfId="0" applyFont="1" applyFill="1" applyBorder="1" applyAlignment="1" applyProtection="1">
      <alignment horizontal="center" vertical="center" shrinkToFit="1"/>
      <protection hidden="1"/>
    </xf>
    <xf numFmtId="0" fontId="16" fillId="11" borderId="54" xfId="0" applyFont="1" applyFill="1" applyBorder="1" applyAlignment="1" applyProtection="1">
      <alignment horizontal="center" vertical="center" shrinkToFit="1"/>
      <protection hidden="1"/>
    </xf>
    <xf numFmtId="0" fontId="16" fillId="11" borderId="55" xfId="0" applyFont="1" applyFill="1" applyBorder="1" applyAlignment="1" applyProtection="1">
      <alignment horizontal="center" vertical="center" shrinkToFit="1"/>
      <protection hidden="1"/>
    </xf>
    <xf numFmtId="0" fontId="16" fillId="11" borderId="56" xfId="0" applyFont="1" applyFill="1" applyBorder="1" applyAlignment="1" applyProtection="1">
      <alignment horizontal="center" vertical="center" shrinkToFit="1"/>
      <protection hidden="1"/>
    </xf>
    <xf numFmtId="0" fontId="16" fillId="11" borderId="57" xfId="0" applyFont="1" applyFill="1" applyBorder="1" applyAlignment="1" applyProtection="1">
      <alignment horizontal="center" vertical="center" shrinkToFit="1"/>
      <protection hidden="1"/>
    </xf>
    <xf numFmtId="0" fontId="14" fillId="10" borderId="2" xfId="0" applyFont="1" applyFill="1" applyBorder="1" applyAlignment="1" applyProtection="1">
      <alignment horizontal="center" vertical="center"/>
      <protection hidden="1"/>
    </xf>
    <xf numFmtId="0" fontId="14" fillId="10" borderId="58" xfId="0" applyFont="1" applyFill="1" applyBorder="1" applyAlignment="1" applyProtection="1">
      <alignment horizontal="center" vertical="center" wrapText="1"/>
      <protection hidden="1"/>
    </xf>
    <xf numFmtId="0" fontId="18" fillId="10" borderId="58" xfId="0" applyFont="1" applyFill="1" applyBorder="1" applyAlignment="1" applyProtection="1">
      <alignment horizontal="center" vertical="center" wrapText="1"/>
      <protection hidden="1"/>
    </xf>
    <xf numFmtId="0" fontId="16" fillId="11" borderId="59" xfId="0" applyFont="1" applyFill="1" applyBorder="1" applyAlignment="1" applyProtection="1">
      <alignment horizontal="center" vertical="center" shrinkToFit="1"/>
      <protection hidden="1"/>
    </xf>
    <xf numFmtId="0" fontId="16" fillId="11" borderId="60" xfId="0" applyFont="1" applyFill="1" applyBorder="1" applyAlignment="1" applyProtection="1">
      <alignment horizontal="center" vertical="center" shrinkToFit="1"/>
      <protection hidden="1"/>
    </xf>
    <xf numFmtId="0" fontId="16" fillId="11" borderId="10" xfId="0" applyFont="1" applyFill="1" applyBorder="1" applyAlignment="1" applyProtection="1">
      <alignment horizontal="center" vertical="center" shrinkToFit="1"/>
      <protection hidden="1"/>
    </xf>
    <xf numFmtId="0" fontId="16" fillId="11" borderId="17" xfId="0" applyFont="1" applyFill="1" applyBorder="1" applyAlignment="1" applyProtection="1">
      <alignment horizontal="center" vertical="center" shrinkToFit="1"/>
      <protection hidden="1"/>
    </xf>
    <xf numFmtId="0" fontId="24" fillId="11" borderId="38" xfId="0" applyFont="1" applyFill="1" applyBorder="1" applyAlignment="1" applyProtection="1">
      <alignment vertical="top" wrapText="1"/>
      <protection hidden="1"/>
    </xf>
    <xf numFmtId="0" fontId="24" fillId="11" borderId="3" xfId="0" applyFont="1" applyFill="1" applyBorder="1" applyAlignment="1" applyProtection="1">
      <alignment vertical="top" wrapText="1"/>
      <protection hidden="1"/>
    </xf>
    <xf numFmtId="0" fontId="24" fillId="11" borderId="61" xfId="0" applyFont="1" applyFill="1" applyBorder="1" applyAlignment="1" applyProtection="1">
      <alignment vertical="top" wrapText="1"/>
      <protection hidden="1"/>
    </xf>
    <xf numFmtId="0" fontId="24" fillId="11" borderId="39" xfId="0" applyFont="1" applyFill="1" applyBorder="1" applyAlignment="1" applyProtection="1">
      <alignment vertical="top" wrapText="1"/>
      <protection hidden="1"/>
    </xf>
    <xf numFmtId="0" fontId="24" fillId="11" borderId="0" xfId="0" applyFont="1" applyFill="1" applyBorder="1" applyAlignment="1" applyProtection="1">
      <alignment vertical="top" wrapText="1"/>
      <protection hidden="1"/>
    </xf>
    <xf numFmtId="0" fontId="24" fillId="11" borderId="35" xfId="0" applyFont="1" applyFill="1" applyBorder="1" applyAlignment="1" applyProtection="1">
      <alignment vertical="top" wrapText="1"/>
      <protection hidden="1"/>
    </xf>
    <xf numFmtId="0" fontId="24" fillId="11" borderId="44" xfId="0" applyFont="1" applyFill="1" applyBorder="1" applyAlignment="1" applyProtection="1">
      <alignment vertical="top" wrapText="1"/>
      <protection hidden="1"/>
    </xf>
    <xf numFmtId="0" fontId="24" fillId="11" borderId="32" xfId="0" applyFont="1" applyFill="1" applyBorder="1" applyAlignment="1" applyProtection="1">
      <alignment vertical="top" wrapText="1"/>
      <protection hidden="1"/>
    </xf>
    <xf numFmtId="0" fontId="24" fillId="11" borderId="62" xfId="0" applyFont="1" applyFill="1" applyBorder="1" applyAlignment="1" applyProtection="1">
      <alignment vertical="top" wrapText="1"/>
      <protection hidden="1"/>
    </xf>
    <xf numFmtId="0" fontId="14" fillId="10" borderId="2" xfId="0" applyFont="1" applyFill="1" applyBorder="1" applyAlignment="1" applyProtection="1">
      <alignment horizontal="center" vertical="center" wrapText="1"/>
      <protection hidden="1"/>
    </xf>
    <xf numFmtId="0" fontId="18" fillId="10" borderId="2" xfId="0" applyFont="1" applyFill="1" applyBorder="1" applyAlignment="1" applyProtection="1">
      <alignment horizontal="center" vertical="center" wrapText="1"/>
      <protection hidden="1"/>
    </xf>
    <xf numFmtId="0" fontId="19" fillId="10" borderId="10" xfId="0" applyFont="1" applyFill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30" fillId="0" borderId="14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shrinkToFit="1"/>
      <protection locked="0"/>
    </xf>
    <xf numFmtId="0" fontId="25" fillId="0" borderId="0" xfId="0" applyFont="1" applyAlignment="1" applyProtection="1">
      <alignment wrapText="1"/>
    </xf>
    <xf numFmtId="0" fontId="23" fillId="0" borderId="0" xfId="0" applyFont="1" applyAlignment="1">
      <alignment wrapText="1"/>
    </xf>
    <xf numFmtId="0" fontId="14" fillId="10" borderId="10" xfId="0" applyFont="1" applyFill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14">
    <dxf>
      <font>
        <strike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 val="0"/>
        <i/>
        <condense val="0"/>
        <extend val="0"/>
        <color indexed="23"/>
      </font>
    </dxf>
    <dxf>
      <font>
        <b val="0"/>
        <i val="0"/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/>
        <color rgb="FFFF0000"/>
        <name val="Cambria"/>
        <scheme val="none"/>
      </font>
    </dxf>
    <dxf>
      <font>
        <strike/>
        <color rgb="FFFF0000"/>
        <name val="Cambria"/>
        <scheme val="none"/>
      </font>
    </dxf>
    <dxf>
      <font>
        <strike/>
        <color rgb="FFFF0000"/>
        <name val="Cambria"/>
        <scheme val="none"/>
      </font>
    </dxf>
    <dxf>
      <font>
        <condense val="0"/>
        <extend val="0"/>
        <color indexed="41"/>
      </font>
    </dxf>
    <dxf>
      <font>
        <condense val="0"/>
        <extend val="0"/>
        <color indexed="2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ctrlProps/ctrlProp1.xml><?xml version="1.0" encoding="utf-8"?>
<formControlPr xmlns="http://schemas.microsoft.com/office/spreadsheetml/2009/9/main" objectType="Drop" dropStyle="combo" dx="22" fmlaLink="$D$5" fmlaRange="Support!$A$27:$A$40" val="0"/>
</file>

<file path=xl/ctrlProps/ctrlProp2.xml><?xml version="1.0" encoding="utf-8"?>
<formControlPr xmlns="http://schemas.microsoft.com/office/spreadsheetml/2009/9/main" objectType="Drop" dropStyle="combo" dx="22" fmlaLink="$C$5" fmlaRange="Support!$A$1:$A$23" val="0"/>
</file>

<file path=xl/ctrlProps/ctrlProp3.xml><?xml version="1.0" encoding="utf-8"?>
<formControlPr xmlns="http://schemas.microsoft.com/office/spreadsheetml/2009/9/main" objectType="Drop" dropStyle="combo" dx="22" fmlaLink="$D$18" fmlaRange="Support!$A$27:$A$40" val="0"/>
</file>

<file path=xl/ctrlProps/ctrlProp4.xml><?xml version="1.0" encoding="utf-8"?>
<formControlPr xmlns="http://schemas.microsoft.com/office/spreadsheetml/2009/9/main" objectType="Drop" dropStyle="combo" dx="22" fmlaLink="$C$18" fmlaRange="Support!$A$1:$A$23" val="0"/>
</file>

<file path=xl/ctrlProps/ctrlProp5.xml><?xml version="1.0" encoding="utf-8"?>
<formControlPr xmlns="http://schemas.microsoft.com/office/spreadsheetml/2009/9/main" objectType="Drop" dropStyle="combo" dx="22" fmlaLink="$D$31" fmlaRange="Support!$A$27:$A$40" val="0"/>
</file>

<file path=xl/ctrlProps/ctrlProp6.xml><?xml version="1.0" encoding="utf-8"?>
<formControlPr xmlns="http://schemas.microsoft.com/office/spreadsheetml/2009/9/main" objectType="Drop" dropStyle="combo" dx="22" fmlaLink="$C$31" fmlaRange="Support!$A$1:$A$23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123825</xdr:rowOff>
        </xdr:from>
        <xdr:to>
          <xdr:col>5</xdr:col>
          <xdr:colOff>476250</xdr:colOff>
          <xdr:row>10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0</xdr:rowOff>
        </xdr:from>
        <xdr:to>
          <xdr:col>5</xdr:col>
          <xdr:colOff>619125</xdr:colOff>
          <xdr:row>8</xdr:row>
          <xdr:rowOff>47625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133350</xdr:rowOff>
        </xdr:from>
        <xdr:to>
          <xdr:col>5</xdr:col>
          <xdr:colOff>476250</xdr:colOff>
          <xdr:row>23</xdr:row>
          <xdr:rowOff>19050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20</xdr:row>
          <xdr:rowOff>19050</xdr:rowOff>
        </xdr:from>
        <xdr:to>
          <xdr:col>5</xdr:col>
          <xdr:colOff>619125</xdr:colOff>
          <xdr:row>21</xdr:row>
          <xdr:rowOff>57150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9525</xdr:rowOff>
        </xdr:from>
        <xdr:to>
          <xdr:col>5</xdr:col>
          <xdr:colOff>476250</xdr:colOff>
          <xdr:row>36</xdr:row>
          <xdr:rowOff>38100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33</xdr:row>
          <xdr:rowOff>38100</xdr:rowOff>
        </xdr:from>
        <xdr:to>
          <xdr:col>5</xdr:col>
          <xdr:colOff>619125</xdr:colOff>
          <xdr:row>34</xdr:row>
          <xdr:rowOff>76200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57150</xdr:rowOff>
        </xdr:from>
        <xdr:to>
          <xdr:col>16</xdr:col>
          <xdr:colOff>361950</xdr:colOff>
          <xdr:row>89</xdr:row>
          <xdr:rowOff>95250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DF097AE-D110-425F-A3E3-7C1D3E287854}" protected="1">
  <header guid="{6DF097AE-D110-425F-A3E3-7C1D3E287854}" dateTime="2019-12-21T12:18:49" maxSheetId="5" userName="Ara" r:id="rId1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5.bin"/><Relationship Id="rId11" Type="http://schemas.openxmlformats.org/officeDocument/2006/relationships/ctrlProp" Target="../ctrlProps/ctrlProp1.xml"/><Relationship Id="rId5" Type="http://schemas.openxmlformats.org/officeDocument/2006/relationships/hyperlink" Target="http://www.ara4help.com/" TargetMode="External"/><Relationship Id="rId15" Type="http://schemas.openxmlformats.org/officeDocument/2006/relationships/ctrlProp" Target="../ctrlProps/ctrlProp5.xml"/><Relationship Id="rId10" Type="http://schemas.openxmlformats.org/officeDocument/2006/relationships/image" Target="../media/image1.emf"/><Relationship Id="rId4" Type="http://schemas.openxmlformats.org/officeDocument/2006/relationships/printerSettings" Target="../printerSettings/printerSettings4.bin"/><Relationship Id="rId9" Type="http://schemas.openxmlformats.org/officeDocument/2006/relationships/oleObject" Target="../embeddings/Microsoft_Word_97_-_2003_Document1.doc"/><Relationship Id="rId14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B1:Q89"/>
  <sheetViews>
    <sheetView tabSelected="1" zoomScale="105" workbookViewId="0">
      <selection activeCell="B3" sqref="B3:K3"/>
    </sheetView>
  </sheetViews>
  <sheetFormatPr defaultRowHeight="11.25" x14ac:dyDescent="0.2"/>
  <cols>
    <col min="1" max="1" width="0.7109375" style="61" customWidth="1"/>
    <col min="2" max="3" width="7.140625" style="61" customWidth="1"/>
    <col min="4" max="4" width="12.140625" style="61" customWidth="1"/>
    <col min="5" max="5" width="7.140625" style="61" customWidth="1"/>
    <col min="6" max="6" width="9.7109375" style="61" customWidth="1"/>
    <col min="7" max="7" width="8.7109375" style="61" customWidth="1"/>
    <col min="8" max="8" width="4.5703125" style="61" customWidth="1"/>
    <col min="9" max="17" width="7.42578125" style="61" customWidth="1"/>
    <col min="18" max="16384" width="9.140625" style="61"/>
  </cols>
  <sheetData>
    <row r="1" spans="2:17" ht="12.75" customHeight="1" x14ac:dyDescent="0.2"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  <c r="N1" s="69"/>
      <c r="O1" s="69"/>
      <c r="P1" s="69"/>
      <c r="Q1" s="289" t="s">
        <v>265</v>
      </c>
    </row>
    <row r="2" spans="2:17" ht="15.75" x14ac:dyDescent="0.25">
      <c r="B2" s="70" t="s">
        <v>267</v>
      </c>
      <c r="C2" s="71"/>
      <c r="D2" s="71"/>
      <c r="E2" s="72" t="str">
        <f ca="1">IF(AND(Count!B103&lt;0,Count!B102=1),Count!B108,IF(Count!B102=0,Count!B109,"Minimum Plumbing Fixture Calculator"))</f>
        <v>Minimum Plumbing Fixture Calculator</v>
      </c>
      <c r="F2" s="72"/>
      <c r="G2" s="73"/>
      <c r="H2" s="73"/>
      <c r="I2" s="73"/>
      <c r="J2" s="73"/>
      <c r="K2" s="73"/>
      <c r="L2" s="175"/>
      <c r="M2" s="211" t="s">
        <v>123</v>
      </c>
      <c r="N2" s="175" t="s">
        <v>266</v>
      </c>
      <c r="O2" s="290" t="s">
        <v>146</v>
      </c>
      <c r="P2" s="291"/>
      <c r="Q2" s="292"/>
    </row>
    <row r="3" spans="2:17" ht="12.75" customHeight="1" thickBot="1" x14ac:dyDescent="0.25">
      <c r="B3" s="319" t="s">
        <v>147</v>
      </c>
      <c r="C3" s="320"/>
      <c r="D3" s="320"/>
      <c r="E3" s="320"/>
      <c r="F3" s="320"/>
      <c r="G3" s="320"/>
      <c r="H3" s="320"/>
      <c r="I3" s="320"/>
      <c r="J3" s="320"/>
      <c r="K3" s="320"/>
      <c r="L3" s="74"/>
      <c r="M3" s="210" t="s">
        <v>142</v>
      </c>
      <c r="N3" s="212">
        <v>44196</v>
      </c>
      <c r="O3" s="74"/>
      <c r="P3" s="74"/>
      <c r="Q3" s="75"/>
    </row>
    <row r="4" spans="2:17" s="62" customFormat="1" ht="12.75" hidden="1" x14ac:dyDescent="0.2">
      <c r="B4" s="76"/>
      <c r="C4" s="77" t="s">
        <v>4</v>
      </c>
      <c r="D4" s="76" t="s">
        <v>6</v>
      </c>
      <c r="E4" s="76" t="s">
        <v>7</v>
      </c>
      <c r="F4" s="76" t="s">
        <v>8</v>
      </c>
      <c r="G4" s="78" t="s">
        <v>9</v>
      </c>
      <c r="H4" s="78"/>
      <c r="I4" s="78"/>
      <c r="J4" s="78"/>
      <c r="K4" s="78"/>
      <c r="L4" s="78"/>
      <c r="M4" s="78"/>
      <c r="N4" s="78"/>
      <c r="O4" s="79"/>
      <c r="P4" s="79"/>
      <c r="Q4" s="79"/>
    </row>
    <row r="5" spans="2:17" hidden="1" x14ac:dyDescent="0.2">
      <c r="B5" s="80"/>
      <c r="C5" s="66">
        <v>1</v>
      </c>
      <c r="D5" s="66">
        <v>1</v>
      </c>
      <c r="E5" s="81" t="str">
        <f>E14</f>
        <v>Male:</v>
      </c>
      <c r="F5" s="82">
        <f>F12</f>
        <v>0</v>
      </c>
      <c r="G5" s="82">
        <f>F13</f>
        <v>0</v>
      </c>
      <c r="H5" s="80"/>
      <c r="I5" s="80"/>
      <c r="J5" s="80"/>
      <c r="K5" s="80"/>
      <c r="L5" s="80"/>
      <c r="M5" s="80"/>
      <c r="N5" s="80"/>
      <c r="O5" s="83"/>
      <c r="P5" s="83"/>
      <c r="Q5" s="83"/>
    </row>
    <row r="6" spans="2:17" ht="12" hidden="1" thickBot="1" x14ac:dyDescent="0.25">
      <c r="B6" s="84">
        <f>IF(G13&lt;&gt;"",1,0)</f>
        <v>0</v>
      </c>
      <c r="C6" s="84">
        <f>IF(B14&lt;&gt;"",1,0)</f>
        <v>0</v>
      </c>
      <c r="D6" s="84">
        <f>IF(AND(B10="",D5=1),1,0)</f>
        <v>1</v>
      </c>
      <c r="E6" s="85"/>
      <c r="F6" s="85"/>
      <c r="G6" s="85"/>
      <c r="H6" s="85"/>
      <c r="I6" s="85"/>
      <c r="J6" s="85"/>
      <c r="K6" s="85"/>
      <c r="L6" s="85"/>
      <c r="M6" s="85"/>
      <c r="N6" s="84">
        <f>IF(MAX(B6:M6)=0,0,1)</f>
        <v>1</v>
      </c>
      <c r="O6" s="83"/>
      <c r="P6" s="83"/>
      <c r="Q6" s="83"/>
    </row>
    <row r="7" spans="2:17" ht="7.5" customHeight="1" x14ac:dyDescent="0.2">
      <c r="B7" s="86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2:17" x14ac:dyDescent="0.2">
      <c r="B8" s="89" t="s">
        <v>54</v>
      </c>
      <c r="C8" s="71"/>
      <c r="D8" s="71"/>
      <c r="E8" s="71"/>
      <c r="F8" s="71"/>
      <c r="G8" s="90" t="str">
        <f>IF(G9=" ","",IF(B10="","OL ratio per",""))</f>
        <v/>
      </c>
      <c r="H8" s="317">
        <v>1</v>
      </c>
      <c r="I8" s="299" t="s">
        <v>12</v>
      </c>
      <c r="J8" s="299"/>
      <c r="K8" s="299"/>
      <c r="L8" s="299"/>
      <c r="M8" s="299" t="s">
        <v>14</v>
      </c>
      <c r="N8" s="299"/>
      <c r="O8" s="299"/>
      <c r="P8" s="315" t="s">
        <v>50</v>
      </c>
      <c r="Q8" s="300" t="s">
        <v>51</v>
      </c>
    </row>
    <row r="9" spans="2:17" x14ac:dyDescent="0.2">
      <c r="B9" s="92"/>
      <c r="C9" s="71"/>
      <c r="D9" s="71"/>
      <c r="E9" s="71"/>
      <c r="F9" s="71"/>
      <c r="G9" s="93" t="str">
        <f>IF(B10="",Support!H43,"")</f>
        <v xml:space="preserve"> </v>
      </c>
      <c r="H9" s="318"/>
      <c r="I9" s="94" t="s">
        <v>15</v>
      </c>
      <c r="J9" s="95" t="s">
        <v>11</v>
      </c>
      <c r="K9" s="95" t="s">
        <v>71</v>
      </c>
      <c r="L9" s="96" t="s">
        <v>13</v>
      </c>
      <c r="M9" s="94" t="s">
        <v>15</v>
      </c>
      <c r="N9" s="95" t="s">
        <v>11</v>
      </c>
      <c r="O9" s="96" t="s">
        <v>13</v>
      </c>
      <c r="P9" s="316"/>
      <c r="Q9" s="301"/>
    </row>
    <row r="10" spans="2:17" x14ac:dyDescent="0.2">
      <c r="B10" s="97" t="str">
        <f>IF(OR(C5=11,C5=13),"Not Req'd →","")</f>
        <v/>
      </c>
      <c r="C10" s="71"/>
      <c r="D10" s="71"/>
      <c r="E10" s="71"/>
      <c r="F10" s="71"/>
      <c r="G10" s="98" t="str">
        <f>IF(D5=1,"",("1/"&amp;LOOKUP(D5,Support!$B$27:$B$40,Support!$D$27:$D$40)))</f>
        <v/>
      </c>
      <c r="H10" s="91" t="s">
        <v>16</v>
      </c>
      <c r="I10" s="99" t="str">
        <f>Count!M$54</f>
        <v/>
      </c>
      <c r="J10" s="100">
        <f ca="1">Count!N$54</f>
        <v>0</v>
      </c>
      <c r="K10" s="100">
        <f ca="1">Count!O$54</f>
        <v>0</v>
      </c>
      <c r="L10" s="101">
        <f ca="1">Count!P$54</f>
        <v>0</v>
      </c>
      <c r="M10" s="102" t="str">
        <f>Count!Q$54</f>
        <v/>
      </c>
      <c r="N10" s="100">
        <f ca="1">Count!R$54</f>
        <v>0</v>
      </c>
      <c r="O10" s="101">
        <f ca="1">Count!S$54</f>
        <v>0</v>
      </c>
      <c r="P10" s="99">
        <f ca="1">Count!T$54</f>
        <v>0</v>
      </c>
      <c r="Q10" s="103">
        <f ca="1">Count!U$54</f>
        <v>0</v>
      </c>
    </row>
    <row r="11" spans="2:17" x14ac:dyDescent="0.2">
      <c r="B11" s="104" t="str">
        <f>IF(OR(C5=11,C5=13),"The calculation is based on number of units, not based on OL ","")</f>
        <v/>
      </c>
      <c r="C11" s="71"/>
      <c r="D11" s="71"/>
      <c r="E11" s="71"/>
      <c r="F11" s="71"/>
      <c r="G11" s="90" t="str">
        <f>IF(B10="","Calculated OL","")</f>
        <v>Calculated OL</v>
      </c>
      <c r="H11" s="91" t="s">
        <v>52</v>
      </c>
      <c r="I11" s="105">
        <f ca="1">Count!M$57</f>
        <v>0</v>
      </c>
      <c r="J11" s="106">
        <f>Count!N$57</f>
        <v>0</v>
      </c>
      <c r="K11" s="106">
        <f>Count!O$57</f>
        <v>0</v>
      </c>
      <c r="L11" s="107">
        <f>Count!P$57</f>
        <v>0</v>
      </c>
      <c r="M11" s="108">
        <f ca="1">Count!Q$57</f>
        <v>0</v>
      </c>
      <c r="N11" s="106">
        <f>Count!R$57</f>
        <v>0</v>
      </c>
      <c r="O11" s="107">
        <f>Count!S$57</f>
        <v>0</v>
      </c>
      <c r="P11" s="105">
        <f ca="1">Count!T$57</f>
        <v>0</v>
      </c>
      <c r="Q11" s="109">
        <f ca="1">Count!U$57</f>
        <v>0</v>
      </c>
    </row>
    <row r="12" spans="2:17" x14ac:dyDescent="0.2">
      <c r="B12" s="110"/>
      <c r="C12" s="71"/>
      <c r="D12" s="71"/>
      <c r="E12" s="111" t="str">
        <f>IF(B10="",Support!$F$43,"")</f>
        <v xml:space="preserve"> </v>
      </c>
      <c r="F12" s="112"/>
      <c r="G12" s="113">
        <f>LOOKUP(D5,Support!$B$27:$B$40,Support!$I$27:$I$40)</f>
        <v>0</v>
      </c>
      <c r="H12" s="306" t="str">
        <f>"Comments: "&amp;Count!$B$95</f>
        <v xml:space="preserve">Comments: </v>
      </c>
      <c r="I12" s="307"/>
      <c r="J12" s="307"/>
      <c r="K12" s="307"/>
      <c r="L12" s="307"/>
      <c r="M12" s="307"/>
      <c r="N12" s="307"/>
      <c r="O12" s="307"/>
      <c r="P12" s="307"/>
      <c r="Q12" s="308"/>
    </row>
    <row r="13" spans="2:17" x14ac:dyDescent="0.2">
      <c r="B13" s="114"/>
      <c r="C13" s="71"/>
      <c r="D13" s="71"/>
      <c r="E13" s="115" t="str">
        <f ca="1">Support!$G$43</f>
        <v xml:space="preserve"> </v>
      </c>
      <c r="F13" s="282"/>
      <c r="G13" s="116" t="str">
        <f>IF(AND((OR(C5=11,C5=13)),(OR(F13&lt;=0,INT(F13)&lt;&gt;F13))),"←Nat. number","")</f>
        <v/>
      </c>
      <c r="H13" s="309"/>
      <c r="I13" s="310"/>
      <c r="J13" s="310"/>
      <c r="K13" s="310"/>
      <c r="L13" s="310"/>
      <c r="M13" s="310"/>
      <c r="N13" s="310"/>
      <c r="O13" s="310"/>
      <c r="P13" s="310"/>
      <c r="Q13" s="311"/>
    </row>
    <row r="14" spans="2:17" x14ac:dyDescent="0.2">
      <c r="B14" s="117"/>
      <c r="C14" s="71"/>
      <c r="D14" s="118" t="str">
        <f>IF(B10&lt;&gt;"","",IF(OR(F14&lt;0,F14&gt;1),"Input number between 0 &amp; 100 →",""))</f>
        <v/>
      </c>
      <c r="E14" s="119" t="str">
        <f>IF(B10="",IF(F14=0.5,"Male:","Male*:"),"")</f>
        <v>Male:</v>
      </c>
      <c r="F14" s="120">
        <v>0.5</v>
      </c>
      <c r="G14" s="121">
        <f>ROUNDUP(G12*F14,0)</f>
        <v>0</v>
      </c>
      <c r="H14" s="309"/>
      <c r="I14" s="310"/>
      <c r="J14" s="310"/>
      <c r="K14" s="310"/>
      <c r="L14" s="310"/>
      <c r="M14" s="310"/>
      <c r="N14" s="310"/>
      <c r="O14" s="310"/>
      <c r="P14" s="310"/>
      <c r="Q14" s="311"/>
    </row>
    <row r="15" spans="2:17" x14ac:dyDescent="0.2">
      <c r="B15" s="114"/>
      <c r="C15" s="122"/>
      <c r="D15" s="123"/>
      <c r="E15" s="119" t="str">
        <f>IF(B10="",IF(F15=0.5,"Female:","Female*:"),"")</f>
        <v>Female:</v>
      </c>
      <c r="F15" s="124">
        <f>1-F14</f>
        <v>0.5</v>
      </c>
      <c r="G15" s="121">
        <f>ROUNDUP(G12*F15,0)</f>
        <v>0</v>
      </c>
      <c r="H15" s="312"/>
      <c r="I15" s="313"/>
      <c r="J15" s="313"/>
      <c r="K15" s="313"/>
      <c r="L15" s="313"/>
      <c r="M15" s="313"/>
      <c r="N15" s="313"/>
      <c r="O15" s="313"/>
      <c r="P15" s="313"/>
      <c r="Q15" s="314"/>
    </row>
    <row r="16" spans="2:17" ht="12" thickBot="1" x14ac:dyDescent="0.25">
      <c r="B16" s="125" t="str">
        <f>IF(B10&lt;&gt;"","",IF(AND(D14="",F14&lt;&gt;0.5),"*AHJ approval req'd for Male/Female ratio other than 50/50",""))</f>
        <v/>
      </c>
      <c r="C16" s="126"/>
      <c r="D16" s="126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</row>
    <row r="17" spans="2:17" s="62" customFormat="1" ht="12.75" hidden="1" x14ac:dyDescent="0.2">
      <c r="B17" s="127"/>
      <c r="C17" s="128" t="s">
        <v>4</v>
      </c>
      <c r="D17" s="127" t="s">
        <v>6</v>
      </c>
      <c r="E17" s="127" t="s">
        <v>7</v>
      </c>
      <c r="F17" s="127" t="s">
        <v>8</v>
      </c>
      <c r="G17" s="129" t="s">
        <v>9</v>
      </c>
      <c r="H17" s="129"/>
      <c r="I17" s="129"/>
      <c r="J17" s="129"/>
      <c r="K17" s="129"/>
      <c r="L17" s="129"/>
      <c r="M17" s="129"/>
      <c r="N17" s="129"/>
      <c r="O17" s="79"/>
      <c r="P17" s="79"/>
      <c r="Q17" s="79"/>
    </row>
    <row r="18" spans="2:17" hidden="1" x14ac:dyDescent="0.2">
      <c r="B18" s="80"/>
      <c r="C18" s="66">
        <v>1</v>
      </c>
      <c r="D18" s="66">
        <v>1</v>
      </c>
      <c r="E18" s="81" t="str">
        <f>E27</f>
        <v>Male:</v>
      </c>
      <c r="F18" s="82">
        <f>F25</f>
        <v>0</v>
      </c>
      <c r="G18" s="82">
        <f>F26</f>
        <v>0</v>
      </c>
      <c r="H18" s="80"/>
      <c r="I18" s="80"/>
      <c r="J18" s="80"/>
      <c r="K18" s="80"/>
      <c r="L18" s="80"/>
      <c r="M18" s="80"/>
      <c r="N18" s="80"/>
      <c r="O18" s="83"/>
      <c r="P18" s="83"/>
      <c r="Q18" s="83"/>
    </row>
    <row r="19" spans="2:17" ht="12" hidden="1" thickBot="1" x14ac:dyDescent="0.25">
      <c r="B19" s="84">
        <f>IF(G26&lt;&gt;"",1,0)</f>
        <v>0</v>
      </c>
      <c r="C19" s="84">
        <f>IF(B27&lt;&gt;"",1,0)</f>
        <v>0</v>
      </c>
      <c r="D19" s="84">
        <f>IF(AND(B23="",D18=1),1,0)</f>
        <v>1</v>
      </c>
      <c r="E19" s="85"/>
      <c r="F19" s="85"/>
      <c r="G19" s="85"/>
      <c r="H19" s="85"/>
      <c r="I19" s="85"/>
      <c r="J19" s="85"/>
      <c r="K19" s="85"/>
      <c r="L19" s="85"/>
      <c r="M19" s="85"/>
      <c r="N19" s="84">
        <f>IF(MAX(B19:M19)=0,0,1)</f>
        <v>1</v>
      </c>
      <c r="O19" s="83"/>
      <c r="P19" s="83"/>
      <c r="Q19" s="83"/>
    </row>
    <row r="20" spans="2:17" ht="7.5" customHeight="1" x14ac:dyDescent="0.2"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</row>
    <row r="21" spans="2:17" x14ac:dyDescent="0.2">
      <c r="B21" s="89" t="s">
        <v>56</v>
      </c>
      <c r="C21" s="71"/>
      <c r="D21" s="71"/>
      <c r="E21" s="71"/>
      <c r="F21" s="71"/>
      <c r="G21" s="90" t="str">
        <f>IF(G22=" ","",IF(B23="","OL ratio per",""))</f>
        <v/>
      </c>
      <c r="H21" s="317">
        <v>2</v>
      </c>
      <c r="I21" s="299" t="s">
        <v>12</v>
      </c>
      <c r="J21" s="299"/>
      <c r="K21" s="299"/>
      <c r="L21" s="299"/>
      <c r="M21" s="299" t="s">
        <v>14</v>
      </c>
      <c r="N21" s="299"/>
      <c r="O21" s="299"/>
      <c r="P21" s="315" t="s">
        <v>50</v>
      </c>
      <c r="Q21" s="300" t="s">
        <v>51</v>
      </c>
    </row>
    <row r="22" spans="2:17" x14ac:dyDescent="0.2">
      <c r="B22" s="92"/>
      <c r="C22" s="71"/>
      <c r="D22" s="71"/>
      <c r="E22" s="71"/>
      <c r="F22" s="71"/>
      <c r="G22" s="93" t="str">
        <f>IF(B23="",Support!H44,"")</f>
        <v xml:space="preserve"> </v>
      </c>
      <c r="H22" s="318"/>
      <c r="I22" s="94" t="s">
        <v>15</v>
      </c>
      <c r="J22" s="95" t="s">
        <v>11</v>
      </c>
      <c r="K22" s="95" t="s">
        <v>71</v>
      </c>
      <c r="L22" s="96" t="s">
        <v>13</v>
      </c>
      <c r="M22" s="94" t="s">
        <v>15</v>
      </c>
      <c r="N22" s="95" t="s">
        <v>11</v>
      </c>
      <c r="O22" s="96" t="s">
        <v>13</v>
      </c>
      <c r="P22" s="316"/>
      <c r="Q22" s="301"/>
    </row>
    <row r="23" spans="2:17" x14ac:dyDescent="0.2">
      <c r="B23" s="97" t="str">
        <f>IF(OR(C18=11,C18=13),"Not Req'd →","")</f>
        <v/>
      </c>
      <c r="C23" s="71"/>
      <c r="D23" s="71"/>
      <c r="E23" s="71"/>
      <c r="F23" s="71"/>
      <c r="G23" s="98" t="str">
        <f>IF(D18=1,"",("1/"&amp;LOOKUP(D18,Support!$B$27:$B$40,Support!$D$27:$D$40)))</f>
        <v/>
      </c>
      <c r="H23" s="91" t="s">
        <v>16</v>
      </c>
      <c r="I23" s="99" t="str">
        <f>Count!Y$54</f>
        <v/>
      </c>
      <c r="J23" s="100">
        <f ca="1">Count!Z$54</f>
        <v>0</v>
      </c>
      <c r="K23" s="100">
        <f ca="1">Count!AA$54</f>
        <v>0</v>
      </c>
      <c r="L23" s="101">
        <f ca="1">Count!AB$54</f>
        <v>0</v>
      </c>
      <c r="M23" s="102" t="str">
        <f>Count!AC$54</f>
        <v/>
      </c>
      <c r="N23" s="100">
        <f ca="1">Count!AD$54</f>
        <v>0</v>
      </c>
      <c r="O23" s="101">
        <f ca="1">Count!AE$54</f>
        <v>0</v>
      </c>
      <c r="P23" s="99">
        <f ca="1">Count!AF$54</f>
        <v>0</v>
      </c>
      <c r="Q23" s="103">
        <f ca="1">Count!AG$54</f>
        <v>0</v>
      </c>
    </row>
    <row r="24" spans="2:17" x14ac:dyDescent="0.2">
      <c r="B24" s="104" t="str">
        <f>IF(OR(C18=11,C18=13),"The calculation is based on number of units, not based on OL ","")</f>
        <v/>
      </c>
      <c r="C24" s="71"/>
      <c r="D24" s="71"/>
      <c r="E24" s="71"/>
      <c r="F24" s="71"/>
      <c r="G24" s="90" t="str">
        <f>IF(B23="","Calculated OL","")</f>
        <v>Calculated OL</v>
      </c>
      <c r="H24" s="91" t="s">
        <v>52</v>
      </c>
      <c r="I24" s="105">
        <f ca="1">Count!Y$57</f>
        <v>0</v>
      </c>
      <c r="J24" s="106">
        <f>Count!Z$57</f>
        <v>0</v>
      </c>
      <c r="K24" s="106">
        <f>Count!AA$57</f>
        <v>0</v>
      </c>
      <c r="L24" s="107">
        <f>Count!AB$57</f>
        <v>0</v>
      </c>
      <c r="M24" s="108">
        <f ca="1">Count!AC$57</f>
        <v>0</v>
      </c>
      <c r="N24" s="106">
        <f>Count!AD$57</f>
        <v>0</v>
      </c>
      <c r="O24" s="107">
        <f>Count!AE$57</f>
        <v>0</v>
      </c>
      <c r="P24" s="105">
        <f ca="1">Count!AF$57</f>
        <v>0</v>
      </c>
      <c r="Q24" s="109">
        <f ca="1">Count!AG$57</f>
        <v>0</v>
      </c>
    </row>
    <row r="25" spans="2:17" x14ac:dyDescent="0.2">
      <c r="B25" s="110"/>
      <c r="C25" s="71"/>
      <c r="D25" s="71"/>
      <c r="E25" s="111" t="str">
        <f>IF(B23="",Support!$F$44,"")</f>
        <v xml:space="preserve"> </v>
      </c>
      <c r="F25" s="112"/>
      <c r="G25" s="113">
        <f>LOOKUP(D18,Support!$B$27:$B$40,Support!$J$27:$J$40)</f>
        <v>0</v>
      </c>
      <c r="H25" s="306" t="str">
        <f>"Comments: "&amp;Count!$B$96</f>
        <v xml:space="preserve">Comments: </v>
      </c>
      <c r="I25" s="307"/>
      <c r="J25" s="307"/>
      <c r="K25" s="307"/>
      <c r="L25" s="307"/>
      <c r="M25" s="307"/>
      <c r="N25" s="307"/>
      <c r="O25" s="307"/>
      <c r="P25" s="307"/>
      <c r="Q25" s="308"/>
    </row>
    <row r="26" spans="2:17" x14ac:dyDescent="0.2">
      <c r="B26" s="114"/>
      <c r="C26" s="71"/>
      <c r="D26" s="71"/>
      <c r="E26" s="115" t="str">
        <f ca="1">Support!$G$44</f>
        <v xml:space="preserve"> </v>
      </c>
      <c r="F26" s="112"/>
      <c r="G26" s="116" t="str">
        <f>IF(AND((OR(C18=11,C18=13)),(OR(F26&lt;=0,INT(F26)&lt;&gt;F26))),"←Nat. number","")</f>
        <v/>
      </c>
      <c r="H26" s="309"/>
      <c r="I26" s="310"/>
      <c r="J26" s="310"/>
      <c r="K26" s="310"/>
      <c r="L26" s="310"/>
      <c r="M26" s="310"/>
      <c r="N26" s="310"/>
      <c r="O26" s="310"/>
      <c r="P26" s="310"/>
      <c r="Q26" s="311"/>
    </row>
    <row r="27" spans="2:17" x14ac:dyDescent="0.2">
      <c r="B27" s="117"/>
      <c r="C27" s="71"/>
      <c r="D27" s="118" t="str">
        <f>IF(B23&lt;&gt;"","",IF(OR(F27&lt;0,F27&gt;1),"Input number between 0 &amp; 100 →",""))</f>
        <v/>
      </c>
      <c r="E27" s="119" t="str">
        <f>IF(B23="",IF(F27=0.5,"Male:","Male*:"),"")</f>
        <v>Male:</v>
      </c>
      <c r="F27" s="120">
        <v>0.5</v>
      </c>
      <c r="G27" s="121">
        <f>ROUNDUP(G25*F27,0)</f>
        <v>0</v>
      </c>
      <c r="H27" s="309"/>
      <c r="I27" s="310"/>
      <c r="J27" s="310"/>
      <c r="K27" s="310"/>
      <c r="L27" s="310"/>
      <c r="M27" s="310"/>
      <c r="N27" s="310"/>
      <c r="O27" s="310"/>
      <c r="P27" s="310"/>
      <c r="Q27" s="311"/>
    </row>
    <row r="28" spans="2:17" x14ac:dyDescent="0.2">
      <c r="B28" s="114"/>
      <c r="C28" s="122"/>
      <c r="D28" s="123"/>
      <c r="E28" s="119" t="str">
        <f>IF(B23="",IF(F28=0.5,"Female:","Female*:"),"")</f>
        <v>Female:</v>
      </c>
      <c r="F28" s="124">
        <f>1-F27</f>
        <v>0.5</v>
      </c>
      <c r="G28" s="121">
        <f>ROUNDUP(G25*F28,0)</f>
        <v>0</v>
      </c>
      <c r="H28" s="312"/>
      <c r="I28" s="313"/>
      <c r="J28" s="313"/>
      <c r="K28" s="313"/>
      <c r="L28" s="313"/>
      <c r="M28" s="313"/>
      <c r="N28" s="313"/>
      <c r="O28" s="313"/>
      <c r="P28" s="313"/>
      <c r="Q28" s="314"/>
    </row>
    <row r="29" spans="2:17" ht="12" thickBot="1" x14ac:dyDescent="0.25">
      <c r="B29" s="125" t="str">
        <f>IF(B23&lt;&gt;"","",IF(AND(D27="",F27&lt;&gt;0.5),"*AHJ approval req'd for Male/Female ratio other than 50/50",""))</f>
        <v/>
      </c>
      <c r="C29" s="126"/>
      <c r="D29" s="126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5"/>
    </row>
    <row r="30" spans="2:17" s="62" customFormat="1" ht="12.75" hidden="1" x14ac:dyDescent="0.2">
      <c r="B30" s="127"/>
      <c r="C30" s="128" t="s">
        <v>4</v>
      </c>
      <c r="D30" s="127" t="s">
        <v>6</v>
      </c>
      <c r="E30" s="127" t="s">
        <v>7</v>
      </c>
      <c r="F30" s="127" t="s">
        <v>8</v>
      </c>
      <c r="G30" s="129" t="s">
        <v>9</v>
      </c>
      <c r="H30" s="129"/>
      <c r="I30" s="129"/>
      <c r="J30" s="129"/>
      <c r="K30" s="129"/>
      <c r="L30" s="129"/>
      <c r="M30" s="129"/>
      <c r="N30" s="129"/>
      <c r="O30" s="79"/>
      <c r="P30" s="79"/>
      <c r="Q30" s="79"/>
    </row>
    <row r="31" spans="2:17" hidden="1" x14ac:dyDescent="0.2">
      <c r="B31" s="80"/>
      <c r="C31" s="66">
        <v>1</v>
      </c>
      <c r="D31" s="66">
        <v>1</v>
      </c>
      <c r="E31" s="81" t="str">
        <f>E40</f>
        <v>Male:</v>
      </c>
      <c r="F31" s="82">
        <f>F38</f>
        <v>0</v>
      </c>
      <c r="G31" s="82">
        <f>F39</f>
        <v>0</v>
      </c>
      <c r="H31" s="80"/>
      <c r="I31" s="80"/>
      <c r="J31" s="80"/>
      <c r="K31" s="80"/>
      <c r="L31" s="80"/>
      <c r="M31" s="80"/>
      <c r="N31" s="80"/>
      <c r="O31" s="83"/>
      <c r="P31" s="83"/>
      <c r="Q31" s="83"/>
    </row>
    <row r="32" spans="2:17" ht="12" hidden="1" thickBot="1" x14ac:dyDescent="0.25">
      <c r="B32" s="84">
        <f>IF(G39&lt;&gt;"",1,0)</f>
        <v>0</v>
      </c>
      <c r="C32" s="84">
        <f>IF(B40&lt;&gt;"",1,0)</f>
        <v>0</v>
      </c>
      <c r="D32" s="84">
        <f>IF(AND(B36="",D31=1),1,0)</f>
        <v>1</v>
      </c>
      <c r="E32" s="85"/>
      <c r="F32" s="85"/>
      <c r="G32" s="85"/>
      <c r="H32" s="85"/>
      <c r="I32" s="85"/>
      <c r="J32" s="85"/>
      <c r="K32" s="85"/>
      <c r="L32" s="85"/>
      <c r="M32" s="85"/>
      <c r="N32" s="84">
        <f>IF(MAX(B32:M32)=0,0,1)</f>
        <v>1</v>
      </c>
      <c r="O32" s="83"/>
      <c r="P32" s="83"/>
      <c r="Q32" s="83"/>
    </row>
    <row r="33" spans="2:17" ht="7.5" customHeight="1" x14ac:dyDescent="0.2"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</row>
    <row r="34" spans="2:17" x14ac:dyDescent="0.2">
      <c r="B34" s="89" t="s">
        <v>57</v>
      </c>
      <c r="C34" s="71"/>
      <c r="D34" s="71"/>
      <c r="E34" s="71"/>
      <c r="F34" s="71"/>
      <c r="G34" s="90" t="str">
        <f>IF(G35=" ","",IF(B36="","OL ratio per",""))</f>
        <v/>
      </c>
      <c r="H34" s="317">
        <v>3</v>
      </c>
      <c r="I34" s="299" t="s">
        <v>12</v>
      </c>
      <c r="J34" s="299"/>
      <c r="K34" s="299"/>
      <c r="L34" s="299"/>
      <c r="M34" s="299" t="s">
        <v>14</v>
      </c>
      <c r="N34" s="299"/>
      <c r="O34" s="299"/>
      <c r="P34" s="315" t="s">
        <v>50</v>
      </c>
      <c r="Q34" s="300" t="s">
        <v>51</v>
      </c>
    </row>
    <row r="35" spans="2:17" x14ac:dyDescent="0.2">
      <c r="B35" s="92"/>
      <c r="C35" s="71"/>
      <c r="D35" s="71"/>
      <c r="E35" s="71"/>
      <c r="F35" s="71"/>
      <c r="G35" s="93" t="str">
        <f>IF(B36="",Support!H45,"")</f>
        <v xml:space="preserve"> </v>
      </c>
      <c r="H35" s="318"/>
      <c r="I35" s="94" t="s">
        <v>15</v>
      </c>
      <c r="J35" s="95" t="s">
        <v>11</v>
      </c>
      <c r="K35" s="95" t="s">
        <v>71</v>
      </c>
      <c r="L35" s="96" t="s">
        <v>13</v>
      </c>
      <c r="M35" s="94" t="s">
        <v>15</v>
      </c>
      <c r="N35" s="95" t="s">
        <v>11</v>
      </c>
      <c r="O35" s="96" t="s">
        <v>13</v>
      </c>
      <c r="P35" s="316"/>
      <c r="Q35" s="301"/>
    </row>
    <row r="36" spans="2:17" x14ac:dyDescent="0.2">
      <c r="B36" s="97" t="str">
        <f>IF(OR(C31=11,C31=13),"Not Req'd →","")</f>
        <v/>
      </c>
      <c r="C36" s="71"/>
      <c r="D36" s="71"/>
      <c r="E36" s="71"/>
      <c r="F36" s="71"/>
      <c r="G36" s="98" t="str">
        <f>IF(D31=1,"",("1/"&amp;LOOKUP(D31,Support!$B$27:$B$40,Support!$D$27:$D$40)))</f>
        <v/>
      </c>
      <c r="H36" s="91" t="s">
        <v>16</v>
      </c>
      <c r="I36" s="99" t="str">
        <f>Count!AK$54</f>
        <v/>
      </c>
      <c r="J36" s="100">
        <f ca="1">Count!AL$54</f>
        <v>0</v>
      </c>
      <c r="K36" s="100">
        <f ca="1">Count!AM$54</f>
        <v>0</v>
      </c>
      <c r="L36" s="101">
        <f ca="1">Count!AN$54</f>
        <v>0</v>
      </c>
      <c r="M36" s="102" t="str">
        <f>Count!AO$54</f>
        <v/>
      </c>
      <c r="N36" s="100">
        <f ca="1">Count!AP$54</f>
        <v>0</v>
      </c>
      <c r="O36" s="101">
        <f ca="1">Count!AQ$54</f>
        <v>0</v>
      </c>
      <c r="P36" s="99">
        <f ca="1">Count!AR$54</f>
        <v>0</v>
      </c>
      <c r="Q36" s="103">
        <f ca="1">Count!AS$54</f>
        <v>0</v>
      </c>
    </row>
    <row r="37" spans="2:17" x14ac:dyDescent="0.2">
      <c r="B37" s="104" t="str">
        <f>IF(OR(C31=11,C31=13),"The calculation is based on number of units, not based on OL ","")</f>
        <v/>
      </c>
      <c r="C37" s="71"/>
      <c r="D37" s="71"/>
      <c r="E37" s="71"/>
      <c r="F37" s="71"/>
      <c r="G37" s="90" t="str">
        <f>IF(B36="","Calculated OL","")</f>
        <v>Calculated OL</v>
      </c>
      <c r="H37" s="91" t="s">
        <v>52</v>
      </c>
      <c r="I37" s="105">
        <f ca="1">Count!AK$57</f>
        <v>0</v>
      </c>
      <c r="J37" s="106">
        <f>Count!AL$57</f>
        <v>0</v>
      </c>
      <c r="K37" s="106">
        <f>Count!AM$57</f>
        <v>0</v>
      </c>
      <c r="L37" s="107">
        <f>Count!AN$57</f>
        <v>0</v>
      </c>
      <c r="M37" s="108">
        <f ca="1">Count!AO$57</f>
        <v>0</v>
      </c>
      <c r="N37" s="106">
        <f>Count!AP$57</f>
        <v>0</v>
      </c>
      <c r="O37" s="107">
        <f>Count!AQ$57</f>
        <v>0</v>
      </c>
      <c r="P37" s="105">
        <f ca="1">Count!AR$57</f>
        <v>0</v>
      </c>
      <c r="Q37" s="109">
        <f ca="1">Count!AS$57</f>
        <v>0</v>
      </c>
    </row>
    <row r="38" spans="2:17" x14ac:dyDescent="0.2">
      <c r="B38" s="110"/>
      <c r="C38" s="71"/>
      <c r="D38" s="71"/>
      <c r="E38" s="111" t="str">
        <f>IF(B36="",Support!$F$45,"")</f>
        <v xml:space="preserve"> </v>
      </c>
      <c r="F38" s="112"/>
      <c r="G38" s="113">
        <f>LOOKUP(D31,Support!$B$27:$B$40,Support!$K$27:$K$40)</f>
        <v>0</v>
      </c>
      <c r="H38" s="306" t="str">
        <f>"Comments: "&amp;Count!$B$97</f>
        <v xml:space="preserve">Comments: </v>
      </c>
      <c r="I38" s="307"/>
      <c r="J38" s="307"/>
      <c r="K38" s="307"/>
      <c r="L38" s="307"/>
      <c r="M38" s="307"/>
      <c r="N38" s="307"/>
      <c r="O38" s="307"/>
      <c r="P38" s="307"/>
      <c r="Q38" s="308"/>
    </row>
    <row r="39" spans="2:17" x14ac:dyDescent="0.2">
      <c r="B39" s="114"/>
      <c r="C39" s="71"/>
      <c r="D39" s="71"/>
      <c r="E39" s="115" t="str">
        <f ca="1">Support!$G$45</f>
        <v xml:space="preserve"> </v>
      </c>
      <c r="F39" s="112"/>
      <c r="G39" s="116" t="str">
        <f>IF(AND((OR(C31=11,C31=13)),(OR(F39&lt;=0,INT(F39)&lt;&gt;F39))),"←Nat. number","")</f>
        <v/>
      </c>
      <c r="H39" s="309"/>
      <c r="I39" s="310"/>
      <c r="J39" s="310"/>
      <c r="K39" s="310"/>
      <c r="L39" s="310"/>
      <c r="M39" s="310"/>
      <c r="N39" s="310"/>
      <c r="O39" s="310"/>
      <c r="P39" s="310"/>
      <c r="Q39" s="311"/>
    </row>
    <row r="40" spans="2:17" x14ac:dyDescent="0.2">
      <c r="B40" s="117"/>
      <c r="C40" s="71"/>
      <c r="D40" s="118" t="str">
        <f>IF(B36&lt;&gt;"","",IF(OR(F40&lt;0,F40&gt;1),"Input number between 0 &amp; 100 →",""))</f>
        <v/>
      </c>
      <c r="E40" s="119" t="str">
        <f>IF(B36="",IF(F40=0.5,"Male:","Male*:"),"")</f>
        <v>Male:</v>
      </c>
      <c r="F40" s="120">
        <v>0.5</v>
      </c>
      <c r="G40" s="121">
        <f>ROUNDUP(G38*F40,0)</f>
        <v>0</v>
      </c>
      <c r="H40" s="309"/>
      <c r="I40" s="310"/>
      <c r="J40" s="310"/>
      <c r="K40" s="310"/>
      <c r="L40" s="310"/>
      <c r="M40" s="310"/>
      <c r="N40" s="310"/>
      <c r="O40" s="310"/>
      <c r="P40" s="310"/>
      <c r="Q40" s="311"/>
    </row>
    <row r="41" spans="2:17" x14ac:dyDescent="0.2">
      <c r="B41" s="114"/>
      <c r="C41" s="122"/>
      <c r="D41" s="123"/>
      <c r="E41" s="119" t="str">
        <f>IF(B36="",IF(F41=0.5,"Female:","Female*:"),"")</f>
        <v>Female:</v>
      </c>
      <c r="F41" s="124">
        <f>1-F40</f>
        <v>0.5</v>
      </c>
      <c r="G41" s="121">
        <f>ROUNDUP(G38*F41,0)</f>
        <v>0</v>
      </c>
      <c r="H41" s="312"/>
      <c r="I41" s="313"/>
      <c r="J41" s="313"/>
      <c r="K41" s="313"/>
      <c r="L41" s="313"/>
      <c r="M41" s="313"/>
      <c r="N41" s="313"/>
      <c r="O41" s="313"/>
      <c r="P41" s="313"/>
      <c r="Q41" s="314"/>
    </row>
    <row r="42" spans="2:17" ht="12" thickBot="1" x14ac:dyDescent="0.25">
      <c r="B42" s="125" t="str">
        <f>IF(B36&lt;&gt;"","",IF(AND(D40="",F40&lt;&gt;0.5),"*AHJ approval req'd for Male/Female ratio other than 50/50",""))</f>
        <v/>
      </c>
      <c r="C42" s="126"/>
      <c r="D42" s="12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5"/>
    </row>
    <row r="43" spans="2:17" ht="7.5" customHeight="1" x14ac:dyDescent="0.2"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</row>
    <row r="44" spans="2:17" ht="15.75" x14ac:dyDescent="0.25">
      <c r="B44" s="70" t="s">
        <v>59</v>
      </c>
      <c r="C44" s="71"/>
      <c r="D44" s="71"/>
      <c r="E44" s="71"/>
      <c r="F44" s="71"/>
      <c r="G44" s="130"/>
      <c r="H44" s="317" t="s">
        <v>63</v>
      </c>
      <c r="I44" s="299" t="s">
        <v>12</v>
      </c>
      <c r="J44" s="299"/>
      <c r="K44" s="299"/>
      <c r="L44" s="299"/>
      <c r="M44" s="299" t="s">
        <v>14</v>
      </c>
      <c r="N44" s="299"/>
      <c r="O44" s="299"/>
      <c r="P44" s="315" t="s">
        <v>50</v>
      </c>
      <c r="Q44" s="300" t="s">
        <v>51</v>
      </c>
    </row>
    <row r="45" spans="2:17" ht="11.25" customHeight="1" x14ac:dyDescent="0.2">
      <c r="B45" s="280" t="str">
        <f ca="1" xml:space="preserve"> IF(AND(G48&lt;&gt;0,G49&lt;&gt;0),"Do Not use this table for Combination of OL and Number of Units","")</f>
        <v/>
      </c>
      <c r="C45" s="71"/>
      <c r="D45" s="71"/>
      <c r="E45" s="71"/>
      <c r="F45" s="71"/>
      <c r="G45" s="130"/>
      <c r="H45" s="318"/>
      <c r="I45" s="94" t="s">
        <v>15</v>
      </c>
      <c r="J45" s="95" t="s">
        <v>11</v>
      </c>
      <c r="K45" s="95" t="s">
        <v>71</v>
      </c>
      <c r="L45" s="96" t="s">
        <v>13</v>
      </c>
      <c r="M45" s="94" t="s">
        <v>15</v>
      </c>
      <c r="N45" s="95" t="s">
        <v>11</v>
      </c>
      <c r="O45" s="96" t="s">
        <v>13</v>
      </c>
      <c r="P45" s="316"/>
      <c r="Q45" s="301"/>
    </row>
    <row r="46" spans="2:17" ht="10.15" customHeight="1" x14ac:dyDescent="0.2">
      <c r="B46" s="97"/>
      <c r="C46" s="71"/>
      <c r="D46" s="71"/>
      <c r="E46" s="71"/>
      <c r="F46" s="71"/>
      <c r="G46" s="131"/>
      <c r="H46" s="323" t="s">
        <v>52</v>
      </c>
      <c r="I46" s="293">
        <f ca="1">IF($B$45="",Count!M84,"")</f>
        <v>0</v>
      </c>
      <c r="J46" s="295">
        <f ca="1">IF($B$45="",Count!N84,"")</f>
        <v>0</v>
      </c>
      <c r="K46" s="295">
        <f ca="1">IF($B$45="",Count!O84,"")</f>
        <v>0</v>
      </c>
      <c r="L46" s="297">
        <f ca="1">IF($B$45="",Count!P84,"")</f>
        <v>0</v>
      </c>
      <c r="M46" s="293">
        <f ca="1">IF($B$45="",Count!Q84,"")</f>
        <v>0</v>
      </c>
      <c r="N46" s="295">
        <f ca="1">IF($B$45="",Count!R84,"")</f>
        <v>0</v>
      </c>
      <c r="O46" s="297">
        <f ca="1">IF($B$45="",Count!S84,"")</f>
        <v>0</v>
      </c>
      <c r="P46" s="304">
        <f ca="1">IF($B$45="",Count!T84,"")</f>
        <v>0</v>
      </c>
      <c r="Q46" s="302">
        <f ca="1">IF($B$45="",Count!U84,"")</f>
        <v>0</v>
      </c>
    </row>
    <row r="47" spans="2:17" ht="10.15" customHeight="1" x14ac:dyDescent="0.2">
      <c r="B47" s="104"/>
      <c r="C47" s="71"/>
      <c r="D47" s="71"/>
      <c r="E47" s="71"/>
      <c r="F47" s="71"/>
      <c r="G47" s="130"/>
      <c r="H47" s="324"/>
      <c r="I47" s="294"/>
      <c r="J47" s="296"/>
      <c r="K47" s="296"/>
      <c r="L47" s="298"/>
      <c r="M47" s="294"/>
      <c r="N47" s="296"/>
      <c r="O47" s="298"/>
      <c r="P47" s="305"/>
      <c r="Q47" s="303"/>
    </row>
    <row r="48" spans="2:17" x14ac:dyDescent="0.2">
      <c r="B48" s="110"/>
      <c r="C48" s="71"/>
      <c r="D48" s="71"/>
      <c r="E48" s="111"/>
      <c r="F48" s="132" t="s">
        <v>69</v>
      </c>
      <c r="G48" s="133">
        <f>Count!M73</f>
        <v>0</v>
      </c>
      <c r="H48" s="306" t="str">
        <f ca="1">IF($B$45="","Comments: "&amp;Count!$B$98,"")</f>
        <v xml:space="preserve">Comments: </v>
      </c>
      <c r="I48" s="307"/>
      <c r="J48" s="307"/>
      <c r="K48" s="307"/>
      <c r="L48" s="307"/>
      <c r="M48" s="307"/>
      <c r="N48" s="307"/>
      <c r="O48" s="307"/>
      <c r="P48" s="307"/>
      <c r="Q48" s="308"/>
    </row>
    <row r="49" spans="2:17" x14ac:dyDescent="0.2">
      <c r="B49" s="114"/>
      <c r="C49" s="71"/>
      <c r="D49" s="71"/>
      <c r="E49" s="111"/>
      <c r="F49" s="132" t="s">
        <v>66</v>
      </c>
      <c r="G49" s="134">
        <f ca="1">Count!Q73</f>
        <v>0</v>
      </c>
      <c r="H49" s="309"/>
      <c r="I49" s="310"/>
      <c r="J49" s="310"/>
      <c r="K49" s="310"/>
      <c r="L49" s="310"/>
      <c r="M49" s="310"/>
      <c r="N49" s="310"/>
      <c r="O49" s="310"/>
      <c r="P49" s="310"/>
      <c r="Q49" s="311"/>
    </row>
    <row r="50" spans="2:17" x14ac:dyDescent="0.2">
      <c r="B50" s="117"/>
      <c r="C50" s="71"/>
      <c r="D50" s="118"/>
      <c r="E50" s="119"/>
      <c r="F50" s="132" t="s">
        <v>67</v>
      </c>
      <c r="G50" s="135">
        <f>ROUNDUP(Count!O73,0)</f>
        <v>0</v>
      </c>
      <c r="H50" s="309"/>
      <c r="I50" s="310"/>
      <c r="J50" s="310"/>
      <c r="K50" s="310"/>
      <c r="L50" s="310"/>
      <c r="M50" s="310"/>
      <c r="N50" s="310"/>
      <c r="O50" s="310"/>
      <c r="P50" s="310"/>
      <c r="Q50" s="311"/>
    </row>
    <row r="51" spans="2:17" x14ac:dyDescent="0.2">
      <c r="B51" s="114"/>
      <c r="C51" s="122"/>
      <c r="D51" s="123"/>
      <c r="E51" s="119"/>
      <c r="F51" s="132" t="s">
        <v>68</v>
      </c>
      <c r="G51" s="135">
        <f>ROUNDUP(Count!P73,0)</f>
        <v>0</v>
      </c>
      <c r="H51" s="312"/>
      <c r="I51" s="313"/>
      <c r="J51" s="313"/>
      <c r="K51" s="313"/>
      <c r="L51" s="313"/>
      <c r="M51" s="313"/>
      <c r="N51" s="313"/>
      <c r="O51" s="313"/>
      <c r="P51" s="313"/>
      <c r="Q51" s="314"/>
    </row>
    <row r="52" spans="2:17" ht="12" thickBot="1" x14ac:dyDescent="0.25">
      <c r="B52" s="125" t="s">
        <v>60</v>
      </c>
      <c r="C52" s="126"/>
      <c r="D52" s="126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37"/>
      <c r="Q52" s="75"/>
    </row>
    <row r="53" spans="2:17" ht="30.75" customHeight="1" x14ac:dyDescent="0.2"/>
    <row r="54" spans="2:17" x14ac:dyDescent="0.2">
      <c r="B54" s="321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</row>
    <row r="55" spans="2:17" x14ac:dyDescent="0.2">
      <c r="B55" s="322"/>
      <c r="C55" s="322"/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</row>
    <row r="56" spans="2:17" x14ac:dyDescent="0.2">
      <c r="B56" s="322"/>
      <c r="C56" s="322"/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2"/>
      <c r="P56" s="322"/>
      <c r="Q56" s="322"/>
    </row>
    <row r="57" spans="2:17" x14ac:dyDescent="0.2">
      <c r="B57" s="322"/>
      <c r="C57" s="322"/>
      <c r="D57" s="322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</row>
    <row r="58" spans="2:17" x14ac:dyDescent="0.2">
      <c r="B58" s="322"/>
      <c r="C58" s="322"/>
      <c r="D58" s="32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</row>
    <row r="59" spans="2:17" x14ac:dyDescent="0.2">
      <c r="B59" s="322"/>
      <c r="C59" s="322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</row>
    <row r="60" spans="2:17" x14ac:dyDescent="0.2">
      <c r="B60" s="322"/>
      <c r="C60" s="322"/>
      <c r="D60" s="322"/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22"/>
      <c r="Q60" s="322"/>
    </row>
    <row r="61" spans="2:17" x14ac:dyDescent="0.2">
      <c r="B61" s="322"/>
      <c r="C61" s="322"/>
      <c r="D61" s="322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22"/>
      <c r="Q61" s="322"/>
    </row>
    <row r="62" spans="2:17" x14ac:dyDescent="0.2">
      <c r="B62" s="322"/>
      <c r="C62" s="322"/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</row>
    <row r="63" spans="2:17" x14ac:dyDescent="0.2"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</row>
    <row r="64" spans="2:17" x14ac:dyDescent="0.2">
      <c r="B64" s="322"/>
      <c r="C64" s="322"/>
      <c r="D64" s="322"/>
      <c r="E64" s="322"/>
      <c r="F64" s="322"/>
      <c r="G64" s="322"/>
      <c r="H64" s="322"/>
      <c r="I64" s="322"/>
      <c r="J64" s="322"/>
      <c r="K64" s="322"/>
      <c r="L64" s="322"/>
      <c r="M64" s="322"/>
      <c r="N64" s="322"/>
      <c r="O64" s="322"/>
      <c r="P64" s="322"/>
      <c r="Q64" s="322"/>
    </row>
    <row r="65" spans="2:17" x14ac:dyDescent="0.2">
      <c r="B65" s="322"/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</row>
    <row r="66" spans="2:17" x14ac:dyDescent="0.2">
      <c r="B66" s="322"/>
      <c r="C66" s="322"/>
      <c r="D66" s="322"/>
      <c r="E66" s="322"/>
      <c r="F66" s="322"/>
      <c r="G66" s="322"/>
      <c r="H66" s="322"/>
      <c r="I66" s="322"/>
      <c r="J66" s="322"/>
      <c r="K66" s="322"/>
      <c r="L66" s="322"/>
      <c r="M66" s="322"/>
      <c r="N66" s="322"/>
      <c r="O66" s="322"/>
      <c r="P66" s="322"/>
      <c r="Q66" s="322"/>
    </row>
    <row r="67" spans="2:17" x14ac:dyDescent="0.2">
      <c r="B67" s="322"/>
      <c r="C67" s="322"/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</row>
    <row r="68" spans="2:17" x14ac:dyDescent="0.2">
      <c r="B68" s="322"/>
      <c r="C68" s="322"/>
      <c r="D68" s="322"/>
      <c r="E68" s="322"/>
      <c r="F68" s="322"/>
      <c r="G68" s="322"/>
      <c r="H68" s="322"/>
      <c r="I68" s="322"/>
      <c r="J68" s="322"/>
      <c r="K68" s="322"/>
      <c r="L68" s="322"/>
      <c r="M68" s="322"/>
      <c r="N68" s="322"/>
      <c r="O68" s="322"/>
      <c r="P68" s="322"/>
      <c r="Q68" s="322"/>
    </row>
    <row r="69" spans="2:17" x14ac:dyDescent="0.2">
      <c r="B69" s="322"/>
      <c r="C69" s="322"/>
      <c r="D69" s="322"/>
      <c r="E69" s="322"/>
      <c r="F69" s="322"/>
      <c r="G69" s="322"/>
      <c r="H69" s="322"/>
      <c r="I69" s="322"/>
      <c r="J69" s="322"/>
      <c r="K69" s="322"/>
      <c r="L69" s="322"/>
      <c r="M69" s="322"/>
      <c r="N69" s="322"/>
      <c r="O69" s="322"/>
      <c r="P69" s="322"/>
      <c r="Q69" s="322"/>
    </row>
    <row r="70" spans="2:17" x14ac:dyDescent="0.2">
      <c r="B70" s="322"/>
      <c r="C70" s="322"/>
      <c r="D70" s="322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2"/>
      <c r="P70" s="322"/>
      <c r="Q70" s="322"/>
    </row>
    <row r="71" spans="2:17" x14ac:dyDescent="0.2"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</row>
    <row r="72" spans="2:17" x14ac:dyDescent="0.2">
      <c r="B72" s="322"/>
      <c r="C72" s="322"/>
      <c r="D72" s="322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  <c r="P72" s="322"/>
      <c r="Q72" s="322"/>
    </row>
    <row r="73" spans="2:17" x14ac:dyDescent="0.2">
      <c r="B73" s="322"/>
      <c r="C73" s="322"/>
      <c r="D73" s="322"/>
      <c r="E73" s="322"/>
      <c r="F73" s="322"/>
      <c r="G73" s="322"/>
      <c r="H73" s="322"/>
      <c r="I73" s="322"/>
      <c r="J73" s="322"/>
      <c r="K73" s="322"/>
      <c r="L73" s="322"/>
      <c r="M73" s="322"/>
      <c r="N73" s="322"/>
      <c r="O73" s="322"/>
      <c r="P73" s="322"/>
      <c r="Q73" s="322"/>
    </row>
    <row r="74" spans="2:17" x14ac:dyDescent="0.2">
      <c r="B74" s="322"/>
      <c r="C74" s="322"/>
      <c r="D74" s="322"/>
      <c r="E74" s="322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</row>
    <row r="75" spans="2:17" x14ac:dyDescent="0.2">
      <c r="B75" s="322"/>
      <c r="C75" s="322"/>
      <c r="D75" s="322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2"/>
      <c r="Q75" s="322"/>
    </row>
    <row r="76" spans="2:17" x14ac:dyDescent="0.2">
      <c r="B76" s="322"/>
      <c r="C76" s="322"/>
      <c r="D76" s="322"/>
      <c r="E76" s="322"/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</row>
    <row r="77" spans="2:17" x14ac:dyDescent="0.2">
      <c r="B77" s="322"/>
      <c r="C77" s="322"/>
      <c r="D77" s="322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</row>
    <row r="78" spans="2:17" x14ac:dyDescent="0.2">
      <c r="B78" s="322"/>
      <c r="C78" s="322"/>
      <c r="D78" s="322"/>
      <c r="E78" s="322"/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2"/>
      <c r="Q78" s="322"/>
    </row>
    <row r="79" spans="2:17" x14ac:dyDescent="0.2">
      <c r="B79" s="322"/>
      <c r="C79" s="322"/>
      <c r="D79" s="322"/>
      <c r="E79" s="322"/>
      <c r="F79" s="322"/>
      <c r="G79" s="322"/>
      <c r="H79" s="322"/>
      <c r="I79" s="322"/>
      <c r="J79" s="322"/>
      <c r="K79" s="322"/>
      <c r="L79" s="322"/>
      <c r="M79" s="322"/>
      <c r="N79" s="322"/>
      <c r="O79" s="322"/>
      <c r="P79" s="322"/>
      <c r="Q79" s="322"/>
    </row>
    <row r="80" spans="2:17" x14ac:dyDescent="0.2">
      <c r="B80" s="322"/>
      <c r="C80" s="322"/>
      <c r="D80" s="322"/>
      <c r="E80" s="322"/>
      <c r="F80" s="322"/>
      <c r="G80" s="322"/>
      <c r="H80" s="322"/>
      <c r="I80" s="322"/>
      <c r="J80" s="322"/>
      <c r="K80" s="322"/>
      <c r="L80" s="322"/>
      <c r="M80" s="322"/>
      <c r="N80" s="322"/>
      <c r="O80" s="322"/>
      <c r="P80" s="322"/>
      <c r="Q80" s="322"/>
    </row>
    <row r="81" spans="2:17" x14ac:dyDescent="0.2">
      <c r="B81" s="322"/>
      <c r="C81" s="322"/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</row>
    <row r="82" spans="2:17" x14ac:dyDescent="0.2">
      <c r="B82" s="322"/>
      <c r="C82" s="322"/>
      <c r="D82" s="322"/>
      <c r="E82" s="322"/>
      <c r="F82" s="322"/>
      <c r="G82" s="322"/>
      <c r="H82" s="322"/>
      <c r="I82" s="322"/>
      <c r="J82" s="322"/>
      <c r="K82" s="322"/>
      <c r="L82" s="322"/>
      <c r="M82" s="322"/>
      <c r="N82" s="322"/>
      <c r="O82" s="322"/>
      <c r="P82" s="322"/>
      <c r="Q82" s="322"/>
    </row>
    <row r="83" spans="2:17" x14ac:dyDescent="0.2">
      <c r="B83" s="322"/>
      <c r="C83" s="322"/>
      <c r="D83" s="322"/>
      <c r="E83" s="322"/>
      <c r="F83" s="322"/>
      <c r="G83" s="322"/>
      <c r="H83" s="322"/>
      <c r="I83" s="322"/>
      <c r="J83" s="322"/>
      <c r="K83" s="322"/>
      <c r="L83" s="322"/>
      <c r="M83" s="322"/>
      <c r="N83" s="322"/>
      <c r="O83" s="322"/>
      <c r="P83" s="322"/>
      <c r="Q83" s="322"/>
    </row>
    <row r="84" spans="2:17" x14ac:dyDescent="0.2">
      <c r="B84" s="322"/>
      <c r="C84" s="322"/>
      <c r="D84" s="322"/>
      <c r="E84" s="322"/>
      <c r="F84" s="322"/>
      <c r="G84" s="322"/>
      <c r="H84" s="322"/>
      <c r="I84" s="322"/>
      <c r="J84" s="322"/>
      <c r="K84" s="322"/>
      <c r="L84" s="322"/>
      <c r="M84" s="322"/>
      <c r="N84" s="322"/>
      <c r="O84" s="322"/>
      <c r="P84" s="322"/>
      <c r="Q84" s="322"/>
    </row>
    <row r="85" spans="2:17" x14ac:dyDescent="0.2">
      <c r="B85" s="322"/>
      <c r="C85" s="322"/>
      <c r="D85" s="322"/>
      <c r="E85" s="322"/>
      <c r="F85" s="322"/>
      <c r="G85" s="322"/>
      <c r="H85" s="322"/>
      <c r="I85" s="322"/>
      <c r="J85" s="322"/>
      <c r="K85" s="322"/>
      <c r="L85" s="322"/>
      <c r="M85" s="322"/>
      <c r="N85" s="322"/>
      <c r="O85" s="322"/>
      <c r="P85" s="322"/>
      <c r="Q85" s="322"/>
    </row>
    <row r="86" spans="2:17" x14ac:dyDescent="0.2">
      <c r="B86" s="322"/>
      <c r="C86" s="322"/>
      <c r="D86" s="322"/>
      <c r="E86" s="322"/>
      <c r="F86" s="322"/>
      <c r="G86" s="322"/>
      <c r="H86" s="322"/>
      <c r="I86" s="322"/>
      <c r="J86" s="322"/>
      <c r="K86" s="322"/>
      <c r="L86" s="322"/>
      <c r="M86" s="322"/>
      <c r="N86" s="322"/>
      <c r="O86" s="322"/>
      <c r="P86" s="322"/>
      <c r="Q86" s="322"/>
    </row>
    <row r="87" spans="2:17" x14ac:dyDescent="0.2">
      <c r="B87" s="322"/>
      <c r="C87" s="322"/>
      <c r="D87" s="322"/>
      <c r="E87" s="322"/>
      <c r="F87" s="322"/>
      <c r="G87" s="322"/>
      <c r="H87" s="322"/>
      <c r="I87" s="322"/>
      <c r="J87" s="322"/>
      <c r="K87" s="322"/>
      <c r="L87" s="322"/>
      <c r="M87" s="322"/>
      <c r="N87" s="322"/>
      <c r="O87" s="322"/>
      <c r="P87" s="322"/>
      <c r="Q87" s="322"/>
    </row>
    <row r="88" spans="2:17" x14ac:dyDescent="0.2">
      <c r="B88" s="322"/>
      <c r="C88" s="322"/>
      <c r="D88" s="322"/>
      <c r="E88" s="322"/>
      <c r="F88" s="322"/>
      <c r="G88" s="322"/>
      <c r="H88" s="322"/>
      <c r="I88" s="322"/>
      <c r="J88" s="322"/>
      <c r="K88" s="322"/>
      <c r="L88" s="322"/>
      <c r="M88" s="322"/>
      <c r="N88" s="322"/>
      <c r="O88" s="322"/>
      <c r="P88" s="322"/>
      <c r="Q88" s="322"/>
    </row>
    <row r="89" spans="2:17" x14ac:dyDescent="0.2">
      <c r="B89" s="322"/>
      <c r="C89" s="322"/>
      <c r="D89" s="322"/>
      <c r="E89" s="322"/>
      <c r="F89" s="322"/>
      <c r="G89" s="322"/>
      <c r="H89" s="322"/>
      <c r="I89" s="322"/>
      <c r="J89" s="322"/>
      <c r="K89" s="322"/>
      <c r="L89" s="322"/>
      <c r="M89" s="322"/>
      <c r="N89" s="322"/>
      <c r="O89" s="322"/>
      <c r="P89" s="322"/>
      <c r="Q89" s="322"/>
    </row>
  </sheetData>
  <sheetProtection algorithmName="SHA-512" hashValue="s3ZbeeoDBvrjCeAII2mXX7eCOGCfQz3DPd0Q6rxvk+JI8kGpKzgalcfAXNrRNR8AscPgu2Dr0M3IpkA5FQciCQ==" saltValue="moRaB4cLJf5EHZRRw9W3Ow==" spinCount="100000" sheet="1" selectLockedCells="1"/>
  <customSheetViews>
    <customSheetView guid="{FF105486-337B-4F9D-974B-49C037148D9B}" scale="105" fitToPage="1" hiddenRows="1">
      <selection activeCell="B3" sqref="B3:K3"/>
      <pageMargins left="0.7" right="0.7" top="0.75" bottom="0.75" header="0.3" footer="0.3"/>
      <pageSetup scale="74" orientation="portrait" verticalDpi="300" r:id="rId1"/>
      <headerFooter alignWithMargins="0">
        <oddFooter>&amp;L&amp;"Arial,Italic"www.ara4help.com &amp;D</oddFooter>
      </headerFooter>
    </customSheetView>
    <customSheetView guid="{96D8A50A-96D4-4A72-9572-2CD989544578}" scale="105" showGridLines="0" showRowCol="0" fitToPage="1" hiddenRows="1">
      <selection activeCell="F12" sqref="F12"/>
      <pageMargins left="0.6" right="0.55000000000000004" top="0.85" bottom="0.87" header="0.5" footer="0.5"/>
      <pageSetup scale="77" orientation="portrait" verticalDpi="300" r:id="rId2"/>
      <headerFooter alignWithMargins="0">
        <oddFooter>&amp;L&amp;"Arial,Italic"Ara Sargsyan &amp;D</oddFooter>
      </headerFooter>
    </customSheetView>
    <customSheetView guid="{FE69FE72-605C-46E9-A1C5-BEF8735596CB}" scale="120" showGridLines="0" showRowCol="0" hiddenRows="1">
      <selection activeCell="F12" sqref="F12"/>
      <pageMargins left="0.6" right="0.55000000000000004" top="1" bottom="1" header="0.5" footer="0.5"/>
      <pageSetup orientation="landscape" horizontalDpi="0" verticalDpi="0" r:id="rId3"/>
      <headerFooter alignWithMargins="0">
        <oddFooter>&amp;L&amp;"Arial,Italic"Ara Sargsyan &amp;D</oddFooter>
      </headerFooter>
    </customSheetView>
    <customSheetView guid="{2B6667DB-A691-4F19-97E8-D67F3ED6538B}" scale="105" showGridLines="0" showRowCol="0" fitToPage="1" hiddenRows="1">
      <selection activeCell="F12" sqref="F12"/>
      <pageMargins left="0.6" right="0.55000000000000004" top="0.85" bottom="0.87" header="0.5" footer="0.5"/>
      <pageSetup scale="77" orientation="portrait" verticalDpi="300" r:id="rId4"/>
      <headerFooter alignWithMargins="0">
        <oddFooter>&amp;L&amp;"Arial,Italic"Ara Sargsyan &amp;D</oddFooter>
      </headerFooter>
    </customSheetView>
  </customSheetViews>
  <mergeCells count="37">
    <mergeCell ref="B3:K3"/>
    <mergeCell ref="B54:Q89"/>
    <mergeCell ref="H48:Q51"/>
    <mergeCell ref="H46:H47"/>
    <mergeCell ref="P21:P22"/>
    <mergeCell ref="Q21:Q22"/>
    <mergeCell ref="H21:H22"/>
    <mergeCell ref="H25:Q28"/>
    <mergeCell ref="H34:H35"/>
    <mergeCell ref="I34:L34"/>
    <mergeCell ref="I44:L44"/>
    <mergeCell ref="M34:O34"/>
    <mergeCell ref="J46:J47"/>
    <mergeCell ref="M8:O8"/>
    <mergeCell ref="H12:Q15"/>
    <mergeCell ref="H8:H9"/>
    <mergeCell ref="I8:L8"/>
    <mergeCell ref="P8:P9"/>
    <mergeCell ref="M21:O21"/>
    <mergeCell ref="P34:P35"/>
    <mergeCell ref="Q34:Q35"/>
    <mergeCell ref="O2:Q2"/>
    <mergeCell ref="I46:I47"/>
    <mergeCell ref="K46:K47"/>
    <mergeCell ref="L46:L47"/>
    <mergeCell ref="M46:M47"/>
    <mergeCell ref="N46:N47"/>
    <mergeCell ref="O46:O47"/>
    <mergeCell ref="I21:L21"/>
    <mergeCell ref="Q8:Q9"/>
    <mergeCell ref="Q46:Q47"/>
    <mergeCell ref="P46:P47"/>
    <mergeCell ref="Q44:Q45"/>
    <mergeCell ref="H38:Q41"/>
    <mergeCell ref="P44:P45"/>
    <mergeCell ref="H44:H45"/>
    <mergeCell ref="M44:O44"/>
  </mergeCells>
  <phoneticPr fontId="3" type="noConversion"/>
  <conditionalFormatting sqref="G10 G12 F14:G15">
    <cfRule type="expression" dxfId="13" priority="1" stopIfTrue="1">
      <formula>$B$10&lt;&gt;""</formula>
    </cfRule>
  </conditionalFormatting>
  <conditionalFormatting sqref="G23 F27:G28 G25">
    <cfRule type="expression" dxfId="12" priority="2" stopIfTrue="1">
      <formula>$B$23&lt;&gt;""</formula>
    </cfRule>
  </conditionalFormatting>
  <conditionalFormatting sqref="G36 F40:G41 G38">
    <cfRule type="expression" dxfId="11" priority="3" stopIfTrue="1">
      <formula>$B$36&lt;&gt;""</formula>
    </cfRule>
  </conditionalFormatting>
  <conditionalFormatting sqref="E13 E26 E39">
    <cfRule type="cellIs" dxfId="10" priority="4" stopIfTrue="1" operator="equal">
      <formula>0</formula>
    </cfRule>
  </conditionalFormatting>
  <conditionalFormatting sqref="E12 E25 E38">
    <cfRule type="cellIs" dxfId="9" priority="6" stopIfTrue="1" operator="equal">
      <formula>0</formula>
    </cfRule>
  </conditionalFormatting>
  <conditionalFormatting sqref="F13">
    <cfRule type="expression" dxfId="8" priority="9" stopIfTrue="1">
      <formula>$E$13=" "</formula>
    </cfRule>
  </conditionalFormatting>
  <conditionalFormatting sqref="F26">
    <cfRule type="expression" dxfId="7" priority="10" stopIfTrue="1">
      <formula>$E$26=" "</formula>
    </cfRule>
  </conditionalFormatting>
  <conditionalFormatting sqref="F39">
    <cfRule type="expression" dxfId="6" priority="11" stopIfTrue="1">
      <formula>$E$39=" "</formula>
    </cfRule>
  </conditionalFormatting>
  <conditionalFormatting sqref="B3">
    <cfRule type="expression" dxfId="5" priority="12" stopIfTrue="1">
      <formula>$AI$3&lt;0</formula>
    </cfRule>
    <cfRule type="cellIs" dxfId="4" priority="13" stopIfTrue="1" operator="equal">
      <formula>"[project name]"</formula>
    </cfRule>
  </conditionalFormatting>
  <conditionalFormatting sqref="F38">
    <cfRule type="expression" dxfId="3" priority="24" stopIfTrue="1">
      <formula>$B$36&lt;&gt;""</formula>
    </cfRule>
  </conditionalFormatting>
  <conditionalFormatting sqref="F25">
    <cfRule type="expression" dxfId="2" priority="25" stopIfTrue="1">
      <formula>$B$23&lt;&gt;""</formula>
    </cfRule>
  </conditionalFormatting>
  <conditionalFormatting sqref="F12">
    <cfRule type="expression" dxfId="1" priority="26" stopIfTrue="1">
      <formula>$B$10&lt;&gt;""</formula>
    </cfRule>
  </conditionalFormatting>
  <hyperlinks>
    <hyperlink ref="O2" r:id="rId5"/>
  </hyperlinks>
  <pageMargins left="0.7" right="0.7" top="0.75" bottom="0.75" header="0.3" footer="0.3"/>
  <pageSetup scale="74" orientation="portrait" verticalDpi="300" r:id="rId6"/>
  <headerFooter alignWithMargins="0">
    <oddFooter>&amp;L&amp;"Arial,Italic"www.ara4help.com &amp;D</oddFooter>
  </headerFooter>
  <drawing r:id="rId7"/>
  <legacyDrawing r:id="rId8"/>
  <oleObjects>
    <mc:AlternateContent xmlns:mc="http://schemas.openxmlformats.org/markup-compatibility/2006">
      <mc:Choice Requires="x14">
        <oleObject progId="Word.Document.8" shapeId="1042" r:id="rId9">
          <objectPr defaultSize="0" r:id="rId10">
            <anchor moveWithCells="1">
              <from>
                <xdr:col>1</xdr:col>
                <xdr:colOff>38100</xdr:colOff>
                <xdr:row>53</xdr:row>
                <xdr:rowOff>57150</xdr:rowOff>
              </from>
              <to>
                <xdr:col>16</xdr:col>
                <xdr:colOff>361950</xdr:colOff>
                <xdr:row>89</xdr:row>
                <xdr:rowOff>95250</xdr:rowOff>
              </to>
            </anchor>
          </objectPr>
        </oleObject>
      </mc:Choice>
      <mc:Fallback>
        <oleObject progId="Word.Document.8" shapeId="1042" r:id="rId9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1" name="Drop Down 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123825</xdr:rowOff>
                  </from>
                  <to>
                    <xdr:col>5</xdr:col>
                    <xdr:colOff>476250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2" name="Drop Down 2">
              <controlPr defaultSize="0" autoLine="0" autoPict="0">
                <anchor moveWithCells="1">
                  <from>
                    <xdr:col>1</xdr:col>
                    <xdr:colOff>428625</xdr:colOff>
                    <xdr:row>7</xdr:row>
                    <xdr:rowOff>0</xdr:rowOff>
                  </from>
                  <to>
                    <xdr:col>5</xdr:col>
                    <xdr:colOff>619125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Drop Down 8">
              <controlPr defaultSize="0" autoLine="0" autoPict="0">
                <anchor moveWithCells="1">
                  <from>
                    <xdr:col>2</xdr:col>
                    <xdr:colOff>9525</xdr:colOff>
                    <xdr:row>21</xdr:row>
                    <xdr:rowOff>133350</xdr:rowOff>
                  </from>
                  <to>
                    <xdr:col>5</xdr:col>
                    <xdr:colOff>476250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Drop Down 9">
              <controlPr defaultSize="0" autoLine="0" autoPict="0">
                <anchor moveWithCells="1">
                  <from>
                    <xdr:col>1</xdr:col>
                    <xdr:colOff>428625</xdr:colOff>
                    <xdr:row>20</xdr:row>
                    <xdr:rowOff>19050</xdr:rowOff>
                  </from>
                  <to>
                    <xdr:col>5</xdr:col>
                    <xdr:colOff>619125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Drop Down 10">
              <controlPr defaultSize="0" autoLine="0" autoPict="0">
                <anchor moveWithCells="1">
                  <from>
                    <xdr:col>2</xdr:col>
                    <xdr:colOff>9525</xdr:colOff>
                    <xdr:row>35</xdr:row>
                    <xdr:rowOff>9525</xdr:rowOff>
                  </from>
                  <to>
                    <xdr:col>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Drop Down 11">
              <controlPr defaultSize="0" autoLine="0" autoPict="0">
                <anchor moveWithCells="1">
                  <from>
                    <xdr:col>1</xdr:col>
                    <xdr:colOff>428625</xdr:colOff>
                    <xdr:row>33</xdr:row>
                    <xdr:rowOff>38100</xdr:rowOff>
                  </from>
                  <to>
                    <xdr:col>5</xdr:col>
                    <xdr:colOff>619125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workbookViewId="0">
      <selection activeCell="O16" sqref="O16"/>
    </sheetView>
  </sheetViews>
  <sheetFormatPr defaultRowHeight="12.75" x14ac:dyDescent="0.2"/>
  <cols>
    <col min="1" max="1" width="36.5703125" style="171" customWidth="1"/>
    <col min="18" max="18" width="7.28515625" customWidth="1"/>
    <col min="22" max="22" width="55.42578125" customWidth="1"/>
  </cols>
  <sheetData>
    <row r="1" spans="1:32" ht="13.5" thickBot="1" x14ac:dyDescent="0.25">
      <c r="A1" s="163" t="s">
        <v>73</v>
      </c>
      <c r="B1" s="15">
        <f ca="1">IF(Count!B103&lt;0,99,1)</f>
        <v>1</v>
      </c>
      <c r="C1" t="s">
        <v>10</v>
      </c>
      <c r="D1" s="16"/>
      <c r="E1" s="16"/>
      <c r="F1" s="16"/>
      <c r="G1" s="16"/>
      <c r="H1" s="16" t="s">
        <v>10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>
        <v>1</v>
      </c>
      <c r="V1" s="229" t="s">
        <v>240</v>
      </c>
      <c r="W1" s="16"/>
      <c r="X1" s="16"/>
      <c r="Y1" s="16"/>
      <c r="Z1" s="16"/>
      <c r="AA1" s="16"/>
      <c r="AB1" s="16"/>
      <c r="AC1" s="16"/>
      <c r="AD1" s="16"/>
      <c r="AE1" s="16"/>
      <c r="AF1" s="1"/>
    </row>
    <row r="2" spans="1:32" x14ac:dyDescent="0.2">
      <c r="A2" s="164" t="s">
        <v>148</v>
      </c>
      <c r="B2">
        <f ca="1">B1+1</f>
        <v>2</v>
      </c>
      <c r="C2" s="13" t="s">
        <v>10</v>
      </c>
      <c r="D2" s="13"/>
      <c r="E2" s="13"/>
      <c r="F2" s="1"/>
      <c r="G2" s="1"/>
      <c r="H2" s="141" t="s">
        <v>170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217"/>
      <c r="U2" s="13">
        <f>U1+1</f>
        <v>2</v>
      </c>
      <c r="V2" s="164" t="s">
        <v>208</v>
      </c>
      <c r="W2" s="13"/>
      <c r="X2" s="13"/>
      <c r="Y2" s="13"/>
      <c r="Z2" s="13"/>
      <c r="AA2" s="13"/>
      <c r="AB2" s="13"/>
      <c r="AC2" s="13"/>
      <c r="AD2" s="13"/>
      <c r="AE2" s="13"/>
    </row>
    <row r="3" spans="1:32" x14ac:dyDescent="0.2">
      <c r="A3" s="165" t="s">
        <v>149</v>
      </c>
      <c r="B3">
        <f t="shared" ref="B3:B23" ca="1" si="0">B2+1</f>
        <v>3</v>
      </c>
      <c r="C3" s="13" t="s">
        <v>10</v>
      </c>
      <c r="D3" s="13"/>
      <c r="E3" s="14"/>
      <c r="F3" s="13"/>
      <c r="G3" s="13"/>
      <c r="H3" s="141" t="s">
        <v>254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>
        <f t="shared" ref="U3:U33" si="1">U2+1</f>
        <v>3</v>
      </c>
      <c r="V3" s="165" t="s">
        <v>209</v>
      </c>
      <c r="W3" s="13"/>
      <c r="X3" s="13"/>
      <c r="Y3" s="13"/>
      <c r="Z3" s="13"/>
      <c r="AA3" s="13"/>
      <c r="AB3" s="13"/>
      <c r="AC3" s="13"/>
      <c r="AD3" s="13"/>
      <c r="AE3" s="13"/>
    </row>
    <row r="4" spans="1:32" x14ac:dyDescent="0.2">
      <c r="A4" s="165" t="s">
        <v>150</v>
      </c>
      <c r="B4">
        <f t="shared" ca="1" si="0"/>
        <v>4</v>
      </c>
      <c r="C4" s="13" t="s">
        <v>10</v>
      </c>
      <c r="D4" s="13"/>
      <c r="E4" s="14"/>
      <c r="F4" s="13"/>
      <c r="G4" s="13"/>
      <c r="H4" s="141" t="s">
        <v>170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>
        <f t="shared" si="1"/>
        <v>4</v>
      </c>
      <c r="V4" s="165" t="s">
        <v>210</v>
      </c>
      <c r="W4" s="13"/>
      <c r="X4" s="13"/>
      <c r="Y4" s="13"/>
      <c r="Z4" s="13"/>
      <c r="AA4" s="13"/>
      <c r="AB4" s="13"/>
      <c r="AC4" s="13"/>
      <c r="AD4" s="13"/>
      <c r="AE4" s="13"/>
    </row>
    <row r="5" spans="1:32" x14ac:dyDescent="0.2">
      <c r="A5" s="165" t="s">
        <v>151</v>
      </c>
      <c r="B5">
        <f t="shared" ca="1" si="0"/>
        <v>5</v>
      </c>
      <c r="C5" t="s">
        <v>10</v>
      </c>
      <c r="E5" s="2"/>
      <c r="H5" s="141" t="s">
        <v>170</v>
      </c>
      <c r="T5" s="13"/>
      <c r="U5" s="13">
        <f t="shared" si="1"/>
        <v>5</v>
      </c>
      <c r="V5" s="165" t="s">
        <v>211</v>
      </c>
    </row>
    <row r="6" spans="1:32" x14ac:dyDescent="0.2">
      <c r="A6" s="165" t="s">
        <v>152</v>
      </c>
      <c r="B6">
        <f t="shared" ca="1" si="0"/>
        <v>6</v>
      </c>
      <c r="E6" s="2"/>
      <c r="H6" s="141" t="s">
        <v>170</v>
      </c>
      <c r="T6" s="13"/>
      <c r="U6" s="13">
        <f t="shared" si="1"/>
        <v>6</v>
      </c>
      <c r="V6" s="165" t="s">
        <v>212</v>
      </c>
    </row>
    <row r="7" spans="1:32" x14ac:dyDescent="0.2">
      <c r="A7" s="165" t="s">
        <v>153</v>
      </c>
      <c r="B7">
        <f t="shared" ca="1" si="0"/>
        <v>7</v>
      </c>
      <c r="E7" s="2"/>
      <c r="H7" s="141" t="s">
        <v>170</v>
      </c>
      <c r="T7" s="13"/>
      <c r="U7" s="13">
        <f t="shared" si="1"/>
        <v>7</v>
      </c>
      <c r="V7" s="165" t="s">
        <v>213</v>
      </c>
    </row>
    <row r="8" spans="1:32" x14ac:dyDescent="0.2">
      <c r="A8" s="165" t="s">
        <v>154</v>
      </c>
      <c r="B8">
        <f t="shared" ca="1" si="0"/>
        <v>8</v>
      </c>
      <c r="C8" t="s">
        <v>10</v>
      </c>
      <c r="E8" s="2"/>
      <c r="H8" s="141" t="s">
        <v>170</v>
      </c>
      <c r="T8" s="13"/>
      <c r="U8" s="13">
        <f t="shared" si="1"/>
        <v>8</v>
      </c>
      <c r="V8" s="165" t="s">
        <v>214</v>
      </c>
    </row>
    <row r="9" spans="1:32" x14ac:dyDescent="0.2">
      <c r="A9" s="165" t="s">
        <v>155</v>
      </c>
      <c r="B9">
        <f t="shared" ca="1" si="0"/>
        <v>9</v>
      </c>
      <c r="E9" s="2"/>
      <c r="H9" s="141" t="s">
        <v>254</v>
      </c>
      <c r="T9" s="13"/>
      <c r="U9" s="13">
        <f t="shared" si="1"/>
        <v>9</v>
      </c>
      <c r="V9" s="165" t="s">
        <v>215</v>
      </c>
    </row>
    <row r="10" spans="1:32" x14ac:dyDescent="0.2">
      <c r="A10" s="165" t="s">
        <v>156</v>
      </c>
      <c r="B10">
        <f t="shared" ca="1" si="0"/>
        <v>10</v>
      </c>
      <c r="H10" s="141" t="s">
        <v>255</v>
      </c>
      <c r="T10" s="13"/>
      <c r="U10" s="13">
        <f t="shared" si="1"/>
        <v>10</v>
      </c>
      <c r="V10" s="165" t="s">
        <v>216</v>
      </c>
    </row>
    <row r="11" spans="1:32" x14ac:dyDescent="0.2">
      <c r="A11" s="165" t="s">
        <v>172</v>
      </c>
      <c r="B11">
        <f t="shared" ca="1" si="0"/>
        <v>11</v>
      </c>
      <c r="C11" t="s">
        <v>173</v>
      </c>
      <c r="F11" t="s">
        <v>49</v>
      </c>
      <c r="H11" s="141" t="s">
        <v>72</v>
      </c>
      <c r="T11" s="13"/>
      <c r="U11" s="13">
        <f t="shared" si="1"/>
        <v>11</v>
      </c>
      <c r="V11" s="165" t="s">
        <v>217</v>
      </c>
    </row>
    <row r="12" spans="1:32" x14ac:dyDescent="0.2">
      <c r="A12" s="165" t="s">
        <v>158</v>
      </c>
      <c r="B12">
        <f t="shared" ca="1" si="0"/>
        <v>12</v>
      </c>
      <c r="C12" t="s">
        <v>10</v>
      </c>
      <c r="H12" s="141" t="s">
        <v>72</v>
      </c>
      <c r="T12" s="13"/>
      <c r="U12" s="13">
        <f t="shared" si="1"/>
        <v>12</v>
      </c>
      <c r="V12" s="165" t="s">
        <v>218</v>
      </c>
    </row>
    <row r="13" spans="1:32" x14ac:dyDescent="0.2">
      <c r="A13" s="165" t="s">
        <v>159</v>
      </c>
      <c r="B13">
        <f t="shared" ca="1" si="0"/>
        <v>13</v>
      </c>
      <c r="C13" t="s">
        <v>3</v>
      </c>
      <c r="F13" t="s">
        <v>49</v>
      </c>
      <c r="H13" s="141" t="s">
        <v>10</v>
      </c>
      <c r="T13" s="13"/>
      <c r="U13" s="13">
        <f t="shared" si="1"/>
        <v>13</v>
      </c>
      <c r="V13" s="165" t="s">
        <v>219</v>
      </c>
    </row>
    <row r="14" spans="1:32" x14ac:dyDescent="0.2">
      <c r="A14" s="165" t="s">
        <v>160</v>
      </c>
      <c r="B14">
        <f t="shared" ca="1" si="0"/>
        <v>14</v>
      </c>
      <c r="C14" s="215" t="s">
        <v>10</v>
      </c>
      <c r="D14" s="215"/>
      <c r="E14" s="215"/>
      <c r="F14" s="215"/>
      <c r="G14" s="215"/>
      <c r="H14" s="141" t="s">
        <v>170</v>
      </c>
      <c r="I14" s="215"/>
      <c r="J14" s="215"/>
      <c r="K14" s="215"/>
      <c r="L14" s="215"/>
      <c r="M14" s="215"/>
      <c r="N14" s="215"/>
      <c r="O14" s="215"/>
      <c r="T14" s="13"/>
      <c r="U14" s="13">
        <f t="shared" si="1"/>
        <v>14</v>
      </c>
      <c r="V14" s="165" t="s">
        <v>220</v>
      </c>
    </row>
    <row r="15" spans="1:32" x14ac:dyDescent="0.2">
      <c r="A15" s="165" t="s">
        <v>161</v>
      </c>
      <c r="B15">
        <f t="shared" ca="1" si="0"/>
        <v>15</v>
      </c>
      <c r="C15" s="215" t="s">
        <v>10</v>
      </c>
      <c r="D15" s="215"/>
      <c r="E15" s="215"/>
      <c r="F15" s="215"/>
      <c r="G15" s="215"/>
      <c r="H15" s="215" t="s">
        <v>10</v>
      </c>
      <c r="I15" s="215"/>
      <c r="J15" s="215"/>
      <c r="K15" s="215"/>
      <c r="L15" s="215"/>
      <c r="M15" s="215"/>
      <c r="N15" s="215"/>
      <c r="O15" s="215"/>
      <c r="T15" s="13"/>
      <c r="U15" s="13">
        <f t="shared" si="1"/>
        <v>15</v>
      </c>
      <c r="V15" s="165" t="s">
        <v>221</v>
      </c>
    </row>
    <row r="16" spans="1:32" x14ac:dyDescent="0.2">
      <c r="A16" s="165" t="s">
        <v>162</v>
      </c>
      <c r="B16">
        <f t="shared" ca="1" si="0"/>
        <v>16</v>
      </c>
      <c r="C16" s="215" t="s">
        <v>10</v>
      </c>
      <c r="D16" s="215"/>
      <c r="E16" s="215"/>
      <c r="F16" s="215"/>
      <c r="G16" s="215"/>
      <c r="H16" s="141" t="s">
        <v>170</v>
      </c>
      <c r="I16" s="215"/>
      <c r="J16" s="215"/>
      <c r="K16" s="215"/>
      <c r="L16" s="215"/>
      <c r="M16" s="215"/>
      <c r="N16" s="215"/>
      <c r="O16" s="215"/>
      <c r="T16" s="13"/>
      <c r="U16" s="13">
        <f t="shared" si="1"/>
        <v>16</v>
      </c>
      <c r="V16" s="165" t="s">
        <v>222</v>
      </c>
    </row>
    <row r="17" spans="1:22" x14ac:dyDescent="0.2">
      <c r="A17" s="165" t="s">
        <v>163</v>
      </c>
      <c r="B17">
        <f t="shared" ca="1" si="0"/>
        <v>17</v>
      </c>
      <c r="C17" s="215"/>
      <c r="D17" s="215"/>
      <c r="E17" s="215"/>
      <c r="F17" s="215"/>
      <c r="G17" s="215"/>
      <c r="H17" s="141" t="s">
        <v>170</v>
      </c>
      <c r="I17" s="215"/>
      <c r="J17" s="215"/>
      <c r="K17" s="215"/>
      <c r="L17" s="215"/>
      <c r="M17" s="215"/>
      <c r="N17" s="215"/>
      <c r="O17" s="215"/>
      <c r="T17" s="13"/>
      <c r="U17" s="13">
        <f t="shared" si="1"/>
        <v>17</v>
      </c>
      <c r="V17" s="165" t="s">
        <v>223</v>
      </c>
    </row>
    <row r="18" spans="1:22" x14ac:dyDescent="0.2">
      <c r="A18" s="165" t="s">
        <v>164</v>
      </c>
      <c r="B18">
        <f t="shared" ca="1" si="0"/>
        <v>18</v>
      </c>
      <c r="C18" s="215"/>
      <c r="D18" s="215"/>
      <c r="E18" s="215"/>
      <c r="F18" s="215"/>
      <c r="G18" s="215"/>
      <c r="H18" s="141" t="s">
        <v>170</v>
      </c>
      <c r="I18" s="215"/>
      <c r="J18" s="215"/>
      <c r="K18" s="215"/>
      <c r="L18" s="215"/>
      <c r="M18" s="215"/>
      <c r="N18" s="215"/>
      <c r="O18" s="215"/>
      <c r="T18" s="13"/>
      <c r="U18" s="13">
        <f t="shared" si="1"/>
        <v>18</v>
      </c>
      <c r="V18" s="165" t="s">
        <v>224</v>
      </c>
    </row>
    <row r="19" spans="1:22" x14ac:dyDescent="0.2">
      <c r="A19" s="165" t="s">
        <v>165</v>
      </c>
      <c r="B19">
        <f t="shared" ca="1" si="0"/>
        <v>19</v>
      </c>
      <c r="C19" s="215" t="s">
        <v>10</v>
      </c>
      <c r="D19" s="215"/>
      <c r="E19" s="215"/>
      <c r="F19" s="215"/>
      <c r="G19" s="215"/>
      <c r="H19" s="215" t="s">
        <v>10</v>
      </c>
      <c r="I19" s="215"/>
      <c r="J19" s="215"/>
      <c r="K19" s="215"/>
      <c r="L19" s="215"/>
      <c r="M19" s="215"/>
      <c r="N19" s="215"/>
      <c r="O19" s="215"/>
      <c r="T19" s="13"/>
      <c r="U19" s="13">
        <f t="shared" si="1"/>
        <v>19</v>
      </c>
      <c r="V19" s="165" t="s">
        <v>225</v>
      </c>
    </row>
    <row r="20" spans="1:22" x14ac:dyDescent="0.2">
      <c r="A20" s="165" t="s">
        <v>166</v>
      </c>
      <c r="B20">
        <f t="shared" ca="1" si="0"/>
        <v>20</v>
      </c>
      <c r="C20" t="s">
        <v>10</v>
      </c>
      <c r="H20" s="141" t="s">
        <v>170</v>
      </c>
      <c r="T20" s="13"/>
      <c r="U20" s="13">
        <f t="shared" si="1"/>
        <v>20</v>
      </c>
      <c r="V20" s="165" t="s">
        <v>226</v>
      </c>
    </row>
    <row r="21" spans="1:22" x14ac:dyDescent="0.2">
      <c r="A21" s="165" t="s">
        <v>167</v>
      </c>
      <c r="B21">
        <f t="shared" ca="1" si="0"/>
        <v>21</v>
      </c>
      <c r="C21" t="s">
        <v>10</v>
      </c>
      <c r="H21" s="141" t="s">
        <v>170</v>
      </c>
      <c r="T21" s="13"/>
      <c r="U21" s="13">
        <f t="shared" si="1"/>
        <v>21</v>
      </c>
      <c r="V21" s="165" t="s">
        <v>227</v>
      </c>
    </row>
    <row r="22" spans="1:22" x14ac:dyDescent="0.2">
      <c r="A22" s="165" t="s">
        <v>168</v>
      </c>
      <c r="B22">
        <f t="shared" ca="1" si="0"/>
        <v>22</v>
      </c>
      <c r="C22" t="s">
        <v>10</v>
      </c>
      <c r="H22" s="141" t="s">
        <v>170</v>
      </c>
      <c r="T22" s="13"/>
      <c r="U22" s="13">
        <f t="shared" si="1"/>
        <v>22</v>
      </c>
      <c r="V22" s="165" t="s">
        <v>228</v>
      </c>
    </row>
    <row r="23" spans="1:22" x14ac:dyDescent="0.2">
      <c r="A23" s="165" t="s">
        <v>169</v>
      </c>
      <c r="B23">
        <f t="shared" ca="1" si="0"/>
        <v>23</v>
      </c>
      <c r="C23" t="s">
        <v>10</v>
      </c>
      <c r="H23" s="141" t="s">
        <v>170</v>
      </c>
      <c r="T23" s="13"/>
      <c r="U23" s="13">
        <f t="shared" si="1"/>
        <v>23</v>
      </c>
      <c r="V23" s="165" t="s">
        <v>229</v>
      </c>
    </row>
    <row r="24" spans="1:22" x14ac:dyDescent="0.2">
      <c r="A24" s="165"/>
      <c r="C24" s="13"/>
      <c r="H24" t="s">
        <v>10</v>
      </c>
      <c r="U24" s="13">
        <f t="shared" si="1"/>
        <v>24</v>
      </c>
      <c r="V24" s="165" t="s">
        <v>230</v>
      </c>
    </row>
    <row r="25" spans="1:22" x14ac:dyDescent="0.2">
      <c r="A25" s="165"/>
      <c r="R25" s="138"/>
      <c r="U25" s="13">
        <f t="shared" si="1"/>
        <v>25</v>
      </c>
      <c r="V25" s="165" t="s">
        <v>231</v>
      </c>
    </row>
    <row r="26" spans="1:22" ht="13.5" thickBot="1" x14ac:dyDescent="0.25">
      <c r="A26" s="166"/>
      <c r="B26">
        <v>0</v>
      </c>
      <c r="F26" t="s">
        <v>10</v>
      </c>
      <c r="R26" s="139"/>
      <c r="U26" s="13">
        <f t="shared" si="1"/>
        <v>26</v>
      </c>
      <c r="V26" s="165" t="s">
        <v>232</v>
      </c>
    </row>
    <row r="27" spans="1:22" x14ac:dyDescent="0.2">
      <c r="A27" s="167" t="s">
        <v>2</v>
      </c>
      <c r="B27">
        <v>1</v>
      </c>
      <c r="C27" s="5"/>
      <c r="D27" s="6"/>
      <c r="E27" s="6" t="s">
        <v>10</v>
      </c>
      <c r="F27" t="s">
        <v>10</v>
      </c>
      <c r="R27" s="140"/>
      <c r="U27" s="13">
        <f t="shared" si="1"/>
        <v>27</v>
      </c>
      <c r="V27" s="165" t="s">
        <v>233</v>
      </c>
    </row>
    <row r="28" spans="1:22" x14ac:dyDescent="0.2">
      <c r="A28" s="177" t="s">
        <v>129</v>
      </c>
      <c r="B28">
        <f>B27+1</f>
        <v>2</v>
      </c>
      <c r="C28" s="4" t="s">
        <v>1</v>
      </c>
      <c r="D28" s="6">
        <v>1</v>
      </c>
      <c r="E28" s="6" t="s">
        <v>140</v>
      </c>
      <c r="F28" s="10" t="s">
        <v>48</v>
      </c>
      <c r="I28">
        <f>ROUNDUP(Plumbing!$F$12/Support!D28,0)</f>
        <v>0</v>
      </c>
      <c r="J28">
        <f>ROUNDUP(Plumbing!$F$25/Support!D28,0)</f>
        <v>0</v>
      </c>
      <c r="K28">
        <f>ROUNDUP(Plumbing!$F$38/Support!D28,0)</f>
        <v>0</v>
      </c>
      <c r="R28" s="139"/>
      <c r="U28" s="13">
        <f t="shared" si="1"/>
        <v>28</v>
      </c>
      <c r="V28" s="165" t="s">
        <v>234</v>
      </c>
    </row>
    <row r="29" spans="1:22" x14ac:dyDescent="0.2">
      <c r="A29" s="173" t="s">
        <v>101</v>
      </c>
      <c r="B29">
        <f t="shared" ref="B29:B40" si="2">B28+1</f>
        <v>3</v>
      </c>
      <c r="C29" s="4">
        <v>15</v>
      </c>
      <c r="D29" s="6">
        <v>15</v>
      </c>
      <c r="E29" s="6" t="s">
        <v>99</v>
      </c>
      <c r="F29" s="10" t="s">
        <v>100</v>
      </c>
      <c r="I29">
        <f>ROUNDUP(Plumbing!$F$12/Support!D29,0)</f>
        <v>0</v>
      </c>
      <c r="J29">
        <f>ROUNDUP(Plumbing!$F$25/Support!D29,0)</f>
        <v>0</v>
      </c>
      <c r="K29">
        <f>ROUNDUP(Plumbing!$F$38/Support!D29,0)</f>
        <v>0</v>
      </c>
      <c r="R29" s="140"/>
      <c r="U29" s="13">
        <f t="shared" si="1"/>
        <v>29</v>
      </c>
      <c r="V29" s="165" t="s">
        <v>235</v>
      </c>
    </row>
    <row r="30" spans="1:22" x14ac:dyDescent="0.2">
      <c r="A30" s="173" t="s">
        <v>102</v>
      </c>
      <c r="B30">
        <f t="shared" si="2"/>
        <v>4</v>
      </c>
      <c r="C30" s="4">
        <v>30</v>
      </c>
      <c r="D30" s="6">
        <v>30</v>
      </c>
      <c r="E30" s="6" t="s">
        <v>99</v>
      </c>
      <c r="F30" s="10" t="s">
        <v>100</v>
      </c>
      <c r="I30">
        <f>ROUNDUP(Plumbing!$F$12/Support!D30,0)</f>
        <v>0</v>
      </c>
      <c r="J30">
        <f>ROUNDUP(Plumbing!$F$25/Support!D30,0)</f>
        <v>0</v>
      </c>
      <c r="K30">
        <f>ROUNDUP(Plumbing!$F$38/Support!D30,0)</f>
        <v>0</v>
      </c>
      <c r="R30" s="140"/>
      <c r="U30" s="13">
        <f t="shared" si="1"/>
        <v>30</v>
      </c>
      <c r="V30" s="165" t="s">
        <v>236</v>
      </c>
    </row>
    <row r="31" spans="1:22" x14ac:dyDescent="0.2">
      <c r="A31" s="173" t="s">
        <v>103</v>
      </c>
      <c r="B31">
        <f t="shared" si="2"/>
        <v>5</v>
      </c>
      <c r="C31" s="4">
        <v>30</v>
      </c>
      <c r="D31" s="6">
        <v>30</v>
      </c>
      <c r="E31" s="6" t="s">
        <v>99</v>
      </c>
      <c r="F31" s="10" t="s">
        <v>100</v>
      </c>
      <c r="I31">
        <f>ROUNDUP(Plumbing!$F$12/Support!D31,0)</f>
        <v>0</v>
      </c>
      <c r="J31">
        <f>ROUNDUP(Plumbing!$F$25/Support!D31,0)</f>
        <v>0</v>
      </c>
      <c r="K31">
        <f>ROUNDUP(Plumbing!$F$38/Support!D31,0)</f>
        <v>0</v>
      </c>
      <c r="R31" s="140"/>
      <c r="U31" s="13">
        <f t="shared" si="1"/>
        <v>31</v>
      </c>
      <c r="V31" s="165" t="s">
        <v>237</v>
      </c>
    </row>
    <row r="32" spans="1:22" x14ac:dyDescent="0.2">
      <c r="A32" s="173" t="s">
        <v>104</v>
      </c>
      <c r="B32">
        <f t="shared" si="2"/>
        <v>6</v>
      </c>
      <c r="C32" s="4">
        <v>200</v>
      </c>
      <c r="D32" s="6">
        <v>200</v>
      </c>
      <c r="E32" s="6" t="s">
        <v>99</v>
      </c>
      <c r="F32" s="10" t="s">
        <v>100</v>
      </c>
      <c r="I32">
        <f>ROUNDUP(Plumbing!$F$12/Support!D32,0)</f>
        <v>0</v>
      </c>
      <c r="J32">
        <f>ROUNDUP(Plumbing!$F$25/Support!D32,0)</f>
        <v>0</v>
      </c>
      <c r="K32">
        <f>ROUNDUP(Plumbing!$F$38/Support!D32,0)</f>
        <v>0</v>
      </c>
      <c r="R32" s="140"/>
      <c r="U32" s="13">
        <f t="shared" si="1"/>
        <v>32</v>
      </c>
      <c r="V32" s="165" t="s">
        <v>238</v>
      </c>
    </row>
    <row r="33" spans="1:22" x14ac:dyDescent="0.2">
      <c r="A33" s="173" t="s">
        <v>105</v>
      </c>
      <c r="B33">
        <f t="shared" si="2"/>
        <v>7</v>
      </c>
      <c r="C33" s="4">
        <v>50</v>
      </c>
      <c r="D33" s="6">
        <v>50</v>
      </c>
      <c r="E33" s="6" t="s">
        <v>99</v>
      </c>
      <c r="F33" s="10" t="s">
        <v>100</v>
      </c>
      <c r="I33">
        <f>ROUNDUP(Plumbing!$F$12/Support!D33,0)</f>
        <v>0</v>
      </c>
      <c r="J33">
        <f>ROUNDUP(Plumbing!$F$25/Support!D33,0)</f>
        <v>0</v>
      </c>
      <c r="K33">
        <f>ROUNDUP(Plumbing!$F$38/Support!D33,0)</f>
        <v>0</v>
      </c>
      <c r="R33" s="140"/>
      <c r="U33" s="13">
        <f t="shared" si="1"/>
        <v>33</v>
      </c>
      <c r="V33" s="165" t="s">
        <v>239</v>
      </c>
    </row>
    <row r="34" spans="1:22" x14ac:dyDescent="0.2">
      <c r="A34" s="173" t="s">
        <v>106</v>
      </c>
      <c r="B34">
        <f t="shared" si="2"/>
        <v>8</v>
      </c>
      <c r="C34" s="4">
        <v>50</v>
      </c>
      <c r="D34" s="6">
        <v>50</v>
      </c>
      <c r="E34" s="6" t="s">
        <v>99</v>
      </c>
      <c r="F34" s="10" t="s">
        <v>100</v>
      </c>
      <c r="I34">
        <f>ROUNDUP(Plumbing!$F$12/Support!D34,0)</f>
        <v>0</v>
      </c>
      <c r="J34">
        <f>ROUNDUP(Plumbing!$F$25/Support!D34,0)</f>
        <v>0</v>
      </c>
      <c r="K34">
        <f>ROUNDUP(Plumbing!$F$38/Support!D34,0)</f>
        <v>0</v>
      </c>
      <c r="R34" s="140"/>
    </row>
    <row r="35" spans="1:22" x14ac:dyDescent="0.2">
      <c r="A35" s="173" t="s">
        <v>107</v>
      </c>
      <c r="B35">
        <f t="shared" si="2"/>
        <v>9</v>
      </c>
      <c r="C35" s="4">
        <v>2000</v>
      </c>
      <c r="D35" s="6">
        <v>2000</v>
      </c>
      <c r="E35" s="6" t="s">
        <v>99</v>
      </c>
      <c r="F35" s="10" t="s">
        <v>100</v>
      </c>
      <c r="I35">
        <f>ROUNDUP(Plumbing!$F$12/Support!D35,0)</f>
        <v>0</v>
      </c>
      <c r="J35">
        <f>ROUNDUP(Plumbing!$F$25/Support!D35,0)</f>
        <v>0</v>
      </c>
      <c r="K35">
        <f>ROUNDUP(Plumbing!$F$38/Support!D35,0)</f>
        <v>0</v>
      </c>
      <c r="R35" s="140"/>
    </row>
    <row r="36" spans="1:22" x14ac:dyDescent="0.2">
      <c r="A36" s="173" t="s">
        <v>108</v>
      </c>
      <c r="B36">
        <f t="shared" si="2"/>
        <v>10</v>
      </c>
      <c r="C36" s="4">
        <v>2000</v>
      </c>
      <c r="D36" s="6">
        <v>2000</v>
      </c>
      <c r="E36" s="6" t="s">
        <v>99</v>
      </c>
      <c r="F36" s="10" t="s">
        <v>100</v>
      </c>
      <c r="I36">
        <f>ROUNDUP(Plumbing!$F$12/Support!D36,0)</f>
        <v>0</v>
      </c>
      <c r="J36">
        <f>ROUNDUP(Plumbing!$F$25/Support!D36,0)</f>
        <v>0</v>
      </c>
      <c r="K36">
        <f>ROUNDUP(Plumbing!$F$38/Support!D36,0)</f>
        <v>0</v>
      </c>
      <c r="R36" s="140"/>
    </row>
    <row r="37" spans="1:22" x14ac:dyDescent="0.2">
      <c r="A37" s="173" t="s">
        <v>109</v>
      </c>
      <c r="B37">
        <f t="shared" si="2"/>
        <v>11</v>
      </c>
      <c r="C37" s="4">
        <v>200</v>
      </c>
      <c r="D37" s="6">
        <v>200</v>
      </c>
      <c r="E37" s="6" t="s">
        <v>99</v>
      </c>
      <c r="F37" s="10" t="s">
        <v>100</v>
      </c>
      <c r="I37">
        <f>ROUNDUP(Plumbing!$F$12/Support!D37,0)</f>
        <v>0</v>
      </c>
      <c r="J37">
        <f>ROUNDUP(Plumbing!$F$25/Support!D37,0)</f>
        <v>0</v>
      </c>
      <c r="K37">
        <f>ROUNDUP(Plumbing!$F$38/Support!D37,0)</f>
        <v>0</v>
      </c>
      <c r="R37" s="140"/>
    </row>
    <row r="38" spans="1:22" x14ac:dyDescent="0.2">
      <c r="A38" s="173" t="s">
        <v>110</v>
      </c>
      <c r="B38">
        <f t="shared" si="2"/>
        <v>12</v>
      </c>
      <c r="C38" s="4">
        <v>200</v>
      </c>
      <c r="D38" s="6">
        <v>200</v>
      </c>
      <c r="E38" s="6" t="s">
        <v>99</v>
      </c>
      <c r="F38" s="10" t="s">
        <v>100</v>
      </c>
      <c r="I38">
        <f>ROUNDUP(Plumbing!$F$12/Support!D38,0)</f>
        <v>0</v>
      </c>
      <c r="J38">
        <f>ROUNDUP(Plumbing!$F$25/Support!D38,0)</f>
        <v>0</v>
      </c>
      <c r="K38">
        <f>ROUNDUP(Plumbing!$F$38/Support!D38,0)</f>
        <v>0</v>
      </c>
      <c r="R38" s="140"/>
    </row>
    <row r="39" spans="1:22" x14ac:dyDescent="0.2">
      <c r="A39" s="173" t="s">
        <v>111</v>
      </c>
      <c r="B39">
        <f t="shared" si="2"/>
        <v>13</v>
      </c>
      <c r="C39" s="4">
        <v>200</v>
      </c>
      <c r="D39" s="6">
        <v>200</v>
      </c>
      <c r="E39" s="6" t="s">
        <v>99</v>
      </c>
      <c r="F39" s="10" t="s">
        <v>100</v>
      </c>
      <c r="I39">
        <f>ROUNDUP(Plumbing!$F$12/Support!D39,0)</f>
        <v>0</v>
      </c>
      <c r="J39">
        <f>ROUNDUP(Plumbing!$F$25/Support!D39,0)</f>
        <v>0</v>
      </c>
      <c r="K39">
        <f>ROUNDUP(Plumbing!$F$38/Support!D39,0)</f>
        <v>0</v>
      </c>
      <c r="R39" s="140"/>
    </row>
    <row r="40" spans="1:22" x14ac:dyDescent="0.2">
      <c r="A40" s="173" t="s">
        <v>112</v>
      </c>
      <c r="B40">
        <f t="shared" si="2"/>
        <v>14</v>
      </c>
      <c r="C40" s="4">
        <v>5000</v>
      </c>
      <c r="D40" s="6">
        <v>5000</v>
      </c>
      <c r="E40" s="6" t="s">
        <v>99</v>
      </c>
      <c r="F40" s="10" t="s">
        <v>100</v>
      </c>
      <c r="I40">
        <f>ROUNDUP(Plumbing!$F$12/Support!D40,0)</f>
        <v>0</v>
      </c>
      <c r="J40">
        <f>ROUNDUP(Plumbing!$F$25/Support!D40,0)</f>
        <v>0</v>
      </c>
      <c r="K40">
        <f>ROUNDUP(Plumbing!$F$38/Support!D40,0)</f>
        <v>0</v>
      </c>
      <c r="R40" s="140"/>
    </row>
    <row r="41" spans="1:22" x14ac:dyDescent="0.2">
      <c r="A41" s="168"/>
      <c r="B41" s="9"/>
      <c r="C41" s="7"/>
      <c r="D41" s="8"/>
      <c r="E41" s="11" t="str">
        <f>LOOKUP(D43,B27:B40,F27:F40)</f>
        <v xml:space="preserve"> </v>
      </c>
      <c r="R41" s="139"/>
    </row>
    <row r="42" spans="1:22" s="21" customFormat="1" x14ac:dyDescent="0.2">
      <c r="A42" s="169" t="s">
        <v>5</v>
      </c>
      <c r="B42" s="20"/>
      <c r="C42" s="19" t="s">
        <v>4</v>
      </c>
      <c r="D42" s="20" t="s">
        <v>6</v>
      </c>
      <c r="E42" s="21" t="s">
        <v>7</v>
      </c>
      <c r="F42" s="21" t="s">
        <v>8</v>
      </c>
      <c r="G42" s="21" t="s">
        <v>9</v>
      </c>
      <c r="H42" s="21" t="s">
        <v>141</v>
      </c>
      <c r="R42" s="140"/>
    </row>
    <row r="43" spans="1:22" s="23" customFormat="1" x14ac:dyDescent="0.2">
      <c r="A43" s="170">
        <v>1</v>
      </c>
      <c r="B43" s="19"/>
      <c r="C43" s="56">
        <f>Plumbing!C5</f>
        <v>1</v>
      </c>
      <c r="D43" s="56">
        <f>Plumbing!D5</f>
        <v>1</v>
      </c>
      <c r="E43" s="58" t="str">
        <f>Plumbing!E5</f>
        <v>Male:</v>
      </c>
      <c r="F43" s="56" t="str">
        <f>LOOKUP(D43,$B$27:$B$40,$F$27:$F$40)</f>
        <v xml:space="preserve"> </v>
      </c>
      <c r="G43" s="56" t="str">
        <f ca="1">LOOKUP(C43,$B$1:$B$23,$C$1:$C$23)</f>
        <v xml:space="preserve"> </v>
      </c>
      <c r="H43" s="206" t="str">
        <f>LOOKUP(D43,$B$27:$B$40,$E$27:$E$40)</f>
        <v xml:space="preserve"> </v>
      </c>
      <c r="I43" s="56" t="str">
        <f ca="1">LOOKUP(C43,$B$1:$B$23,$H$1:$H$23)</f>
        <v xml:space="preserve"> </v>
      </c>
      <c r="R43" s="140"/>
    </row>
    <row r="44" spans="1:22" s="23" customFormat="1" x14ac:dyDescent="0.2">
      <c r="A44" s="170">
        <f>A43+1</f>
        <v>2</v>
      </c>
      <c r="B44" s="18"/>
      <c r="C44" s="56">
        <f>Plumbing!C18</f>
        <v>1</v>
      </c>
      <c r="D44" s="56">
        <f>Plumbing!D18</f>
        <v>1</v>
      </c>
      <c r="E44" s="58" t="str">
        <f>Plumbing!E18</f>
        <v>Male:</v>
      </c>
      <c r="F44" s="56" t="str">
        <f>LOOKUP(D44,$B$27:$B$40,$F$27:$F$40)</f>
        <v xml:space="preserve"> </v>
      </c>
      <c r="G44" s="56" t="str">
        <f ca="1">LOOKUP(C44,$B$1:$B$23,$C$1:$C$23)</f>
        <v xml:space="preserve"> </v>
      </c>
      <c r="H44" s="206" t="str">
        <f>LOOKUP(D44,$B$27:$B$40,$E$27:$E$40)</f>
        <v xml:space="preserve"> </v>
      </c>
      <c r="I44" s="56" t="str">
        <f ca="1">LOOKUP(C44,$B$1:$B$23,$H$1:$H$23)</f>
        <v xml:space="preserve"> </v>
      </c>
      <c r="R44" s="140"/>
    </row>
    <row r="45" spans="1:22" s="23" customFormat="1" x14ac:dyDescent="0.2">
      <c r="A45" s="170">
        <f>A44+1</f>
        <v>3</v>
      </c>
      <c r="B45" s="18"/>
      <c r="C45" s="56">
        <f>Plumbing!C31</f>
        <v>1</v>
      </c>
      <c r="D45" s="56">
        <f>Plumbing!D31</f>
        <v>1</v>
      </c>
      <c r="E45" s="58" t="str">
        <f>Plumbing!E31</f>
        <v>Male:</v>
      </c>
      <c r="F45" s="56" t="str">
        <f>LOOKUP(D45,$B$27:$B$40,$F$27:$F$40)</f>
        <v xml:space="preserve"> </v>
      </c>
      <c r="G45" s="56" t="str">
        <f ca="1">LOOKUP(C45,$B$1:$B$23,$C$1:$C$23)</f>
        <v xml:space="preserve"> </v>
      </c>
      <c r="H45" s="206" t="str">
        <f>LOOKUP(D45,$B$27:$B$40,$E$27:$E$40)</f>
        <v xml:space="preserve"> </v>
      </c>
      <c r="I45" s="56" t="str">
        <f ca="1">LOOKUP(C45,$B$1:$B$23,$H$1:$H$23)</f>
        <v xml:space="preserve"> </v>
      </c>
      <c r="R45" s="140"/>
    </row>
    <row r="46" spans="1:22" s="23" customFormat="1" x14ac:dyDescent="0.2">
      <c r="A46" s="170"/>
      <c r="B46" s="18"/>
      <c r="C46" s="22"/>
      <c r="D46" s="22"/>
      <c r="E46" s="22"/>
      <c r="F46" s="22"/>
      <c r="G46" s="22"/>
      <c r="R46" s="140"/>
    </row>
    <row r="47" spans="1:22" s="23" customFormat="1" x14ac:dyDescent="0.2">
      <c r="A47" s="170"/>
      <c r="B47" s="18"/>
      <c r="C47" s="22"/>
      <c r="D47" s="22"/>
      <c r="E47" s="22"/>
      <c r="F47" s="22"/>
      <c r="G47" s="22"/>
      <c r="R47" s="140"/>
    </row>
    <row r="48" spans="1:22" s="23" customFormat="1" x14ac:dyDescent="0.2">
      <c r="A48" s="170"/>
      <c r="B48" s="18"/>
      <c r="C48" s="22"/>
      <c r="D48" s="22"/>
      <c r="E48" s="22"/>
      <c r="F48" s="22"/>
      <c r="G48" s="22"/>
      <c r="R48" s="140"/>
    </row>
    <row r="49" spans="1:18" x14ac:dyDescent="0.2">
      <c r="R49" s="140"/>
    </row>
    <row r="50" spans="1:18" x14ac:dyDescent="0.2">
      <c r="R50" s="140"/>
    </row>
    <row r="51" spans="1:18" x14ac:dyDescent="0.2">
      <c r="R51" s="140"/>
    </row>
    <row r="52" spans="1:18" x14ac:dyDescent="0.2">
      <c r="R52" s="140"/>
    </row>
    <row r="53" spans="1:18" x14ac:dyDescent="0.2">
      <c r="A53" s="172"/>
      <c r="B53" s="13"/>
      <c r="R53" s="140"/>
    </row>
    <row r="54" spans="1:18" x14ac:dyDescent="0.2">
      <c r="B54" s="13"/>
      <c r="R54" s="138"/>
    </row>
    <row r="55" spans="1:18" x14ac:dyDescent="0.2">
      <c r="B55" s="13"/>
      <c r="R55" s="138"/>
    </row>
    <row r="56" spans="1:18" x14ac:dyDescent="0.2">
      <c r="B56" s="13"/>
      <c r="R56" s="138"/>
    </row>
    <row r="57" spans="1:18" x14ac:dyDescent="0.2">
      <c r="B57" s="13"/>
      <c r="R57" s="138"/>
    </row>
    <row r="58" spans="1:18" x14ac:dyDescent="0.2">
      <c r="B58" s="13"/>
      <c r="R58" s="138"/>
    </row>
    <row r="59" spans="1:18" x14ac:dyDescent="0.2">
      <c r="B59" s="13"/>
      <c r="R59" s="138"/>
    </row>
  </sheetData>
  <sheetProtection password="C9BC" sheet="1" objects="1" scenarios="1" selectLockedCells="1" selectUnlockedCells="1"/>
  <customSheetViews>
    <customSheetView guid="{FF105486-337B-4F9D-974B-49C037148D9B}" fitToPage="1" state="hidden">
      <selection activeCell="O16" sqref="O16"/>
      <pageMargins left="0.75" right="0.75" top="1" bottom="1" header="0.5" footer="0.5"/>
      <pageSetup scale="70" orientation="portrait" horizontalDpi="0" verticalDpi="0" r:id="rId1"/>
      <headerFooter alignWithMargins="0"/>
    </customSheetView>
    <customSheetView guid="{96D8A50A-96D4-4A72-9572-2CD989544578}" fitToPage="1" state="hidden">
      <selection activeCell="O16" sqref="O16"/>
      <pageMargins left="0.75" right="0.75" top="1" bottom="1" header="0.5" footer="0.5"/>
      <pageSetup scale="70" orientation="portrait" horizontalDpi="0" verticalDpi="0" r:id="rId2"/>
      <headerFooter alignWithMargins="0"/>
    </customSheetView>
    <customSheetView guid="{FE69FE72-605C-46E9-A1C5-BEF8735596CB}" fitToPage="1" state="hidden">
      <selection activeCell="B37" sqref="B37"/>
      <pageMargins left="0.75" right="0.75" top="1" bottom="1" header="0.5" footer="0.5"/>
      <pageSetup scale="70" orientation="portrait" horizontalDpi="0" verticalDpi="0" r:id="rId3"/>
      <headerFooter alignWithMargins="0"/>
    </customSheetView>
    <customSheetView guid="{2B6667DB-A691-4F19-97E8-D67F3ED6538B}" fitToPage="1" state="hidden">
      <selection activeCell="O16" sqref="O16"/>
      <pageMargins left="0.75" right="0.75" top="1" bottom="1" header="0.5" footer="0.5"/>
      <pageSetup scale="70" orientation="portrait" horizontalDpi="0" verticalDpi="0" r:id="rId4"/>
      <headerFooter alignWithMargins="0"/>
    </customSheetView>
  </customSheetViews>
  <phoneticPr fontId="3" type="noConversion"/>
  <conditionalFormatting sqref="E2:E9 F2:G2">
    <cfRule type="expression" dxfId="0" priority="1" stopIfTrue="1">
      <formula>#REF!="Ara"</formula>
    </cfRule>
  </conditionalFormatting>
  <pageMargins left="0.75" right="0.75" top="1" bottom="1" header="0.5" footer="0.5"/>
  <pageSetup scale="70" orientation="portrait" horizontalDpi="0" verticalDpi="0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6"/>
  <sheetViews>
    <sheetView workbookViewId="0">
      <selection activeCell="B1" sqref="B1"/>
    </sheetView>
  </sheetViews>
  <sheetFormatPr defaultRowHeight="11.25" x14ac:dyDescent="0.2"/>
  <cols>
    <col min="1" max="1" width="5.28515625" style="12" customWidth="1"/>
    <col min="2" max="2" width="34.42578125" style="12" customWidth="1"/>
    <col min="3" max="3" width="7.5703125" style="12" customWidth="1"/>
    <col min="4" max="5" width="6.85546875" style="12" customWidth="1"/>
    <col min="6" max="6" width="6.42578125" style="12" customWidth="1"/>
    <col min="7" max="7" width="6.5703125" style="12" customWidth="1"/>
    <col min="8" max="8" width="6.7109375" style="12" customWidth="1"/>
    <col min="9" max="9" width="6.42578125" style="12" customWidth="1"/>
    <col min="10" max="10" width="5.5703125" style="12" customWidth="1"/>
    <col min="11" max="11" width="1.85546875" style="12" customWidth="1"/>
    <col min="12" max="12" width="30.7109375" style="12" customWidth="1"/>
    <col min="13" max="22" width="9.140625" style="12"/>
    <col min="23" max="23" width="1.85546875" style="12" customWidth="1"/>
    <col min="24" max="24" width="30.7109375" style="12" customWidth="1"/>
    <col min="25" max="34" width="9.140625" style="12"/>
    <col min="35" max="35" width="1.85546875" style="12" customWidth="1"/>
    <col min="36" max="36" width="30.7109375" style="12" customWidth="1"/>
    <col min="37" max="46" width="9.140625" style="12"/>
    <col min="47" max="47" width="1.85546875" style="12" customWidth="1"/>
    <col min="48" max="16384" width="9.140625" style="12"/>
  </cols>
  <sheetData>
    <row r="1" spans="1:46" ht="12" customHeight="1" x14ac:dyDescent="0.2">
      <c r="B1" s="12" t="s">
        <v>27</v>
      </c>
      <c r="C1" s="12" t="s">
        <v>0</v>
      </c>
      <c r="D1" s="12" t="s">
        <v>18</v>
      </c>
      <c r="E1" s="12" t="s">
        <v>18</v>
      </c>
      <c r="F1" s="12" t="s">
        <v>25</v>
      </c>
      <c r="G1" s="12" t="s">
        <v>26</v>
      </c>
      <c r="L1" s="63" t="s">
        <v>53</v>
      </c>
      <c r="M1" s="12" t="s">
        <v>0</v>
      </c>
      <c r="N1" s="12" t="s">
        <v>18</v>
      </c>
      <c r="O1" s="12" t="s">
        <v>18</v>
      </c>
      <c r="P1" s="12" t="s">
        <v>25</v>
      </c>
      <c r="Q1" s="12" t="s">
        <v>26</v>
      </c>
      <c r="X1" s="63" t="s">
        <v>55</v>
      </c>
      <c r="Y1" s="12" t="s">
        <v>0</v>
      </c>
      <c r="Z1" s="12" t="s">
        <v>18</v>
      </c>
      <c r="AA1" s="12" t="s">
        <v>18</v>
      </c>
      <c r="AB1" s="12" t="s">
        <v>25</v>
      </c>
      <c r="AC1" s="12" t="s">
        <v>26</v>
      </c>
      <c r="AJ1" s="63" t="s">
        <v>58</v>
      </c>
      <c r="AK1" s="12" t="s">
        <v>0</v>
      </c>
      <c r="AL1" s="12" t="s">
        <v>18</v>
      </c>
      <c r="AM1" s="12" t="s">
        <v>18</v>
      </c>
      <c r="AN1" s="12" t="s">
        <v>25</v>
      </c>
      <c r="AO1" s="12" t="s">
        <v>26</v>
      </c>
    </row>
    <row r="2" spans="1:46" ht="12" customHeight="1" x14ac:dyDescent="0.2">
      <c r="C2" s="32"/>
      <c r="D2" s="32"/>
      <c r="E2" s="32"/>
      <c r="F2" s="32"/>
      <c r="G2" s="27"/>
      <c r="L2" s="31">
        <f>Plumbing!$C$5</f>
        <v>1</v>
      </c>
      <c r="M2" s="32">
        <f>Plumbing!$G$12</f>
        <v>0</v>
      </c>
      <c r="N2" s="32">
        <f>Plumbing!$G$14</f>
        <v>0</v>
      </c>
      <c r="O2" s="32">
        <f>Plumbing!$G$14</f>
        <v>0</v>
      </c>
      <c r="P2" s="32">
        <f>Plumbing!$G$15</f>
        <v>0</v>
      </c>
      <c r="Q2" s="27">
        <f>Plumbing!$F$13</f>
        <v>0</v>
      </c>
      <c r="X2" s="31">
        <f>Plumbing!$C$18</f>
        <v>1</v>
      </c>
      <c r="Y2" s="32">
        <f>Plumbing!$G$25</f>
        <v>0</v>
      </c>
      <c r="Z2" s="32">
        <f>Plumbing!$G$27</f>
        <v>0</v>
      </c>
      <c r="AA2" s="32">
        <f>Plumbing!$G$27</f>
        <v>0</v>
      </c>
      <c r="AB2" s="32">
        <f>Plumbing!$G$28</f>
        <v>0</v>
      </c>
      <c r="AC2" s="27">
        <f>Plumbing!$F$26</f>
        <v>0</v>
      </c>
      <c r="AJ2" s="31">
        <f>Plumbing!$C$31</f>
        <v>1</v>
      </c>
      <c r="AK2" s="32">
        <f>Plumbing!$G$38</f>
        <v>0</v>
      </c>
      <c r="AL2" s="32">
        <f>Plumbing!$G$40</f>
        <v>0</v>
      </c>
      <c r="AM2" s="32">
        <f>Plumbing!$G$40</f>
        <v>0</v>
      </c>
      <c r="AN2" s="32">
        <f>Plumbing!$G$41</f>
        <v>0</v>
      </c>
      <c r="AO2" s="27">
        <f>Plumbing!$F$39</f>
        <v>0</v>
      </c>
    </row>
    <row r="3" spans="1:46" ht="14.25" customHeight="1" x14ac:dyDescent="0.2">
      <c r="A3" s="16"/>
      <c r="B3" s="34"/>
      <c r="C3" s="12" t="s">
        <v>19</v>
      </c>
      <c r="D3" s="12" t="s">
        <v>74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17</v>
      </c>
      <c r="L3" s="43">
        <f>Plumbing!$D$5</f>
        <v>1</v>
      </c>
      <c r="M3" s="12" t="s">
        <v>19</v>
      </c>
      <c r="N3" s="12" t="s">
        <v>74</v>
      </c>
      <c r="O3" s="12" t="s">
        <v>20</v>
      </c>
      <c r="P3" s="12" t="s">
        <v>38</v>
      </c>
      <c r="Q3" s="12" t="s">
        <v>39</v>
      </c>
      <c r="R3" s="12" t="s">
        <v>23</v>
      </c>
      <c r="S3" s="12" t="s">
        <v>24</v>
      </c>
      <c r="T3" s="12" t="s">
        <v>17</v>
      </c>
      <c r="U3" s="12" t="s">
        <v>36</v>
      </c>
      <c r="V3" s="12" t="s">
        <v>37</v>
      </c>
      <c r="X3" s="43">
        <f>Plumbing!$D$18</f>
        <v>1</v>
      </c>
      <c r="Y3" s="12" t="s">
        <v>19</v>
      </c>
      <c r="Z3" s="12" t="s">
        <v>74</v>
      </c>
      <c r="AA3" s="12" t="s">
        <v>20</v>
      </c>
      <c r="AB3" s="12" t="s">
        <v>38</v>
      </c>
      <c r="AC3" s="12" t="s">
        <v>39</v>
      </c>
      <c r="AD3" s="12" t="s">
        <v>23</v>
      </c>
      <c r="AE3" s="12" t="s">
        <v>24</v>
      </c>
      <c r="AF3" s="12" t="s">
        <v>17</v>
      </c>
      <c r="AG3" s="12" t="s">
        <v>36</v>
      </c>
      <c r="AH3" s="12" t="s">
        <v>37</v>
      </c>
      <c r="AJ3" s="43">
        <f>Plumbing!$D$31</f>
        <v>1</v>
      </c>
      <c r="AK3" s="12" t="s">
        <v>19</v>
      </c>
      <c r="AL3" s="12" t="s">
        <v>74</v>
      </c>
      <c r="AM3" s="12" t="s">
        <v>20</v>
      </c>
      <c r="AN3" s="12" t="s">
        <v>38</v>
      </c>
      <c r="AO3" s="12" t="s">
        <v>39</v>
      </c>
      <c r="AP3" s="12" t="s">
        <v>23</v>
      </c>
      <c r="AQ3" s="12" t="s">
        <v>24</v>
      </c>
      <c r="AR3" s="12" t="s">
        <v>17</v>
      </c>
      <c r="AS3" s="12" t="s">
        <v>36</v>
      </c>
      <c r="AT3" s="12" t="s">
        <v>37</v>
      </c>
    </row>
    <row r="4" spans="1:46" ht="15" customHeight="1" thickBot="1" x14ac:dyDescent="0.25">
      <c r="A4" s="60">
        <f ca="1">IF(B103&lt;0,99,1)</f>
        <v>1</v>
      </c>
      <c r="B4" s="26" t="s">
        <v>73</v>
      </c>
      <c r="C4" s="221" t="s">
        <v>10</v>
      </c>
      <c r="D4" s="221" t="s">
        <v>10</v>
      </c>
      <c r="E4" s="221" t="s">
        <v>10</v>
      </c>
      <c r="F4" s="221" t="s">
        <v>10</v>
      </c>
      <c r="G4" s="221" t="s">
        <v>10</v>
      </c>
      <c r="H4" s="221" t="s">
        <v>10</v>
      </c>
      <c r="I4" s="221" t="s">
        <v>10</v>
      </c>
      <c r="J4" s="221"/>
      <c r="L4" s="190" t="s">
        <v>73</v>
      </c>
      <c r="M4" s="55"/>
      <c r="N4" s="55"/>
      <c r="O4" s="55"/>
      <c r="P4" s="55"/>
      <c r="Q4" s="55"/>
      <c r="R4" s="55"/>
      <c r="S4" s="55"/>
      <c r="T4" s="55"/>
      <c r="X4" s="178" t="s">
        <v>73</v>
      </c>
      <c r="AJ4" s="180" t="s">
        <v>73</v>
      </c>
    </row>
    <row r="5" spans="1:46" ht="12" customHeight="1" x14ac:dyDescent="0.2">
      <c r="A5">
        <f ca="1">A4+1</f>
        <v>2</v>
      </c>
      <c r="B5" s="164" t="s">
        <v>148</v>
      </c>
      <c r="C5" s="223">
        <v>99901</v>
      </c>
      <c r="D5" s="223">
        <v>99902</v>
      </c>
      <c r="E5" s="223">
        <v>99903</v>
      </c>
      <c r="F5" s="223">
        <v>99904</v>
      </c>
      <c r="G5" s="223">
        <v>99905</v>
      </c>
      <c r="H5" s="223">
        <v>0</v>
      </c>
      <c r="I5" s="223">
        <v>99907</v>
      </c>
      <c r="J5" s="221"/>
      <c r="L5" s="164" t="s">
        <v>148</v>
      </c>
      <c r="M5" s="230">
        <f>IF($N$2&lt;1,0,IF($N$2&lt;101,1,IF($N$2&lt;201,2,IF($N$2&lt;401,3,3+($N$2-400)/500))))</f>
        <v>0</v>
      </c>
      <c r="N5" s="230">
        <f>IF($N$2&lt;1,0,IF($N$2&lt;201,1,IF($N$2&lt;301,2,IF($N$2&lt;401,3, IF($N$2&lt;601,4,4+($N$2-600)/300)))))</f>
        <v>0</v>
      </c>
      <c r="O5" s="230">
        <f>IF($P$2&lt;1,0,IF($P$2&lt;26,1,IF($P$2&lt;51,2,IF($P$2&lt;101,3,IF($P$2&lt;201,4,IF($P$2&lt;301,6,IF($P$2&lt;401,8,8+($P$2-400)/125)))))))</f>
        <v>0</v>
      </c>
      <c r="P5" s="230">
        <f>IF($N$2&lt;1,0,IF($N$2&lt;201,1,IF($N$2&lt;401,2,IF($N$2&lt;601,3, IF($N$2&lt;751,4,4+($N$2-750)/250)))))</f>
        <v>0</v>
      </c>
      <c r="Q5" s="230">
        <f>IF($P$2&lt;1,0,IF($P$2&lt;101,1,IF($P$2&lt;201,2,IF($P$2&lt;301,4,IF($P$2&lt;501,5,IF($P$2&lt;751,6,6+($P$2-750)/200))))))</f>
        <v>0</v>
      </c>
      <c r="R5" s="231">
        <v>0</v>
      </c>
      <c r="S5" s="230">
        <f>IF($M$2&lt;31,0,IF($M$2&lt;251,1,IF($M$2&lt;501,2,IF($M$2&lt;751,3,3+($M$2-750)/500))))</f>
        <v>0</v>
      </c>
      <c r="T5" s="33" t="str">
        <f>IF(AND($M$2&lt;=30,$M$2&gt;0),$B$74,"")</f>
        <v/>
      </c>
      <c r="U5" s="32">
        <f>IF(M5+O5&lt;1,M5+O5,IF($M$47=1,1,M5+O5))</f>
        <v>0</v>
      </c>
      <c r="V5" s="32">
        <f t="shared" ref="V5:V13" si="0">IF(P5+Q5&lt;1,P5+Q5,IF($M$47=1,1,P5+Q5))</f>
        <v>0</v>
      </c>
      <c r="X5" s="164" t="s">
        <v>148</v>
      </c>
      <c r="Y5" s="230">
        <f>IF($Z$2&lt;1,0,IF($Z$2&lt;101,1,IF($Z$2&lt;201,2,IF($Z$2&lt;401,3,3+($Z$2-400)/500))))</f>
        <v>0</v>
      </c>
      <c r="Z5" s="230">
        <f>IF($Z$2&lt;1,0,IF($Z$2&lt;201,1,IF($Z$2&lt;301,2,IF($Z$2&lt;401,3, IF($Z$2&lt;601,4,4+($Z$2-600)/300)))))</f>
        <v>0</v>
      </c>
      <c r="AA5" s="230">
        <f>IF($AB$2&lt;1,0,IF($AB$2&lt;26,1,IF($AB$2&lt;51,2,IF($AB$2&lt;101,3,IF($AB$2&lt;201,4,IF($AB$2&lt;301,6,IF($AB$2&lt;401,8,8+($AB$2-400)/125)))))))</f>
        <v>0</v>
      </c>
      <c r="AB5" s="230">
        <f>IF($Z$2&lt;1,0,IF($Z$2&lt;201,1,IF($Z$2&lt;401,2,IF($Z$2&lt;601,3, IF($Z$2&lt;751,4,4+($Z$2-750)/250)))))</f>
        <v>0</v>
      </c>
      <c r="AC5" s="230">
        <f>IF($AB$2&lt;1,0,IF($AB$2&lt;101,1,IF($AB$2&lt;201,2,IF($AB$2&lt;301,4,IF($AB$2&lt;501,5,IF($AB$2&lt;751,6,6+($AB$2-750)/200))))))</f>
        <v>0</v>
      </c>
      <c r="AD5" s="231">
        <v>0</v>
      </c>
      <c r="AE5" s="230">
        <f>IF($Y$2&lt;31,0,IF($Y$2&lt;251,1,IF($Y$2&lt;501,2,IF($Y$2&lt;751,3,3+($Y$2-750)/500))))</f>
        <v>0</v>
      </c>
      <c r="AF5" s="33" t="str">
        <f>IF(AND($Y$2&lt;=30,$Y$2&gt;0),$B$74,"")</f>
        <v/>
      </c>
      <c r="AG5" s="32">
        <f t="shared" ref="AG5:AG13" si="1">IF(Y5+AA5&lt;1,Y5+AA5,IF($Y$47=1,1,Y5+AA5))</f>
        <v>0</v>
      </c>
      <c r="AH5" s="32">
        <f t="shared" ref="AH5:AH13" si="2">IF(AB5+AC5&lt;1,AB5+AC5,IF($Y$47=1,1,AB5+AC5))</f>
        <v>0</v>
      </c>
      <c r="AJ5" s="164" t="s">
        <v>148</v>
      </c>
      <c r="AK5" s="230">
        <f>IF($AL$2&lt;1,0,IF($AL$2&lt;101,1,IF($AL$2&lt;201,2,IF($AL$2&lt;401,3,3+($AL$2-400)/500))))</f>
        <v>0</v>
      </c>
      <c r="AL5" s="230">
        <f>IF($AL$2&lt;1,0,IF($AL$2&lt;201,1,IF($AL$2&lt;301,2,IF($AL$2&lt;401,3, IF($AL$2&lt;601,4,4+($AL$2-600)/300)))))</f>
        <v>0</v>
      </c>
      <c r="AM5" s="230">
        <f>IF($AN$2&lt;1,0,IF($AN$2&lt;26,1,IF($AN$2&lt;51,2,IF($AN$2&lt;101,3,IF($AN$2&lt;201,4,IF($AN$2&lt;301,6,IF($AN$2&lt;401,8,8+($AN$2-400)/125)))))))</f>
        <v>0</v>
      </c>
      <c r="AN5" s="230">
        <f>IF($AL$2&lt;1,0,IF($AL$2&lt;201,1,IF($AL$2&lt;401,2,IF($AL$2&lt;601,3, IF($AL$2&lt;751,4,4+($AL$2-750)/250)))))</f>
        <v>0</v>
      </c>
      <c r="AO5" s="230">
        <f>IF($AN$2&lt;1,0,IF($AN$2&lt;101,1,IF($AN$2&lt;201,2,IF($AN$2&lt;301,4,IF($AN$2&lt;501,5,IF($AN$2&lt;751,6,6+($AN$2-750)/200))))))</f>
        <v>0</v>
      </c>
      <c r="AP5" s="231">
        <v>0</v>
      </c>
      <c r="AQ5" s="230">
        <f>IF($AK$2&lt;31,0,IF($AK$2&lt;251,1,IF($AK$2&lt;501,2,IF($AK$2&lt;751,3,3+($AK$2-750)/500))))</f>
        <v>0</v>
      </c>
      <c r="AR5" s="33" t="str">
        <f>IF(AND($AK$2&lt;=30,$AK$2&gt;0),$B$74,"")</f>
        <v/>
      </c>
      <c r="AS5" s="32">
        <f t="shared" ref="AS5:AS13" si="3">IF(AK5+AM5&lt;1,AK5+AM5,IF($AK$47=1,1,AK5+AM5))</f>
        <v>0</v>
      </c>
      <c r="AT5" s="32">
        <f t="shared" ref="AT5:AT13" si="4">IF(AN5+AO5&lt;1,AN5+AO5,IF($AK$47=1,1,AN5+AO5))</f>
        <v>0</v>
      </c>
    </row>
    <row r="6" spans="1:46" ht="12" customHeight="1" x14ac:dyDescent="0.2">
      <c r="A6">
        <f t="shared" ref="A6:A36" ca="1" si="5">A5+1</f>
        <v>3</v>
      </c>
      <c r="B6" s="165" t="s">
        <v>149</v>
      </c>
      <c r="C6" s="223">
        <v>99911</v>
      </c>
      <c r="D6" s="223">
        <v>99902</v>
      </c>
      <c r="E6" s="223">
        <v>99903</v>
      </c>
      <c r="F6" s="223">
        <v>99914</v>
      </c>
      <c r="G6" s="223">
        <v>99915</v>
      </c>
      <c r="H6" s="223">
        <v>0</v>
      </c>
      <c r="I6" s="223">
        <v>99907</v>
      </c>
      <c r="J6" s="221"/>
      <c r="L6" s="165" t="s">
        <v>149</v>
      </c>
      <c r="M6" s="230">
        <f>IF($N$2&lt;1,0,IF($N$2&lt;51,1,IF($N$2&lt;151,2,IF($N$2&lt;301,3,IF($N$2&lt;401,4,4+($N$2-400)/250)))))</f>
        <v>0</v>
      </c>
      <c r="N6" s="230">
        <f>IF($N$2&lt;1,0,IF($N$2&lt;201,1,IF($N$2&lt;301,2,IF($N$2&lt;401,3, IF($N$2&lt;601,4,4+($N$2-600)/300)))))</f>
        <v>0</v>
      </c>
      <c r="O6" s="230">
        <f>IF($P$2&lt;1,0,IF($P$2&lt;26,1,IF($P$2&lt;51,2,IF($P$2&lt;101,3,IF($P$2&lt;201,4,IF($P$2&lt;301,6,IF($P$2&lt;401,8,8+($P$2-400)/125)))))))</f>
        <v>0</v>
      </c>
      <c r="P6" s="230">
        <f>IF($N$2&lt;1,0,IF($N$2&lt;151,1,IF($N$2&lt;201,2,IF($N$2&lt;401,3,3+($N$2-400)/250))))</f>
        <v>0</v>
      </c>
      <c r="Q6" s="230">
        <f>IF($P$2&lt;1,0,IF($P$2&lt;151,1,IF($P$2&lt;201,2,IF($P$2&lt;401,4,4+($P$2-400)/200))))</f>
        <v>0</v>
      </c>
      <c r="R6" s="231">
        <v>0</v>
      </c>
      <c r="S6" s="230">
        <f>IF($M$2&lt;31,0,IF($M$2&lt;251,1,IF($M$2&lt;501,2,IF($M$2&lt;751,3,3+($M$2-750)/500))))</f>
        <v>0</v>
      </c>
      <c r="T6" s="232" t="str">
        <f>IF(AND($M$2&lt;=30,$M$2&gt;0),$B$74,IF(S6&gt;0,$B$87,""))</f>
        <v/>
      </c>
      <c r="U6" s="32">
        <f>IF(M6+O6&lt;1,M6+O6,IF($M$47=1,1,M6+O6))</f>
        <v>0</v>
      </c>
      <c r="V6" s="32">
        <f t="shared" si="0"/>
        <v>0</v>
      </c>
      <c r="X6" s="165" t="s">
        <v>149</v>
      </c>
      <c r="Y6" s="230">
        <f>IF($Z$2&lt;1,0,IF($Z$2&lt;51,1,IF($Z$2&lt;151,2,IF($Z$2&lt;301,3,IF($Z$2&lt;401,4,4+($Z$2-400)/250)))))</f>
        <v>0</v>
      </c>
      <c r="Z6" s="230">
        <f>IF($Z$2&lt;1,0,IF($Z$2&lt;201,1,IF($Z$2&lt;301,2,IF($Z$2&lt;401,3, IF($Z$2&lt;601,4,4+($Z$2-600)/300)))))</f>
        <v>0</v>
      </c>
      <c r="AA6" s="230">
        <f>IF($AB$2&lt;1,0,IF($AB$2&lt;26,1,IF($AB$2&lt;51,2,IF($AB$2&lt;101,3,IF($AB$2&lt;201,4,IF($AB$2&lt;301,6,IF($AB$2&lt;401,8,8+($AB$2-400)/125)))))))</f>
        <v>0</v>
      </c>
      <c r="AB6" s="230">
        <f>IF($Z$2&lt;1,0,IF($Z$2&lt;151,1,IF($Z$2&lt;201,2,IF($Z$2&lt;401,3,3+($Z$2-400)/250))))</f>
        <v>0</v>
      </c>
      <c r="AC6" s="230">
        <f>IF($AB$2&lt;1,0,IF($AB$2&lt;151,1,IF($AB$2&lt;201,2,IF($AB$2&lt;401,4,4+($AB$2-400)/200))))</f>
        <v>0</v>
      </c>
      <c r="AD6" s="231">
        <v>0</v>
      </c>
      <c r="AE6" s="230">
        <f>IF($Y$2&lt;31,0,IF($Y$2&lt;251,1,IF($Y$2&lt;501,2,IF($Y$2&lt;751,3,3+($Y$2-750)/500))))</f>
        <v>0</v>
      </c>
      <c r="AF6" s="232" t="str">
        <f>IF(AND($Y$2&lt;=30,$Y$2&gt;0),$B$74,IF(AE6&gt;0,$B$87,""))</f>
        <v/>
      </c>
      <c r="AG6" s="32">
        <f t="shared" si="1"/>
        <v>0</v>
      </c>
      <c r="AH6" s="32">
        <f t="shared" si="2"/>
        <v>0</v>
      </c>
      <c r="AJ6" s="165" t="s">
        <v>149</v>
      </c>
      <c r="AK6" s="230">
        <f>IF($AL$2&lt;1,0,IF($AL$2&lt;51,1,IF($AL$2&lt;151,2,IF($AL$2&lt;301,3,IF($AL$2&lt;401,4,4+($AL$2-400)/250)))))</f>
        <v>0</v>
      </c>
      <c r="AL6" s="230">
        <f>IF($AL$2&lt;1,0,IF($AL$2&lt;201,1,IF($AL$2&lt;301,2,IF($AL$2&lt;401,3, IF($AL$2&lt;601,4,4+($AL$2-600)/300)))))</f>
        <v>0</v>
      </c>
      <c r="AM6" s="230">
        <f>IF($AN$2&lt;1,0,IF($AN$2&lt;26,1,IF($AN$2&lt;51,2,IF($AN$2&lt;101,3,IF($AN$2&lt;201,4,IF($AN$2&lt;301,6,IF($AN$2&lt;401,8,8+($AN$2-400)/125)))))))</f>
        <v>0</v>
      </c>
      <c r="AN6" s="230">
        <f>IF($AL$2&lt;1,0,IF($AL$2&lt;151,1,IF($AL$2&lt;201,2,IF($AL$2&lt;401,3,3+($AL$2-400)/250))))</f>
        <v>0</v>
      </c>
      <c r="AO6" s="230">
        <f>IF($AN$2&lt;1,0,IF($AN$2&lt;151,1,IF($AN$2&lt;201,2,IF($AN$2&lt;401,4,4+($AN$2-400)/200))))</f>
        <v>0</v>
      </c>
      <c r="AP6" s="231">
        <v>0</v>
      </c>
      <c r="AQ6" s="230">
        <f>IF($AK$2&lt;31,0,IF($AK$2&lt;251,1,IF($AK$2&lt;501,2,IF($AK$2&lt;751,3,3+($AK$2-750)/500))))</f>
        <v>0</v>
      </c>
      <c r="AR6" s="232" t="str">
        <f>IF(AND($AK$2&lt;=30,$AK$2&gt;0),$B$74,IF(AQ6&gt;0,$B$87,""))</f>
        <v/>
      </c>
      <c r="AS6" s="32">
        <f t="shared" si="3"/>
        <v>0</v>
      </c>
      <c r="AT6" s="32">
        <f t="shared" si="4"/>
        <v>0</v>
      </c>
    </row>
    <row r="7" spans="1:46" ht="12" customHeight="1" x14ac:dyDescent="0.2">
      <c r="A7">
        <f t="shared" ca="1" si="5"/>
        <v>4</v>
      </c>
      <c r="B7" s="165" t="s">
        <v>150</v>
      </c>
      <c r="C7" s="223">
        <v>99901</v>
      </c>
      <c r="D7" s="223">
        <v>99912</v>
      </c>
      <c r="E7" s="223">
        <v>99903</v>
      </c>
      <c r="F7" s="223">
        <v>99904</v>
      </c>
      <c r="G7" s="223">
        <v>99905</v>
      </c>
      <c r="H7" s="223">
        <v>0</v>
      </c>
      <c r="I7" s="223">
        <v>99907</v>
      </c>
      <c r="J7" s="221"/>
      <c r="L7" s="165" t="s">
        <v>150</v>
      </c>
      <c r="M7" s="230">
        <f>IF($N$2&lt;1,0,IF($N$2&lt;101,1,IF($N$2&lt;201,2,IF($N$2&lt;401,3,3+($N$2-400)/500))))</f>
        <v>0</v>
      </c>
      <c r="N7" s="230">
        <f>IF($N$2&lt;1,0,IF($N$2&lt;101,1,IF($N$2&lt;201,2,IF($N$2&lt;401,3, IF($N$2&lt;601,4,4+($N$2-600)/300)))))</f>
        <v>0</v>
      </c>
      <c r="O7" s="230">
        <f>IF($P$2&lt;1,0,IF($P$2&lt;26,1,IF($P$2&lt;51,2,IF($P$2&lt;101,3,IF($P$2&lt;201,4,IF($P$2&lt;301,6,IF($P$2&lt;401,8,8+($P$2-400)/125)))))))</f>
        <v>0</v>
      </c>
      <c r="P7" s="230">
        <f>IF($N$2&lt;1,0,IF($N$2&lt;201,1,IF($N$2&lt;401,2,IF($N$2&lt;601,3, IF($N$2&lt;751,4,4+($N$2-750)/250)))))</f>
        <v>0</v>
      </c>
      <c r="Q7" s="230">
        <f>IF($P$2&lt;1,0,IF($P$2&lt;101,1,IF($P$2&lt;201,2,IF($P$2&lt;301,4,IF($P$2&lt;501,5,IF($P$2&lt;751,6,6+($P$2-750)/200))))))</f>
        <v>0</v>
      </c>
      <c r="R7" s="231">
        <v>0</v>
      </c>
      <c r="S7" s="230">
        <f>IF($M$2&lt;31,0,IF($M$2&lt;251,1,IF($M$2&lt;501,2,IF($M$2&lt;751,3,3+($M$2-750)/500))))</f>
        <v>0</v>
      </c>
      <c r="T7" s="33" t="str">
        <f t="shared" ref="T7:T26" si="6">IF(AND($M$2&lt;=30,$M$2&gt;0),$B$74,"")</f>
        <v/>
      </c>
      <c r="U7" s="32">
        <f t="shared" ref="U7:U12" si="7">IF(M7+O7&lt;1,M7+O7,IF($M$47=1,1,M7+O7))</f>
        <v>0</v>
      </c>
      <c r="V7" s="32">
        <f t="shared" si="0"/>
        <v>0</v>
      </c>
      <c r="X7" s="165" t="s">
        <v>150</v>
      </c>
      <c r="Y7" s="230">
        <f>IF($Z$2&lt;1,0,IF($Z$2&lt;101,1,IF($Z$2&lt;201,2,IF($Z$2&lt;401,3,3+($Z$2-400)/500))))</f>
        <v>0</v>
      </c>
      <c r="Z7" s="230">
        <f>IF($Z$2&lt;1,0,IF($Z$2&lt;101,1,IF($Z$2&lt;201,2,IF($Z$2&lt;401,3, IF($Z$2&lt;601,4,4+($Z$2-600)/300)))))</f>
        <v>0</v>
      </c>
      <c r="AA7" s="230">
        <f>IF($AB$2&lt;1,0,IF($AB$2&lt;26,1,IF($AB$2&lt;51,2,IF($AB$2&lt;101,3,IF($AB$2&lt;201,4,IF($AB$2&lt;301,6,IF($AB$2&lt;401,8,8+($AB$2-400)/125)))))))</f>
        <v>0</v>
      </c>
      <c r="AB7" s="230">
        <f>IF($Z$2&lt;1,0,IF($Z$2&lt;201,1,IF($Z$2&lt;401,2,IF($Z$2&lt;601,3, IF($Z$2&lt;751,4,4+($Z$2-750)/250)))))</f>
        <v>0</v>
      </c>
      <c r="AC7" s="230">
        <f>IF($AB$2&lt;1,0,IF($AB$2&lt;101,1,IF($AB$2&lt;201,2,IF($AB$2&lt;301,4,IF($AB$2&lt;501,5,IF($AB$2&lt;751,6,6+($AB$2-750)/200))))))</f>
        <v>0</v>
      </c>
      <c r="AD7" s="231">
        <v>0</v>
      </c>
      <c r="AE7" s="230">
        <f>IF($Y$2&lt;31,0,IF($Y$2&lt;251,1,IF($Y$2&lt;501,2,IF($Y$2&lt;751,3,3+($Y$2-750)/500))))</f>
        <v>0</v>
      </c>
      <c r="AF7" s="33" t="str">
        <f t="shared" ref="AF7:AF15" si="8">IF(AND($Y$2&lt;=30,$Y$2&gt;0),$B$74,"")</f>
        <v/>
      </c>
      <c r="AG7" s="32">
        <f t="shared" si="1"/>
        <v>0</v>
      </c>
      <c r="AH7" s="32">
        <f t="shared" si="2"/>
        <v>0</v>
      </c>
      <c r="AJ7" s="165" t="s">
        <v>150</v>
      </c>
      <c r="AK7" s="230">
        <f>IF($AL$2&lt;1,0,IF($AL$2&lt;101,1,IF($AL$2&lt;201,2,IF($AL$2&lt;401,3,3+($AL$2-400)/500))))</f>
        <v>0</v>
      </c>
      <c r="AL7" s="230">
        <f>IF($AL$2&lt;1,0,IF($AL$2&lt;101,1,IF($AL$2&lt;201,2,IF($AL$2&lt;401,3, IF($AL$2&lt;601,4,4+($AL$2-600)/300)))))</f>
        <v>0</v>
      </c>
      <c r="AM7" s="230">
        <f>IF($AN$2&lt;1,0,IF($AN$2&lt;26,1,IF($AN$2&lt;51,2,IF($AN$2&lt;101,3,IF($AN$2&lt;201,4,IF($AN$2&lt;301,6,IF($AN$2&lt;401,8,8+($AN$2-400)/125)))))))</f>
        <v>0</v>
      </c>
      <c r="AN7" s="230">
        <f>IF($AL$2&lt;1,0,IF($AL$2&lt;201,1,IF($AL$2&lt;401,2,IF($AL$2&lt;601,3, IF($AL$2&lt;751,4,4+($AL$2-750)/250)))))</f>
        <v>0</v>
      </c>
      <c r="AO7" s="230">
        <f>IF($AN$2&lt;1,0,IF($AN$2&lt;101,1,IF($AN$2&lt;201,2,IF($AN$2&lt;301,4,IF($AN$2&lt;501,5,IF($AN$2&lt;751,6,6+($AN$2-750)/200))))))</f>
        <v>0</v>
      </c>
      <c r="AP7" s="231">
        <v>0</v>
      </c>
      <c r="AQ7" s="230">
        <f>IF($AK$2&lt;31,0,IF($AK$2&lt;251,1,IF($AK$2&lt;501,2,IF($AK$2&lt;751,3,3+($AK$2-750)/500))))</f>
        <v>0</v>
      </c>
      <c r="AR7" s="33" t="str">
        <f t="shared" ref="AR7:AR15" si="9">IF(AND($AK$2&lt;=30,$AK$2&gt;0),$B$74,"")</f>
        <v/>
      </c>
      <c r="AS7" s="32">
        <f t="shared" si="3"/>
        <v>0</v>
      </c>
      <c r="AT7" s="32">
        <f t="shared" si="4"/>
        <v>0</v>
      </c>
    </row>
    <row r="8" spans="1:46" ht="12" customHeight="1" x14ac:dyDescent="0.2">
      <c r="A8">
        <f t="shared" ca="1" si="5"/>
        <v>5</v>
      </c>
      <c r="B8" s="165" t="s">
        <v>151</v>
      </c>
      <c r="C8" s="223">
        <v>99901</v>
      </c>
      <c r="D8" s="223">
        <v>99912</v>
      </c>
      <c r="E8" s="223">
        <v>99903</v>
      </c>
      <c r="F8" s="223">
        <v>99908</v>
      </c>
      <c r="G8" s="223">
        <v>99905</v>
      </c>
      <c r="H8" s="223">
        <v>0</v>
      </c>
      <c r="I8" s="223">
        <v>99907</v>
      </c>
      <c r="J8" s="221"/>
      <c r="L8" s="165" t="s">
        <v>151</v>
      </c>
      <c r="M8" s="230">
        <f>IF($N$2&lt;1,0,IF($N$2&lt;101,1,IF($N$2&lt;201,2,IF($N$2&lt;401,3,3+($N$2-400)/500))))</f>
        <v>0</v>
      </c>
      <c r="N8" s="230">
        <f>IF($N$2&lt;1,0,IF($N$2&lt;101,1,IF($N$2&lt;201,2,IF($N$2&lt;401,3, IF($N$2&lt;601,4,4+($N$2-600)/300)))))</f>
        <v>0</v>
      </c>
      <c r="O8" s="230">
        <f>IF($P$2&lt;1,0,IF($P$2&lt;26,1,IF($P$2&lt;51,2,IF($P$2&lt;101,3,IF($P$2&lt;201,4,IF($P$2&lt;301,6,IF($P$2&lt;401,8,8+($P$2-400)/125)))))))</f>
        <v>0</v>
      </c>
      <c r="P8" s="230">
        <f>IF($N$2&lt;1,0,IF($N$2&lt;201,1,IF($N$2&lt;401,2,IF($N$2&lt;751,3,3+($N$2-751)/250))))</f>
        <v>0</v>
      </c>
      <c r="Q8" s="230">
        <f>IF($P$2&lt;1,0,IF($P$2&lt;101,1,IF($P$2&lt;201,2,IF($P$2&lt;301,4,IF($P$2&lt;501,5,IF($P$2&lt;751,6,6+($P$2-750)/200))))))</f>
        <v>0</v>
      </c>
      <c r="R8" s="231">
        <v>0</v>
      </c>
      <c r="S8" s="230">
        <f>IF($M$2&lt;31,0,IF($M$2&lt;251,1,IF($M$2&lt;501,2,IF($M$2&lt;751,3,3+($M$2-750)/500))))</f>
        <v>0</v>
      </c>
      <c r="T8" s="33" t="str">
        <f t="shared" si="6"/>
        <v/>
      </c>
      <c r="U8" s="32">
        <f>IF(M8+O8&lt;1,M8+O8,IF($M$47=1,1,M8+O8))</f>
        <v>0</v>
      </c>
      <c r="V8" s="32">
        <f t="shared" si="0"/>
        <v>0</v>
      </c>
      <c r="X8" s="165" t="s">
        <v>151</v>
      </c>
      <c r="Y8" s="230">
        <f>IF($Z$2&lt;1,0,IF($Z$2&lt;101,1,IF($Z$2&lt;201,2,IF($Z$2&lt;401,3,3+($Z$2-400)/500))))</f>
        <v>0</v>
      </c>
      <c r="Z8" s="230">
        <f>IF($Z$2&lt;1,0,IF($Z$2&lt;101,1,IF($Z$2&lt;201,2,IF($Z$2&lt;401,3, IF($Z$2&lt;601,4,4+($Z$2-600)/300)))))</f>
        <v>0</v>
      </c>
      <c r="AA8" s="230">
        <f>IF($AB$2&lt;1,0,IF($AB$2&lt;26,1,IF($AB$2&lt;51,2,IF($AB$2&lt;101,3,IF($AB$2&lt;201,4,IF($AB$2&lt;301,6,IF($AB$2&lt;401,8,8+($AB$2-400)/125)))))))</f>
        <v>0</v>
      </c>
      <c r="AB8" s="230">
        <f>IF($Z$2&lt;1,0,IF($Z$2&lt;201,1,IF($Z$2&lt;401,2,IF($Z$2&lt;751,3,3+($Z$2-751)/250))))</f>
        <v>0</v>
      </c>
      <c r="AC8" s="230">
        <f>IF($AB$2&lt;1,0,IF($AB$2&lt;101,1,IF($AB$2&lt;201,2,IF($AB$2&lt;301,4,IF($AB$2&lt;501,5,IF($AB$2&lt;751,6,6+($AB$2-750)/200))))))</f>
        <v>0</v>
      </c>
      <c r="AD8" s="231">
        <v>0</v>
      </c>
      <c r="AE8" s="230">
        <f>IF($Y$2&lt;31,0,IF($Y$2&lt;251,1,IF($Y$2&lt;501,2,IF($Y$2&lt;751,3,3+($Y$2-750)/500))))</f>
        <v>0</v>
      </c>
      <c r="AF8" s="33" t="str">
        <f t="shared" si="8"/>
        <v/>
      </c>
      <c r="AG8" s="32">
        <f t="shared" si="1"/>
        <v>0</v>
      </c>
      <c r="AH8" s="32">
        <f t="shared" si="2"/>
        <v>0</v>
      </c>
      <c r="AJ8" s="165" t="s">
        <v>151</v>
      </c>
      <c r="AK8" s="230">
        <f>IF($AL$2&lt;1,0,IF($AL$2&lt;101,1,IF($AL$2&lt;201,2,IF($AL$2&lt;401,3,3+($AL$2-400)/500))))</f>
        <v>0</v>
      </c>
      <c r="AL8" s="230">
        <f>IF($AL$2&lt;1,0,IF($AL$2&lt;101,1,IF($AL$2&lt;201,2,IF($AL$2&lt;401,3, IF($AL$2&lt;601,4,4+($AL$2-600)/300)))))</f>
        <v>0</v>
      </c>
      <c r="AM8" s="230">
        <f>IF($AN$2&lt;1,0,IF($AN$2&lt;26,1,IF($AN$2&lt;51,2,IF($AN$2&lt;101,3,IF($AN$2&lt;201,4,IF($AN$2&lt;301,6,IF($AN$2&lt;401,8,8+($AN$2-400)/125)))))))</f>
        <v>0</v>
      </c>
      <c r="AN8" s="230">
        <f>IF($AL$2&lt;1,0,IF($AL$2&lt;201,1,IF($AL$2&lt;401,2,IF($AL$2&lt;751,3,3+($AL$2-751)/250))))</f>
        <v>0</v>
      </c>
      <c r="AO8" s="230">
        <f>IF($AN$2&lt;1,0,IF($AN$2&lt;101,1,IF($AN$2&lt;201,2,IF($AN$2&lt;301,4,IF($AN$2&lt;501,5,IF($AN$2&lt;751,6,6+($AN$2-750)/200))))))</f>
        <v>0</v>
      </c>
      <c r="AP8" s="231">
        <v>0</v>
      </c>
      <c r="AQ8" s="230">
        <f>IF($AK$2&lt;31,0,IF($AK$2&lt;251,1,IF($AK$2&lt;501,2,IF($AK$2&lt;751,3,3+($AK$2-750)/500))))</f>
        <v>0</v>
      </c>
      <c r="AR8" s="33" t="str">
        <f t="shared" si="9"/>
        <v/>
      </c>
      <c r="AS8" s="32">
        <f t="shared" si="3"/>
        <v>0</v>
      </c>
      <c r="AT8" s="32">
        <f t="shared" si="4"/>
        <v>0</v>
      </c>
    </row>
    <row r="9" spans="1:46" ht="12" customHeight="1" x14ac:dyDescent="0.2">
      <c r="A9">
        <f t="shared" ca="1" si="5"/>
        <v>6</v>
      </c>
      <c r="B9" s="165" t="s">
        <v>152</v>
      </c>
      <c r="C9" s="223">
        <v>99901</v>
      </c>
      <c r="D9" s="223">
        <v>99912</v>
      </c>
      <c r="E9" s="223">
        <v>99903</v>
      </c>
      <c r="F9" s="223">
        <v>99908</v>
      </c>
      <c r="G9" s="223">
        <v>99905</v>
      </c>
      <c r="H9" s="223">
        <v>0</v>
      </c>
      <c r="I9" s="223">
        <v>99907</v>
      </c>
      <c r="J9" s="221"/>
      <c r="L9" s="165" t="s">
        <v>152</v>
      </c>
      <c r="M9" s="230">
        <f>IF($N$2&lt;1,0,IF($N$2&lt;101,1,IF($N$2&lt;201,2,IF($N$2&lt;401,3,3+($N$2-400)/500))))</f>
        <v>0</v>
      </c>
      <c r="N9" s="230">
        <f>IF($N$2&lt;1,0,IF($N$2&lt;101,1,IF($N$2&lt;201,2,IF($N$2&lt;401,3, IF($N$2&lt;601,4,4+($N$2-600)/300)))))</f>
        <v>0</v>
      </c>
      <c r="O9" s="230">
        <f>IF($P$2&lt;1,0,IF($P$2&lt;26,1,IF($P$2&lt;51,2,IF($P$2&lt;101,3,IF($P$2&lt;201,4,IF($P$2&lt;301,6,IF($P$2&lt;401,8,8+($P$2-400)/125)))))))</f>
        <v>0</v>
      </c>
      <c r="P9" s="230">
        <f>IF($N$2&lt;1,0,IF($N$2&lt;201,1,IF($N$2&lt;401,2,IF($N$2&lt;751,3,3+($N$2-750)/250))))</f>
        <v>0</v>
      </c>
      <c r="Q9" s="230">
        <f>IF($P$2&lt;1,0,IF($P$2&lt;101,1,IF($P$2&lt;201,2,IF($P$2&lt;301,4,IF($P$2&lt;501,5,IF($P$2&lt;751,6,6+($P$2-750)/200))))))</f>
        <v>0</v>
      </c>
      <c r="R9" s="231">
        <v>0</v>
      </c>
      <c r="S9" s="230">
        <f>IF($M$2&lt;31,0,IF($M$2&lt;251,1,IF($M$2&lt;501,2,IF($M$2&lt;751,3,3+($M$2-750)/500))))</f>
        <v>0</v>
      </c>
      <c r="T9" s="33" t="str">
        <f t="shared" si="6"/>
        <v/>
      </c>
      <c r="U9" s="32">
        <f t="shared" si="7"/>
        <v>0</v>
      </c>
      <c r="V9" s="32">
        <f t="shared" si="0"/>
        <v>0</v>
      </c>
      <c r="X9" s="165" t="s">
        <v>152</v>
      </c>
      <c r="Y9" s="230">
        <f>IF($Z$2&lt;1,0,IF($Z$2&lt;101,1,IF($Z$2&lt;201,2,IF($Z$2&lt;401,3,3+($Z$2-400)/500))))</f>
        <v>0</v>
      </c>
      <c r="Z9" s="230">
        <f>IF($Z$2&lt;1,0,IF($Z$2&lt;101,1,IF($Z$2&lt;201,2,IF($Z$2&lt;401,3, IF($Z$2&lt;601,4,4+($Z$2-600)/300)))))</f>
        <v>0</v>
      </c>
      <c r="AA9" s="230">
        <f>IF($AB$2&lt;1,0,IF($AB$2&lt;26,1,IF($AB$2&lt;51,2,IF($AB$2&lt;101,3,IF($AB$2&lt;201,4,IF($AB$2&lt;301,6,IF($AB$2&lt;401,8,8+($AB$2-400)/125)))))))</f>
        <v>0</v>
      </c>
      <c r="AB9" s="230">
        <f>IF($Z$2&lt;1,0,IF($Z$2&lt;201,1,IF($Z$2&lt;401,2,IF($Z$2&lt;751,3,3+($Z$2-750)/250))))</f>
        <v>0</v>
      </c>
      <c r="AC9" s="230">
        <f>IF($AB$2&lt;1,0,IF($AB$2&lt;101,1,IF($AB$2&lt;201,2,IF($AB$2&lt;301,4,IF($AB$2&lt;501,5,IF($AB$2&lt;751,6,6+($AB$2-750)/200))))))</f>
        <v>0</v>
      </c>
      <c r="AD9" s="231">
        <v>0</v>
      </c>
      <c r="AE9" s="230">
        <f>IF($Y$2&lt;31,0,IF($Y$2&lt;251,1,IF($Y$2&lt;501,2,IF($Y$2&lt;751,3,3+($Y$2-750)/500))))</f>
        <v>0</v>
      </c>
      <c r="AF9" s="33" t="str">
        <f t="shared" si="8"/>
        <v/>
      </c>
      <c r="AG9" s="32">
        <f t="shared" si="1"/>
        <v>0</v>
      </c>
      <c r="AH9" s="32">
        <f t="shared" si="2"/>
        <v>0</v>
      </c>
      <c r="AJ9" s="165" t="s">
        <v>152</v>
      </c>
      <c r="AK9" s="230">
        <f>IF($AL$2&lt;1,0,IF($AL$2&lt;101,1,IF($AL$2&lt;201,2,IF($AL$2&lt;401,3,3+($AL$2-400)/500))))</f>
        <v>0</v>
      </c>
      <c r="AL9" s="230">
        <f>IF($AL$2&lt;1,0,IF($AL$2&lt;101,1,IF($AL$2&lt;201,2,IF($AL$2&lt;401,3, IF($AL$2&lt;601,4,4+($AL$2-600)/300)))))</f>
        <v>0</v>
      </c>
      <c r="AM9" s="230">
        <f>IF($AN$2&lt;1,0,IF($AN$2&lt;26,1,IF($AN$2&lt;51,2,IF($AN$2&lt;101,3,IF($AN$2&lt;201,4,IF($AN$2&lt;301,6,IF($AN$2&lt;401,8,8+($AN$2-400)/125)))))))</f>
        <v>0</v>
      </c>
      <c r="AN9" s="230">
        <f>IF($AL$2&lt;1,0,IF($AL$2&lt;201,1,IF($AL$2&lt;401,2,IF($AL$2&lt;751,3,3+($AL$2-750)/250))))</f>
        <v>0</v>
      </c>
      <c r="AO9" s="230">
        <f>IF($AN$2&lt;1,0,IF($AN$2&lt;101,1,IF($AN$2&lt;201,2,IF($AN$2&lt;301,4,IF($AN$2&lt;501,5,IF($AN$2&lt;751,6,6+($AN$2-750)/200))))))</f>
        <v>0</v>
      </c>
      <c r="AP9" s="231">
        <v>0</v>
      </c>
      <c r="AQ9" s="230">
        <f>IF($AK$2&lt;31,0,IF($AK$2&lt;251,1,IF($AK$2&lt;501,2,IF($AK$2&lt;751,3,3+($AK$2-750)/500))))</f>
        <v>0</v>
      </c>
      <c r="AR9" s="33" t="str">
        <f t="shared" si="9"/>
        <v/>
      </c>
      <c r="AS9" s="32">
        <f t="shared" si="3"/>
        <v>0</v>
      </c>
      <c r="AT9" s="32">
        <f t="shared" si="4"/>
        <v>0</v>
      </c>
    </row>
    <row r="10" spans="1:46" ht="12" customHeight="1" x14ac:dyDescent="0.2">
      <c r="A10">
        <f t="shared" ca="1" si="5"/>
        <v>7</v>
      </c>
      <c r="B10" s="165" t="s">
        <v>153</v>
      </c>
      <c r="C10" s="223">
        <v>99921</v>
      </c>
      <c r="D10" s="223">
        <v>99912</v>
      </c>
      <c r="E10" s="223">
        <v>99923</v>
      </c>
      <c r="F10" s="223">
        <v>99924</v>
      </c>
      <c r="G10" s="223">
        <v>99925</v>
      </c>
      <c r="H10" s="223">
        <v>0</v>
      </c>
      <c r="I10" s="225">
        <v>6.6666666666666671E-3</v>
      </c>
      <c r="J10" s="221"/>
      <c r="L10" s="165" t="s">
        <v>153</v>
      </c>
      <c r="M10" s="230">
        <f>IF($N$2&lt;1,0,IF($N$2&lt;51,1,IF($N$2&lt;101,2,IF($N$2&lt;201,3,IF($N$2&lt;401,4,4+($N$2-400)/500)))))</f>
        <v>0</v>
      </c>
      <c r="N10" s="230">
        <f>IF($N$2&lt;1,0,IF($N$2&lt;101,1,IF($N$2&lt;201,2,IF($N$2&lt;401,3, IF($N$2&lt;601,4,4+($N$2-600)/300)))))</f>
        <v>0</v>
      </c>
      <c r="O10" s="230">
        <f>IF($P$2&lt;1,0,IF($P$2&lt;16,1,IF($P$2&lt;31,2,IF($P$2&lt;51,3,IF($P$2&lt;101,4,IF($P$2&lt;201,8,IF($P$2&lt;401,11,11+($P$2-400)/150)))))))</f>
        <v>0</v>
      </c>
      <c r="P10" s="230">
        <f>IF($N$2&lt;1,0,IF($N$2&lt;76,1,IF($N$2&lt;151,2,IF($N$2&lt;201,3, IF($N$2&lt;301,4,IF($N$2&lt;401,5,5+($N$2-400)/250))))))</f>
        <v>0</v>
      </c>
      <c r="Q10" s="230">
        <f>IF($P$2&lt;1,0,IF($P$2&lt;51,1,IF($P$2&lt;101,2,IF($P$2&lt;151,3,IF($P$2&lt;201,4,IF($P$2&lt;301,5,IF($P$2&lt;401,6,6+($P$2-400)/200)))))))</f>
        <v>0</v>
      </c>
      <c r="R10" s="231">
        <v>0</v>
      </c>
      <c r="S10" s="143">
        <f>IF($M$2&lt;=30,0,$M$2*$I10)</f>
        <v>0</v>
      </c>
      <c r="T10" s="33" t="str">
        <f t="shared" si="6"/>
        <v/>
      </c>
      <c r="U10" s="32">
        <f t="shared" si="7"/>
        <v>0</v>
      </c>
      <c r="V10" s="32">
        <f t="shared" si="0"/>
        <v>0</v>
      </c>
      <c r="X10" s="165" t="s">
        <v>153</v>
      </c>
      <c r="Y10" s="230">
        <f>IF($Z$2&lt;1,0,IF($Z$2&lt;51,1,IF($Z$2&lt;101,2,IF($Z$2&lt;201,3,IF($Z$2&lt;401,4,4+($Z$2-400)/500)))))</f>
        <v>0</v>
      </c>
      <c r="Z10" s="230">
        <f>IF($Z$2&lt;1,0,IF($Z$2&lt;101,1,IF($Z$2&lt;201,2,IF($Z$2&lt;401,3, IF($Z$2&lt;601,4,4+($Z$2-600)/300)))))</f>
        <v>0</v>
      </c>
      <c r="AA10" s="230">
        <f>IF($AB$2&lt;1,0,IF($AB$2&lt;16,1,IF($AB$2&lt;31,2,IF($AB$2&lt;51,3,IF($AB$2&lt;101,4,IF($AB$2&lt;201,8,IF($AB$2&lt;401,11,11+($AB$2-400)/150)))))))</f>
        <v>0</v>
      </c>
      <c r="AB10" s="230">
        <f>IF($Z$2&lt;1,0,IF($Z$2&lt;76,1,IF($Z$2&lt;151,2,IF($Z$2&lt;201,3, IF($Z$2&lt;301,4,IF($Z$2&lt;401,5,5+($Z$2-400)/250))))))</f>
        <v>0</v>
      </c>
      <c r="AC10" s="230">
        <f>IF($AB$2&lt;1,0,IF($AB$2&lt;51,1,IF($AB$2&lt;101,2,IF($AB$2&lt;151,3,IF($AB$2&lt;201,4,IF($AB$2&lt;301,5,IF($AB$2&lt;401,6,6+($AB$2-400)/200)))))))</f>
        <v>0</v>
      </c>
      <c r="AD10" s="231">
        <v>0</v>
      </c>
      <c r="AE10" s="143">
        <f>IF($Y$2&lt;=30,0,$Y$2*$I10)</f>
        <v>0</v>
      </c>
      <c r="AF10" s="33" t="str">
        <f t="shared" si="8"/>
        <v/>
      </c>
      <c r="AG10" s="32">
        <f t="shared" si="1"/>
        <v>0</v>
      </c>
      <c r="AH10" s="32">
        <f t="shared" si="2"/>
        <v>0</v>
      </c>
      <c r="AJ10" s="165" t="s">
        <v>153</v>
      </c>
      <c r="AK10" s="230">
        <f>IF($AL$2&lt;1,0,IF($AL$2&lt;51,1,IF($AL$2&lt;101,2,IF($AL$2&lt;201,3,IF($AL$2&lt;401,4,4+($AL$2-400)/500)))))</f>
        <v>0</v>
      </c>
      <c r="AL10" s="230">
        <f>IF($AL$2&lt;1,0,IF($AL$2&lt;101,1,IF($AL$2&lt;201,2,IF($AL$2&lt;401,3, IF($AL$2&lt;601,4,4+($AL$2-600)/300)))))</f>
        <v>0</v>
      </c>
      <c r="AM10" s="230">
        <f>IF($AN$2&lt;1,0,IF($AN$2&lt;16,1,IF($AN$2&lt;31,2,IF($AN$2&lt;51,3,IF($AN$2&lt;101,4,IF($AN$2&lt;201,8,IF($AN$2&lt;401,11,11+($AN$2-400)/150)))))))</f>
        <v>0</v>
      </c>
      <c r="AN10" s="230">
        <f>IF($AL$2&lt;1,0,IF($AL$2&lt;76,1,IF($AL$2&lt;151,2,IF($AL$2&lt;201,3, IF($AL$2&lt;301,4,IF($AL$2&lt;401,5,5+($AL$2-400)/250))))))</f>
        <v>0</v>
      </c>
      <c r="AO10" s="230">
        <f>IF($AN$2&lt;1,0,IF($AN$2&lt;51,1,IF($AN$2&lt;101,2,IF($AN$2&lt;151,3,IF($AN$2&lt;201,4,IF($AN$2&lt;301,5,IF($AN$2&lt;401,6,6+($AN$2-400)/200)))))))</f>
        <v>0</v>
      </c>
      <c r="AP10" s="231">
        <v>0</v>
      </c>
      <c r="AQ10" s="143">
        <f>IF($AK$2&lt;=30,0,$AK$2*$I10)</f>
        <v>0</v>
      </c>
      <c r="AR10" s="33" t="str">
        <f t="shared" si="9"/>
        <v/>
      </c>
      <c r="AS10" s="32">
        <f t="shared" si="3"/>
        <v>0</v>
      </c>
      <c r="AT10" s="32">
        <f t="shared" si="4"/>
        <v>0</v>
      </c>
    </row>
    <row r="11" spans="1:46" ht="12" customHeight="1" x14ac:dyDescent="0.2">
      <c r="A11">
        <f t="shared" ca="1" si="5"/>
        <v>8</v>
      </c>
      <c r="B11" s="165" t="s">
        <v>154</v>
      </c>
      <c r="C11" s="224">
        <v>0.02</v>
      </c>
      <c r="D11" s="224">
        <v>0.01</v>
      </c>
      <c r="E11" s="224">
        <v>3.3333333333333333E-2</v>
      </c>
      <c r="F11" s="225">
        <v>2.5000000000000001E-2</v>
      </c>
      <c r="G11" s="225">
        <v>2.5000000000000001E-2</v>
      </c>
      <c r="H11" s="223">
        <v>0</v>
      </c>
      <c r="I11" s="225">
        <v>6.6666666666666671E-3</v>
      </c>
      <c r="J11" s="221"/>
      <c r="L11" s="165" t="s">
        <v>154</v>
      </c>
      <c r="M11" s="233">
        <f>$N$2*$C11</f>
        <v>0</v>
      </c>
      <c r="N11" s="234">
        <f>$N$2*$D11</f>
        <v>0</v>
      </c>
      <c r="O11" s="233">
        <f>$P$2*$E11</f>
        <v>0</v>
      </c>
      <c r="P11" s="233">
        <f>$N$2*$F11</f>
        <v>0</v>
      </c>
      <c r="Q11" s="233">
        <f>$P$2*$G11</f>
        <v>0</v>
      </c>
      <c r="R11" s="231">
        <v>0</v>
      </c>
      <c r="S11" s="143">
        <f>IF($M$2&lt;=30,0,$M$2*$I11)</f>
        <v>0</v>
      </c>
      <c r="T11" s="33" t="str">
        <f t="shared" si="6"/>
        <v/>
      </c>
      <c r="U11" s="32">
        <f>IF(M11+O11&lt;1,M11+O11,IF($M$47=1,1,M11+O11))</f>
        <v>0</v>
      </c>
      <c r="V11" s="32">
        <f t="shared" si="0"/>
        <v>0</v>
      </c>
      <c r="X11" s="165" t="s">
        <v>154</v>
      </c>
      <c r="Y11" s="233">
        <f>$Z$2*$C11</f>
        <v>0</v>
      </c>
      <c r="Z11" s="234">
        <f>$Z$2*$D11</f>
        <v>0</v>
      </c>
      <c r="AA11" s="233">
        <f>$AB$2*$E11</f>
        <v>0</v>
      </c>
      <c r="AB11" s="233">
        <f>$Z$2*$F11</f>
        <v>0</v>
      </c>
      <c r="AC11" s="233">
        <f>$AB$2*$G11</f>
        <v>0</v>
      </c>
      <c r="AD11" s="231">
        <v>0</v>
      </c>
      <c r="AE11" s="143">
        <f>IF($Y$2&lt;=30,0,$Y$2*$I11)</f>
        <v>0</v>
      </c>
      <c r="AF11" s="33" t="str">
        <f t="shared" si="8"/>
        <v/>
      </c>
      <c r="AG11" s="32">
        <f t="shared" si="1"/>
        <v>0</v>
      </c>
      <c r="AH11" s="32">
        <f t="shared" si="2"/>
        <v>0</v>
      </c>
      <c r="AJ11" s="165" t="s">
        <v>154</v>
      </c>
      <c r="AK11" s="233">
        <f>$AL$2*$C11</f>
        <v>0</v>
      </c>
      <c r="AL11" s="234">
        <f>$AL$2*$D11</f>
        <v>0</v>
      </c>
      <c r="AM11" s="233">
        <f>$AN$2*$E11</f>
        <v>0</v>
      </c>
      <c r="AN11" s="233">
        <f>$AL$2*$F11</f>
        <v>0</v>
      </c>
      <c r="AO11" s="233">
        <f>$AN$2*$G11</f>
        <v>0</v>
      </c>
      <c r="AP11" s="231">
        <v>0</v>
      </c>
      <c r="AQ11" s="143">
        <f>IF($AK$2&lt;=30,0,$AK$2*$I11)</f>
        <v>0</v>
      </c>
      <c r="AR11" s="33" t="str">
        <f t="shared" si="9"/>
        <v/>
      </c>
      <c r="AS11" s="32">
        <f t="shared" si="3"/>
        <v>0</v>
      </c>
      <c r="AT11" s="32">
        <f t="shared" si="4"/>
        <v>0</v>
      </c>
    </row>
    <row r="12" spans="1:46" ht="12" customHeight="1" x14ac:dyDescent="0.2">
      <c r="A12">
        <f t="shared" ca="1" si="5"/>
        <v>9</v>
      </c>
      <c r="B12" s="165" t="s">
        <v>155</v>
      </c>
      <c r="C12" s="223">
        <v>99909</v>
      </c>
      <c r="D12" s="223">
        <v>0</v>
      </c>
      <c r="E12" s="223">
        <v>99909</v>
      </c>
      <c r="F12" s="223">
        <v>99910</v>
      </c>
      <c r="G12" s="223">
        <v>99910</v>
      </c>
      <c r="H12" s="143">
        <v>99906</v>
      </c>
      <c r="I12" s="223">
        <v>99907</v>
      </c>
      <c r="J12" s="221"/>
      <c r="L12" s="165" t="s">
        <v>155</v>
      </c>
      <c r="M12" s="230">
        <f>IF($N$2&lt;1,0,IF($N$2&lt;51,1,IF($N$2&lt;76,2,IF($N$2&lt;101,3,3+($N$2-100)/40))))</f>
        <v>0</v>
      </c>
      <c r="N12" s="234">
        <f>$N$2*$D12</f>
        <v>0</v>
      </c>
      <c r="O12" s="230">
        <f>IF($P$2&lt;1,0,IF($P$2&lt;51,1,IF($P$2&lt;76,2,IF($P$2&lt;101,3,3+($P$2-100)/40))))</f>
        <v>0</v>
      </c>
      <c r="P12" s="230">
        <f>IF($N$2&lt;1,0,IF($N$2&lt;51,1,IF($N$2&lt;76,2,IF($N$2&lt;101,3,3+($N$2-100)/40))))</f>
        <v>0</v>
      </c>
      <c r="Q12" s="230">
        <f>IF($P$2&lt;1,0,IF($P$2&lt;51,1,IF($P$2&lt;76,2,IF($P$2&lt;101,3,3+($P$2-100)/40))))</f>
        <v>0</v>
      </c>
      <c r="R12" s="231">
        <v>0</v>
      </c>
      <c r="S12" s="230">
        <f>IF($M$2&lt;31,0,IF($M$2&lt;251,1,IF($M$2&lt;501,2,IF($M$2&lt;751,3,3+($M$2-750)/500))))</f>
        <v>0</v>
      </c>
      <c r="T12" s="33" t="str">
        <f t="shared" si="6"/>
        <v/>
      </c>
      <c r="U12" s="32">
        <f t="shared" si="7"/>
        <v>0</v>
      </c>
      <c r="V12" s="32">
        <f t="shared" si="0"/>
        <v>0</v>
      </c>
      <c r="X12" s="165" t="s">
        <v>155</v>
      </c>
      <c r="Y12" s="230">
        <f>IF($Z$2&lt;1,0,IF($Z$2&lt;51,1,IF($Z$2&lt;76,2,IF($Z$2&lt;101,3,3+($Z$2-100)/40))))</f>
        <v>0</v>
      </c>
      <c r="Z12" s="234">
        <f>$Z$2*$D12</f>
        <v>0</v>
      </c>
      <c r="AA12" s="230">
        <f>IF($AB$2&lt;1,0,IF($AB$2&lt;51,1,IF($AB$2&lt;76,2,IF($AB$2&lt;101,3,3+($AB$2-100)/40))))</f>
        <v>0</v>
      </c>
      <c r="AB12" s="230">
        <f>IF($Z$2&lt;1,0,IF($Z$2&lt;51,1,IF($Z$2&lt;76,2,IF($Z$2&lt;101,3,3+($Z$2-100)/40))))</f>
        <v>0</v>
      </c>
      <c r="AC12" s="230">
        <f>IF($AB$2&lt;1,0,IF($AB$2&lt;51,1,IF($AB$2&lt;76,2,IF($AB$2&lt;101,3,3+($AB$2-100)/40))))</f>
        <v>0</v>
      </c>
      <c r="AD12" s="231">
        <v>0</v>
      </c>
      <c r="AE12" s="230">
        <f>IF($Y$2&lt;31,0,IF($Y$2&lt;251,1,IF($Y$2&lt;501,2,IF($Y$2&lt;751,3,3+($Y$2-750)/500))))</f>
        <v>0</v>
      </c>
      <c r="AF12" s="33" t="str">
        <f t="shared" si="8"/>
        <v/>
      </c>
      <c r="AG12" s="32">
        <f t="shared" si="1"/>
        <v>0</v>
      </c>
      <c r="AH12" s="32">
        <f t="shared" si="2"/>
        <v>0</v>
      </c>
      <c r="AJ12" s="165" t="s">
        <v>155</v>
      </c>
      <c r="AK12" s="230">
        <f>IF($AL$2&lt;1,0,IF($AL$2&lt;51,1,IF($AL$2&lt;76,2,IF($AL$2&lt;101,3,3+($AL$2-100)/40))))</f>
        <v>0</v>
      </c>
      <c r="AL12" s="234">
        <f>$AL$2*$D12</f>
        <v>0</v>
      </c>
      <c r="AM12" s="230">
        <f>IF($AN$2&lt;1,0,IF($AN$2&lt;51,1,IF($AN$2&lt;76,2,IF($AN$2&lt;101,3,3+($AN$2-100)/40))))</f>
        <v>0</v>
      </c>
      <c r="AN12" s="230">
        <f>IF($AL$2&lt;1,0,IF($AL$2&lt;51,1,IF($AL$2&lt;76,2,IF($AL$2&lt;101,3,3+($AL$2-100)/40))))</f>
        <v>0</v>
      </c>
      <c r="AO12" s="230">
        <f>IF($AN$2&lt;1,0,IF($AN$2&lt;51,1,IF($AN$2&lt;76,2,IF($AN$2&lt;101,3,3+($AN$2-100)/40))))</f>
        <v>0</v>
      </c>
      <c r="AP12" s="231">
        <v>0</v>
      </c>
      <c r="AQ12" s="230">
        <f>IF($AK$2&lt;31,0,IF($AK$2&lt;251,1,IF($AK$2&lt;501,2,IF($AK$2&lt;751,3,3+($AK$2-750)/500))))</f>
        <v>0</v>
      </c>
      <c r="AR12" s="33" t="str">
        <f t="shared" si="9"/>
        <v/>
      </c>
      <c r="AS12" s="32">
        <f t="shared" si="3"/>
        <v>0</v>
      </c>
      <c r="AT12" s="32">
        <f t="shared" si="4"/>
        <v>0</v>
      </c>
    </row>
    <row r="13" spans="1:46" ht="12" customHeight="1" x14ac:dyDescent="0.2">
      <c r="A13">
        <f t="shared" ca="1" si="5"/>
        <v>10</v>
      </c>
      <c r="B13" s="165" t="s">
        <v>156</v>
      </c>
      <c r="C13" s="223">
        <v>0.125</v>
      </c>
      <c r="D13" s="223">
        <v>0</v>
      </c>
      <c r="E13" s="223">
        <v>0.125</v>
      </c>
      <c r="F13" s="223">
        <v>0.1</v>
      </c>
      <c r="G13" s="223">
        <v>0.1</v>
      </c>
      <c r="H13" s="223">
        <v>0.05</v>
      </c>
      <c r="I13" s="225">
        <v>6.6666666666666671E-3</v>
      </c>
      <c r="J13" s="221"/>
      <c r="L13" s="165" t="s">
        <v>156</v>
      </c>
      <c r="M13" s="230">
        <f>$N$2*$C13</f>
        <v>0</v>
      </c>
      <c r="N13" s="234">
        <f>$N$2*$D13</f>
        <v>0</v>
      </c>
      <c r="O13" s="233">
        <f>$P$2*$E13</f>
        <v>0</v>
      </c>
      <c r="P13" s="233">
        <f>$N$2*$F13</f>
        <v>0</v>
      </c>
      <c r="Q13" s="233">
        <f>$P$2*$G13</f>
        <v>0</v>
      </c>
      <c r="R13" s="39">
        <f>$M$2*$H$13</f>
        <v>0</v>
      </c>
      <c r="S13" s="143">
        <f>IF($M$2&lt;=30,0,$M$2*$I13)</f>
        <v>0</v>
      </c>
      <c r="T13" s="33" t="str">
        <f t="shared" si="6"/>
        <v/>
      </c>
      <c r="U13" s="32">
        <f>IF(M13+O13&lt;1,M13+O13,IF($M$47=1,1,M13+O13))</f>
        <v>0</v>
      </c>
      <c r="V13" s="32">
        <f t="shared" si="0"/>
        <v>0</v>
      </c>
      <c r="X13" s="165" t="s">
        <v>156</v>
      </c>
      <c r="Y13" s="230">
        <f>$Z$2*$C13</f>
        <v>0</v>
      </c>
      <c r="Z13" s="234">
        <f>$Z$2*$D13</f>
        <v>0</v>
      </c>
      <c r="AA13" s="233">
        <f>$AB$2*$E13</f>
        <v>0</v>
      </c>
      <c r="AB13" s="233">
        <f>$Z$2*$F13</f>
        <v>0</v>
      </c>
      <c r="AC13" s="233">
        <f>$AB$2*$G13</f>
        <v>0</v>
      </c>
      <c r="AD13" s="39">
        <f>$Y$2*$H$13</f>
        <v>0</v>
      </c>
      <c r="AE13" s="143">
        <f>IF($Y$2&lt;=30,0,$Y$2*$I13)</f>
        <v>0</v>
      </c>
      <c r="AF13" s="33" t="str">
        <f t="shared" si="8"/>
        <v/>
      </c>
      <c r="AG13" s="32">
        <f t="shared" si="1"/>
        <v>0</v>
      </c>
      <c r="AH13" s="32">
        <f t="shared" si="2"/>
        <v>0</v>
      </c>
      <c r="AJ13" s="165" t="s">
        <v>156</v>
      </c>
      <c r="AK13" s="230">
        <f>$AL$2*$C13</f>
        <v>0</v>
      </c>
      <c r="AL13" s="234">
        <f>$AL$2*$D13</f>
        <v>0</v>
      </c>
      <c r="AM13" s="233">
        <f>$AN$2*$E13</f>
        <v>0</v>
      </c>
      <c r="AN13" s="233">
        <f>$AL$2*$F13</f>
        <v>0</v>
      </c>
      <c r="AO13" s="233">
        <f>$AN$2*$G13</f>
        <v>0</v>
      </c>
      <c r="AP13" s="39">
        <f>$AK$2*$H$13</f>
        <v>0</v>
      </c>
      <c r="AQ13" s="143">
        <f>IF($AK$2&lt;=30,0,$AK$2*$I13)</f>
        <v>0</v>
      </c>
      <c r="AR13" s="33" t="str">
        <f t="shared" si="9"/>
        <v/>
      </c>
      <c r="AS13" s="32">
        <f t="shared" si="3"/>
        <v>0</v>
      </c>
      <c r="AT13" s="32">
        <f t="shared" si="4"/>
        <v>0</v>
      </c>
    </row>
    <row r="14" spans="1:46" ht="12" customHeight="1" x14ac:dyDescent="0.2">
      <c r="A14">
        <f t="shared" ca="1" si="5"/>
        <v>11</v>
      </c>
      <c r="B14" s="165" t="s">
        <v>157</v>
      </c>
      <c r="C14" s="227">
        <v>1</v>
      </c>
      <c r="D14" s="227" t="s">
        <v>15</v>
      </c>
      <c r="E14" s="227" t="s">
        <v>15</v>
      </c>
      <c r="F14" s="227">
        <v>1</v>
      </c>
      <c r="G14" s="227" t="s">
        <v>15</v>
      </c>
      <c r="H14" s="223">
        <v>0</v>
      </c>
      <c r="I14" s="227">
        <v>1</v>
      </c>
      <c r="J14" s="221"/>
      <c r="L14" s="165" t="s">
        <v>157</v>
      </c>
      <c r="M14" s="227" t="s">
        <v>15</v>
      </c>
      <c r="N14" s="227" t="s">
        <v>15</v>
      </c>
      <c r="O14" s="227" t="s">
        <v>15</v>
      </c>
      <c r="P14" s="227" t="s">
        <v>15</v>
      </c>
      <c r="Q14" s="227" t="s">
        <v>15</v>
      </c>
      <c r="R14" s="231">
        <v>0</v>
      </c>
      <c r="S14" s="36">
        <f>ROUNDUP($Q$2*$I$14,0)</f>
        <v>0</v>
      </c>
      <c r="T14" s="33" t="str">
        <f t="shared" si="6"/>
        <v/>
      </c>
      <c r="U14" s="27">
        <f>ROUNDUP($Q$2*$C$14,0)</f>
        <v>0</v>
      </c>
      <c r="V14" s="27">
        <f>ROUNDUP($Q$2*$F$14,0)</f>
        <v>0</v>
      </c>
      <c r="X14" s="165" t="s">
        <v>157</v>
      </c>
      <c r="Y14" s="227" t="s">
        <v>15</v>
      </c>
      <c r="Z14" s="227" t="s">
        <v>15</v>
      </c>
      <c r="AA14" s="227" t="s">
        <v>15</v>
      </c>
      <c r="AB14" s="227" t="s">
        <v>15</v>
      </c>
      <c r="AC14" s="227" t="s">
        <v>15</v>
      </c>
      <c r="AD14" s="231">
        <v>0</v>
      </c>
      <c r="AE14" s="36">
        <f>ROUNDUP($AC$2*$I$14,0)</f>
        <v>0</v>
      </c>
      <c r="AF14" s="33" t="str">
        <f t="shared" si="8"/>
        <v/>
      </c>
      <c r="AG14" s="27">
        <f>ROUNDUP($AC$2*$C$14,0)</f>
        <v>0</v>
      </c>
      <c r="AH14" s="27">
        <f>ROUNDUP($AC$2*$F$14,0)</f>
        <v>0</v>
      </c>
      <c r="AJ14" s="165" t="s">
        <v>157</v>
      </c>
      <c r="AK14" s="227" t="s">
        <v>15</v>
      </c>
      <c r="AL14" s="227" t="s">
        <v>15</v>
      </c>
      <c r="AM14" s="227" t="s">
        <v>15</v>
      </c>
      <c r="AN14" s="227" t="s">
        <v>15</v>
      </c>
      <c r="AO14" s="227" t="s">
        <v>15</v>
      </c>
      <c r="AP14" s="231">
        <v>0</v>
      </c>
      <c r="AQ14" s="36">
        <f>ROUNDUP($AO$2*$I$14,0)</f>
        <v>0</v>
      </c>
      <c r="AR14" s="33" t="str">
        <f t="shared" si="9"/>
        <v/>
      </c>
      <c r="AS14" s="27">
        <f>ROUNDUP($AO$2*$C$14,0)</f>
        <v>0</v>
      </c>
      <c r="AT14" s="27">
        <f>ROUNDUP($AO$2*$F$14,0)</f>
        <v>0</v>
      </c>
    </row>
    <row r="15" spans="1:46" ht="12" customHeight="1" x14ac:dyDescent="0.2">
      <c r="A15">
        <f t="shared" ca="1" si="5"/>
        <v>12</v>
      </c>
      <c r="B15" s="165" t="s">
        <v>158</v>
      </c>
      <c r="C15" s="223">
        <v>99913</v>
      </c>
      <c r="D15" s="223">
        <v>0</v>
      </c>
      <c r="E15" s="223">
        <v>99913</v>
      </c>
      <c r="F15" s="225">
        <v>2.5000000000000001E-2</v>
      </c>
      <c r="G15" s="225">
        <v>2.5000000000000001E-2</v>
      </c>
      <c r="H15" s="223">
        <v>0</v>
      </c>
      <c r="I15" s="225">
        <v>6.6666666666666671E-3</v>
      </c>
      <c r="J15" s="221"/>
      <c r="L15" s="165" t="s">
        <v>158</v>
      </c>
      <c r="M15" s="230">
        <f>IF($N$2&lt;1,0,IF($N$2&lt;15,1,IF($N$2&lt;36,2,IF($N$2&lt;56,3,3+($N$2-55)/40))))</f>
        <v>0</v>
      </c>
      <c r="N15" s="234">
        <f>$N$2*$D15</f>
        <v>0</v>
      </c>
      <c r="O15" s="230">
        <f>IF($P$2&lt;1,0,IF($P$2&lt;15,1,IF($P$2&lt;36,2,IF($P$2&lt;56,3,3+($P$2-55)/40))))</f>
        <v>0</v>
      </c>
      <c r="P15" s="233">
        <f>$N$2*$F15</f>
        <v>0</v>
      </c>
      <c r="Q15" s="233">
        <f>$P$2*$G15</f>
        <v>0</v>
      </c>
      <c r="R15" s="231">
        <v>0</v>
      </c>
      <c r="S15" s="143">
        <f>IF($M$2&lt;=30,0,$M$2*$I15)</f>
        <v>0</v>
      </c>
      <c r="T15" s="33" t="str">
        <f t="shared" si="6"/>
        <v/>
      </c>
      <c r="U15" s="32">
        <f>IF(M15+O15&lt;1,M15+O15,IF($M$47=1,1,M15+O15))</f>
        <v>0</v>
      </c>
      <c r="V15" s="32">
        <f>IF(P15+Q15&lt;1,P15+Q15,IF($M$47=1,1,P15+Q15))</f>
        <v>0</v>
      </c>
      <c r="X15" s="165" t="s">
        <v>158</v>
      </c>
      <c r="Y15" s="230">
        <f>IF($Z$2&lt;1,0,IF($Z$2&lt;15,1,IF($Z$2&lt;36,2,IF($Z$2&lt;56,3,3+($Z$2-55)/40))))</f>
        <v>0</v>
      </c>
      <c r="Z15" s="234">
        <f>$Z$2*$D15</f>
        <v>0</v>
      </c>
      <c r="AA15" s="230">
        <f>IF($AB$2&lt;1,0,IF($AB$2&lt;15,1,IF($AB$2&lt;36,2,IF($AB$2&lt;56,3,3+($AB$2-55)/40))))</f>
        <v>0</v>
      </c>
      <c r="AB15" s="233">
        <f>$Z$2*$F15</f>
        <v>0</v>
      </c>
      <c r="AC15" s="233">
        <f>$AB$2*$G15</f>
        <v>0</v>
      </c>
      <c r="AD15" s="231">
        <v>0</v>
      </c>
      <c r="AE15" s="143">
        <f>IF($Y$2&lt;=30,0,$Y$2*$I15)</f>
        <v>0</v>
      </c>
      <c r="AF15" s="33" t="str">
        <f t="shared" si="8"/>
        <v/>
      </c>
      <c r="AG15" s="32">
        <f>IF(Y15+AA15&lt;1,Y15+AA15,IF($Y$47=1,1,Y15+AA15))</f>
        <v>0</v>
      </c>
      <c r="AH15" s="32">
        <f>IF(AB15+AC15&lt;1,AB15+AC15,IF($Y$47=1,1,AB15+AC15))</f>
        <v>0</v>
      </c>
      <c r="AJ15" s="165" t="s">
        <v>158</v>
      </c>
      <c r="AK15" s="230">
        <f>IF($AL$2&lt;1,0,IF($AL$2&lt;15,1,IF($AL$2&lt;36,2,IF($AL$2&lt;56,3,3+($AL$2-55)/40))))</f>
        <v>0</v>
      </c>
      <c r="AL15" s="234">
        <f>$AL$2*$D15</f>
        <v>0</v>
      </c>
      <c r="AM15" s="230">
        <f>IF($AN$2&lt;1,0,IF($AN$2&lt;15,1,IF($AN$2&lt;36,2,IF($AN$2&lt;56,3,3+($AN$2-55)/40))))</f>
        <v>0</v>
      </c>
      <c r="AN15" s="233">
        <f>$AL$2*$F15</f>
        <v>0</v>
      </c>
      <c r="AO15" s="233">
        <f>$AN$2*$G15</f>
        <v>0</v>
      </c>
      <c r="AP15" s="231">
        <v>0</v>
      </c>
      <c r="AQ15" s="143">
        <f>IF($AK$2&lt;=30,0,$AK$2*$I15)</f>
        <v>0</v>
      </c>
      <c r="AR15" s="33" t="str">
        <f t="shared" si="9"/>
        <v/>
      </c>
      <c r="AS15" s="32">
        <f>IF(AK15+AM15&lt;1,AK15+AM15,IF($AK$47=1,1,AK15+AM15))</f>
        <v>0</v>
      </c>
      <c r="AT15" s="32">
        <f>IF(AN15+AO15&lt;1,AN15+AO15,IF($AK$47=1,1,AN15+AO15))</f>
        <v>0</v>
      </c>
    </row>
    <row r="16" spans="1:46" ht="12" customHeight="1" x14ac:dyDescent="0.2">
      <c r="A16">
        <f t="shared" ca="1" si="5"/>
        <v>13</v>
      </c>
      <c r="B16" s="165" t="s">
        <v>159</v>
      </c>
      <c r="C16" s="227">
        <v>1</v>
      </c>
      <c r="D16" s="227" t="s">
        <v>15</v>
      </c>
      <c r="E16" s="227" t="s">
        <v>15</v>
      </c>
      <c r="F16" s="227">
        <v>1</v>
      </c>
      <c r="G16" s="227" t="s">
        <v>15</v>
      </c>
      <c r="H16" s="223">
        <v>0.05</v>
      </c>
      <c r="I16" s="223">
        <v>99916</v>
      </c>
      <c r="J16" s="221"/>
      <c r="L16" s="165" t="s">
        <v>159</v>
      </c>
      <c r="M16" s="227" t="s">
        <v>15</v>
      </c>
      <c r="N16" s="227" t="s">
        <v>15</v>
      </c>
      <c r="O16" s="227" t="s">
        <v>15</v>
      </c>
      <c r="P16" s="227" t="s">
        <v>15</v>
      </c>
      <c r="Q16" s="227" t="s">
        <v>15</v>
      </c>
      <c r="R16" s="27">
        <f>$Q$2*$H$16</f>
        <v>0</v>
      </c>
      <c r="S16" s="36">
        <f>IF(AND($M$2&lt;=30,$Q$2&lt;=30),0,1)</f>
        <v>0</v>
      </c>
      <c r="T16" s="33" t="str">
        <f>IF(AND($M$2&lt;1,$Q$2&lt;1),"",$B$85)</f>
        <v/>
      </c>
      <c r="U16" s="27">
        <f>ROUNDUP($Q$2*$C$16,0)</f>
        <v>0</v>
      </c>
      <c r="V16" s="27">
        <f>ROUNDUP($Q$2*$F$16,0)</f>
        <v>0</v>
      </c>
      <c r="X16" s="165" t="s">
        <v>159</v>
      </c>
      <c r="Y16" s="227" t="s">
        <v>15</v>
      </c>
      <c r="Z16" s="227" t="s">
        <v>15</v>
      </c>
      <c r="AA16" s="227" t="s">
        <v>15</v>
      </c>
      <c r="AB16" s="227" t="s">
        <v>15</v>
      </c>
      <c r="AC16" s="227" t="s">
        <v>15</v>
      </c>
      <c r="AD16" s="27">
        <f>$AC$2*$H$16</f>
        <v>0</v>
      </c>
      <c r="AE16" s="36">
        <f>IF(AND($Y$2&lt;=30,$AC$2&lt;=30),0,1)</f>
        <v>0</v>
      </c>
      <c r="AF16" s="33" t="str">
        <f>IF(AND($Y$2&lt;1,$AC$2&lt;1),"",$B$85)</f>
        <v/>
      </c>
      <c r="AG16" s="27">
        <f>ROUNDUP($AC$2*$C$16,0)</f>
        <v>0</v>
      </c>
      <c r="AH16" s="27">
        <f>ROUNDUP($AC$2*$F$16,0)</f>
        <v>0</v>
      </c>
      <c r="AJ16" s="165" t="s">
        <v>159</v>
      </c>
      <c r="AK16" s="227" t="s">
        <v>15</v>
      </c>
      <c r="AL16" s="227" t="s">
        <v>15</v>
      </c>
      <c r="AM16" s="227" t="s">
        <v>15</v>
      </c>
      <c r="AN16" s="227" t="s">
        <v>15</v>
      </c>
      <c r="AO16" s="227" t="s">
        <v>15</v>
      </c>
      <c r="AP16" s="27">
        <f>$AO$2*$H$16</f>
        <v>0</v>
      </c>
      <c r="AQ16" s="36">
        <f>IF(AND($AK$2&lt;=30,$AO$2&lt;=30),0,1)</f>
        <v>0</v>
      </c>
      <c r="AR16" s="33" t="str">
        <f>IF(AND($AK$2&lt;1,$AO$2&lt;1),"",$B$85)</f>
        <v/>
      </c>
      <c r="AS16" s="27">
        <f>ROUNDUP($AO$2*$C$16,0)</f>
        <v>0</v>
      </c>
      <c r="AT16" s="27">
        <f>ROUNDUP($AO$2*$F$16,0)</f>
        <v>0</v>
      </c>
    </row>
    <row r="17" spans="1:46" ht="12" customHeight="1" x14ac:dyDescent="0.2">
      <c r="A17">
        <f t="shared" ca="1" si="5"/>
        <v>14</v>
      </c>
      <c r="B17" s="165" t="s">
        <v>160</v>
      </c>
      <c r="C17" s="223">
        <v>0.125</v>
      </c>
      <c r="D17" s="223">
        <v>0</v>
      </c>
      <c r="E17" s="223">
        <v>0.125</v>
      </c>
      <c r="F17" s="223">
        <v>0.1</v>
      </c>
      <c r="G17" s="223">
        <v>0.1</v>
      </c>
      <c r="H17" s="223">
        <v>0.125</v>
      </c>
      <c r="I17" s="223">
        <v>99916</v>
      </c>
      <c r="J17" s="221"/>
      <c r="L17" s="165" t="s">
        <v>160</v>
      </c>
      <c r="M17" s="230">
        <f>$N$2*$C17</f>
        <v>0</v>
      </c>
      <c r="N17" s="234">
        <f>$N$2*$D17</f>
        <v>0</v>
      </c>
      <c r="O17" s="233">
        <f>$P$2*$E17</f>
        <v>0</v>
      </c>
      <c r="P17" s="233">
        <f>$N$2*$F17</f>
        <v>0</v>
      </c>
      <c r="Q17" s="233">
        <f>$P$2*$G17</f>
        <v>0</v>
      </c>
      <c r="R17" s="39">
        <f>$M$2*$H$17</f>
        <v>0</v>
      </c>
      <c r="S17" s="36">
        <f>IF(OR($M$2&lt;=30,$Q$2&lt;=30),0,1)</f>
        <v>0</v>
      </c>
      <c r="T17" s="33" t="str">
        <f t="shared" si="6"/>
        <v/>
      </c>
      <c r="U17" s="32">
        <f t="shared" ref="U17:U26" si="10">IF(M17+O17&lt;1,M17+O17,IF($M$47=1,1,M17+O17))</f>
        <v>0</v>
      </c>
      <c r="V17" s="32">
        <f t="shared" ref="V17:V26" si="11">IF(P17+Q17&lt;1,P17+Q17,IF($M$47=1,1,P17+Q17))</f>
        <v>0</v>
      </c>
      <c r="X17" s="165" t="s">
        <v>160</v>
      </c>
      <c r="Y17" s="230">
        <f>$Z$2*$C17</f>
        <v>0</v>
      </c>
      <c r="Z17" s="234">
        <f>$Z$2*$D17</f>
        <v>0</v>
      </c>
      <c r="AA17" s="233">
        <f>$AB$2*$E17</f>
        <v>0</v>
      </c>
      <c r="AB17" s="233">
        <f>$Z$2*$F17</f>
        <v>0</v>
      </c>
      <c r="AC17" s="233">
        <f>$AB$2*$G17</f>
        <v>0</v>
      </c>
      <c r="AD17" s="39">
        <f>$Y$2*$H$17</f>
        <v>0</v>
      </c>
      <c r="AE17" s="36">
        <f>IF(OR($Y$2&lt;=30,$AC$2&lt;=30),0,1)</f>
        <v>0</v>
      </c>
      <c r="AF17" s="33" t="str">
        <f t="shared" ref="AF17:AF26" si="12">IF(AND($Y$2&lt;=30,$Y$2&gt;0),$B$74,"")</f>
        <v/>
      </c>
      <c r="AG17" s="32">
        <f t="shared" ref="AG17:AG26" si="13">IF(Y17+AA17&lt;1,Y17+AA17,IF($Y$47=1,1,Y17+AA17))</f>
        <v>0</v>
      </c>
      <c r="AH17" s="32">
        <f t="shared" ref="AH17:AH26" si="14">IF(AB17+AC17&lt;1,AB17+AC17,IF($Y$47=1,1,AB17+AC17))</f>
        <v>0</v>
      </c>
      <c r="AJ17" s="165" t="s">
        <v>160</v>
      </c>
      <c r="AK17" s="230">
        <f>$AL$2*$C17</f>
        <v>0</v>
      </c>
      <c r="AL17" s="234">
        <f>$AL$2*$D17</f>
        <v>0</v>
      </c>
      <c r="AM17" s="233">
        <f>$AN$2*$E17</f>
        <v>0</v>
      </c>
      <c r="AN17" s="233">
        <f>$AL$2*$F17</f>
        <v>0</v>
      </c>
      <c r="AO17" s="233">
        <f>$AN$2*$G17</f>
        <v>0</v>
      </c>
      <c r="AP17" s="39">
        <f>$AK$2*$H$17</f>
        <v>0</v>
      </c>
      <c r="AQ17" s="36">
        <f>IF(OR($AK$2&lt;=30,$AO$2&lt;=30),0,1)</f>
        <v>0</v>
      </c>
      <c r="AR17" s="33" t="str">
        <f t="shared" ref="AR17:AR26" si="15">IF(AND($AK$2&lt;=30,$AK$2&gt;0),$B$74,"")</f>
        <v/>
      </c>
      <c r="AS17" s="32">
        <f t="shared" ref="AS17:AS26" si="16">IF(AK17+AM17&lt;1,AK17+AM17,IF($AK$47=1,1,AK17+AM17))</f>
        <v>0</v>
      </c>
      <c r="AT17" s="32">
        <f t="shared" ref="AT17:AT26" si="17">IF(AN17+AO17&lt;1,AN17+AO17,IF($AK$47=1,1,AN17+AO17))</f>
        <v>0</v>
      </c>
    </row>
    <row r="18" spans="1:46" ht="12" customHeight="1" x14ac:dyDescent="0.2">
      <c r="A18">
        <f t="shared" ca="1" si="5"/>
        <v>15</v>
      </c>
      <c r="B18" s="165" t="s">
        <v>161</v>
      </c>
      <c r="C18" s="223">
        <v>99913</v>
      </c>
      <c r="D18" s="223">
        <v>0</v>
      </c>
      <c r="E18" s="223">
        <v>99913</v>
      </c>
      <c r="F18" s="225">
        <v>2.5000000000000001E-2</v>
      </c>
      <c r="G18" s="225">
        <v>2.5000000000000001E-2</v>
      </c>
      <c r="H18" s="223">
        <v>0</v>
      </c>
      <c r="I18" s="225">
        <v>6.6666666666666671E-3</v>
      </c>
      <c r="J18" s="221"/>
      <c r="L18" s="165" t="s">
        <v>161</v>
      </c>
      <c r="M18" s="230">
        <f>IF($N$2&lt;1,0,IF($N$2&lt;15,1,IF($N$2&lt;36,2,IF($N$2&lt;56,3,3+($N$2-55)/40))))</f>
        <v>0</v>
      </c>
      <c r="N18" s="234">
        <f>$N$2*$D18</f>
        <v>0</v>
      </c>
      <c r="O18" s="230">
        <f>IF($P$2&lt;1,0,IF($P$2&lt;15,1,IF($P$2&lt;36,2,IF($P$2&lt;56,3,3+($P$2-55)/40))))</f>
        <v>0</v>
      </c>
      <c r="P18" s="233">
        <f>$N$2*$F18</f>
        <v>0</v>
      </c>
      <c r="Q18" s="233">
        <f>$P$2*$G18</f>
        <v>0</v>
      </c>
      <c r="R18" s="231">
        <v>0</v>
      </c>
      <c r="S18" s="143">
        <f t="shared" ref="S18:S25" si="18">IF($M$2&lt;=30,0,$M$2*$I18)</f>
        <v>0</v>
      </c>
      <c r="T18" s="33" t="str">
        <f t="shared" si="6"/>
        <v/>
      </c>
      <c r="U18" s="32">
        <f t="shared" si="10"/>
        <v>0</v>
      </c>
      <c r="V18" s="32">
        <f t="shared" si="11"/>
        <v>0</v>
      </c>
      <c r="X18" s="165" t="s">
        <v>161</v>
      </c>
      <c r="Y18" s="230">
        <f>IF($Z$2&lt;1,0,IF($Z$2&lt;15,1,IF($Z$2&lt;36,2,IF($Z$2&lt;56,3,3+($Z$2-55)/40))))</f>
        <v>0</v>
      </c>
      <c r="Z18" s="234">
        <f>$Z$2*$D18</f>
        <v>0</v>
      </c>
      <c r="AA18" s="230">
        <f>IF($AB$2&lt;1,0,IF($AB$2&lt;15,1,IF($AB$2&lt;36,2,IF($AB$2&lt;56,3,3+($AB$2-55)/40))))</f>
        <v>0</v>
      </c>
      <c r="AB18" s="233">
        <f>$Z$2*$F18</f>
        <v>0</v>
      </c>
      <c r="AC18" s="233">
        <f>$AB$2*$G18</f>
        <v>0</v>
      </c>
      <c r="AD18" s="231">
        <v>0</v>
      </c>
      <c r="AE18" s="143">
        <f>IF($Y$2&lt;=30,0,$Y$2*$I18)</f>
        <v>0</v>
      </c>
      <c r="AF18" s="33" t="str">
        <f t="shared" si="12"/>
        <v/>
      </c>
      <c r="AG18" s="32">
        <f t="shared" si="13"/>
        <v>0</v>
      </c>
      <c r="AH18" s="32">
        <f t="shared" si="14"/>
        <v>0</v>
      </c>
      <c r="AJ18" s="165" t="s">
        <v>161</v>
      </c>
      <c r="AK18" s="230">
        <f>IF($AL$2&lt;1,0,IF($AL$2&lt;15,1,IF($AL$2&lt;36,2,IF($AL$2&lt;56,3,3+($AL$2-55)/40))))</f>
        <v>0</v>
      </c>
      <c r="AL18" s="234">
        <f>$AL$2*$D18</f>
        <v>0</v>
      </c>
      <c r="AM18" s="230">
        <f>IF($AN$2&lt;1,0,IF($AN$2&lt;15,1,IF($AN$2&lt;36,2,IF($AN$2&lt;56,3,3+($AN$2-55)/40))))</f>
        <v>0</v>
      </c>
      <c r="AN18" s="233">
        <f>$AL$2*$F18</f>
        <v>0</v>
      </c>
      <c r="AO18" s="233">
        <f>$AN$2*$G18</f>
        <v>0</v>
      </c>
      <c r="AP18" s="231">
        <v>0</v>
      </c>
      <c r="AQ18" s="143">
        <f>IF($AK$2&lt;=30,0,$AK$2*$I18)</f>
        <v>0</v>
      </c>
      <c r="AR18" s="33" t="str">
        <f t="shared" si="15"/>
        <v/>
      </c>
      <c r="AS18" s="32">
        <f t="shared" si="16"/>
        <v>0</v>
      </c>
      <c r="AT18" s="32">
        <f t="shared" si="17"/>
        <v>0</v>
      </c>
    </row>
    <row r="19" spans="1:46" ht="12" customHeight="1" x14ac:dyDescent="0.2">
      <c r="A19">
        <f t="shared" ca="1" si="5"/>
        <v>16</v>
      </c>
      <c r="B19" s="165" t="s">
        <v>162</v>
      </c>
      <c r="C19" s="223">
        <v>99913</v>
      </c>
      <c r="D19" s="223">
        <v>0</v>
      </c>
      <c r="E19" s="223">
        <v>99913</v>
      </c>
      <c r="F19" s="225">
        <v>2.5000000000000001E-2</v>
      </c>
      <c r="G19" s="225">
        <v>2.5000000000000001E-2</v>
      </c>
      <c r="H19" s="223">
        <v>0</v>
      </c>
      <c r="I19" s="225">
        <v>6.6666666666666671E-3</v>
      </c>
      <c r="J19" s="221"/>
      <c r="L19" s="165" t="s">
        <v>162</v>
      </c>
      <c r="M19" s="230">
        <f>IF($N$2&lt;1,0,IF($N$2&lt;15,1,IF($N$2&lt;36,2,IF($N$2&lt;56,3,3+($N$2-55)/40))))</f>
        <v>0</v>
      </c>
      <c r="N19" s="234">
        <f>$N$2*$D19</f>
        <v>0</v>
      </c>
      <c r="O19" s="230">
        <f>IF($P$2&lt;1,0,IF($P$2&lt;15,1,IF($P$2&lt;36,2,IF($P$2&lt;56,3,3+($P$2-55)/40))))</f>
        <v>0</v>
      </c>
      <c r="P19" s="233">
        <f>$N$2*$F19</f>
        <v>0</v>
      </c>
      <c r="Q19" s="233">
        <f>$P$2*$G19</f>
        <v>0</v>
      </c>
      <c r="R19" s="231">
        <v>0</v>
      </c>
      <c r="S19" s="143">
        <f t="shared" si="18"/>
        <v>0</v>
      </c>
      <c r="T19" s="33" t="str">
        <f t="shared" si="6"/>
        <v/>
      </c>
      <c r="U19" s="32">
        <f t="shared" si="10"/>
        <v>0</v>
      </c>
      <c r="V19" s="32">
        <f t="shared" si="11"/>
        <v>0</v>
      </c>
      <c r="X19" s="165" t="s">
        <v>162</v>
      </c>
      <c r="Y19" s="230">
        <f>IF($Z$2&lt;1,0,IF($Z$2&lt;15,1,IF($Z$2&lt;36,2,IF($Z$2&lt;56,3,3+($Z$2-55)/40))))</f>
        <v>0</v>
      </c>
      <c r="Z19" s="234">
        <f>$Z$2*$D19</f>
        <v>0</v>
      </c>
      <c r="AA19" s="230">
        <f>IF($AB$2&lt;1,0,IF($AB$2&lt;15,1,IF($AB$2&lt;36,2,IF($AB$2&lt;56,3,3+($AB$2-55)/40))))</f>
        <v>0</v>
      </c>
      <c r="AB19" s="233">
        <f>$Z$2*$F19</f>
        <v>0</v>
      </c>
      <c r="AC19" s="233">
        <f>$AB$2*$G19</f>
        <v>0</v>
      </c>
      <c r="AD19" s="231">
        <v>0</v>
      </c>
      <c r="AE19" s="143">
        <f>IF($Y$2&lt;=30,0,$Y$2*$I19)</f>
        <v>0</v>
      </c>
      <c r="AF19" s="33" t="str">
        <f t="shared" si="12"/>
        <v/>
      </c>
      <c r="AG19" s="32">
        <f t="shared" si="13"/>
        <v>0</v>
      </c>
      <c r="AH19" s="32">
        <f t="shared" si="14"/>
        <v>0</v>
      </c>
      <c r="AJ19" s="165" t="s">
        <v>162</v>
      </c>
      <c r="AK19" s="230">
        <f>IF($AL$2&lt;1,0,IF($AL$2&lt;15,1,IF($AL$2&lt;36,2,IF($AL$2&lt;56,3,3+($AL$2-55)/40))))</f>
        <v>0</v>
      </c>
      <c r="AL19" s="234">
        <f>$AL$2*$D19</f>
        <v>0</v>
      </c>
      <c r="AM19" s="230">
        <f>IF($AN$2&lt;1,0,IF($AN$2&lt;15,1,IF($AN$2&lt;36,2,IF($AN$2&lt;56,3,3+($AN$2-55)/40))))</f>
        <v>0</v>
      </c>
      <c r="AN19" s="233">
        <f>$AL$2*$F19</f>
        <v>0</v>
      </c>
      <c r="AO19" s="233">
        <f>$AN$2*$G19</f>
        <v>0</v>
      </c>
      <c r="AP19" s="231">
        <v>0</v>
      </c>
      <c r="AQ19" s="143">
        <f>IF($AK$2&lt;=30,0,$AK$2*$I19)</f>
        <v>0</v>
      </c>
      <c r="AR19" s="33" t="str">
        <f t="shared" si="15"/>
        <v/>
      </c>
      <c r="AS19" s="32">
        <f t="shared" si="16"/>
        <v>0</v>
      </c>
      <c r="AT19" s="32">
        <f t="shared" si="17"/>
        <v>0</v>
      </c>
    </row>
    <row r="20" spans="1:46" ht="12" customHeight="1" x14ac:dyDescent="0.2">
      <c r="A20">
        <f t="shared" ca="1" si="5"/>
        <v>17</v>
      </c>
      <c r="B20" s="165" t="s">
        <v>163</v>
      </c>
      <c r="C20" s="223">
        <v>99901</v>
      </c>
      <c r="D20" s="223">
        <v>99922</v>
      </c>
      <c r="E20" s="223">
        <v>99918</v>
      </c>
      <c r="F20" s="223">
        <v>99919</v>
      </c>
      <c r="G20" s="223">
        <v>99920</v>
      </c>
      <c r="H20" s="223">
        <v>0</v>
      </c>
      <c r="I20" s="223">
        <v>99907</v>
      </c>
      <c r="J20" s="221"/>
      <c r="L20" s="165" t="s">
        <v>163</v>
      </c>
      <c r="M20" s="230">
        <f>IF($N$2&lt;1,0,IF($N$2&lt;101,1,IF($N$2&lt;201,2,IF($N$2&lt;401,3,3+($N$2-400)/500))))</f>
        <v>0</v>
      </c>
      <c r="N20" s="230">
        <f>IF($N$2&lt;200,0,IF($N$2&lt;401,1,1+($N$2-400)/500))</f>
        <v>0</v>
      </c>
      <c r="O20" s="230">
        <f>IF($P$2&lt;1,0,IF($P$2&lt;101,1,IF($P$2&lt;201,2,IF($P$2&lt;301,4,IF($P$2&lt;401,6,6+($P$2-400)/200)))))</f>
        <v>0</v>
      </c>
      <c r="P20" s="230">
        <f>IF($N$2&lt;1,0,IF($N$2&lt;201,1,IF($N$2&lt;401,2,2+($N$2-400)/500)))</f>
        <v>0</v>
      </c>
      <c r="Q20" s="230">
        <f>IF($P$2&lt;1,0,IF($P$2&lt;201,1,IF($P$2&lt;301,2,IF($P$2&lt;401,3,3+($P$2-400)/400))))</f>
        <v>0</v>
      </c>
      <c r="R20" s="231">
        <v>0</v>
      </c>
      <c r="S20" s="230">
        <f>IF($M$2&lt;31,0,IF($M$2&lt;251,1,IF($M$2&lt;501,2,IF($M$2&lt;751,3,3+($M$2-750)/500))))</f>
        <v>0</v>
      </c>
      <c r="T20" s="33" t="str">
        <f t="shared" si="6"/>
        <v/>
      </c>
      <c r="U20" s="32">
        <f t="shared" si="10"/>
        <v>0</v>
      </c>
      <c r="V20" s="32">
        <f t="shared" si="11"/>
        <v>0</v>
      </c>
      <c r="X20" s="165" t="s">
        <v>163</v>
      </c>
      <c r="Y20" s="230">
        <f>IF($Z$2&lt;1,0,IF($Z$2&lt;101,1,IF($Z$2&lt;201,2,IF($Z$2&lt;401,3,3+($Z$2-400)/500))))</f>
        <v>0</v>
      </c>
      <c r="Z20" s="230">
        <f>IF($Z$2&lt;200,0,IF($Z$2&lt;401,1,1+($Z$2-400)/500))</f>
        <v>0</v>
      </c>
      <c r="AA20" s="230">
        <f>IF($AB$2&lt;1,0,IF($AB$2&lt;101,1,IF($AB$2&lt;201,2,IF($AB$2&lt;301,4,IF($AB$2&lt;401,6,6+($AB$2-400)/200)))))</f>
        <v>0</v>
      </c>
      <c r="AB20" s="230">
        <f>IF($Z$2&lt;1,0,IF($Z$2&lt;201,1,IF($Z$2&lt;401,2,2+($Z$2-400)/500)))</f>
        <v>0</v>
      </c>
      <c r="AC20" s="230">
        <f>IF($AB$2&lt;1,0,IF($AB$2&lt;201,1,IF($AB$2&lt;301,2,IF($AB$2&lt;401,3,3+($AB$2-400)/400))))</f>
        <v>0</v>
      </c>
      <c r="AD20" s="231">
        <v>0</v>
      </c>
      <c r="AE20" s="230">
        <f>IF($Y$2&lt;31,0,IF($Y$2&lt;251,1,IF($Y$2&lt;501,2,IF($Y$2&lt;751,3,3+($Y$2-750)/500))))</f>
        <v>0</v>
      </c>
      <c r="AF20" s="33" t="str">
        <f t="shared" si="12"/>
        <v/>
      </c>
      <c r="AG20" s="32">
        <f t="shared" si="13"/>
        <v>0</v>
      </c>
      <c r="AH20" s="32">
        <f t="shared" si="14"/>
        <v>0</v>
      </c>
      <c r="AJ20" s="165" t="s">
        <v>163</v>
      </c>
      <c r="AK20" s="230">
        <f>IF($AL$2&lt;1,0,IF($AL$2&lt;101,1,IF($AL$2&lt;201,2,IF($AL$2&lt;401,3,3+($AL$2-400)/500))))</f>
        <v>0</v>
      </c>
      <c r="AL20" s="230">
        <f>IF($AL$2&lt;200,0,IF($AL$2&lt;401,1,1+($AL$2-400)/500))</f>
        <v>0</v>
      </c>
      <c r="AM20" s="230">
        <f>IF($AN$2&lt;1,0,IF($AN$2&lt;101,1,IF($AN$2&lt;201,2,IF($AN$2&lt;301,4,IF($AN$2&lt;401,6,6+($AN$2-400)/200)))))</f>
        <v>0</v>
      </c>
      <c r="AN20" s="230">
        <f>IF($AL$2&lt;1,0,IF($AL$2&lt;201,1,IF($AL$2&lt;401,2,2+($AL$2-400)/500)))</f>
        <v>0</v>
      </c>
      <c r="AO20" s="230">
        <f>IF($AN$2&lt;1,0,IF($AN$2&lt;201,1,IF($AN$2&lt;301,2,IF($AN$2&lt;401,3,3+($AN$2-400)/400))))</f>
        <v>0</v>
      </c>
      <c r="AP20" s="231">
        <v>0</v>
      </c>
      <c r="AQ20" s="230">
        <f>IF($AK$2&lt;31,0,IF($AK$2&lt;251,1,IF($AK$2&lt;501,2,IF($AK$2&lt;751,3,3+($AK$2-750)/500))))</f>
        <v>0</v>
      </c>
      <c r="AR20" s="33" t="str">
        <f t="shared" si="15"/>
        <v/>
      </c>
      <c r="AS20" s="32">
        <f t="shared" si="16"/>
        <v>0</v>
      </c>
      <c r="AT20" s="32">
        <f t="shared" si="17"/>
        <v>0</v>
      </c>
    </row>
    <row r="21" spans="1:46" ht="12" customHeight="1" x14ac:dyDescent="0.2">
      <c r="A21">
        <f t="shared" ca="1" si="5"/>
        <v>18</v>
      </c>
      <c r="B21" s="165" t="s">
        <v>164</v>
      </c>
      <c r="C21" s="223">
        <v>99926</v>
      </c>
      <c r="D21" s="223">
        <v>99927</v>
      </c>
      <c r="E21" s="223">
        <v>99928</v>
      </c>
      <c r="F21" s="223">
        <v>99929</v>
      </c>
      <c r="G21" s="223">
        <v>99930</v>
      </c>
      <c r="H21" s="223">
        <v>0.125</v>
      </c>
      <c r="I21" s="225">
        <v>6.6666666666666671E-3</v>
      </c>
      <c r="J21" s="221"/>
      <c r="L21" s="165" t="s">
        <v>164</v>
      </c>
      <c r="M21" s="230">
        <f>IF($N$2&lt;1,0,IF($N$2&lt;11,1,1+($N$2-10)/25))</f>
        <v>0</v>
      </c>
      <c r="N21" s="230">
        <f>IF($N$2&lt;1,0,IF($N$2&lt;151,N2/25,6+($N$2-150)/50))</f>
        <v>0</v>
      </c>
      <c r="O21" s="230">
        <f>IF($P$2&lt;1,0,IF($P$2&lt;9,1,1+($P$2-8)/20))</f>
        <v>0</v>
      </c>
      <c r="P21" s="230">
        <f>IF($N$2&lt;1,0,IF($N$2&lt;13,1,1+($N$2-12)/20))</f>
        <v>0</v>
      </c>
      <c r="Q21" s="230">
        <f>IF($P$2&lt;1,0,IF($P$2&lt;13,1,1+($P$2-12)/15))</f>
        <v>0</v>
      </c>
      <c r="R21" s="39">
        <f>$M$2*$H$21</f>
        <v>0</v>
      </c>
      <c r="S21" s="143">
        <f t="shared" si="18"/>
        <v>0</v>
      </c>
      <c r="T21" s="33" t="str">
        <f t="shared" si="6"/>
        <v/>
      </c>
      <c r="U21" s="32">
        <f t="shared" si="10"/>
        <v>0</v>
      </c>
      <c r="V21" s="32">
        <f t="shared" si="11"/>
        <v>0</v>
      </c>
      <c r="X21" s="165" t="s">
        <v>164</v>
      </c>
      <c r="Y21" s="230">
        <f>IF($Z$2&lt;1,0,IF($Z$2&lt;11,1,1+($Z$2-10)/25))</f>
        <v>0</v>
      </c>
      <c r="Z21" s="230">
        <f>IF($Z$2&lt;1,0,IF($Z$2&lt;151,Z2/25,6+($Z$2-150)/50))</f>
        <v>0</v>
      </c>
      <c r="AA21" s="230">
        <f>IF($AB$2&lt;1,0,IF($AB$2&lt;9,1,1+($AB$2-8)/20))</f>
        <v>0</v>
      </c>
      <c r="AB21" s="230">
        <f>IF($Z$2&lt;1,0,IF($Z$2&lt;13,1,1+($Z$2-12)/20))</f>
        <v>0</v>
      </c>
      <c r="AC21" s="230">
        <f>IF($AB$2&lt;1,0,IF($AB$2&lt;13,1,1+($AB$2-12)/15))</f>
        <v>0</v>
      </c>
      <c r="AD21" s="39">
        <f>$Y$2*$H$21</f>
        <v>0</v>
      </c>
      <c r="AE21" s="143">
        <f>IF($Y$2&lt;=30,0,$Y$2*$I21)</f>
        <v>0</v>
      </c>
      <c r="AF21" s="33" t="str">
        <f t="shared" si="12"/>
        <v/>
      </c>
      <c r="AG21" s="32">
        <f t="shared" si="13"/>
        <v>0</v>
      </c>
      <c r="AH21" s="32">
        <f t="shared" si="14"/>
        <v>0</v>
      </c>
      <c r="AJ21" s="165" t="s">
        <v>164</v>
      </c>
      <c r="AK21" s="230">
        <f>IF($AL$2&lt;1,0,IF($AL$2&lt;11,1,1+($AL$2-10)/25))</f>
        <v>0</v>
      </c>
      <c r="AL21" s="230">
        <f>IF($AL$2&lt;1,0,IF($AL$2&lt;151,AL2/25,6+($AL$2-150)/50))</f>
        <v>0</v>
      </c>
      <c r="AM21" s="230">
        <f>IF($AN$2&lt;1,0,IF($AN$2&lt;9,1,1+($AN$2-8)/20))</f>
        <v>0</v>
      </c>
      <c r="AN21" s="230">
        <f>IF($AL$2&lt;1,0,IF($AL$2&lt;13,1,1+($AL$2-12)/20))</f>
        <v>0</v>
      </c>
      <c r="AO21" s="230">
        <f>IF($AN$2&lt;1,0,IF($AN$2&lt;13,1,1+($AN$2-12)/15))</f>
        <v>0</v>
      </c>
      <c r="AP21" s="39">
        <f>$AK$2*$H$21</f>
        <v>0</v>
      </c>
      <c r="AQ21" s="143">
        <f>IF($AK$2&lt;=30,0,$AK$2*$I21)</f>
        <v>0</v>
      </c>
      <c r="AR21" s="33" t="str">
        <f t="shared" si="15"/>
        <v/>
      </c>
      <c r="AS21" s="32">
        <f t="shared" si="16"/>
        <v>0</v>
      </c>
      <c r="AT21" s="32">
        <f t="shared" si="17"/>
        <v>0</v>
      </c>
    </row>
    <row r="22" spans="1:46" ht="12" customHeight="1" x14ac:dyDescent="0.2">
      <c r="A22">
        <f t="shared" ca="1" si="5"/>
        <v>19</v>
      </c>
      <c r="B22" s="165" t="s">
        <v>165</v>
      </c>
      <c r="C22" s="223">
        <v>99913</v>
      </c>
      <c r="D22" s="223">
        <v>0</v>
      </c>
      <c r="E22" s="223">
        <v>99913</v>
      </c>
      <c r="F22" s="225">
        <v>2.5000000000000001E-2</v>
      </c>
      <c r="G22" s="225">
        <v>2.5000000000000001E-2</v>
      </c>
      <c r="H22" s="223">
        <v>0</v>
      </c>
      <c r="I22" s="225">
        <v>6.6666666666666671E-3</v>
      </c>
      <c r="J22" s="221"/>
      <c r="L22" s="165" t="s">
        <v>165</v>
      </c>
      <c r="M22" s="230">
        <f>IF($N$2&lt;1,0,IF($N$2&lt;15,1,IF($N$2&lt;36,2,IF($N$2&lt;56,3,3+($N$2-55)/40))))</f>
        <v>0</v>
      </c>
      <c r="N22" s="234">
        <f>$N$2*$D22</f>
        <v>0</v>
      </c>
      <c r="O22" s="230">
        <f>IF($P$2&lt;1,0,IF($P$2&lt;15,1,IF($P$2&lt;36,2,IF($P$2&lt;56,3,3+($P$2-55)/40))))</f>
        <v>0</v>
      </c>
      <c r="P22" s="233">
        <f>$N$2*$F22</f>
        <v>0</v>
      </c>
      <c r="Q22" s="233">
        <f>$P$2*$G22</f>
        <v>0</v>
      </c>
      <c r="R22" s="231">
        <v>0</v>
      </c>
      <c r="S22" s="143">
        <f t="shared" si="18"/>
        <v>0</v>
      </c>
      <c r="T22" s="33" t="str">
        <f t="shared" si="6"/>
        <v/>
      </c>
      <c r="U22" s="32">
        <f t="shared" si="10"/>
        <v>0</v>
      </c>
      <c r="V22" s="32">
        <f t="shared" si="11"/>
        <v>0</v>
      </c>
      <c r="X22" s="165" t="s">
        <v>165</v>
      </c>
      <c r="Y22" s="230">
        <f>IF($Z$2&lt;1,0,IF($Z$2&lt;15,1,IF($Z$2&lt;36,2,IF($Z$2&lt;56,3,3+($Z$2-55)/40))))</f>
        <v>0</v>
      </c>
      <c r="Z22" s="234">
        <f>$Z$2*$D22</f>
        <v>0</v>
      </c>
      <c r="AA22" s="230">
        <f>IF($AB$2&lt;1,0,IF($AB$2&lt;15,1,IF($AB$2&lt;36,2,IF($AB$2&lt;56,3,3+($AB$2-55)/40))))</f>
        <v>0</v>
      </c>
      <c r="AB22" s="233">
        <f>$Z$2*$F22</f>
        <v>0</v>
      </c>
      <c r="AC22" s="233">
        <f>$AB$2*$G22</f>
        <v>0</v>
      </c>
      <c r="AD22" s="231">
        <v>0</v>
      </c>
      <c r="AE22" s="143">
        <f>IF($Y$2&lt;=30,0,$Y$2*$I22)</f>
        <v>0</v>
      </c>
      <c r="AF22" s="33" t="str">
        <f t="shared" si="12"/>
        <v/>
      </c>
      <c r="AG22" s="32">
        <f t="shared" si="13"/>
        <v>0</v>
      </c>
      <c r="AH22" s="32">
        <f t="shared" si="14"/>
        <v>0</v>
      </c>
      <c r="AJ22" s="165" t="s">
        <v>165</v>
      </c>
      <c r="AK22" s="230">
        <f>IF($AL$2&lt;1,0,IF($AL$2&lt;15,1,IF($AL$2&lt;36,2,IF($AL$2&lt;56,3,3+($AL$2-55)/40))))</f>
        <v>0</v>
      </c>
      <c r="AL22" s="234">
        <f>$AL$2*$D22</f>
        <v>0</v>
      </c>
      <c r="AM22" s="230">
        <f>IF($AN$2&lt;1,0,IF($AN$2&lt;15,1,IF($AN$2&lt;36,2,IF($AN$2&lt;56,3,3+($AN$2-55)/40))))</f>
        <v>0</v>
      </c>
      <c r="AN22" s="233">
        <f>$AL$2*$F22</f>
        <v>0</v>
      </c>
      <c r="AO22" s="233">
        <f>$AN$2*$G22</f>
        <v>0</v>
      </c>
      <c r="AP22" s="231">
        <v>0</v>
      </c>
      <c r="AQ22" s="143">
        <f>IF($AK$2&lt;=30,0,$AK$2*$I22)</f>
        <v>0</v>
      </c>
      <c r="AR22" s="33" t="str">
        <f t="shared" si="15"/>
        <v/>
      </c>
      <c r="AS22" s="32">
        <f t="shared" si="16"/>
        <v>0</v>
      </c>
      <c r="AT22" s="32">
        <f t="shared" si="17"/>
        <v>0</v>
      </c>
    </row>
    <row r="23" spans="1:46" ht="12" customHeight="1" x14ac:dyDescent="0.2">
      <c r="A23">
        <f t="shared" ca="1" si="5"/>
        <v>20</v>
      </c>
      <c r="B23" s="165" t="s">
        <v>166</v>
      </c>
      <c r="C23" s="225">
        <v>6.6666666666666666E-2</v>
      </c>
      <c r="D23" s="223">
        <v>0</v>
      </c>
      <c r="E23" s="225">
        <v>6.6666666666666666E-2</v>
      </c>
      <c r="F23" s="225">
        <v>6.6666666666666666E-2</v>
      </c>
      <c r="G23" s="225">
        <v>6.6666666666666666E-2</v>
      </c>
      <c r="H23" s="223">
        <v>0.125</v>
      </c>
      <c r="I23" s="225">
        <v>6.6666666666666671E-3</v>
      </c>
      <c r="J23" s="221"/>
      <c r="L23" s="165" t="s">
        <v>166</v>
      </c>
      <c r="M23" s="230">
        <f>$N$2*$C23</f>
        <v>0</v>
      </c>
      <c r="N23" s="234">
        <f>$N$2*$D23</f>
        <v>0</v>
      </c>
      <c r="O23" s="233">
        <f>$P$2*$E23</f>
        <v>0</v>
      </c>
      <c r="P23" s="233">
        <f>$N$2*$F23</f>
        <v>0</v>
      </c>
      <c r="Q23" s="233">
        <f>$P$2*$G23</f>
        <v>0</v>
      </c>
      <c r="R23" s="39">
        <f>$M$2*$H$23</f>
        <v>0</v>
      </c>
      <c r="S23" s="143">
        <f t="shared" si="18"/>
        <v>0</v>
      </c>
      <c r="T23" s="33" t="str">
        <f t="shared" si="6"/>
        <v/>
      </c>
      <c r="U23" s="32">
        <f t="shared" si="10"/>
        <v>0</v>
      </c>
      <c r="V23" s="32">
        <f t="shared" si="11"/>
        <v>0</v>
      </c>
      <c r="X23" s="165" t="s">
        <v>166</v>
      </c>
      <c r="Y23" s="233">
        <f>$Z$2*$C23</f>
        <v>0</v>
      </c>
      <c r="Z23" s="234">
        <f>$Z$2*$D23</f>
        <v>0</v>
      </c>
      <c r="AA23" s="233">
        <f>$AB$2*$E23</f>
        <v>0</v>
      </c>
      <c r="AB23" s="233">
        <f>$Z$2*$F23</f>
        <v>0</v>
      </c>
      <c r="AC23" s="233">
        <f>$AB$2*$G23</f>
        <v>0</v>
      </c>
      <c r="AD23" s="39">
        <f>$Y$2*$H$23</f>
        <v>0</v>
      </c>
      <c r="AE23" s="143">
        <f>IF($Y$2&lt;=30,0,$Y$2*$I23)</f>
        <v>0</v>
      </c>
      <c r="AF23" s="33" t="str">
        <f t="shared" si="12"/>
        <v/>
      </c>
      <c r="AG23" s="32">
        <f t="shared" si="13"/>
        <v>0</v>
      </c>
      <c r="AH23" s="32">
        <f t="shared" si="14"/>
        <v>0</v>
      </c>
      <c r="AJ23" s="165" t="s">
        <v>166</v>
      </c>
      <c r="AK23" s="233">
        <f>$AL$2*$C23</f>
        <v>0</v>
      </c>
      <c r="AL23" s="234">
        <f>$AL$2*$D23</f>
        <v>0</v>
      </c>
      <c r="AM23" s="233">
        <f>$AN$2*$E23</f>
        <v>0</v>
      </c>
      <c r="AN23" s="233">
        <f>$AL$2*$F23</f>
        <v>0</v>
      </c>
      <c r="AO23" s="233">
        <f>$AN$2*$G23</f>
        <v>0</v>
      </c>
      <c r="AP23" s="39">
        <f>$AK$2*$H$23</f>
        <v>0</v>
      </c>
      <c r="AQ23" s="143">
        <f>IF($AK$2&lt;=30,0,$AK$2*$I23)</f>
        <v>0</v>
      </c>
      <c r="AR23" s="33" t="str">
        <f t="shared" si="15"/>
        <v/>
      </c>
      <c r="AS23" s="32">
        <f t="shared" si="16"/>
        <v>0</v>
      </c>
      <c r="AT23" s="32">
        <f t="shared" si="17"/>
        <v>0</v>
      </c>
    </row>
    <row r="24" spans="1:46" ht="12" customHeight="1" x14ac:dyDescent="0.2">
      <c r="A24">
        <f t="shared" ca="1" si="5"/>
        <v>21</v>
      </c>
      <c r="B24" s="165" t="s">
        <v>167</v>
      </c>
      <c r="C24" s="223">
        <v>99926</v>
      </c>
      <c r="D24" s="223">
        <v>0</v>
      </c>
      <c r="E24" s="223">
        <v>99928</v>
      </c>
      <c r="F24" s="223">
        <v>99929</v>
      </c>
      <c r="G24" s="223">
        <v>99930</v>
      </c>
      <c r="H24" s="223">
        <v>0.125</v>
      </c>
      <c r="I24" s="225">
        <v>6.6666666666666671E-3</v>
      </c>
      <c r="J24" s="221"/>
      <c r="L24" s="165" t="s">
        <v>167</v>
      </c>
      <c r="M24" s="230">
        <f>IF($N$2&lt;1,0,IF($N$2&lt;11,1,1+($N$2-10)/25))</f>
        <v>0</v>
      </c>
      <c r="N24" s="234">
        <f>$N$2*$D24</f>
        <v>0</v>
      </c>
      <c r="O24" s="230">
        <f>IF($P$2&lt;1,0,IF($P$2&lt;9,1,1+($P$2-8)/20))</f>
        <v>0</v>
      </c>
      <c r="P24" s="230">
        <f>IF($N$2&lt;1,0,IF($N$2&lt;13,1,1+($N$2-12)/20))</f>
        <v>0</v>
      </c>
      <c r="Q24" s="230">
        <f>IF($P$2&lt;1,0,IF($P$2&lt;13,1,1+($P$2-12)/15))</f>
        <v>0</v>
      </c>
      <c r="R24" s="39">
        <f>$M$2*$H$24</f>
        <v>0</v>
      </c>
      <c r="S24" s="143">
        <f t="shared" si="18"/>
        <v>0</v>
      </c>
      <c r="T24" s="33" t="str">
        <f t="shared" si="6"/>
        <v/>
      </c>
      <c r="U24" s="32">
        <f t="shared" si="10"/>
        <v>0</v>
      </c>
      <c r="V24" s="32">
        <f t="shared" si="11"/>
        <v>0</v>
      </c>
      <c r="X24" s="165" t="s">
        <v>167</v>
      </c>
      <c r="Y24" s="230">
        <f>IF($Z$2&lt;1,0,IF($Z$2&lt;11,1,1+($Z$2-10)/25))</f>
        <v>0</v>
      </c>
      <c r="Z24" s="234">
        <f>$Z$2*$D24</f>
        <v>0</v>
      </c>
      <c r="AA24" s="230">
        <f>IF($AB$2&lt;1,0,IF($AB$2&lt;9,1,1+($AB$2-8)/20))</f>
        <v>0</v>
      </c>
      <c r="AB24" s="230">
        <f>IF($Z$2&lt;1,0,IF($Z$2&lt;13,1,1+($Z$2-12)/20))</f>
        <v>0</v>
      </c>
      <c r="AC24" s="230">
        <f>IF($AB$2&lt;1,0,IF($AB$2&lt;13,1,1+($AB$2-12)/15))</f>
        <v>0</v>
      </c>
      <c r="AD24" s="39">
        <f>$Y$2*$H$24</f>
        <v>0</v>
      </c>
      <c r="AE24" s="143">
        <f>IF($Y$2&lt;=30,0,$Y$2*$I24)</f>
        <v>0</v>
      </c>
      <c r="AF24" s="33" t="str">
        <f t="shared" si="12"/>
        <v/>
      </c>
      <c r="AG24" s="32">
        <f t="shared" si="13"/>
        <v>0</v>
      </c>
      <c r="AH24" s="32">
        <f t="shared" si="14"/>
        <v>0</v>
      </c>
      <c r="AJ24" s="165" t="s">
        <v>167</v>
      </c>
      <c r="AK24" s="230">
        <f>IF($AL$2&lt;1,0,IF($AL$2&lt;11,1,1+($AL$2-10)/25))</f>
        <v>0</v>
      </c>
      <c r="AL24" s="234">
        <f>$AL$2*$D24</f>
        <v>0</v>
      </c>
      <c r="AM24" s="230">
        <f>IF($AN$2&lt;1,0,IF($AN$2&lt;9,1,1+($AN$2-8)/20))</f>
        <v>0</v>
      </c>
      <c r="AN24" s="230">
        <f>IF($AL$2&lt;1,0,IF($AL$2&lt;13,1,1+($AL$2-12)/20))</f>
        <v>0</v>
      </c>
      <c r="AO24" s="230">
        <f>IF($AN$2&lt;1,0,IF($AN$2&lt;13,1,1+($AN$2-12)/15))</f>
        <v>0</v>
      </c>
      <c r="AP24" s="39">
        <f>$AK$2*$H$24</f>
        <v>0</v>
      </c>
      <c r="AQ24" s="143">
        <f>IF($AK$2&lt;=30,0,$AK$2*$I24)</f>
        <v>0</v>
      </c>
      <c r="AR24" s="33" t="str">
        <f t="shared" si="15"/>
        <v/>
      </c>
      <c r="AS24" s="32">
        <f t="shared" si="16"/>
        <v>0</v>
      </c>
      <c r="AT24" s="32">
        <f t="shared" si="17"/>
        <v>0</v>
      </c>
    </row>
    <row r="25" spans="1:46" ht="12" customHeight="1" x14ac:dyDescent="0.2">
      <c r="A25">
        <f t="shared" ca="1" si="5"/>
        <v>22</v>
      </c>
      <c r="B25" s="165" t="s">
        <v>168</v>
      </c>
      <c r="C25" s="223">
        <v>99926</v>
      </c>
      <c r="D25" s="223">
        <v>0</v>
      </c>
      <c r="E25" s="223">
        <v>99928</v>
      </c>
      <c r="F25" s="223">
        <v>99929</v>
      </c>
      <c r="G25" s="223">
        <v>99930</v>
      </c>
      <c r="H25" s="223">
        <v>0.125</v>
      </c>
      <c r="I25" s="225">
        <v>6.6666666666666671E-3</v>
      </c>
      <c r="J25" s="221"/>
      <c r="L25" s="165" t="s">
        <v>168</v>
      </c>
      <c r="M25" s="230">
        <f>IF($N$2&lt;1,0,IF($N$2&lt;11,1,1+($N$2-10)/25))</f>
        <v>0</v>
      </c>
      <c r="N25" s="234">
        <f>$N$2*$D25</f>
        <v>0</v>
      </c>
      <c r="O25" s="230">
        <f>IF($P$2&lt;1,0,IF($P$2&lt;9,1,1+($P$2-8)/20))</f>
        <v>0</v>
      </c>
      <c r="P25" s="230">
        <f>IF($N$2&lt;1,0,IF($N$2&lt;13,1,1+($N$2-12)/20))</f>
        <v>0</v>
      </c>
      <c r="Q25" s="230">
        <f>IF($P$2&lt;1,0,IF($P$2&lt;13,1,1+($P$2-12)/15))</f>
        <v>0</v>
      </c>
      <c r="R25" s="39">
        <f>$M$2*$H$25</f>
        <v>0</v>
      </c>
      <c r="S25" s="143">
        <f t="shared" si="18"/>
        <v>0</v>
      </c>
      <c r="T25" s="33" t="str">
        <f t="shared" si="6"/>
        <v/>
      </c>
      <c r="U25" s="32">
        <f t="shared" si="10"/>
        <v>0</v>
      </c>
      <c r="V25" s="32">
        <f t="shared" si="11"/>
        <v>0</v>
      </c>
      <c r="X25" s="165" t="s">
        <v>168</v>
      </c>
      <c r="Y25" s="230">
        <f>IF($Z$2&lt;1,0,IF($Z$2&lt;11,1,1+($Z$2-10)/25))</f>
        <v>0</v>
      </c>
      <c r="Z25" s="234">
        <f>$Z$2*$D25</f>
        <v>0</v>
      </c>
      <c r="AA25" s="230">
        <f>IF($AB$2&lt;1,0,IF($AB$2&lt;9,1,1+($AB$2-8)/20))</f>
        <v>0</v>
      </c>
      <c r="AB25" s="230">
        <f>IF($Z$2&lt;1,0,IF($Z$2&lt;13,1,1+($Z$2-12)/20))</f>
        <v>0</v>
      </c>
      <c r="AC25" s="230">
        <f>IF($AB$2&lt;1,0,IF($AB$2&lt;13,1,1+($AB$2-12)/15))</f>
        <v>0</v>
      </c>
      <c r="AD25" s="39">
        <f>$Y$2*$H$25</f>
        <v>0</v>
      </c>
      <c r="AE25" s="143">
        <f>IF($Y$2&lt;=30,0,$Y$2*$I25)</f>
        <v>0</v>
      </c>
      <c r="AF25" s="33" t="str">
        <f t="shared" si="12"/>
        <v/>
      </c>
      <c r="AG25" s="32">
        <f t="shared" si="13"/>
        <v>0</v>
      </c>
      <c r="AH25" s="32">
        <f t="shared" si="14"/>
        <v>0</v>
      </c>
      <c r="AJ25" s="165" t="s">
        <v>168</v>
      </c>
      <c r="AK25" s="230">
        <f>IF($AL$2&lt;1,0,IF($AL$2&lt;11,1,1+($AL$2-10)/25))</f>
        <v>0</v>
      </c>
      <c r="AL25" s="234">
        <f>$AL$2*$D25</f>
        <v>0</v>
      </c>
      <c r="AM25" s="230">
        <f>IF($AN$2&lt;1,0,IF($AN$2&lt;9,1,1+($AN$2-8)/20))</f>
        <v>0</v>
      </c>
      <c r="AN25" s="230">
        <f>IF($AL$2&lt;1,0,IF($AL$2&lt;13,1,1+($AL$2-12)/20))</f>
        <v>0</v>
      </c>
      <c r="AO25" s="230">
        <f>IF($AN$2&lt;1,0,IF($AN$2&lt;13,1,1+($AN$2-12)/15))</f>
        <v>0</v>
      </c>
      <c r="AP25" s="39">
        <f>$AK$2*$H$25</f>
        <v>0</v>
      </c>
      <c r="AQ25" s="143">
        <f>IF($AK$2&lt;=30,0,$AK$2*$I25)</f>
        <v>0</v>
      </c>
      <c r="AR25" s="33" t="str">
        <f t="shared" si="15"/>
        <v/>
      </c>
      <c r="AS25" s="32">
        <f t="shared" si="16"/>
        <v>0</v>
      </c>
      <c r="AT25" s="32">
        <f t="shared" si="17"/>
        <v>0</v>
      </c>
    </row>
    <row r="26" spans="1:46" ht="12" customHeight="1" x14ac:dyDescent="0.2">
      <c r="A26">
        <f t="shared" ca="1" si="5"/>
        <v>23</v>
      </c>
      <c r="B26" s="165" t="s">
        <v>169</v>
      </c>
      <c r="C26" s="223">
        <v>99901</v>
      </c>
      <c r="D26" s="223">
        <v>0</v>
      </c>
      <c r="E26" s="223">
        <v>99932</v>
      </c>
      <c r="F26" s="223">
        <v>99933</v>
      </c>
      <c r="G26" s="223">
        <v>99933</v>
      </c>
      <c r="H26" s="223">
        <v>0</v>
      </c>
      <c r="I26" s="223">
        <v>99907</v>
      </c>
      <c r="J26" s="221"/>
      <c r="L26" s="165" t="s">
        <v>169</v>
      </c>
      <c r="M26" s="230">
        <f>IF($N$2&lt;1,0,IF($N$2&lt;101,1,IF($N$2&lt;201,2,IF($N$2&lt;401,3,3+($N$2-400)/500))))</f>
        <v>0</v>
      </c>
      <c r="N26" s="234">
        <f>$N$2*$D26</f>
        <v>0</v>
      </c>
      <c r="O26" s="230">
        <f>IF($P$2&lt;1,0,IF($P$2&lt;101,1,IF($P$2&lt;201,2,IF($P$2&lt;401,3,3+($P$2-400)/150))))</f>
        <v>0</v>
      </c>
      <c r="P26" s="230">
        <f>IF($N$2&lt;1,0,IF($N$2&lt;201,1,IF($N$2&lt;401,2,IF($N$2&lt;751,3, 3+($N$2-750)/500))))</f>
        <v>0</v>
      </c>
      <c r="Q26" s="230">
        <f>IF($P$2&lt;1,0,IF($P$2&lt;201,1,IF($P$2&lt;401,2,IF($P$2&lt;751,3, 3+($P$2-750)/500))))</f>
        <v>0</v>
      </c>
      <c r="R26" s="231">
        <v>0</v>
      </c>
      <c r="S26" s="230">
        <f>IF($M$2&lt;31,0,IF($M$2&lt;251,1,IF($M$2&lt;501,2,IF($M$2&lt;751,3,3+($M$2-750)/500))))</f>
        <v>0</v>
      </c>
      <c r="T26" s="33" t="str">
        <f t="shared" si="6"/>
        <v/>
      </c>
      <c r="U26" s="32">
        <f t="shared" si="10"/>
        <v>0</v>
      </c>
      <c r="V26" s="32">
        <f t="shared" si="11"/>
        <v>0</v>
      </c>
      <c r="X26" s="165" t="s">
        <v>169</v>
      </c>
      <c r="Y26" s="230">
        <f>IF($Z$2&lt;1,0,IF($Z$2&lt;101,1,IF($Z$2&lt;201,2,IF($Z$2&lt;401,3,3+($Z$2-400)/500))))</f>
        <v>0</v>
      </c>
      <c r="Z26" s="234">
        <f>$Z$2*$D26</f>
        <v>0</v>
      </c>
      <c r="AA26" s="230">
        <f>IF($AB$2&lt;1,0,IF($AB$2&lt;101,1,IF($AB$2&lt;201,2,IF($AB$2&lt;401,3,3+($AB$2-400)/150))))</f>
        <v>0</v>
      </c>
      <c r="AB26" s="230">
        <f>IF($Z$2&lt;1,0,IF($Z$2&lt;201,1,IF($Z$2&lt;401,2,IF($Z$2&lt;751,3, 3+($Z$2-750)/500))))</f>
        <v>0</v>
      </c>
      <c r="AC26" s="230">
        <f>IF($AB$2&lt;1,0,IF($AB$2&lt;201,1,IF($AB$2&lt;401,2,IF($AB$2&lt;751,3, 3+($AB$2-750)/500))))</f>
        <v>0</v>
      </c>
      <c r="AD26" s="231">
        <v>0</v>
      </c>
      <c r="AE26" s="230">
        <f>IF($Y$2&lt;31,0,IF($Y$2&lt;251,1,IF($Y$2&lt;501,2,IF($Y$2&lt;751,3,3+($Y$2-750)/500))))</f>
        <v>0</v>
      </c>
      <c r="AF26" s="33" t="str">
        <f t="shared" si="12"/>
        <v/>
      </c>
      <c r="AG26" s="32">
        <f t="shared" si="13"/>
        <v>0</v>
      </c>
      <c r="AH26" s="32">
        <f t="shared" si="14"/>
        <v>0</v>
      </c>
      <c r="AJ26" s="165" t="s">
        <v>169</v>
      </c>
      <c r="AK26" s="230">
        <f>IF($AL$2&lt;1,0,IF($AL$2&lt;101,1,IF($AL$2&lt;201,2,IF($AL$2&lt;401,3,3+($AL$2-400)/500))))</f>
        <v>0</v>
      </c>
      <c r="AL26" s="234">
        <f>$AL$2*$D26</f>
        <v>0</v>
      </c>
      <c r="AM26" s="230">
        <f>IF($AN$2&lt;1,0,IF($AN$2&lt;101,1,IF($AN$2&lt;201,2,IF($AN$2&lt;401,3,3+($AN$2-400)/150))))</f>
        <v>0</v>
      </c>
      <c r="AN26" s="230">
        <f>IF($AL$2&lt;1,0,IF($AL$2&lt;201,1,IF($AL$2&lt;401,2,IF($AL$2&lt;751,3, 3+($AL$2-750)/500))))</f>
        <v>0</v>
      </c>
      <c r="AO26" s="230">
        <f>IF($AN$2&lt;1,0,IF($AN$2&lt;201,1,IF($AN$2&lt;401,2,IF($AN$2&lt;751,3, 3+($AN$2-750)/500))))</f>
        <v>0</v>
      </c>
      <c r="AP26" s="231">
        <v>0</v>
      </c>
      <c r="AQ26" s="230">
        <f>IF($AK$2&lt;31,0,IF($AK$2&lt;251,1,IF($AK$2&lt;501,2,IF($AK$2&lt;751,3,3+($AK$2-750)/500))))</f>
        <v>0</v>
      </c>
      <c r="AR26" s="33" t="str">
        <f t="shared" si="15"/>
        <v/>
      </c>
      <c r="AS26" s="32">
        <f t="shared" si="16"/>
        <v>0</v>
      </c>
      <c r="AT26" s="32">
        <f t="shared" si="17"/>
        <v>0</v>
      </c>
    </row>
    <row r="27" spans="1:46" ht="12" customHeight="1" x14ac:dyDescent="0.2">
      <c r="A27">
        <f t="shared" ca="1" si="5"/>
        <v>24</v>
      </c>
      <c r="B27" s="3"/>
      <c r="C27" s="220"/>
      <c r="D27" s="220"/>
      <c r="E27" s="220"/>
      <c r="F27" s="220"/>
      <c r="G27" s="220"/>
      <c r="H27" s="220"/>
      <c r="I27" s="220"/>
      <c r="L27" s="191"/>
      <c r="M27" s="24"/>
      <c r="N27" s="24"/>
      <c r="O27" s="24"/>
      <c r="P27" s="24"/>
      <c r="Q27" s="24"/>
      <c r="R27" s="24"/>
      <c r="S27" s="24"/>
      <c r="T27" s="145"/>
      <c r="U27" s="24"/>
      <c r="V27" s="24"/>
      <c r="X27" s="179"/>
      <c r="Y27" s="24"/>
      <c r="Z27" s="24"/>
      <c r="AA27" s="24"/>
      <c r="AB27" s="24"/>
      <c r="AC27" s="24"/>
      <c r="AD27" s="24"/>
      <c r="AE27" s="24"/>
      <c r="AF27" s="145"/>
      <c r="AG27" s="24"/>
      <c r="AH27" s="24"/>
      <c r="AJ27" s="181"/>
      <c r="AK27" s="24"/>
      <c r="AL27" s="24"/>
      <c r="AM27" s="24"/>
      <c r="AN27" s="24"/>
      <c r="AO27" s="24"/>
      <c r="AP27" s="24"/>
      <c r="AQ27" s="24"/>
      <c r="AR27" s="145"/>
      <c r="AS27" s="24"/>
      <c r="AT27" s="24"/>
    </row>
    <row r="28" spans="1:46" ht="12" customHeight="1" x14ac:dyDescent="0.2">
      <c r="A28">
        <f t="shared" ca="1" si="5"/>
        <v>25</v>
      </c>
      <c r="B28" s="3"/>
      <c r="C28" s="220"/>
      <c r="D28" s="220"/>
      <c r="E28" s="220"/>
      <c r="F28" s="220"/>
      <c r="G28" s="220"/>
      <c r="H28" s="220"/>
      <c r="I28" s="220"/>
      <c r="L28" s="191"/>
      <c r="M28" s="24"/>
      <c r="N28" s="24"/>
      <c r="O28" s="24"/>
      <c r="P28" s="24"/>
      <c r="Q28" s="24"/>
      <c r="R28" s="24"/>
      <c r="S28" s="24"/>
      <c r="T28" s="145"/>
      <c r="U28" s="24"/>
      <c r="V28" s="24"/>
      <c r="X28" s="179"/>
      <c r="Y28" s="24"/>
      <c r="Z28" s="24"/>
      <c r="AA28" s="24"/>
      <c r="AB28" s="24"/>
      <c r="AC28" s="24"/>
      <c r="AD28" s="24"/>
      <c r="AE28" s="24"/>
      <c r="AF28" s="145"/>
      <c r="AG28" s="24"/>
      <c r="AH28" s="24"/>
      <c r="AJ28" s="181"/>
      <c r="AK28" s="24"/>
      <c r="AL28" s="24"/>
      <c r="AM28" s="24"/>
      <c r="AN28" s="24"/>
      <c r="AO28" s="24"/>
      <c r="AP28" s="24"/>
      <c r="AQ28" s="24"/>
      <c r="AR28" s="145"/>
      <c r="AS28" s="24"/>
      <c r="AT28" s="24"/>
    </row>
    <row r="29" spans="1:46" ht="12" customHeight="1" x14ac:dyDescent="0.2">
      <c r="A29">
        <f t="shared" ca="1" si="5"/>
        <v>26</v>
      </c>
      <c r="B29" s="3"/>
      <c r="C29" s="220"/>
      <c r="D29" s="220"/>
      <c r="E29" s="220"/>
      <c r="F29" s="220"/>
      <c r="G29" s="220"/>
      <c r="H29" s="220"/>
      <c r="I29" s="220"/>
      <c r="L29" s="191"/>
      <c r="M29" s="24"/>
      <c r="N29" s="24"/>
      <c r="O29" s="24"/>
      <c r="P29" s="24"/>
      <c r="Q29" s="24"/>
      <c r="R29" s="24"/>
      <c r="S29" s="24"/>
      <c r="T29" s="145"/>
      <c r="U29" s="24"/>
      <c r="V29" s="24"/>
      <c r="X29" s="179"/>
      <c r="Y29" s="24"/>
      <c r="Z29" s="24"/>
      <c r="AA29" s="24"/>
      <c r="AB29" s="24"/>
      <c r="AC29" s="24"/>
      <c r="AD29" s="24"/>
      <c r="AE29" s="24"/>
      <c r="AF29" s="145"/>
      <c r="AG29" s="24"/>
      <c r="AH29" s="24"/>
      <c r="AJ29" s="181"/>
      <c r="AK29" s="24"/>
      <c r="AL29" s="24"/>
      <c r="AM29" s="24"/>
      <c r="AN29" s="24"/>
      <c r="AO29" s="24"/>
      <c r="AP29" s="24"/>
      <c r="AQ29" s="24"/>
      <c r="AR29" s="145"/>
      <c r="AS29" s="24"/>
      <c r="AT29" s="24"/>
    </row>
    <row r="30" spans="1:46" ht="12" customHeight="1" x14ac:dyDescent="0.2">
      <c r="A30">
        <f t="shared" ca="1" si="5"/>
        <v>27</v>
      </c>
      <c r="B30" s="3"/>
      <c r="C30" s="220"/>
      <c r="D30" s="220"/>
      <c r="E30" s="220"/>
      <c r="F30" s="220"/>
      <c r="G30" s="220"/>
      <c r="H30" s="220"/>
      <c r="I30" s="220"/>
      <c r="L30" s="191"/>
      <c r="M30" s="24"/>
      <c r="N30" s="24"/>
      <c r="O30" s="24"/>
      <c r="P30" s="24"/>
      <c r="Q30" s="24"/>
      <c r="R30" s="24"/>
      <c r="S30" s="24"/>
      <c r="T30" s="145"/>
      <c r="U30" s="24"/>
      <c r="V30" s="24"/>
      <c r="X30" s="179"/>
      <c r="Y30" s="24"/>
      <c r="Z30" s="24"/>
      <c r="AA30" s="24"/>
      <c r="AB30" s="24"/>
      <c r="AC30" s="24"/>
      <c r="AD30" s="24"/>
      <c r="AE30" s="24"/>
      <c r="AF30" s="145"/>
      <c r="AG30" s="24"/>
      <c r="AH30" s="24"/>
      <c r="AJ30" s="181"/>
      <c r="AK30" s="24"/>
      <c r="AL30" s="24"/>
      <c r="AM30" s="24"/>
      <c r="AN30" s="24"/>
      <c r="AO30" s="24"/>
      <c r="AP30" s="24"/>
      <c r="AQ30" s="24"/>
      <c r="AR30" s="145"/>
      <c r="AS30" s="24"/>
      <c r="AT30" s="24"/>
    </row>
    <row r="31" spans="1:46" ht="12" customHeight="1" x14ac:dyDescent="0.2">
      <c r="A31">
        <f t="shared" ca="1" si="5"/>
        <v>28</v>
      </c>
      <c r="B31" s="3"/>
      <c r="C31" s="220"/>
      <c r="D31" s="220"/>
      <c r="E31" s="220"/>
      <c r="F31" s="220"/>
      <c r="G31" s="220"/>
      <c r="H31" s="220"/>
      <c r="I31" s="220"/>
      <c r="L31" s="191"/>
      <c r="M31" s="24"/>
      <c r="N31" s="24"/>
      <c r="O31" s="24"/>
      <c r="P31" s="24"/>
      <c r="Q31" s="24"/>
      <c r="R31" s="24"/>
      <c r="S31" s="24"/>
      <c r="T31" s="145"/>
      <c r="U31" s="24"/>
      <c r="V31" s="24"/>
      <c r="X31" s="179"/>
      <c r="Y31" s="24"/>
      <c r="Z31" s="24"/>
      <c r="AA31" s="24"/>
      <c r="AB31" s="24"/>
      <c r="AC31" s="24"/>
      <c r="AD31" s="24"/>
      <c r="AE31" s="24"/>
      <c r="AF31" s="145"/>
      <c r="AG31" s="24"/>
      <c r="AH31" s="24"/>
      <c r="AJ31" s="181"/>
      <c r="AK31" s="24"/>
      <c r="AL31" s="24"/>
      <c r="AM31" s="24"/>
      <c r="AN31" s="24"/>
      <c r="AO31" s="24"/>
      <c r="AP31" s="24"/>
      <c r="AQ31" s="24"/>
      <c r="AR31" s="145"/>
      <c r="AS31" s="24"/>
      <c r="AT31" s="24"/>
    </row>
    <row r="32" spans="1:46" ht="12" customHeight="1" x14ac:dyDescent="0.2">
      <c r="A32">
        <f t="shared" ca="1" si="5"/>
        <v>29</v>
      </c>
      <c r="B32" s="3"/>
      <c r="C32" s="220"/>
      <c r="D32" s="220"/>
      <c r="E32" s="220"/>
      <c r="F32" s="220"/>
      <c r="G32" s="220"/>
      <c r="H32" s="220"/>
      <c r="I32" s="220"/>
      <c r="L32" s="191"/>
      <c r="M32" s="24"/>
      <c r="N32" s="24"/>
      <c r="O32" s="24"/>
      <c r="P32" s="24"/>
      <c r="Q32" s="24"/>
      <c r="R32" s="24"/>
      <c r="S32" s="24"/>
      <c r="T32" s="145"/>
      <c r="U32" s="24"/>
      <c r="V32" s="24"/>
      <c r="X32" s="179"/>
      <c r="Y32" s="24"/>
      <c r="Z32" s="24"/>
      <c r="AA32" s="24"/>
      <c r="AB32" s="24"/>
      <c r="AC32" s="24"/>
      <c r="AD32" s="24"/>
      <c r="AE32" s="24"/>
      <c r="AF32" s="145"/>
      <c r="AG32" s="24"/>
      <c r="AH32" s="24"/>
      <c r="AJ32" s="181"/>
      <c r="AK32" s="24"/>
      <c r="AL32" s="24"/>
      <c r="AM32" s="24"/>
      <c r="AN32" s="24"/>
      <c r="AO32" s="24"/>
      <c r="AP32" s="24"/>
      <c r="AQ32" s="24"/>
      <c r="AR32" s="145"/>
      <c r="AS32" s="24"/>
      <c r="AT32" s="24"/>
    </row>
    <row r="33" spans="1:47" ht="12" customHeight="1" x14ac:dyDescent="0.2">
      <c r="A33">
        <f t="shared" ca="1" si="5"/>
        <v>30</v>
      </c>
      <c r="B33" s="3"/>
      <c r="C33" s="220"/>
      <c r="D33" s="220"/>
      <c r="E33" s="220"/>
      <c r="F33" s="220"/>
      <c r="G33" s="220"/>
      <c r="H33" s="220"/>
      <c r="I33" s="220"/>
      <c r="L33" s="191"/>
      <c r="M33" s="24"/>
      <c r="N33" s="24"/>
      <c r="O33" s="24"/>
      <c r="P33" s="24"/>
      <c r="Q33" s="24"/>
      <c r="R33" s="24"/>
      <c r="S33" s="24"/>
      <c r="T33" s="145"/>
      <c r="U33" s="24"/>
      <c r="V33" s="24"/>
      <c r="X33" s="179"/>
      <c r="Y33" s="24"/>
      <c r="Z33" s="24"/>
      <c r="AA33" s="24"/>
      <c r="AB33" s="24"/>
      <c r="AC33" s="24"/>
      <c r="AD33" s="24"/>
      <c r="AE33" s="24"/>
      <c r="AF33" s="145"/>
      <c r="AG33" s="24"/>
      <c r="AH33" s="24"/>
      <c r="AJ33" s="181"/>
      <c r="AK33" s="24"/>
      <c r="AL33" s="24"/>
      <c r="AM33" s="24"/>
      <c r="AN33" s="24"/>
      <c r="AO33" s="24"/>
      <c r="AP33" s="24"/>
      <c r="AQ33" s="24"/>
      <c r="AR33" s="145"/>
      <c r="AS33" s="24"/>
      <c r="AT33" s="24"/>
    </row>
    <row r="34" spans="1:47" ht="12" customHeight="1" x14ac:dyDescent="0.2">
      <c r="A34">
        <f t="shared" ca="1" si="5"/>
        <v>31</v>
      </c>
      <c r="B34" s="3"/>
      <c r="C34" s="220"/>
      <c r="D34" s="220"/>
      <c r="E34" s="220"/>
      <c r="F34" s="220"/>
      <c r="G34" s="220"/>
      <c r="H34" s="220"/>
      <c r="I34" s="220"/>
      <c r="L34" s="191"/>
      <c r="M34" s="24"/>
      <c r="N34" s="24"/>
      <c r="O34" s="24"/>
      <c r="P34" s="24"/>
      <c r="Q34" s="24"/>
      <c r="R34" s="24"/>
      <c r="S34" s="24"/>
      <c r="T34" s="145"/>
      <c r="U34" s="24"/>
      <c r="V34" s="24"/>
      <c r="X34" s="179"/>
      <c r="Y34" s="24"/>
      <c r="Z34" s="24"/>
      <c r="AA34" s="24"/>
      <c r="AB34" s="24"/>
      <c r="AC34" s="24"/>
      <c r="AD34" s="24"/>
      <c r="AE34" s="24"/>
      <c r="AF34" s="145"/>
      <c r="AG34" s="24"/>
      <c r="AH34" s="24"/>
      <c r="AJ34" s="181"/>
      <c r="AK34" s="24"/>
      <c r="AL34" s="24"/>
      <c r="AM34" s="24"/>
      <c r="AN34" s="24"/>
      <c r="AO34" s="24"/>
      <c r="AP34" s="24"/>
      <c r="AQ34" s="24"/>
      <c r="AR34" s="145"/>
      <c r="AS34" s="24"/>
      <c r="AT34" s="24"/>
    </row>
    <row r="35" spans="1:47" ht="12" customHeight="1" x14ac:dyDescent="0.2">
      <c r="A35">
        <f t="shared" ca="1" si="5"/>
        <v>32</v>
      </c>
      <c r="B35" s="3"/>
      <c r="C35" s="220"/>
      <c r="D35" s="220"/>
      <c r="E35" s="220"/>
      <c r="F35" s="220"/>
      <c r="G35" s="220"/>
      <c r="H35" s="220"/>
      <c r="I35" s="220"/>
      <c r="L35" s="191"/>
      <c r="M35" s="24"/>
      <c r="N35" s="24"/>
      <c r="O35" s="24"/>
      <c r="P35" s="24"/>
      <c r="Q35" s="24"/>
      <c r="R35" s="24"/>
      <c r="S35" s="24"/>
      <c r="T35" s="145"/>
      <c r="U35" s="24"/>
      <c r="V35" s="24"/>
      <c r="X35" s="179"/>
      <c r="Y35" s="24"/>
      <c r="Z35" s="24"/>
      <c r="AA35" s="24"/>
      <c r="AB35" s="24"/>
      <c r="AC35" s="24"/>
      <c r="AD35" s="24"/>
      <c r="AE35" s="24"/>
      <c r="AF35" s="145"/>
      <c r="AG35" s="24"/>
      <c r="AH35" s="24"/>
      <c r="AJ35" s="181"/>
      <c r="AK35" s="24"/>
      <c r="AL35" s="24"/>
      <c r="AM35" s="24"/>
      <c r="AN35" s="24"/>
      <c r="AO35" s="24"/>
      <c r="AP35" s="24"/>
      <c r="AQ35" s="24"/>
      <c r="AR35" s="145"/>
      <c r="AS35" s="24"/>
      <c r="AT35" s="24"/>
    </row>
    <row r="36" spans="1:47" ht="12" customHeight="1" x14ac:dyDescent="0.2">
      <c r="A36">
        <f t="shared" ca="1" si="5"/>
        <v>33</v>
      </c>
      <c r="B36" s="3"/>
      <c r="C36" s="220"/>
      <c r="D36" s="220"/>
      <c r="E36" s="220"/>
      <c r="F36" s="220"/>
      <c r="G36" s="220"/>
      <c r="H36" s="220"/>
      <c r="I36" s="220"/>
      <c r="L36" s="191"/>
      <c r="M36" s="24"/>
      <c r="N36" s="24"/>
      <c r="O36" s="24"/>
      <c r="P36" s="24"/>
      <c r="Q36" s="24"/>
      <c r="R36" s="24"/>
      <c r="S36" s="24"/>
      <c r="T36" s="145"/>
      <c r="U36" s="24"/>
      <c r="V36" s="24"/>
      <c r="X36" s="179"/>
      <c r="Y36" s="24"/>
      <c r="Z36" s="24"/>
      <c r="AA36" s="24"/>
      <c r="AB36" s="24"/>
      <c r="AC36" s="24"/>
      <c r="AD36" s="24"/>
      <c r="AE36" s="24"/>
      <c r="AF36" s="145"/>
      <c r="AG36" s="24"/>
      <c r="AH36" s="24"/>
      <c r="AJ36" s="181"/>
      <c r="AK36" s="24"/>
      <c r="AL36" s="24"/>
      <c r="AM36" s="24"/>
      <c r="AN36" s="24"/>
      <c r="AO36" s="24"/>
      <c r="AP36" s="24"/>
      <c r="AQ36" s="24"/>
      <c r="AR36" s="145"/>
      <c r="AS36" s="24"/>
      <c r="AT36" s="24"/>
    </row>
    <row r="37" spans="1:47" ht="12" customHeight="1" x14ac:dyDescent="0.2">
      <c r="B37" s="59"/>
      <c r="L37" s="191"/>
      <c r="X37" s="179"/>
      <c r="AJ37" s="181"/>
    </row>
    <row r="38" spans="1:47" ht="18" customHeight="1" thickBot="1" x14ac:dyDescent="0.25">
      <c r="A38" s="12">
        <f ca="1">IF(B103&lt;0,99,1)</f>
        <v>1</v>
      </c>
      <c r="B38" s="26"/>
      <c r="N38" s="47"/>
      <c r="O38" s="47"/>
      <c r="Z38" s="47"/>
      <c r="AA38" s="47"/>
      <c r="AL38" s="47"/>
      <c r="AM38" s="47"/>
    </row>
    <row r="39" spans="1:47" ht="12" customHeight="1" x14ac:dyDescent="0.2">
      <c r="A39">
        <f ca="1">A38+1</f>
        <v>2</v>
      </c>
      <c r="B39" s="164" t="s">
        <v>148</v>
      </c>
      <c r="C39" s="216" t="s">
        <v>40</v>
      </c>
      <c r="D39" s="216" t="s">
        <v>40</v>
      </c>
      <c r="E39" s="216" t="s">
        <v>40</v>
      </c>
      <c r="F39" s="216" t="s">
        <v>40</v>
      </c>
      <c r="G39" s="216" t="s">
        <v>40</v>
      </c>
      <c r="H39" s="144" t="s">
        <v>32</v>
      </c>
      <c r="I39" s="216" t="s">
        <v>40</v>
      </c>
      <c r="L39" s="33" t="s">
        <v>28</v>
      </c>
      <c r="N39" s="47"/>
      <c r="O39" s="47"/>
      <c r="X39" s="33" t="s">
        <v>28</v>
      </c>
      <c r="Z39" s="47"/>
      <c r="AA39" s="47"/>
      <c r="AJ39" s="33" t="s">
        <v>28</v>
      </c>
      <c r="AL39" s="47"/>
      <c r="AM39" s="47"/>
    </row>
    <row r="40" spans="1:47" ht="12" customHeight="1" x14ac:dyDescent="0.2">
      <c r="A40">
        <f t="shared" ref="A40:A70" ca="1" si="19">A39+1</f>
        <v>3</v>
      </c>
      <c r="B40" s="165" t="s">
        <v>149</v>
      </c>
      <c r="C40" s="216" t="s">
        <v>40</v>
      </c>
      <c r="D40" s="216" t="s">
        <v>40</v>
      </c>
      <c r="E40" s="216" t="s">
        <v>40</v>
      </c>
      <c r="F40" s="216" t="s">
        <v>40</v>
      </c>
      <c r="G40" s="216" t="s">
        <v>40</v>
      </c>
      <c r="H40" s="144" t="s">
        <v>32</v>
      </c>
      <c r="I40" s="216" t="s">
        <v>40</v>
      </c>
      <c r="L40" s="35" t="s">
        <v>29</v>
      </c>
      <c r="X40" s="35" t="s">
        <v>29</v>
      </c>
      <c r="AJ40" s="35" t="s">
        <v>29</v>
      </c>
    </row>
    <row r="41" spans="1:47" ht="12" customHeight="1" x14ac:dyDescent="0.2">
      <c r="A41">
        <f t="shared" ca="1" si="19"/>
        <v>4</v>
      </c>
      <c r="B41" s="165" t="s">
        <v>150</v>
      </c>
      <c r="C41" s="216" t="s">
        <v>40</v>
      </c>
      <c r="D41" s="216" t="s">
        <v>40</v>
      </c>
      <c r="E41" s="216" t="s">
        <v>40</v>
      </c>
      <c r="F41" s="216" t="s">
        <v>40</v>
      </c>
      <c r="G41" s="216" t="s">
        <v>40</v>
      </c>
      <c r="H41" s="144" t="s">
        <v>32</v>
      </c>
      <c r="I41" s="216" t="s">
        <v>40</v>
      </c>
      <c r="L41" s="41" t="s">
        <v>30</v>
      </c>
      <c r="X41" s="41" t="s">
        <v>30</v>
      </c>
      <c r="AJ41" s="41" t="s">
        <v>30</v>
      </c>
    </row>
    <row r="42" spans="1:47" ht="12" customHeight="1" x14ac:dyDescent="0.2">
      <c r="A42">
        <f t="shared" ca="1" si="19"/>
        <v>5</v>
      </c>
      <c r="B42" s="165" t="s">
        <v>151</v>
      </c>
      <c r="C42" s="216" t="s">
        <v>40</v>
      </c>
      <c r="D42" s="216" t="s">
        <v>40</v>
      </c>
      <c r="E42" s="216" t="s">
        <v>40</v>
      </c>
      <c r="F42" s="216" t="s">
        <v>40</v>
      </c>
      <c r="G42" s="216" t="s">
        <v>40</v>
      </c>
      <c r="H42" s="144" t="s">
        <v>32</v>
      </c>
      <c r="I42" s="216" t="s">
        <v>40</v>
      </c>
      <c r="L42" s="40" t="s">
        <v>31</v>
      </c>
      <c r="N42" s="12" t="s">
        <v>19</v>
      </c>
      <c r="O42" s="12" t="s">
        <v>74</v>
      </c>
      <c r="P42" s="12" t="s">
        <v>20</v>
      </c>
      <c r="Q42" s="12" t="s">
        <v>21</v>
      </c>
      <c r="R42" s="12" t="s">
        <v>22</v>
      </c>
      <c r="S42" s="12" t="s">
        <v>23</v>
      </c>
      <c r="T42" s="12" t="s">
        <v>24</v>
      </c>
      <c r="U42" s="12" t="s">
        <v>17</v>
      </c>
      <c r="V42" s="12" t="s">
        <v>122</v>
      </c>
      <c r="X42" s="40" t="s">
        <v>31</v>
      </c>
      <c r="Z42" s="12" t="s">
        <v>19</v>
      </c>
      <c r="AA42" s="12" t="s">
        <v>74</v>
      </c>
      <c r="AB42" s="12" t="s">
        <v>20</v>
      </c>
      <c r="AC42" s="12" t="s">
        <v>21</v>
      </c>
      <c r="AD42" s="12" t="s">
        <v>22</v>
      </c>
      <c r="AE42" s="12" t="s">
        <v>23</v>
      </c>
      <c r="AF42" s="12" t="s">
        <v>24</v>
      </c>
      <c r="AG42" s="12" t="s">
        <v>17</v>
      </c>
      <c r="AH42" s="12" t="s">
        <v>122</v>
      </c>
      <c r="AJ42" s="40" t="s">
        <v>31</v>
      </c>
      <c r="AL42" s="12" t="s">
        <v>19</v>
      </c>
      <c r="AM42" s="12" t="s">
        <v>74</v>
      </c>
      <c r="AN42" s="12" t="s">
        <v>20</v>
      </c>
      <c r="AO42" s="12" t="s">
        <v>21</v>
      </c>
      <c r="AP42" s="12" t="s">
        <v>22</v>
      </c>
      <c r="AQ42" s="12" t="s">
        <v>23</v>
      </c>
      <c r="AR42" s="12" t="s">
        <v>24</v>
      </c>
      <c r="AS42" s="12" t="s">
        <v>17</v>
      </c>
      <c r="AT42" s="12" t="s">
        <v>122</v>
      </c>
    </row>
    <row r="43" spans="1:47" ht="12" customHeight="1" thickBot="1" x14ac:dyDescent="0.25">
      <c r="A43">
        <f t="shared" ca="1" si="19"/>
        <v>6</v>
      </c>
      <c r="B43" s="165" t="s">
        <v>152</v>
      </c>
      <c r="C43" s="216" t="s">
        <v>40</v>
      </c>
      <c r="D43" s="216" t="s">
        <v>40</v>
      </c>
      <c r="E43" s="216" t="s">
        <v>40</v>
      </c>
      <c r="F43" s="216" t="s">
        <v>40</v>
      </c>
      <c r="G43" s="216" t="s">
        <v>40</v>
      </c>
      <c r="H43" s="144" t="s">
        <v>32</v>
      </c>
      <c r="I43" s="216" t="s">
        <v>40</v>
      </c>
      <c r="M43" s="29"/>
      <c r="N43" s="32" t="str">
        <f ca="1">LOOKUP(LOOKUP(L2,$A$4:$A$36,$C$4:$C$36),$A$124:$A$166,$B$124:$B$166)</f>
        <v xml:space="preserve"> </v>
      </c>
      <c r="O43" s="32" t="str">
        <f ca="1">LOOKUP(LOOKUP(L2,$A$4:$A$36,$D$4:$D$36),$A$124:$A$166,$B$124:$B$166)</f>
        <v xml:space="preserve"> </v>
      </c>
      <c r="P43" s="32" t="str">
        <f ca="1">LOOKUP(LOOKUP(L2,$A$4:$A$36,$E$4:$E$36),$A$124:$A$166,$B$124:$B$166)</f>
        <v xml:space="preserve"> </v>
      </c>
      <c r="Q43" s="32" t="str">
        <f ca="1">LOOKUP(LOOKUP(L2,$A$4:$A$36,$F$4:$F$36),$A$124:$A$166,$B$124:$B$166)</f>
        <v xml:space="preserve"> </v>
      </c>
      <c r="R43" s="32" t="str">
        <f ca="1">LOOKUP(LOOKUP(L2,$A$4:$A$36,$G$4:$G$36),$A$124:$A$166,$B$124:$B$166)</f>
        <v xml:space="preserve"> </v>
      </c>
      <c r="S43" s="32" t="str">
        <f ca="1">LOOKUP(LOOKUP(L2,$A$4:$A$36,$H$4:$H$36),$A$124:$A$166,$B$124:$B$166)</f>
        <v xml:space="preserve"> </v>
      </c>
      <c r="T43" s="32" t="str">
        <f ca="1">LOOKUP(LOOKUP(L2,$A$4:$A$36,$I$4:$I$36),$A$124:$A$166,$B$124:$B$166)</f>
        <v xml:space="preserve"> </v>
      </c>
      <c r="U43" s="24"/>
      <c r="V43" s="242"/>
      <c r="W43" s="174" t="s">
        <v>121</v>
      </c>
      <c r="Y43" s="29"/>
      <c r="Z43" s="32" t="str">
        <f ca="1">LOOKUP(LOOKUP(X2,$A$4:$A$36,$C$4:$C$36),$A$124:$A$166,$B$124:$B$166)</f>
        <v xml:space="preserve"> </v>
      </c>
      <c r="AA43" s="32" t="str">
        <f ca="1">LOOKUP(LOOKUP(X2,$A$4:$A$36,$D$4:$D$36),$A$124:$A$166,$B$124:$B$166)</f>
        <v xml:space="preserve"> </v>
      </c>
      <c r="AB43" s="32" t="str">
        <f ca="1">LOOKUP(LOOKUP(X2,$A$4:$A$36,$E$4:$E$36),$A$124:$A$166,$B$124:$B$166)</f>
        <v xml:space="preserve"> </v>
      </c>
      <c r="AC43" s="32" t="str">
        <f ca="1">LOOKUP(LOOKUP(X2,$A$4:$A$36,$F$4:$F$36),$A$124:$A$166,$B$124:$B$166)</f>
        <v xml:space="preserve"> </v>
      </c>
      <c r="AD43" s="32" t="str">
        <f ca="1">LOOKUP(LOOKUP(X2,$A$4:$A$36,$G$4:$G$36),$A$124:$A$166,$B$124:$B$166)</f>
        <v xml:space="preserve"> </v>
      </c>
      <c r="AE43" s="32" t="str">
        <f ca="1">LOOKUP(LOOKUP(X2,$A$4:$A$36,$H$4:$H$36),$A$124:$A$166,$B$124:$B$166)</f>
        <v xml:space="preserve"> </v>
      </c>
      <c r="AF43" s="32" t="str">
        <f ca="1">LOOKUP(LOOKUP(X2,$A$4:$A$36,$I$4:$I$36),$A$124:$A$166,$B$124:$B$166)</f>
        <v xml:space="preserve"> </v>
      </c>
      <c r="AG43" s="24"/>
      <c r="AH43" s="242"/>
      <c r="AI43" s="174" t="s">
        <v>121</v>
      </c>
      <c r="AK43" s="29"/>
      <c r="AL43" s="32" t="str">
        <f ca="1">LOOKUP(LOOKUP(AJ2,$A$4:$A$36,$C$4:$C$36),$A$124:$A$166,$B$124:$B$166)</f>
        <v xml:space="preserve"> </v>
      </c>
      <c r="AM43" s="32" t="str">
        <f ca="1">LOOKUP(LOOKUP(AJ2,$A$4:$A$36,$D$4:$D$36),$A$124:$A$166,$B$124:$B$166)</f>
        <v xml:space="preserve"> </v>
      </c>
      <c r="AN43" s="32" t="str">
        <f ca="1">LOOKUP(LOOKUP(AJ2,$A$4:$A$36,$E$4:$E$36),$A$124:$A$166,$B$124:$B$166)</f>
        <v xml:space="preserve"> </v>
      </c>
      <c r="AO43" s="32" t="str">
        <f ca="1">LOOKUP(LOOKUP(AJ2,$A$4:$A$36,$F$4:$F$36),$A$124:$A$166,$B$124:$B$166)</f>
        <v xml:space="preserve"> </v>
      </c>
      <c r="AP43" s="32" t="str">
        <f ca="1">LOOKUP(LOOKUP(AJ2,$A$4:$A$36,$G$4:$G$36),$A$124:$A$166,$B$124:$B$166)</f>
        <v xml:space="preserve"> </v>
      </c>
      <c r="AQ43" s="32" t="str">
        <f ca="1">LOOKUP(LOOKUP(AJ2,$A$4:$A$36,$H$4:$H$36),$A$124:$A$166,$B$124:$B$166)</f>
        <v xml:space="preserve"> </v>
      </c>
      <c r="AR43" s="32" t="str">
        <f ca="1">LOOKUP(LOOKUP(AJ2,$A$4:$A$36,$I$4:$I$36),$A$124:$A$166,$B$124:$B$166)</f>
        <v xml:space="preserve"> </v>
      </c>
      <c r="AS43" s="24"/>
      <c r="AT43" s="242"/>
      <c r="AU43" s="174" t="s">
        <v>121</v>
      </c>
    </row>
    <row r="44" spans="1:47" ht="12" customHeight="1" thickBot="1" x14ac:dyDescent="0.25">
      <c r="A44">
        <f t="shared" ca="1" si="19"/>
        <v>7</v>
      </c>
      <c r="B44" s="165" t="s">
        <v>153</v>
      </c>
      <c r="C44" s="216" t="s">
        <v>40</v>
      </c>
      <c r="D44" s="216" t="s">
        <v>40</v>
      </c>
      <c r="E44" s="216" t="s">
        <v>40</v>
      </c>
      <c r="F44" s="216" t="s">
        <v>40</v>
      </c>
      <c r="G44" s="216" t="s">
        <v>40</v>
      </c>
      <c r="H44" s="144" t="s">
        <v>32</v>
      </c>
      <c r="I44" s="216" t="s">
        <v>42</v>
      </c>
      <c r="L44" s="25" t="s">
        <v>91</v>
      </c>
      <c r="M44" s="42">
        <f>IF(OR(L2=11,L2=13),1,0)</f>
        <v>0</v>
      </c>
      <c r="N44" s="239" t="str">
        <f ca="1">N43</f>
        <v xml:space="preserve"> </v>
      </c>
      <c r="O44" s="239" t="str">
        <f ca="1">IF(O43=N43,"",O43)</f>
        <v/>
      </c>
      <c r="P44" s="248" t="str">
        <f ca="1">IF(OR(P43=O43,P43=N43),"",P43)</f>
        <v/>
      </c>
      <c r="Q44" s="50" t="str">
        <f ca="1">IF(OR(Q43=P43,Q43=O43,Q43=N43),"",Q43)</f>
        <v/>
      </c>
      <c r="R44" s="50" t="str">
        <f ca="1">IF(OR(R43=Q43,R43=P43,R43=O43,R43=N43),"",R43)</f>
        <v/>
      </c>
      <c r="S44" s="50" t="str">
        <f ca="1">IF(OR(S43=R43,S43=Q43,S43=P43,S43=O43,S43=N43),"",S43)</f>
        <v/>
      </c>
      <c r="T44" s="50" t="str">
        <f ca="1">IF(U57=0,"",T43)</f>
        <v/>
      </c>
      <c r="U44" s="241">
        <f ca="1">LOOKUP(L2,$A$4:$A$36,T4:T36)</f>
        <v>0</v>
      </c>
      <c r="V44" s="244" t="str">
        <f>IF(L2&lt;2,"",$B$84)</f>
        <v/>
      </c>
      <c r="W44" s="174" t="s">
        <v>121</v>
      </c>
      <c r="X44" s="25" t="s">
        <v>91</v>
      </c>
      <c r="Y44" s="42">
        <f>IF(OR(X2=11,X2=13),1,0)</f>
        <v>0</v>
      </c>
      <c r="Z44" s="49" t="str">
        <f ca="1">Z43</f>
        <v xml:space="preserve"> </v>
      </c>
      <c r="AA44" s="49" t="str">
        <f ca="1">IF(AA43=Z43,"",AA43)</f>
        <v/>
      </c>
      <c r="AB44" s="50" t="str">
        <f ca="1">IF(OR(AB43=AA43,AB43=Z43),"",AB43)</f>
        <v/>
      </c>
      <c r="AC44" s="50" t="str">
        <f ca="1">IF(OR(AC43=AB43,AC43=AA43,AC43=Z43),"",AC43)</f>
        <v/>
      </c>
      <c r="AD44" s="50" t="str">
        <f ca="1">IF(OR(AD43=AC43,AD43=AB43,AD43=AA43,AD43=Z43),"",AD43)</f>
        <v/>
      </c>
      <c r="AE44" s="50" t="str">
        <f ca="1">IF(OR(AE43=AD43,AE43=AC43,AE43=AB43,AE43=AA43,AE43=Z43),"",AE43)</f>
        <v/>
      </c>
      <c r="AF44" s="50" t="str">
        <f ca="1">IF(AG57=0,"",AF43)</f>
        <v/>
      </c>
      <c r="AG44" s="241">
        <f ca="1">LOOKUP(X2,$A$4:$A$36,AF4:AF36)</f>
        <v>0</v>
      </c>
      <c r="AH44" s="244" t="str">
        <f>IF(X2&lt;2,"",$C$84)</f>
        <v/>
      </c>
      <c r="AI44" s="174" t="s">
        <v>121</v>
      </c>
      <c r="AJ44" s="25" t="s">
        <v>91</v>
      </c>
      <c r="AK44" s="42">
        <f>IF(OR(AJ2=11,AJ2=13),1,0)</f>
        <v>0</v>
      </c>
      <c r="AL44" s="49" t="str">
        <f ca="1">AL43</f>
        <v xml:space="preserve"> </v>
      </c>
      <c r="AM44" s="49" t="str">
        <f ca="1">IF(AM43=AL43,"",AM43)</f>
        <v/>
      </c>
      <c r="AN44" s="50" t="str">
        <f ca="1">IF(OR(AN43=AM43,AN43=AL43),"",AN43)</f>
        <v/>
      </c>
      <c r="AO44" s="50" t="str">
        <f ca="1">IF(OR(AO43=AN43,AO43=AM43,AO43=AL43),"",AO43)</f>
        <v/>
      </c>
      <c r="AP44" s="50" t="str">
        <f ca="1">IF(OR(AP43=AO43,AP43=AN43,AP43=AM43,AP43=AL43),"",AP43)</f>
        <v/>
      </c>
      <c r="AQ44" s="50" t="str">
        <f ca="1">IF(OR(AQ43=AP43,AQ43=AO43,AQ43=AN43,AQ43=AM43,AQ43=AL43),"",AQ43)</f>
        <v/>
      </c>
      <c r="AR44" s="50" t="str">
        <f ca="1">IF(AS57=0,"",AR43)</f>
        <v/>
      </c>
      <c r="AS44" s="241">
        <f ca="1">LOOKUP(AJ2,$A$4:$A$36,AR4:AR36)</f>
        <v>0</v>
      </c>
      <c r="AT44" s="244" t="str">
        <f>IF(AJ2&lt;2,"",$D$84)</f>
        <v/>
      </c>
      <c r="AU44" s="174" t="s">
        <v>121</v>
      </c>
    </row>
    <row r="45" spans="1:47" ht="12" customHeight="1" thickBot="1" x14ac:dyDescent="0.25">
      <c r="A45">
        <f t="shared" ca="1" si="19"/>
        <v>8</v>
      </c>
      <c r="B45" s="165" t="s">
        <v>154</v>
      </c>
      <c r="C45" s="216" t="s">
        <v>43</v>
      </c>
      <c r="D45" s="216" t="s">
        <v>44</v>
      </c>
      <c r="E45" s="216" t="s">
        <v>81</v>
      </c>
      <c r="F45" s="216" t="s">
        <v>41</v>
      </c>
      <c r="G45" s="216" t="s">
        <v>41</v>
      </c>
      <c r="H45" s="144" t="s">
        <v>32</v>
      </c>
      <c r="I45" s="216" t="s">
        <v>42</v>
      </c>
      <c r="L45" s="45" t="s">
        <v>90</v>
      </c>
      <c r="M45" s="238">
        <f>IF(AND(M44=0,M2&lt;=10),1,0)</f>
        <v>1</v>
      </c>
      <c r="N45" s="240" t="str">
        <f>IF(AND(P57&gt;P58,N49=0),$B$76,IF(AND(P58&lt;N57+O57,N49=1),$B$86,""))</f>
        <v/>
      </c>
      <c r="O45" s="249" t="str">
        <f>IF(AND(M45=1,M2&gt;0),$B$79,"")</f>
        <v/>
      </c>
      <c r="P45" s="250" t="str">
        <f>IF(N49=1,$B$77,"")</f>
        <v/>
      </c>
      <c r="Q45" s="254"/>
      <c r="R45" s="51"/>
      <c r="S45" s="24"/>
      <c r="T45" s="24"/>
      <c r="U45" s="17"/>
      <c r="V45" s="243"/>
      <c r="W45" s="174" t="s">
        <v>121</v>
      </c>
      <c r="X45" s="45" t="s">
        <v>90</v>
      </c>
      <c r="Y45" s="238">
        <f>IF(AND(Y44=0,Y2&lt;=10),1,0)</f>
        <v>1</v>
      </c>
      <c r="Z45" s="240" t="str">
        <f>IF(AND(AB57&gt;AB58,Z49=0),$B$76,IF(AND(AB58&lt;Z57+AA57,Z49=1),$B$86,""))</f>
        <v/>
      </c>
      <c r="AA45" s="249" t="str">
        <f>IF(AND(Y45=1,Y2&gt;0),$B$79,"")</f>
        <v/>
      </c>
      <c r="AB45" s="250" t="str">
        <f>IF(Z49=1,$B$77,"")</f>
        <v/>
      </c>
      <c r="AC45" s="254"/>
      <c r="AD45" s="51"/>
      <c r="AE45" s="24"/>
      <c r="AF45" s="24"/>
      <c r="AG45" s="17"/>
      <c r="AH45" s="243"/>
      <c r="AI45" s="174" t="s">
        <v>121</v>
      </c>
      <c r="AJ45" s="45" t="s">
        <v>90</v>
      </c>
      <c r="AK45" s="238">
        <f>IF(AND(AK44=0,AK2&lt;=10),1,0)</f>
        <v>1</v>
      </c>
      <c r="AL45" s="240" t="str">
        <f>IF(AND(AN57&gt;AN58,AL49=0),$B$76,IF(AND(AN58&lt;AL57+AM57,AL49=1),$B$86,""))</f>
        <v/>
      </c>
      <c r="AM45" s="249" t="str">
        <f>IF(AND(AK45=1,AK2&gt;0),$B$79,"")</f>
        <v/>
      </c>
      <c r="AN45" s="250" t="str">
        <f>IF(AL49=1,$B$77,"")</f>
        <v/>
      </c>
      <c r="AO45" s="254"/>
      <c r="AP45" s="51"/>
      <c r="AQ45" s="24"/>
      <c r="AR45" s="24"/>
      <c r="AS45" s="17"/>
      <c r="AT45" s="243"/>
      <c r="AU45" s="174" t="s">
        <v>121</v>
      </c>
    </row>
    <row r="46" spans="1:47" ht="12" customHeight="1" thickBot="1" x14ac:dyDescent="0.25">
      <c r="A46">
        <f t="shared" ca="1" si="19"/>
        <v>9</v>
      </c>
      <c r="B46" s="165" t="s">
        <v>155</v>
      </c>
      <c r="C46" s="216" t="s">
        <v>40</v>
      </c>
      <c r="D46" s="144" t="s">
        <v>32</v>
      </c>
      <c r="E46" s="216" t="s">
        <v>40</v>
      </c>
      <c r="F46" s="216" t="s">
        <v>40</v>
      </c>
      <c r="G46" s="216" t="s">
        <v>40</v>
      </c>
      <c r="H46" s="216" t="s">
        <v>40</v>
      </c>
      <c r="I46" s="216" t="s">
        <v>40</v>
      </c>
      <c r="L46" s="45" t="s">
        <v>249</v>
      </c>
      <c r="M46" s="256">
        <f>MAX(O48:P48)</f>
        <v>0</v>
      </c>
      <c r="N46" s="286" t="str">
        <f>IF(AND(N50&lt;&gt;0,N57&gt;1,O57&gt;0),N50&amp;$B$81,"")</f>
        <v/>
      </c>
      <c r="O46" s="251" t="str">
        <f>IF(AND(M45&lt;&gt;1,M44&lt;&gt;1,M46=1),$B$80,"")</f>
        <v/>
      </c>
      <c r="P46" s="253"/>
      <c r="Q46" s="51"/>
      <c r="R46" s="51"/>
      <c r="S46" s="17"/>
      <c r="T46" s="17"/>
      <c r="U46" s="17"/>
      <c r="V46" s="28"/>
      <c r="W46" s="174" t="s">
        <v>121</v>
      </c>
      <c r="X46" s="45" t="s">
        <v>249</v>
      </c>
      <c r="Y46" s="256">
        <f>MAX(AA48:AB48)</f>
        <v>0</v>
      </c>
      <c r="Z46" s="286" t="str">
        <f>IF(AND(Z50&lt;&gt;0,Z57&gt;1,AA57&gt;0),Z50&amp;$B$81,"")</f>
        <v/>
      </c>
      <c r="AA46" s="251" t="str">
        <f>IF(AND(Y45&lt;&gt;1,Y44&lt;&gt;1,Y46=1),$B$80,"")</f>
        <v/>
      </c>
      <c r="AB46" s="253"/>
      <c r="AC46" s="51"/>
      <c r="AD46" s="51"/>
      <c r="AE46" s="17"/>
      <c r="AF46" s="17"/>
      <c r="AG46" s="17"/>
      <c r="AH46" s="28"/>
      <c r="AI46" s="174" t="s">
        <v>121</v>
      </c>
      <c r="AJ46" s="45" t="s">
        <v>249</v>
      </c>
      <c r="AK46" s="256">
        <f>MAX(AM48:AN48)</f>
        <v>0</v>
      </c>
      <c r="AL46" s="286" t="str">
        <f>IF(AND(AL50&lt;&gt;0,AL57&gt;1,AM57&gt;0),AL50&amp;$B$81,"")</f>
        <v/>
      </c>
      <c r="AM46" s="251" t="str">
        <f>IF(AND(AK45&lt;&gt;1,AK44&lt;&gt;1,AK46=1),$B$80,"")</f>
        <v/>
      </c>
      <c r="AN46" s="253"/>
      <c r="AO46" s="51"/>
      <c r="AP46" s="51"/>
      <c r="AQ46" s="17"/>
      <c r="AR46" s="17"/>
      <c r="AS46" s="17"/>
      <c r="AT46" s="28"/>
      <c r="AU46" s="174" t="s">
        <v>121</v>
      </c>
    </row>
    <row r="47" spans="1:47" ht="12" customHeight="1" x14ac:dyDescent="0.2">
      <c r="A47">
        <f t="shared" ca="1" si="19"/>
        <v>10</v>
      </c>
      <c r="B47" s="165" t="s">
        <v>156</v>
      </c>
      <c r="C47" s="216" t="s">
        <v>78</v>
      </c>
      <c r="D47" s="144" t="s">
        <v>32</v>
      </c>
      <c r="E47" s="216" t="s">
        <v>78</v>
      </c>
      <c r="F47" s="216" t="s">
        <v>79</v>
      </c>
      <c r="G47" s="216" t="s">
        <v>79</v>
      </c>
      <c r="H47" s="216" t="s">
        <v>80</v>
      </c>
      <c r="I47" s="216" t="s">
        <v>42</v>
      </c>
      <c r="L47" s="25" t="s">
        <v>15</v>
      </c>
      <c r="M47" s="196">
        <f>IF(OR(M44=1,M45=1,M46=1),1,0)</f>
        <v>1</v>
      </c>
      <c r="N47" s="51"/>
      <c r="O47" s="255"/>
      <c r="P47" s="51"/>
      <c r="Q47" s="52"/>
      <c r="R47" s="52"/>
      <c r="S47" s="17"/>
      <c r="T47" s="17"/>
      <c r="U47" s="17"/>
      <c r="V47" s="28"/>
      <c r="W47" s="174" t="s">
        <v>121</v>
      </c>
      <c r="X47" s="25" t="s">
        <v>15</v>
      </c>
      <c r="Y47" s="196">
        <f>IF(OR(Y44=1,Y45=1,Y46=1),1,0)</f>
        <v>1</v>
      </c>
      <c r="Z47" s="51"/>
      <c r="AA47" s="255"/>
      <c r="AB47" s="51"/>
      <c r="AC47" s="52"/>
      <c r="AD47" s="52"/>
      <c r="AE47" s="17"/>
      <c r="AF47" s="17"/>
      <c r="AG47" s="17"/>
      <c r="AH47" s="28"/>
      <c r="AI47" s="174" t="s">
        <v>121</v>
      </c>
      <c r="AJ47" s="25" t="s">
        <v>15</v>
      </c>
      <c r="AK47" s="196">
        <f>IF(OR(AK44=1,AK45=1,AK46=1),1,0)</f>
        <v>1</v>
      </c>
      <c r="AL47" s="51"/>
      <c r="AM47" s="255"/>
      <c r="AN47" s="51"/>
      <c r="AO47" s="52"/>
      <c r="AP47" s="52"/>
      <c r="AQ47" s="17"/>
      <c r="AR47" s="17"/>
      <c r="AS47" s="17"/>
      <c r="AT47" s="28"/>
      <c r="AU47" s="174" t="s">
        <v>121</v>
      </c>
    </row>
    <row r="48" spans="1:47" ht="12" customHeight="1" x14ac:dyDescent="0.2">
      <c r="A48">
        <f t="shared" ca="1" si="19"/>
        <v>11</v>
      </c>
      <c r="B48" s="165" t="s">
        <v>157</v>
      </c>
      <c r="C48" s="54" t="s">
        <v>75</v>
      </c>
      <c r="D48" s="54" t="s">
        <v>15</v>
      </c>
      <c r="E48" s="54" t="s">
        <v>15</v>
      </c>
      <c r="F48" s="54" t="s">
        <v>75</v>
      </c>
      <c r="G48" s="54" t="s">
        <v>15</v>
      </c>
      <c r="H48" s="144" t="s">
        <v>32</v>
      </c>
      <c r="I48" s="54" t="s">
        <v>75</v>
      </c>
      <c r="L48" s="147" t="s">
        <v>93</v>
      </c>
      <c r="M48" s="57"/>
      <c r="N48" s="246" t="s">
        <v>244</v>
      </c>
      <c r="O48" s="257">
        <f>IF(AND(M2&lt;=50,OR(L2=7,L2=17)),1,0)</f>
        <v>0</v>
      </c>
      <c r="P48" s="257">
        <f>IF(AND(L2=3,OR(M2&lt;=50,AND(Plumbing!$F$12&lt;750,Plumbing!$D$5&gt;2))),1,0)</f>
        <v>0</v>
      </c>
      <c r="Q48" s="17"/>
      <c r="R48" s="17"/>
      <c r="S48" s="17"/>
      <c r="T48" s="17"/>
      <c r="U48" s="17"/>
      <c r="V48" s="28"/>
      <c r="W48" s="46"/>
      <c r="X48" s="147" t="s">
        <v>93</v>
      </c>
      <c r="Y48" s="57"/>
      <c r="Z48" s="246" t="s">
        <v>244</v>
      </c>
      <c r="AA48" s="257">
        <f>IF(AND(Y2&lt;=50,OR(X2=7,X2=17)),1,0)</f>
        <v>0</v>
      </c>
      <c r="AB48" s="257">
        <f>IF(AND(X2=3,OR(Y2&lt;=50,AND(Plumbing!$F$25&lt;750,Plumbing!$D$18&gt;2))),1,0)</f>
        <v>0</v>
      </c>
      <c r="AC48" s="17"/>
      <c r="AD48" s="17"/>
      <c r="AE48" s="17"/>
      <c r="AF48" s="17"/>
      <c r="AG48" s="17"/>
      <c r="AH48" s="28"/>
      <c r="AI48" s="46"/>
      <c r="AJ48" s="147" t="s">
        <v>93</v>
      </c>
      <c r="AK48" s="57"/>
      <c r="AL48" s="246" t="s">
        <v>244</v>
      </c>
      <c r="AM48" s="257">
        <f>IF(AND(AK2&lt;=50,OR(AJ2=7,AJ2=17)),1,0)</f>
        <v>0</v>
      </c>
      <c r="AN48" s="257">
        <f>IF(AND(AJ2=3,OR(AK2&lt;=50,AND(Plumbing!$F$38&lt;750,Plumbing!$D$31&gt;2))),1,0)</f>
        <v>0</v>
      </c>
      <c r="AO48" s="17"/>
      <c r="AP48" s="17"/>
      <c r="AQ48" s="17"/>
      <c r="AR48" s="17"/>
      <c r="AS48" s="17"/>
      <c r="AT48" s="28"/>
      <c r="AU48" s="46"/>
    </row>
    <row r="49" spans="1:47" ht="12" customHeight="1" x14ac:dyDescent="0.2">
      <c r="A49">
        <f t="shared" ca="1" si="19"/>
        <v>12</v>
      </c>
      <c r="B49" s="165" t="s">
        <v>158</v>
      </c>
      <c r="C49" s="216" t="s">
        <v>40</v>
      </c>
      <c r="D49" s="144" t="s">
        <v>32</v>
      </c>
      <c r="E49" s="216" t="s">
        <v>40</v>
      </c>
      <c r="F49" s="216" t="s">
        <v>41</v>
      </c>
      <c r="G49" s="216" t="s">
        <v>41</v>
      </c>
      <c r="H49" s="144" t="s">
        <v>32</v>
      </c>
      <c r="I49" s="144" t="s">
        <v>32</v>
      </c>
      <c r="L49" s="25" t="s">
        <v>250</v>
      </c>
      <c r="M49" s="252">
        <f>IF(M47=1,0,IF(N55&lt;3,0,ROUNDDOWN(0.33334*N57,0)))</f>
        <v>0</v>
      </c>
      <c r="N49" s="247">
        <f>IF(AND(M2&lt;50,OR(L2=2,L2=3,L2=4,L2=5,L2=6,L2=8)),1,0)</f>
        <v>0</v>
      </c>
      <c r="O49" s="24"/>
      <c r="P49" s="17"/>
      <c r="Q49" s="17"/>
      <c r="R49" s="17"/>
      <c r="S49" s="17"/>
      <c r="T49" s="17"/>
      <c r="U49" s="17"/>
      <c r="V49" s="28"/>
      <c r="W49" s="46"/>
      <c r="X49" s="25" t="s">
        <v>250</v>
      </c>
      <c r="Y49" s="252">
        <f>IF(Y47=1,0,IF(Z55&lt;3,0,ROUNDDOWN(0.33334*Z57,0)))</f>
        <v>0</v>
      </c>
      <c r="Z49" s="247">
        <f>IF(AND(Y2&lt;50,OR(X2=2,X2=3,X2=4,X2=5,X2=6,X2=8)),1,0)</f>
        <v>0</v>
      </c>
      <c r="AA49" s="24"/>
      <c r="AB49" s="17"/>
      <c r="AC49" s="17"/>
      <c r="AD49" s="17"/>
      <c r="AE49" s="17"/>
      <c r="AF49" s="17"/>
      <c r="AG49" s="17"/>
      <c r="AH49" s="28"/>
      <c r="AI49" s="46"/>
      <c r="AJ49" s="25" t="s">
        <v>250</v>
      </c>
      <c r="AK49" s="252">
        <f>IF(AK47=1,0,IF(AL55&lt;3,0,ROUNDDOWN(0.33334*AL57,0)))</f>
        <v>0</v>
      </c>
      <c r="AL49" s="247">
        <f>IF(AND(AK2&lt;50,OR(AJ2=2,AJ2=3,AJ2=4,AJ2=5,AJ2=6,AJ2=8)),1,0)</f>
        <v>0</v>
      </c>
      <c r="AM49" s="24"/>
      <c r="AN49" s="17"/>
      <c r="AO49" s="17"/>
      <c r="AP49" s="17"/>
      <c r="AQ49" s="17"/>
      <c r="AR49" s="17"/>
      <c r="AS49" s="17"/>
      <c r="AT49" s="28"/>
      <c r="AU49" s="46"/>
    </row>
    <row r="50" spans="1:47" ht="12" customHeight="1" x14ac:dyDescent="0.2">
      <c r="A50">
        <f t="shared" ca="1" si="19"/>
        <v>13</v>
      </c>
      <c r="B50" s="165" t="s">
        <v>159</v>
      </c>
      <c r="C50" s="54" t="s">
        <v>174</v>
      </c>
      <c r="D50" s="54" t="s">
        <v>15</v>
      </c>
      <c r="E50" s="54" t="s">
        <v>15</v>
      </c>
      <c r="F50" s="54" t="s">
        <v>174</v>
      </c>
      <c r="G50" s="54" t="s">
        <v>15</v>
      </c>
      <c r="H50" s="216" t="s">
        <v>77</v>
      </c>
      <c r="I50" s="216" t="s">
        <v>40</v>
      </c>
      <c r="L50" s="25"/>
      <c r="M50" s="176"/>
      <c r="N50" s="285" t="str">
        <f>IF(AND(N57&gt;1,O57&gt;0),ROUNDDOWN(N57*0.667,0),"")</f>
        <v/>
      </c>
      <c r="O50" s="17"/>
      <c r="P50" s="17"/>
      <c r="Q50" s="17"/>
      <c r="R50" s="17"/>
      <c r="S50" s="17"/>
      <c r="T50" s="17"/>
      <c r="U50" s="17"/>
      <c r="V50" s="28"/>
      <c r="W50" s="46"/>
      <c r="X50" s="25"/>
      <c r="Y50" s="176"/>
      <c r="Z50" s="285" t="str">
        <f>IF(AND(Z57&gt;1,AA57&gt;0),ROUNDDOWN(Z57*0.667,0),"")</f>
        <v/>
      </c>
      <c r="AA50" s="17"/>
      <c r="AB50" s="17"/>
      <c r="AC50" s="17"/>
      <c r="AD50" s="17"/>
      <c r="AE50" s="17"/>
      <c r="AF50" s="17"/>
      <c r="AG50" s="17"/>
      <c r="AH50" s="28"/>
      <c r="AI50" s="46"/>
      <c r="AJ50" s="25"/>
      <c r="AK50" s="176"/>
      <c r="AL50" s="285" t="str">
        <f>IF(AND(AL57&gt;1,AM57&gt;0),ROUNDDOWN(AL57*0.667,0),"")</f>
        <v/>
      </c>
      <c r="AM50" s="17"/>
      <c r="AN50" s="17"/>
      <c r="AO50" s="17"/>
      <c r="AP50" s="17"/>
      <c r="AQ50" s="17"/>
      <c r="AR50" s="17"/>
      <c r="AS50" s="17"/>
      <c r="AT50" s="28"/>
      <c r="AU50" s="46"/>
    </row>
    <row r="51" spans="1:47" ht="12" customHeight="1" x14ac:dyDescent="0.2">
      <c r="A51">
        <f t="shared" ca="1" si="19"/>
        <v>14</v>
      </c>
      <c r="B51" s="165" t="s">
        <v>160</v>
      </c>
      <c r="C51" s="216" t="s">
        <v>46</v>
      </c>
      <c r="D51" s="144" t="s">
        <v>32</v>
      </c>
      <c r="E51" s="216" t="s">
        <v>46</v>
      </c>
      <c r="F51" s="216" t="s">
        <v>45</v>
      </c>
      <c r="G51" s="216" t="s">
        <v>45</v>
      </c>
      <c r="H51" s="216" t="s">
        <v>46</v>
      </c>
      <c r="I51" s="216" t="s">
        <v>175</v>
      </c>
    </row>
    <row r="52" spans="1:47" ht="12" customHeight="1" x14ac:dyDescent="0.2">
      <c r="A52">
        <f t="shared" ca="1" si="19"/>
        <v>15</v>
      </c>
      <c r="B52" s="165" t="s">
        <v>161</v>
      </c>
      <c r="C52" s="216" t="s">
        <v>40</v>
      </c>
      <c r="D52" s="144" t="s">
        <v>32</v>
      </c>
      <c r="E52" s="216" t="s">
        <v>40</v>
      </c>
      <c r="F52" s="216" t="s">
        <v>41</v>
      </c>
      <c r="G52" s="216" t="s">
        <v>41</v>
      </c>
      <c r="H52" s="144" t="s">
        <v>32</v>
      </c>
      <c r="I52" s="216" t="s">
        <v>42</v>
      </c>
      <c r="M52" s="44" t="s">
        <v>12</v>
      </c>
      <c r="N52" s="44"/>
      <c r="O52" s="44"/>
      <c r="P52" s="44"/>
      <c r="Q52" s="44" t="s">
        <v>14</v>
      </c>
      <c r="R52" s="44"/>
      <c r="T52" s="44" t="s">
        <v>35</v>
      </c>
      <c r="U52" s="44" t="s">
        <v>34</v>
      </c>
      <c r="V52" s="44" t="s">
        <v>17</v>
      </c>
      <c r="Y52" s="44" t="s">
        <v>12</v>
      </c>
      <c r="Z52" s="44"/>
      <c r="AA52" s="44"/>
      <c r="AB52" s="44"/>
      <c r="AC52" s="44" t="s">
        <v>14</v>
      </c>
      <c r="AD52" s="44"/>
      <c r="AF52" s="44" t="s">
        <v>35</v>
      </c>
      <c r="AG52" s="44" t="s">
        <v>34</v>
      </c>
      <c r="AH52" s="44" t="s">
        <v>17</v>
      </c>
      <c r="AK52" s="44" t="s">
        <v>12</v>
      </c>
      <c r="AL52" s="44"/>
      <c r="AM52" s="44"/>
      <c r="AN52" s="44"/>
      <c r="AO52" s="44" t="s">
        <v>14</v>
      </c>
      <c r="AP52" s="44"/>
      <c r="AR52" s="44" t="s">
        <v>35</v>
      </c>
      <c r="AS52" s="44" t="s">
        <v>34</v>
      </c>
      <c r="AT52" s="44" t="s">
        <v>17</v>
      </c>
    </row>
    <row r="53" spans="1:47" ht="12" customHeight="1" x14ac:dyDescent="0.2">
      <c r="A53">
        <f t="shared" ca="1" si="19"/>
        <v>16</v>
      </c>
      <c r="B53" s="165" t="s">
        <v>162</v>
      </c>
      <c r="C53" s="216" t="s">
        <v>40</v>
      </c>
      <c r="D53" s="144" t="s">
        <v>32</v>
      </c>
      <c r="E53" s="216" t="s">
        <v>40</v>
      </c>
      <c r="F53" s="216" t="s">
        <v>41</v>
      </c>
      <c r="G53" s="216" t="s">
        <v>41</v>
      </c>
      <c r="H53" s="144" t="s">
        <v>32</v>
      </c>
      <c r="I53" s="216" t="s">
        <v>42</v>
      </c>
      <c r="L53" s="25"/>
      <c r="M53" s="12" t="s">
        <v>85</v>
      </c>
      <c r="N53" s="12" t="s">
        <v>84</v>
      </c>
      <c r="O53" s="12" t="s">
        <v>83</v>
      </c>
      <c r="P53" s="12" t="s">
        <v>86</v>
      </c>
      <c r="Q53" s="12" t="s">
        <v>87</v>
      </c>
      <c r="R53" s="12" t="s">
        <v>88</v>
      </c>
      <c r="S53" s="12" t="s">
        <v>89</v>
      </c>
      <c r="X53" s="25"/>
      <c r="Y53" s="12" t="s">
        <v>85</v>
      </c>
      <c r="Z53" s="12" t="s">
        <v>84</v>
      </c>
      <c r="AA53" s="12" t="s">
        <v>83</v>
      </c>
      <c r="AB53" s="12" t="s">
        <v>86</v>
      </c>
      <c r="AC53" s="12" t="s">
        <v>87</v>
      </c>
      <c r="AD53" s="12" t="s">
        <v>88</v>
      </c>
      <c r="AE53" s="12" t="s">
        <v>89</v>
      </c>
      <c r="AJ53" s="25"/>
      <c r="AK53" s="12" t="s">
        <v>85</v>
      </c>
      <c r="AL53" s="12" t="s">
        <v>84</v>
      </c>
      <c r="AM53" s="12" t="s">
        <v>83</v>
      </c>
      <c r="AN53" s="12" t="s">
        <v>86</v>
      </c>
      <c r="AO53" s="12" t="s">
        <v>87</v>
      </c>
      <c r="AP53" s="12" t="s">
        <v>88</v>
      </c>
      <c r="AQ53" s="12" t="s">
        <v>89</v>
      </c>
    </row>
    <row r="54" spans="1:47" ht="12" customHeight="1" x14ac:dyDescent="0.2">
      <c r="A54">
        <f t="shared" ca="1" si="19"/>
        <v>17</v>
      </c>
      <c r="B54" s="165" t="s">
        <v>163</v>
      </c>
      <c r="C54" s="216" t="s">
        <v>40</v>
      </c>
      <c r="D54" s="216" t="s">
        <v>40</v>
      </c>
      <c r="E54" s="216" t="s">
        <v>40</v>
      </c>
      <c r="F54" s="216" t="s">
        <v>40</v>
      </c>
      <c r="G54" s="216" t="s">
        <v>40</v>
      </c>
      <c r="H54" s="144" t="s">
        <v>32</v>
      </c>
      <c r="I54" s="216" t="s">
        <v>40</v>
      </c>
      <c r="L54" s="25" t="s">
        <v>16</v>
      </c>
      <c r="M54" s="53" t="str">
        <f>IF(M44=1,LOOKUP(L2,$A$38:$A$70,$C$38:$C$70),"")</f>
        <v/>
      </c>
      <c r="N54" s="53">
        <f ca="1">IF(M44&lt;&gt;1,LOOKUP(L2,$A$38:$A$70,$C$38:$C$70),"")</f>
        <v>0</v>
      </c>
      <c r="O54" s="53">
        <f ca="1">IF(M44&lt;&gt;1,LOOKUP(L2,$A$38:$A$70,$D$38:$D$70),"")</f>
        <v>0</v>
      </c>
      <c r="P54" s="53">
        <f ca="1">IF(M44&lt;&gt;1,LOOKUP(L2,$A$38:$A$70,$E$38:$E$70),"")</f>
        <v>0</v>
      </c>
      <c r="Q54" s="53" t="str">
        <f>IF(M44=1,LOOKUP(L2,$A$38:$A$70,$F$38:$F$70),"")</f>
        <v/>
      </c>
      <c r="R54" s="53">
        <f ca="1">IF(M44&lt;&gt;1,LOOKUP(L2,$A$38:$A$70,$F$38:$F$70),"")</f>
        <v>0</v>
      </c>
      <c r="S54" s="53">
        <f ca="1">IF(M44&lt;&gt;1,LOOKUP(L2,$A$38:$A$70,$G$38:$G$70),"")</f>
        <v>0</v>
      </c>
      <c r="T54" s="53">
        <f ca="1">LOOKUP(L2,$A$38:$A$70,$H$38:$H$70)</f>
        <v>0</v>
      </c>
      <c r="U54" s="53">
        <f ca="1">LOOKUP(L2,$A$38:$A$70,$I$38:$I$70)</f>
        <v>0</v>
      </c>
      <c r="V54" s="30"/>
      <c r="X54" s="25" t="s">
        <v>16</v>
      </c>
      <c r="Y54" s="53" t="str">
        <f>IF(Y44=1,LOOKUP(X2,$A$38:$A$70,$C$38:$C$70),"")</f>
        <v/>
      </c>
      <c r="Z54" s="53">
        <f ca="1">IF(Y44&lt;&gt;1,LOOKUP(X2,$A$38:$A$70,$C$38:$C$70),"")</f>
        <v>0</v>
      </c>
      <c r="AA54" s="53">
        <f ca="1">IF(Y44&lt;&gt;1,LOOKUP(X2,$A$38:$A$70,$D$38:$D$70),"")</f>
        <v>0</v>
      </c>
      <c r="AB54" s="53">
        <f ca="1">IF(Y44&lt;&gt;1,LOOKUP(X2,$A$38:$A$70,$E$38:$E$70),"")</f>
        <v>0</v>
      </c>
      <c r="AC54" s="53" t="str">
        <f>IF(Y44=1,LOOKUP(X2,$A$38:$A$70,$F$38:$F$70),"")</f>
        <v/>
      </c>
      <c r="AD54" s="53">
        <f ca="1">IF(Y44&lt;&gt;1,LOOKUP(X2,$A$38:$A$70,$F$38:$F$70),"")</f>
        <v>0</v>
      </c>
      <c r="AE54" s="53">
        <f ca="1">IF(Y44&lt;&gt;1,LOOKUP(X2,$A$38:$A$70,$G$38:$G$70),"")</f>
        <v>0</v>
      </c>
      <c r="AF54" s="53">
        <f ca="1">LOOKUP(X2,$A$38:$A$70,$H$38:$H$70)</f>
        <v>0</v>
      </c>
      <c r="AG54" s="53">
        <f ca="1">LOOKUP(X2,$A$38:$A$70,$I$38:$I$70)</f>
        <v>0</v>
      </c>
      <c r="AH54" s="30"/>
      <c r="AJ54" s="25" t="s">
        <v>16</v>
      </c>
      <c r="AK54" s="53" t="str">
        <f>IF(AK44=1,LOOKUP(AJ2,$A$38:$A$70,$C$38:$C$70),"")</f>
        <v/>
      </c>
      <c r="AL54" s="53">
        <f ca="1">IF(AK44&lt;&gt;1,LOOKUP(AJ2,$A$38:$A$70,$C$38:$C$70),"")</f>
        <v>0</v>
      </c>
      <c r="AM54" s="53">
        <f ca="1">IF(AK44&lt;&gt;1,LOOKUP(AJ2,$A$38:$A$70,$D$38:$D$70),"")</f>
        <v>0</v>
      </c>
      <c r="AN54" s="53">
        <f ca="1">IF(AK44&lt;&gt;1,LOOKUP(AJ2,$A$38:$A$70,$E$38:$E$70),"")</f>
        <v>0</v>
      </c>
      <c r="AO54" s="53" t="str">
        <f>IF(AK44=1,LOOKUP(AJ2,$A$38:$A$70,$F$38:$F$70),"")</f>
        <v/>
      </c>
      <c r="AP54" s="53">
        <f ca="1">IF(AK44&lt;&gt;1,LOOKUP(AJ2,$A$38:$A$70,$F$38:$F$70),"")</f>
        <v>0</v>
      </c>
      <c r="AQ54" s="53">
        <f ca="1">IF(AK44&lt;&gt;1,LOOKUP(AJ2,$A$38:$A$70,$G$38:$G$70),"")</f>
        <v>0</v>
      </c>
      <c r="AR54" s="53">
        <f ca="1">LOOKUP(AJ2,$A$38:$A$70,$H$38:$H$70)</f>
        <v>0</v>
      </c>
      <c r="AS54" s="53">
        <f ca="1">LOOKUP(AJ2,$A$38:$A$70,$I$38:$I$70)</f>
        <v>0</v>
      </c>
      <c r="AT54" s="30"/>
    </row>
    <row r="55" spans="1:47" ht="12" customHeight="1" x14ac:dyDescent="0.2">
      <c r="A55">
        <f t="shared" ca="1" si="19"/>
        <v>18</v>
      </c>
      <c r="B55" s="165" t="s">
        <v>164</v>
      </c>
      <c r="C55" s="216" t="s">
        <v>40</v>
      </c>
      <c r="D55" s="216" t="s">
        <v>40</v>
      </c>
      <c r="E55" s="216" t="s">
        <v>40</v>
      </c>
      <c r="F55" s="216" t="s">
        <v>40</v>
      </c>
      <c r="G55" s="216" t="s">
        <v>40</v>
      </c>
      <c r="H55" s="216" t="s">
        <v>46</v>
      </c>
      <c r="I55" s="216" t="s">
        <v>42</v>
      </c>
      <c r="L55" s="25" t="s">
        <v>33</v>
      </c>
      <c r="M55" s="146">
        <f ca="1">IF(M47=1,(LOOKUP(L2,$A$4:$A$36,U4:U36)),0)</f>
        <v>0</v>
      </c>
      <c r="N55" s="146">
        <f>IF(M47&lt;&gt;1,(LOOKUP(L2,$A$4:$A$36,M4:M36)),0)</f>
        <v>0</v>
      </c>
      <c r="O55" s="146">
        <f>IF(L2=18,LOOKUP(L2,$A$4:$A$36,N4:N36), IF(M47&lt;&gt;1,LOOKUP(L2,$A$4:$A$36,N4:N36),0))</f>
        <v>0</v>
      </c>
      <c r="P55" s="146">
        <f>IF(M47&lt;&gt;1,(LOOKUP(L2,$A$4:$A$36,O4:O36)),0)</f>
        <v>0</v>
      </c>
      <c r="Q55" s="146">
        <f ca="1">IF(M47=1,(LOOKUP(L2,$A$4:$A$36,V4:V36)),0)</f>
        <v>0</v>
      </c>
      <c r="R55" s="146">
        <f>IF(M47&lt;&gt;1,(LOOKUP(L2,$A$4:$A$36,P4:P36)),0)</f>
        <v>0</v>
      </c>
      <c r="S55" s="146">
        <f>IF(M47&lt;&gt;1,(LOOKUP(L2,$A$4:$A$36,Q4:Q36)),0)</f>
        <v>0</v>
      </c>
      <c r="T55" s="146">
        <f ca="1">LOOKUP(L2,$A$4:$A$36,R4:R36)</f>
        <v>0</v>
      </c>
      <c r="U55" s="146">
        <f ca="1">LOOKUP(L2,$A$4:$A$36,S4:S36)</f>
        <v>0</v>
      </c>
      <c r="V55" s="30"/>
      <c r="X55" s="25" t="s">
        <v>33</v>
      </c>
      <c r="Y55" s="146">
        <f ca="1">IF(Y47=1,(LOOKUP(X2,$A$4:$A$36,AG4:AG36)),0)</f>
        <v>0</v>
      </c>
      <c r="Z55" s="146">
        <f>IF(Y47&lt;&gt;1,(LOOKUP(X2,$A$4:$A$36,Y4:Y36)),0)</f>
        <v>0</v>
      </c>
      <c r="AA55" s="146">
        <f>IF(X2=18,LOOKUP(X2,$A$4:$A$36,Z4:Z36), IF(Y47&lt;&gt;1,LOOKUP(X2,$A$4:$A$36,Z4:Z36),0))</f>
        <v>0</v>
      </c>
      <c r="AB55" s="146">
        <f>IF(Y47&lt;&gt;1,(LOOKUP(X2,$A$4:$A$36,AA4:AA36)),0)</f>
        <v>0</v>
      </c>
      <c r="AC55" s="146">
        <f ca="1">IF(Y47=1,(LOOKUP(X2,$A$4:$A$36,AH4:AH36)),0)</f>
        <v>0</v>
      </c>
      <c r="AD55" s="146">
        <f>IF(Y47&lt;&gt;1,(LOOKUP(X2,$A$4:$A$36,AB4:AB36)),0)</f>
        <v>0</v>
      </c>
      <c r="AE55" s="146">
        <f>IF(Y47&lt;&gt;1,(LOOKUP(X2,$A$4:$A$36,AC4:AC36)),0)</f>
        <v>0</v>
      </c>
      <c r="AF55" s="146">
        <f ca="1">LOOKUP(X2,$A$4:$A$36,AD4:AD36)</f>
        <v>0</v>
      </c>
      <c r="AG55" s="146">
        <f ca="1">LOOKUP(X2,$A$4:$A$36,AE4:AE36)</f>
        <v>0</v>
      </c>
      <c r="AH55" s="30"/>
      <c r="AJ55" s="25" t="s">
        <v>33</v>
      </c>
      <c r="AK55" s="146">
        <f ca="1">IF(AK47=1,(LOOKUP(AJ2,$A$4:$A$36,AS4:AS36)),0)</f>
        <v>0</v>
      </c>
      <c r="AL55" s="146">
        <f>IF(AK47&lt;&gt;1,(LOOKUP(AJ2,$A$4:$A$36,AK4:AK36)),0)</f>
        <v>0</v>
      </c>
      <c r="AM55" s="146">
        <f>IF(AJ2=18,LOOKUP(AJ2,$A$4:$A$36,AL4:AL36), IF(AK47&lt;&gt;1,LOOKUP(AJ2,$A$4:$A$36,AL4:AL36),0))</f>
        <v>0</v>
      </c>
      <c r="AN55" s="146">
        <f>IF(AK47&lt;&gt;1,(LOOKUP(AJ2,$A$4:$A$36,AM4:AM36)),0)</f>
        <v>0</v>
      </c>
      <c r="AO55" s="146">
        <f ca="1">IF(AK47=1,(LOOKUP(AJ2,$A$4:$A$36,AT4:AT36)),0)</f>
        <v>0</v>
      </c>
      <c r="AP55" s="146">
        <f>IF(AK47&lt;&gt;1,(LOOKUP(AJ2,$A$4:$A$36,AN4:AN36)),0)</f>
        <v>0</v>
      </c>
      <c r="AQ55" s="146">
        <f>IF(AK47&lt;&gt;1,(LOOKUP(AJ2,$A$4:$A$36,AO4:AO36)),0)</f>
        <v>0</v>
      </c>
      <c r="AR55" s="146">
        <f ca="1">LOOKUP(AJ2,$A$4:$A$36,AP4:AP36)</f>
        <v>0</v>
      </c>
      <c r="AS55" s="146">
        <f ca="1">LOOKUP(AJ2,$A$4:$A$36,AQ4:AQ36)</f>
        <v>0</v>
      </c>
      <c r="AT55" s="30"/>
    </row>
    <row r="56" spans="1:47" ht="12" customHeight="1" thickBot="1" x14ac:dyDescent="0.25">
      <c r="A56">
        <f t="shared" ca="1" si="19"/>
        <v>19</v>
      </c>
      <c r="B56" s="165" t="s">
        <v>165</v>
      </c>
      <c r="C56" s="216" t="s">
        <v>40</v>
      </c>
      <c r="D56" s="144" t="s">
        <v>32</v>
      </c>
      <c r="E56" s="216" t="s">
        <v>40</v>
      </c>
      <c r="F56" s="216" t="s">
        <v>41</v>
      </c>
      <c r="G56" s="216" t="s">
        <v>41</v>
      </c>
      <c r="H56" s="144" t="s">
        <v>32</v>
      </c>
      <c r="I56" s="144" t="s">
        <v>32</v>
      </c>
      <c r="L56" s="25" t="s">
        <v>62</v>
      </c>
      <c r="M56" s="146">
        <f ca="1">M55+M48</f>
        <v>0</v>
      </c>
      <c r="N56" s="146">
        <f>N55-M48</f>
        <v>0</v>
      </c>
      <c r="O56" s="146">
        <f>O55-M48</f>
        <v>0</v>
      </c>
      <c r="P56" s="146">
        <f>P55</f>
        <v>0</v>
      </c>
      <c r="Q56" s="146">
        <f ca="1">Q55+M48</f>
        <v>0</v>
      </c>
      <c r="R56" s="146">
        <f>R55-M48</f>
        <v>0</v>
      </c>
      <c r="S56" s="146">
        <f>S55</f>
        <v>0</v>
      </c>
      <c r="T56" s="146">
        <f ca="1">T55</f>
        <v>0</v>
      </c>
      <c r="U56" s="146">
        <f ca="1">U55</f>
        <v>0</v>
      </c>
      <c r="V56" s="30"/>
      <c r="X56" s="25" t="s">
        <v>62</v>
      </c>
      <c r="Y56" s="146">
        <f ca="1">Y55+Y48</f>
        <v>0</v>
      </c>
      <c r="Z56" s="146">
        <f>Z55-Y48</f>
        <v>0</v>
      </c>
      <c r="AA56" s="146">
        <f>AA55-Y48</f>
        <v>0</v>
      </c>
      <c r="AB56" s="146">
        <f>AB55</f>
        <v>0</v>
      </c>
      <c r="AC56" s="146">
        <f ca="1">AC55+Y48</f>
        <v>0</v>
      </c>
      <c r="AD56" s="146">
        <f>AD55-Y48</f>
        <v>0</v>
      </c>
      <c r="AE56" s="146">
        <f>AE55</f>
        <v>0</v>
      </c>
      <c r="AF56" s="146">
        <f ca="1">AF55</f>
        <v>0</v>
      </c>
      <c r="AG56" s="146">
        <f ca="1">AG55</f>
        <v>0</v>
      </c>
      <c r="AH56" s="30"/>
      <c r="AJ56" s="25" t="s">
        <v>62</v>
      </c>
      <c r="AK56" s="146">
        <f ca="1">AK55+AK48</f>
        <v>0</v>
      </c>
      <c r="AL56" s="146">
        <f>AL55-AK48</f>
        <v>0</v>
      </c>
      <c r="AM56" s="146">
        <f>AM55-AK48</f>
        <v>0</v>
      </c>
      <c r="AN56" s="146">
        <f>AN55</f>
        <v>0</v>
      </c>
      <c r="AO56" s="146">
        <f ca="1">AO55+AK48</f>
        <v>0</v>
      </c>
      <c r="AP56" s="146">
        <f>AP55-AK48</f>
        <v>0</v>
      </c>
      <c r="AQ56" s="146">
        <f>AQ55</f>
        <v>0</v>
      </c>
      <c r="AR56" s="146">
        <f ca="1">AR55</f>
        <v>0</v>
      </c>
      <c r="AS56" s="146">
        <f ca="1">AS55</f>
        <v>0</v>
      </c>
      <c r="AT56" s="30"/>
    </row>
    <row r="57" spans="1:47" ht="12" customHeight="1" thickBot="1" x14ac:dyDescent="0.25">
      <c r="A57">
        <f t="shared" ca="1" si="19"/>
        <v>20</v>
      </c>
      <c r="B57" s="165" t="s">
        <v>166</v>
      </c>
      <c r="C57" s="216" t="s">
        <v>176</v>
      </c>
      <c r="D57" s="144" t="s">
        <v>32</v>
      </c>
      <c r="E57" s="216" t="s">
        <v>176</v>
      </c>
      <c r="F57" s="216" t="s">
        <v>176</v>
      </c>
      <c r="G57" s="216" t="s">
        <v>176</v>
      </c>
      <c r="H57" s="216" t="s">
        <v>46</v>
      </c>
      <c r="I57" s="216" t="s">
        <v>42</v>
      </c>
      <c r="L57" s="25" t="str">
        <f>L1</f>
        <v>Space 1</v>
      </c>
      <c r="M57" s="189">
        <f ca="1">ROUNDUP(M56,0)</f>
        <v>0</v>
      </c>
      <c r="N57" s="189">
        <f>ROUNDUP(N56,0)</f>
        <v>0</v>
      </c>
      <c r="O57" s="189">
        <f>ROUNDUP(O56,0)</f>
        <v>0</v>
      </c>
      <c r="P57" s="237">
        <f>IF(OR(M47=1,N49=1,Plumbing!$F$15&lt;Plumbing!$F$14),P58,IF(P58&lt;N57+O57,N57+O57,P58))</f>
        <v>0</v>
      </c>
      <c r="Q57" s="189">
        <f ca="1">ROUNDUP(Q56,0)</f>
        <v>0</v>
      </c>
      <c r="R57" s="189">
        <f>ROUNDUP(R56,0)</f>
        <v>0</v>
      </c>
      <c r="S57" s="189">
        <f>ROUNDUP(S56,0)</f>
        <v>0</v>
      </c>
      <c r="T57" s="189">
        <f ca="1">ROUNDUP(T56,0)</f>
        <v>0</v>
      </c>
      <c r="U57" s="189">
        <f ca="1">ROUNDUP(U56,0)</f>
        <v>0</v>
      </c>
      <c r="X57" s="25" t="str">
        <f>X1</f>
        <v>Space 2</v>
      </c>
      <c r="Y57" s="188">
        <f ca="1">ROUNDUP(Y56,0)</f>
        <v>0</v>
      </c>
      <c r="Z57" s="188">
        <f>ROUNDUP(Z56,0)</f>
        <v>0</v>
      </c>
      <c r="AA57" s="188">
        <f>ROUNDUP(AA56,0)</f>
        <v>0</v>
      </c>
      <c r="AB57" s="237">
        <f>IF(OR(Y47=1,Z49=1,Plumbing!$F$28&lt;Plumbing!$F$27),AB58,IF(AB58&lt;Z57+AA57,Z57+AA57,AB58))</f>
        <v>0</v>
      </c>
      <c r="AC57" s="188">
        <f ca="1">ROUNDUP(AC56,0)</f>
        <v>0</v>
      </c>
      <c r="AD57" s="188">
        <f>ROUNDUP(AD56,0)</f>
        <v>0</v>
      </c>
      <c r="AE57" s="188">
        <f>ROUNDUP(AE56,0)</f>
        <v>0</v>
      </c>
      <c r="AF57" s="188">
        <f ca="1">ROUNDUP(AF56,0)</f>
        <v>0</v>
      </c>
      <c r="AG57" s="188">
        <f ca="1">ROUNDUP(AG56,0)</f>
        <v>0</v>
      </c>
      <c r="AJ57" s="25" t="str">
        <f>AJ1</f>
        <v>Space 3</v>
      </c>
      <c r="AK57" s="187">
        <f ca="1">ROUNDUP(AK56,0)</f>
        <v>0</v>
      </c>
      <c r="AL57" s="187">
        <f>ROUNDUP(AL56,0)</f>
        <v>0</v>
      </c>
      <c r="AM57" s="187">
        <f>ROUNDUP(AM56,0)</f>
        <v>0</v>
      </c>
      <c r="AN57" s="237">
        <f>IF(OR(AK47=1,AL49=1,Plumbing!$F$41&lt;Plumbing!$F$40),AN58,IF(AN58&lt;AL57+AM57,AL57+AM57,AN58))</f>
        <v>0</v>
      </c>
      <c r="AO57" s="187">
        <f ca="1">ROUNDUP(AO56,0)</f>
        <v>0</v>
      </c>
      <c r="AP57" s="187">
        <f>ROUNDUP(AP56,0)</f>
        <v>0</v>
      </c>
      <c r="AQ57" s="187">
        <f>ROUNDUP(AQ56,0)</f>
        <v>0</v>
      </c>
      <c r="AR57" s="187">
        <f ca="1">ROUNDUP(AR56,0)</f>
        <v>0</v>
      </c>
      <c r="AS57" s="187">
        <f ca="1">ROUNDUP(AS56,0)</f>
        <v>0</v>
      </c>
    </row>
    <row r="58" spans="1:47" ht="12" customHeight="1" x14ac:dyDescent="0.2">
      <c r="A58">
        <f t="shared" ca="1" si="19"/>
        <v>21</v>
      </c>
      <c r="B58" s="165" t="s">
        <v>167</v>
      </c>
      <c r="C58" s="216" t="s">
        <v>40</v>
      </c>
      <c r="D58" s="144" t="s">
        <v>32</v>
      </c>
      <c r="E58" s="216" t="s">
        <v>40</v>
      </c>
      <c r="F58" s="216" t="s">
        <v>40</v>
      </c>
      <c r="G58" s="216" t="s">
        <v>40</v>
      </c>
      <c r="H58" s="216" t="s">
        <v>46</v>
      </c>
      <c r="I58" s="216" t="s">
        <v>42</v>
      </c>
      <c r="L58" s="45"/>
      <c r="P58" s="12">
        <f>ROUNDUP(P56,0)</f>
        <v>0</v>
      </c>
      <c r="R58" s="47"/>
      <c r="S58" s="47"/>
      <c r="T58" s="47"/>
      <c r="X58" s="45"/>
      <c r="AB58" s="12">
        <f>ROUNDUP(AB56,0)</f>
        <v>0</v>
      </c>
      <c r="AD58" s="47"/>
      <c r="AE58" s="47"/>
      <c r="AF58" s="47"/>
      <c r="AJ58" s="45"/>
      <c r="AN58" s="12">
        <f>ROUNDUP(AN56,0)</f>
        <v>0</v>
      </c>
      <c r="AP58" s="47"/>
      <c r="AQ58" s="47"/>
      <c r="AR58" s="47"/>
    </row>
    <row r="59" spans="1:47" ht="12" customHeight="1" x14ac:dyDescent="0.2">
      <c r="A59">
        <f t="shared" ca="1" si="19"/>
        <v>22</v>
      </c>
      <c r="B59" s="165" t="s">
        <v>168</v>
      </c>
      <c r="C59" s="216" t="s">
        <v>40</v>
      </c>
      <c r="D59" s="144" t="s">
        <v>32</v>
      </c>
      <c r="E59" s="216" t="s">
        <v>40</v>
      </c>
      <c r="F59" s="216" t="s">
        <v>40</v>
      </c>
      <c r="G59" s="216" t="s">
        <v>40</v>
      </c>
      <c r="H59" s="216" t="s">
        <v>46</v>
      </c>
      <c r="I59" s="216" t="s">
        <v>42</v>
      </c>
      <c r="L59" s="45"/>
      <c r="R59" s="47"/>
      <c r="S59" s="47"/>
      <c r="T59" s="47"/>
      <c r="X59" s="45"/>
      <c r="AD59" s="47"/>
      <c r="AE59" s="47"/>
      <c r="AF59" s="47"/>
      <c r="AJ59" s="45"/>
      <c r="AP59" s="47"/>
      <c r="AQ59" s="47"/>
      <c r="AR59" s="47"/>
    </row>
    <row r="60" spans="1:47" ht="12" customHeight="1" x14ac:dyDescent="0.2">
      <c r="A60">
        <f t="shared" ca="1" si="19"/>
        <v>23</v>
      </c>
      <c r="B60" s="165" t="s">
        <v>169</v>
      </c>
      <c r="C60" s="216" t="s">
        <v>40</v>
      </c>
      <c r="D60" s="144" t="s">
        <v>32</v>
      </c>
      <c r="E60" s="216" t="s">
        <v>40</v>
      </c>
      <c r="F60" s="216" t="s">
        <v>40</v>
      </c>
      <c r="G60" s="216" t="s">
        <v>40</v>
      </c>
      <c r="H60" s="144" t="s">
        <v>32</v>
      </c>
      <c r="I60" s="216" t="s">
        <v>40</v>
      </c>
      <c r="T60" s="146"/>
      <c r="AF60" s="146"/>
      <c r="AR60" s="146"/>
    </row>
    <row r="61" spans="1:47" ht="12" customHeight="1" thickBot="1" x14ac:dyDescent="0.25">
      <c r="A61">
        <f t="shared" ca="1" si="19"/>
        <v>24</v>
      </c>
      <c r="B61" s="3"/>
      <c r="C61" s="220"/>
      <c r="D61" s="220"/>
      <c r="E61" s="220"/>
      <c r="F61" s="220"/>
      <c r="G61" s="220"/>
      <c r="H61" s="220"/>
      <c r="I61" s="220"/>
    </row>
    <row r="62" spans="1:47" ht="12" customHeight="1" thickBot="1" x14ac:dyDescent="0.25">
      <c r="A62">
        <f t="shared" ca="1" si="19"/>
        <v>25</v>
      </c>
      <c r="B62" s="3"/>
      <c r="C62" s="220"/>
      <c r="D62" s="220"/>
      <c r="E62" s="220"/>
      <c r="F62" s="220"/>
      <c r="G62" s="220"/>
      <c r="H62" s="220"/>
      <c r="I62" s="220"/>
      <c r="L62" s="192" t="s">
        <v>91</v>
      </c>
      <c r="M62" s="260">
        <f>IF(AND(M44=1,M45=0,M46=0),M57,0)</f>
        <v>0</v>
      </c>
      <c r="N62" s="261">
        <f>IF(AND(Y44=1,Y45=0,Y46=0),Y57,0)</f>
        <v>0</v>
      </c>
      <c r="O62" s="262">
        <f>IF(AND(AK44=1,AK45=0,AK46=0),AK57,0)</f>
        <v>0</v>
      </c>
      <c r="P62" s="149"/>
      <c r="Q62" s="149"/>
      <c r="R62" s="149"/>
      <c r="S62" s="149"/>
      <c r="T62" s="149"/>
      <c r="U62" s="149"/>
      <c r="V62" s="150"/>
    </row>
    <row r="63" spans="1:47" ht="12" customHeight="1" x14ac:dyDescent="0.2">
      <c r="A63">
        <f t="shared" ca="1" si="19"/>
        <v>26</v>
      </c>
      <c r="B63" s="3"/>
      <c r="C63" s="220"/>
      <c r="D63" s="220"/>
      <c r="E63" s="220"/>
      <c r="F63" s="220"/>
      <c r="G63" s="220"/>
      <c r="H63" s="220"/>
      <c r="I63" s="220"/>
      <c r="L63" s="157" t="s">
        <v>90</v>
      </c>
      <c r="M63" s="259">
        <f>IF(AND(M73&lt;=10,M73&gt;0),1,0)</f>
        <v>0</v>
      </c>
      <c r="N63" s="46"/>
      <c r="O63" s="46"/>
      <c r="P63" s="44"/>
      <c r="Q63" s="44"/>
      <c r="R63" s="44"/>
      <c r="S63" s="44"/>
      <c r="T63" s="44"/>
      <c r="U63" s="46"/>
      <c r="V63" s="152"/>
    </row>
    <row r="64" spans="1:47" ht="12" customHeight="1" x14ac:dyDescent="0.2">
      <c r="A64">
        <f t="shared" ca="1" si="19"/>
        <v>27</v>
      </c>
      <c r="B64" s="3"/>
      <c r="C64" s="220"/>
      <c r="D64" s="220"/>
      <c r="E64" s="220"/>
      <c r="F64" s="220"/>
      <c r="G64" s="220"/>
      <c r="H64" s="220"/>
      <c r="I64" s="220"/>
      <c r="L64" s="45" t="s">
        <v>249</v>
      </c>
      <c r="M64" s="197">
        <f>M46</f>
        <v>0</v>
      </c>
      <c r="N64" s="197">
        <f>Y46</f>
        <v>0</v>
      </c>
      <c r="O64" s="197">
        <f>AK46</f>
        <v>0</v>
      </c>
      <c r="P64" s="193">
        <f>IF(AND(M64=1,N64=1,M2+Y2&lt;=50),1,0)</f>
        <v>0</v>
      </c>
      <c r="Q64" s="193">
        <f>IF(AND(M64=1,O64=1,M2+AK2&lt;=50),1,0)</f>
        <v>0</v>
      </c>
      <c r="R64" s="193">
        <f>IF(AND(N64=1,O64=1,AK2+Y2&lt;=50),1,0)</f>
        <v>0</v>
      </c>
      <c r="S64" s="193">
        <f>IF(AND(M64=1,N64=1,O64=1,M2+Y2+AK2&lt;=50),1,0)</f>
        <v>0</v>
      </c>
      <c r="T64" s="46"/>
      <c r="U64" s="46"/>
      <c r="V64" s="152"/>
    </row>
    <row r="65" spans="1:46" ht="12" customHeight="1" x14ac:dyDescent="0.2">
      <c r="A65">
        <f t="shared" ca="1" si="19"/>
        <v>28</v>
      </c>
      <c r="B65" s="3"/>
      <c r="C65" s="220"/>
      <c r="D65" s="220"/>
      <c r="E65" s="220"/>
      <c r="F65" s="220"/>
      <c r="G65" s="220"/>
      <c r="H65" s="220"/>
      <c r="I65" s="220"/>
      <c r="L65" s="154" t="s">
        <v>15</v>
      </c>
      <c r="M65" s="266">
        <f>IF(OR(M64=1,M63=1,P64=1,Q64=1,S64=1),1,0)</f>
        <v>0</v>
      </c>
      <c r="N65" s="266">
        <f>IF(OR(N64=1,M63=1,P64=1,R64=1,S64=1),1,0)</f>
        <v>0</v>
      </c>
      <c r="O65" s="266">
        <f>IF(OR(O64=1,M63=1,R64=1,Q64=1,S64=1),1,0)</f>
        <v>0</v>
      </c>
      <c r="P65" s="44"/>
      <c r="Q65" s="44"/>
      <c r="R65" s="44"/>
      <c r="S65" s="44"/>
      <c r="T65" s="44"/>
      <c r="U65" s="46"/>
      <c r="V65" s="152"/>
    </row>
    <row r="66" spans="1:46" ht="12" customHeight="1" x14ac:dyDescent="0.2">
      <c r="A66">
        <f t="shared" ca="1" si="19"/>
        <v>29</v>
      </c>
      <c r="B66" s="3"/>
      <c r="C66" s="220"/>
      <c r="D66" s="220"/>
      <c r="E66" s="220"/>
      <c r="F66" s="220"/>
      <c r="G66" s="220"/>
      <c r="H66" s="220"/>
      <c r="I66" s="220"/>
      <c r="L66" s="45" t="s">
        <v>249</v>
      </c>
      <c r="M66" s="46" t="s">
        <v>136</v>
      </c>
      <c r="N66" s="46" t="s">
        <v>137</v>
      </c>
      <c r="O66" s="46" t="s">
        <v>138</v>
      </c>
      <c r="P66" s="46" t="s">
        <v>132</v>
      </c>
      <c r="Q66" s="46" t="s">
        <v>133</v>
      </c>
      <c r="R66" s="46" t="s">
        <v>134</v>
      </c>
      <c r="S66" s="46" t="s">
        <v>135</v>
      </c>
      <c r="T66" s="46"/>
      <c r="U66" s="46"/>
      <c r="V66" s="152"/>
    </row>
    <row r="67" spans="1:46" ht="12" customHeight="1" thickBot="1" x14ac:dyDescent="0.25">
      <c r="A67">
        <f t="shared" ca="1" si="19"/>
        <v>30</v>
      </c>
      <c r="B67" s="3"/>
      <c r="C67" s="220"/>
      <c r="D67" s="220"/>
      <c r="E67" s="220"/>
      <c r="F67" s="220"/>
      <c r="G67" s="220"/>
      <c r="H67" s="220"/>
      <c r="I67" s="220"/>
      <c r="L67" s="160"/>
      <c r="M67" s="161"/>
      <c r="N67" s="161"/>
      <c r="O67" s="161"/>
      <c r="P67" s="161"/>
      <c r="Q67" s="161"/>
      <c r="R67" s="161"/>
      <c r="S67" s="161"/>
      <c r="T67" s="161"/>
      <c r="U67" s="161"/>
      <c r="V67" s="162"/>
    </row>
    <row r="68" spans="1:46" ht="12" customHeight="1" x14ac:dyDescent="0.2">
      <c r="A68">
        <f t="shared" ca="1" si="19"/>
        <v>31</v>
      </c>
      <c r="B68" s="3"/>
      <c r="C68" s="220"/>
      <c r="D68" s="220"/>
      <c r="E68" s="220"/>
      <c r="F68" s="220"/>
      <c r="G68" s="220"/>
      <c r="H68" s="220"/>
      <c r="I68" s="220"/>
      <c r="L68" s="148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</row>
    <row r="69" spans="1:46" ht="12" customHeight="1" x14ac:dyDescent="0.2">
      <c r="A69">
        <f t="shared" ca="1" si="19"/>
        <v>32</v>
      </c>
      <c r="B69" s="3"/>
      <c r="C69" s="220"/>
      <c r="D69" s="220"/>
      <c r="E69" s="220"/>
      <c r="F69" s="220"/>
      <c r="G69" s="220"/>
      <c r="H69" s="220"/>
      <c r="I69" s="220"/>
      <c r="L69" s="151"/>
      <c r="M69" s="46" t="s">
        <v>0</v>
      </c>
      <c r="N69" s="46" t="s">
        <v>18</v>
      </c>
      <c r="O69" s="46" t="s">
        <v>18</v>
      </c>
      <c r="P69" s="46" t="s">
        <v>25</v>
      </c>
      <c r="Q69" s="46" t="s">
        <v>26</v>
      </c>
      <c r="R69" s="263" t="s">
        <v>257</v>
      </c>
      <c r="S69" s="46"/>
      <c r="T69" s="46"/>
      <c r="U69" s="46"/>
      <c r="V69" s="152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</row>
    <row r="70" spans="1:46" ht="12" customHeight="1" x14ac:dyDescent="0.2">
      <c r="A70">
        <f t="shared" ca="1" si="19"/>
        <v>33</v>
      </c>
      <c r="B70" s="3"/>
      <c r="C70" s="220"/>
      <c r="D70" s="220"/>
      <c r="E70" s="220"/>
      <c r="F70" s="220"/>
      <c r="G70" s="220"/>
      <c r="H70" s="220"/>
      <c r="I70" s="220"/>
      <c r="L70" s="151">
        <v>1</v>
      </c>
      <c r="M70" s="32">
        <f>IF(Plumbing!B10&lt;&gt;"",0,Plumbing!$G$12)</f>
        <v>0</v>
      </c>
      <c r="N70" s="32">
        <f>IF(Plumbing!A10&lt;&gt;"",0,Plumbing!$G$12*Plumbing!$F$14)</f>
        <v>0</v>
      </c>
      <c r="O70" s="32">
        <f>IF(Plumbing!B10&lt;&gt;"",0,Plumbing!$G$12*Plumbing!$F$14)</f>
        <v>0</v>
      </c>
      <c r="P70" s="32">
        <f>IF(Plumbing!B10&lt;&gt;"",0,Plumbing!$G$12*Plumbing!$F$15)</f>
        <v>0</v>
      </c>
      <c r="Q70" s="198">
        <f ca="1">IF(Plumbing!E13=0,0,Plumbing!$F$13)</f>
        <v>0</v>
      </c>
      <c r="R70" s="264">
        <f>IF(OR(M65=1,N49=1,Plumbing!$F$15&lt;Plumbing!$F$14),1,0)</f>
        <v>0</v>
      </c>
      <c r="S70" s="44"/>
      <c r="T70" s="46"/>
      <c r="U70" s="46"/>
      <c r="V70" s="152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</row>
    <row r="71" spans="1:46" ht="12" customHeight="1" x14ac:dyDescent="0.2">
      <c r="B71" s="59"/>
      <c r="L71" s="151">
        <v>2</v>
      </c>
      <c r="M71" s="32">
        <f>IF(Plumbing!B23&lt;&gt;"",0,Plumbing!$G$25)</f>
        <v>0</v>
      </c>
      <c r="N71" s="32">
        <f>IF(Plumbing!A23&lt;&gt;"",0,Plumbing!$G$25*Plumbing!$F$27)</f>
        <v>0</v>
      </c>
      <c r="O71" s="32">
        <f>IF(Plumbing!B23&lt;&gt;"",0,Plumbing!$G$25*Plumbing!$F$27)</f>
        <v>0</v>
      </c>
      <c r="P71" s="32">
        <f>IF(Plumbing!B23&lt;&gt;"",0,Plumbing!$G$25*Plumbing!$F$28)</f>
        <v>0</v>
      </c>
      <c r="Q71" s="198">
        <f ca="1">IF(Plumbing!E26=0,0,Plumbing!$F$26)</f>
        <v>0</v>
      </c>
      <c r="R71" s="264">
        <f>IF(OR(N65=1,Z49=1,Plumbing!$F$28&lt;Plumbing!$F$27),1,0)</f>
        <v>0</v>
      </c>
      <c r="S71" s="44"/>
      <c r="T71" s="46"/>
      <c r="U71" s="46"/>
      <c r="V71" s="152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</row>
    <row r="72" spans="1:46" ht="12" customHeight="1" thickBot="1" x14ac:dyDescent="0.25">
      <c r="L72" s="151">
        <v>3</v>
      </c>
      <c r="M72" s="64">
        <f>IF(Plumbing!B36&lt;&gt;"",0,Plumbing!$G$38)</f>
        <v>0</v>
      </c>
      <c r="N72" s="64">
        <f>IF(Plumbing!A36&lt;&gt;"",0,Plumbing!$G$38*Plumbing!$F$40)</f>
        <v>0</v>
      </c>
      <c r="O72" s="64">
        <f>IF(Plumbing!B36&lt;&gt;"",0,Plumbing!$G$38*Plumbing!$F$40)</f>
        <v>0</v>
      </c>
      <c r="P72" s="64">
        <f>IF(Plumbing!B36&lt;&gt;"",0,Plumbing!$G$38*Plumbing!$F$41)</f>
        <v>0</v>
      </c>
      <c r="Q72" s="199">
        <f ca="1">IF(Plumbing!E39=0,0,Plumbing!$F$39)</f>
        <v>0</v>
      </c>
      <c r="R72" s="264">
        <f>IF(OR(O65=1,AL49=1,Plumbing!$F$41&lt;Plumbing!$F$40),1,0)</f>
        <v>0</v>
      </c>
      <c r="S72" s="44"/>
      <c r="T72" s="46"/>
      <c r="U72" s="46"/>
      <c r="V72" s="152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</row>
    <row r="73" spans="1:46" ht="12" customHeight="1" thickTop="1" thickBot="1" x14ac:dyDescent="0.25">
      <c r="L73" s="153" t="s">
        <v>61</v>
      </c>
      <c r="M73" s="65">
        <f>SUM(M70:M72)</f>
        <v>0</v>
      </c>
      <c r="N73" s="65">
        <f>SUM(N70:N72)</f>
        <v>0</v>
      </c>
      <c r="O73" s="65">
        <f>SUM(O70:O72)</f>
        <v>0</v>
      </c>
      <c r="P73" s="65">
        <f>SUM(P70:P72)</f>
        <v>0</v>
      </c>
      <c r="Q73" s="200">
        <f ca="1">SUM(Q70:Q72)</f>
        <v>0</v>
      </c>
      <c r="R73" s="265"/>
      <c r="S73" s="44"/>
      <c r="T73" s="46"/>
      <c r="U73" s="46"/>
      <c r="V73" s="152"/>
      <c r="X73" s="186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186"/>
      <c r="AK73" s="44"/>
      <c r="AL73" s="44"/>
      <c r="AM73" s="44"/>
      <c r="AN73" s="44"/>
      <c r="AO73" s="44"/>
      <c r="AP73" s="44"/>
      <c r="AQ73" s="44"/>
      <c r="AR73" s="44"/>
      <c r="AS73" s="44"/>
      <c r="AT73" s="44"/>
    </row>
    <row r="74" spans="1:46" ht="12" customHeight="1" thickTop="1" x14ac:dyDescent="0.2">
      <c r="A74" s="36" t="s">
        <v>94</v>
      </c>
      <c r="B74" s="236" t="s">
        <v>207</v>
      </c>
      <c r="L74" s="154"/>
      <c r="M74" s="46"/>
      <c r="N74" s="46"/>
      <c r="O74" s="46"/>
      <c r="P74" s="46"/>
      <c r="Q74" s="46"/>
      <c r="R74" s="46"/>
      <c r="S74" s="46"/>
      <c r="T74" s="46"/>
      <c r="U74" s="46"/>
      <c r="V74" s="152"/>
      <c r="X74" s="183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183"/>
      <c r="AK74" s="44"/>
      <c r="AL74" s="44"/>
      <c r="AM74" s="44"/>
      <c r="AN74" s="44"/>
      <c r="AO74" s="44"/>
      <c r="AP74" s="44"/>
      <c r="AQ74" s="44"/>
      <c r="AR74" s="44"/>
      <c r="AS74" s="44"/>
      <c r="AT74" s="44"/>
    </row>
    <row r="75" spans="1:46" ht="12" customHeight="1" x14ac:dyDescent="0.2">
      <c r="A75" s="36" t="s">
        <v>95</v>
      </c>
      <c r="B75" s="55" t="s">
        <v>10</v>
      </c>
      <c r="J75" s="55"/>
      <c r="L75" s="151"/>
      <c r="M75" s="44" t="s">
        <v>12</v>
      </c>
      <c r="N75" s="44"/>
      <c r="O75" s="44"/>
      <c r="P75" s="44"/>
      <c r="Q75" s="44" t="s">
        <v>14</v>
      </c>
      <c r="R75" s="44"/>
      <c r="S75" s="46"/>
      <c r="T75" s="44" t="s">
        <v>35</v>
      </c>
      <c r="U75" s="44" t="s">
        <v>34</v>
      </c>
      <c r="V75" s="268" t="s">
        <v>131</v>
      </c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</row>
    <row r="76" spans="1:46" x14ac:dyDescent="0.2">
      <c r="A76" s="142" t="s">
        <v>245</v>
      </c>
      <c r="B76" s="236" t="s">
        <v>253</v>
      </c>
      <c r="L76" s="154"/>
      <c r="M76" s="46" t="s">
        <v>15</v>
      </c>
      <c r="N76" s="46" t="s">
        <v>11</v>
      </c>
      <c r="O76" s="46" t="s">
        <v>130</v>
      </c>
      <c r="P76" s="46" t="s">
        <v>13</v>
      </c>
      <c r="Q76" s="46" t="s">
        <v>15</v>
      </c>
      <c r="R76" s="46" t="s">
        <v>11</v>
      </c>
      <c r="S76" s="46" t="s">
        <v>13</v>
      </c>
      <c r="T76" s="46"/>
      <c r="U76" s="46"/>
      <c r="V76" s="152"/>
      <c r="X76" s="183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183"/>
      <c r="AK76" s="44"/>
      <c r="AL76" s="44"/>
      <c r="AM76" s="44"/>
      <c r="AN76" s="44"/>
      <c r="AO76" s="44"/>
      <c r="AP76" s="44"/>
      <c r="AQ76" s="44"/>
      <c r="AR76" s="44"/>
      <c r="AS76" s="44"/>
      <c r="AT76" s="44"/>
    </row>
    <row r="77" spans="1:46" x14ac:dyDescent="0.2">
      <c r="A77" s="39" t="s">
        <v>244</v>
      </c>
      <c r="B77" s="236" t="s">
        <v>246</v>
      </c>
      <c r="L77" s="154">
        <v>1</v>
      </c>
      <c r="M77" s="195">
        <f>IF(M65=1,(LOOKUP(L2,$A$4:$A$36,U4:U36)),0)</f>
        <v>0</v>
      </c>
      <c r="N77" s="195">
        <f ca="1">IF(M65&lt;&gt;1,(LOOKUP(L2,$A$4:$A$36,M4:M36)),0)</f>
        <v>0</v>
      </c>
      <c r="O77" s="195">
        <f ca="1">IF(M65&lt;&gt;1,LOOKUP(L2,$A$4:$A$36,N4:N36),0)</f>
        <v>0</v>
      </c>
      <c r="P77" s="195">
        <f ca="1">IF(M65&lt;&gt;1,(LOOKUP(L2,$A$4:$A$36,O4:O36)),0)</f>
        <v>0</v>
      </c>
      <c r="Q77" s="195">
        <f>IF(M65=1,(LOOKUP(L2,$A$4:$A$36,V4:V36)),0)</f>
        <v>0</v>
      </c>
      <c r="R77" s="195">
        <f ca="1">IF(M65&lt;&gt;1,(LOOKUP(L2,$A$4:$A$36,P4:P36)),0)</f>
        <v>0</v>
      </c>
      <c r="S77" s="195">
        <f ca="1">IF(M65&lt;&gt;1,(LOOKUP(L2,$A$4:$A$36,Q4:Q36)),0)</f>
        <v>0</v>
      </c>
      <c r="T77" s="195">
        <f ca="1">T56</f>
        <v>0</v>
      </c>
      <c r="U77" s="195">
        <f ca="1">U56</f>
        <v>0</v>
      </c>
      <c r="V77" s="267">
        <f>IF(P57&gt;=P58,N57+O57,P57)</f>
        <v>0</v>
      </c>
      <c r="X77" s="183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44"/>
      <c r="AJ77" s="183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</row>
    <row r="78" spans="1:46" x14ac:dyDescent="0.2">
      <c r="A78" s="37" t="s">
        <v>125</v>
      </c>
      <c r="B78" s="55" t="s">
        <v>10</v>
      </c>
      <c r="L78" s="154">
        <v>2</v>
      </c>
      <c r="M78" s="195">
        <f>IF(N65=1,(LOOKUP(X2,$A$4:$A$36,AG4:AG36)),0)</f>
        <v>0</v>
      </c>
      <c r="N78" s="195">
        <f ca="1">IF(N65&lt;&gt;1,(LOOKUP(X2,$A$4:$A$36,Y4:Y36)),0)</f>
        <v>0</v>
      </c>
      <c r="O78" s="195">
        <f ca="1">IF(N65&lt;&gt;1,LOOKUP(X2,$A$4:$A$36,Z4:Z36),0)</f>
        <v>0</v>
      </c>
      <c r="P78" s="195">
        <f ca="1">IF(N65&lt;&gt;1,(LOOKUP(X2,$A$4:$A$36,AA4:AA36)),0)</f>
        <v>0</v>
      </c>
      <c r="Q78" s="195">
        <f>IF(N65=1,(LOOKUP(X2,$A$4:$A$36,AH4:AH36)),0)</f>
        <v>0</v>
      </c>
      <c r="R78" s="195">
        <f ca="1">IF(N65&lt;&gt;1,(LOOKUP(X2,$A$4:$A$36,AB4:AB36)),0)</f>
        <v>0</v>
      </c>
      <c r="S78" s="195">
        <f ca="1">IF(N65&lt;&gt;1,(LOOKUP(X2,$A$4:$A$36,AC4:AC36)),0)</f>
        <v>0</v>
      </c>
      <c r="T78" s="195">
        <f ca="1">AF56</f>
        <v>0</v>
      </c>
      <c r="U78" s="195">
        <f ca="1">AG56</f>
        <v>0</v>
      </c>
      <c r="V78" s="155"/>
      <c r="X78" s="183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44"/>
      <c r="AJ78" s="183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</row>
    <row r="79" spans="1:46" x14ac:dyDescent="0.2">
      <c r="A79" s="38" t="s">
        <v>96</v>
      </c>
      <c r="B79" s="236" t="s">
        <v>247</v>
      </c>
      <c r="L79" s="154">
        <v>3</v>
      </c>
      <c r="M79" s="195">
        <f>IF(O65=1,(LOOKUP(AJ2,$A$4:$A$36,AS4:AS36)),0)</f>
        <v>0</v>
      </c>
      <c r="N79" s="195">
        <f ca="1">IF(O65&lt;&gt;1,(LOOKUP(AJ2,$A$4:$A$36,AK4:AK36)),0)</f>
        <v>0</v>
      </c>
      <c r="O79" s="195">
        <f ca="1" xml:space="preserve"> IF(O65&lt;&gt;1,LOOKUP(AJ2,$A$4:$A$36,AL4:AL36),0)</f>
        <v>0</v>
      </c>
      <c r="P79" s="195">
        <f ca="1">IF(O65&lt;&gt;1,(LOOKUP(AJ2,$A$4:$A$36,AM4:AM36)),0)</f>
        <v>0</v>
      </c>
      <c r="Q79" s="195">
        <f>IF(O65=1,(LOOKUP(AJ2,$A$4:$A$36,AT4:AT36)),0)</f>
        <v>0</v>
      </c>
      <c r="R79" s="195">
        <f ca="1">IF(O65&lt;&gt;1,(LOOKUP(AJ2,$A$4:$A$36,AN4:AN36)),0)</f>
        <v>0</v>
      </c>
      <c r="S79" s="195">
        <f ca="1">IF(O65&lt;&gt;1,(LOOKUP(AJ2,$A$4:$A$36,AO4:AO36)),0)</f>
        <v>0</v>
      </c>
      <c r="T79" s="195">
        <f ca="1">AR56</f>
        <v>0</v>
      </c>
      <c r="U79" s="195">
        <f ca="1">AS56</f>
        <v>0</v>
      </c>
      <c r="V79" s="155"/>
      <c r="X79" s="183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44"/>
      <c r="AJ79" s="183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</row>
    <row r="80" spans="1:46" x14ac:dyDescent="0.2">
      <c r="A80" s="38" t="s">
        <v>98</v>
      </c>
      <c r="B80" s="236" t="s">
        <v>248</v>
      </c>
      <c r="L80" s="154" t="s">
        <v>61</v>
      </c>
      <c r="M80" s="156">
        <f ca="1">SUM(M87:M90)</f>
        <v>0</v>
      </c>
      <c r="N80" s="156">
        <f ca="1">SUM(N77:N79)</f>
        <v>0</v>
      </c>
      <c r="O80" s="156">
        <f t="shared" ref="O80:U80" ca="1" si="20">SUM(O77:O79)</f>
        <v>0</v>
      </c>
      <c r="P80" s="156">
        <f ca="1">SUM(P77:P79)</f>
        <v>0</v>
      </c>
      <c r="Q80" s="156">
        <f ca="1">SUM(Q87:Q90)</f>
        <v>0</v>
      </c>
      <c r="R80" s="156">
        <f t="shared" ca="1" si="20"/>
        <v>0</v>
      </c>
      <c r="S80" s="156">
        <f t="shared" ca="1" si="20"/>
        <v>0</v>
      </c>
      <c r="T80" s="156">
        <f t="shared" ca="1" si="20"/>
        <v>0</v>
      </c>
      <c r="U80" s="156">
        <f t="shared" ca="1" si="20"/>
        <v>0</v>
      </c>
      <c r="V80" s="152"/>
      <c r="X80" s="183"/>
      <c r="Y80" s="182"/>
      <c r="Z80" s="182"/>
      <c r="AA80" s="182"/>
      <c r="AB80" s="182"/>
      <c r="AC80" s="182"/>
      <c r="AD80" s="182"/>
      <c r="AE80" s="182"/>
      <c r="AF80" s="182"/>
      <c r="AG80" s="182"/>
      <c r="AH80" s="44"/>
      <c r="AI80" s="44"/>
      <c r="AJ80" s="183"/>
      <c r="AK80" s="182"/>
      <c r="AL80" s="182"/>
      <c r="AM80" s="182"/>
      <c r="AN80" s="182"/>
      <c r="AO80" s="182"/>
      <c r="AP80" s="182"/>
      <c r="AQ80" s="182"/>
      <c r="AR80" s="182"/>
      <c r="AS80" s="182"/>
      <c r="AT80" s="44"/>
    </row>
    <row r="81" spans="1:46" x14ac:dyDescent="0.2">
      <c r="A81" s="48" t="s">
        <v>97</v>
      </c>
      <c r="B81" s="55" t="s">
        <v>264</v>
      </c>
      <c r="J81" s="219" t="s">
        <v>251</v>
      </c>
      <c r="L81" s="157" t="s">
        <v>65</v>
      </c>
      <c r="M81" s="272">
        <f ca="1">ROUNDUP(M80,0)</f>
        <v>0</v>
      </c>
      <c r="N81" s="272">
        <f ca="1">ROUNDUP(N80,0)</f>
        <v>0</v>
      </c>
      <c r="O81" s="272">
        <f t="shared" ref="O81:U81" ca="1" si="21">ROUNDUP(O80,0)</f>
        <v>0</v>
      </c>
      <c r="P81" s="272">
        <f ca="1">IF(AND(MIN(R70,R71,R72)=0,P82&lt;N81+O81),N81+O81,P82)</f>
        <v>0</v>
      </c>
      <c r="Q81" s="272">
        <f t="shared" ca="1" si="21"/>
        <v>0</v>
      </c>
      <c r="R81" s="272">
        <f t="shared" ca="1" si="21"/>
        <v>0</v>
      </c>
      <c r="S81" s="272">
        <f t="shared" ca="1" si="21"/>
        <v>0</v>
      </c>
      <c r="T81" s="272">
        <f t="shared" ca="1" si="21"/>
        <v>0</v>
      </c>
      <c r="U81" s="272">
        <f t="shared" ca="1" si="21"/>
        <v>0</v>
      </c>
      <c r="V81" s="152"/>
      <c r="X81" s="183"/>
      <c r="Y81" s="182"/>
      <c r="Z81" s="182"/>
      <c r="AA81" s="182"/>
      <c r="AB81" s="182"/>
      <c r="AC81" s="182"/>
      <c r="AD81" s="182"/>
      <c r="AE81" s="182"/>
      <c r="AF81" s="182"/>
      <c r="AG81" s="182"/>
      <c r="AH81" s="44"/>
      <c r="AI81" s="44"/>
      <c r="AJ81" s="183"/>
      <c r="AK81" s="182"/>
      <c r="AL81" s="182"/>
      <c r="AM81" s="182"/>
      <c r="AN81" s="182"/>
      <c r="AO81" s="182"/>
      <c r="AP81" s="182"/>
      <c r="AQ81" s="182"/>
      <c r="AR81" s="182"/>
      <c r="AS81" s="182"/>
      <c r="AT81" s="44"/>
    </row>
    <row r="82" spans="1:46" x14ac:dyDescent="0.2">
      <c r="A82" s="37" t="s">
        <v>126</v>
      </c>
      <c r="B82" s="55" t="s">
        <v>10</v>
      </c>
      <c r="L82" s="158"/>
      <c r="M82" s="156"/>
      <c r="N82" s="201" t="str">
        <f ca="1">IF(AND(O84&gt;1,N84&gt;0),ROUNDDOWN(N84*0.667,0),"")</f>
        <v/>
      </c>
      <c r="O82" s="156"/>
      <c r="P82" s="159">
        <f ca="1">ROUNDUP(P80,0)</f>
        <v>0</v>
      </c>
      <c r="Q82" s="156"/>
      <c r="R82" s="156"/>
      <c r="S82" s="159"/>
      <c r="T82" s="156"/>
      <c r="U82" s="156"/>
      <c r="V82" s="152"/>
      <c r="X82" s="186"/>
      <c r="Y82" s="182"/>
      <c r="Z82" s="182"/>
      <c r="AA82" s="182"/>
      <c r="AB82" s="182"/>
      <c r="AC82" s="182"/>
      <c r="AD82" s="182"/>
      <c r="AE82" s="182"/>
      <c r="AF82" s="182"/>
      <c r="AG82" s="182"/>
      <c r="AH82" s="44"/>
      <c r="AI82" s="44"/>
      <c r="AJ82" s="186"/>
      <c r="AK82" s="182"/>
      <c r="AL82" s="182"/>
      <c r="AM82" s="182"/>
      <c r="AN82" s="182"/>
      <c r="AO82" s="182"/>
      <c r="AP82" s="182"/>
      <c r="AQ82" s="182"/>
      <c r="AR82" s="182"/>
      <c r="AS82" s="182"/>
      <c r="AT82" s="44"/>
    </row>
    <row r="83" spans="1:46" ht="12" thickBot="1" x14ac:dyDescent="0.25">
      <c r="A83" s="214" t="s">
        <v>145</v>
      </c>
      <c r="B83" s="213"/>
      <c r="L83" s="154" t="s">
        <v>258</v>
      </c>
      <c r="M83" s="274">
        <f>'Count (2)'!M83</f>
        <v>0</v>
      </c>
      <c r="N83" s="274">
        <f ca="1">'Count (2)'!N83</f>
        <v>0</v>
      </c>
      <c r="O83" s="274">
        <f ca="1">'Count (2)'!O83</f>
        <v>0</v>
      </c>
      <c r="P83" s="274">
        <f ca="1">'Count (2)'!P83</f>
        <v>0</v>
      </c>
      <c r="Q83" s="274">
        <f>'Count (2)'!Q83</f>
        <v>0</v>
      </c>
      <c r="R83" s="274">
        <f ca="1">'Count (2)'!R83</f>
        <v>0</v>
      </c>
      <c r="S83" s="274">
        <f ca="1">'Count (2)'!S83</f>
        <v>0</v>
      </c>
      <c r="T83" s="274">
        <f ca="1">'Count (2)'!T83</f>
        <v>0</v>
      </c>
      <c r="U83" s="274">
        <f ca="1">'Count (2)'!U83</f>
        <v>0</v>
      </c>
      <c r="V83" s="152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</row>
    <row r="84" spans="1:46" ht="12" thickBot="1" x14ac:dyDescent="0.25">
      <c r="A84" s="228" t="s">
        <v>92</v>
      </c>
      <c r="B84" s="245" t="str">
        <f ca="1">LOOKUP(L2,Support!B1:B23,Support!H1:H23)</f>
        <v xml:space="preserve"> </v>
      </c>
      <c r="C84" s="245" t="str">
        <f ca="1">LOOKUP(X2,Support!B1:B23,Support!H1:H23)</f>
        <v xml:space="preserve"> </v>
      </c>
      <c r="D84" s="245" t="str">
        <f ca="1">LOOKUP(AJ2,Support!B1:B23,Support!H1:H23)</f>
        <v xml:space="preserve"> </v>
      </c>
      <c r="L84" s="273" t="s">
        <v>260</v>
      </c>
      <c r="M84" s="275">
        <f t="shared" ref="M84:S84" ca="1" si="22">IF($M$102=0,M83,M81)</f>
        <v>0</v>
      </c>
      <c r="N84" s="275">
        <f t="shared" ca="1" si="22"/>
        <v>0</v>
      </c>
      <c r="O84" s="275">
        <f t="shared" ca="1" si="22"/>
        <v>0</v>
      </c>
      <c r="P84" s="275">
        <f t="shared" ca="1" si="22"/>
        <v>0</v>
      </c>
      <c r="Q84" s="275">
        <f t="shared" ca="1" si="22"/>
        <v>0</v>
      </c>
      <c r="R84" s="275">
        <f t="shared" ca="1" si="22"/>
        <v>0</v>
      </c>
      <c r="S84" s="275">
        <f t="shared" ca="1" si="22"/>
        <v>0</v>
      </c>
      <c r="T84" s="275">
        <f ca="1">MIN(T81,T83)</f>
        <v>0</v>
      </c>
      <c r="U84" s="275">
        <f ca="1">MIN(U81,U83)</f>
        <v>0</v>
      </c>
      <c r="V84" s="152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</row>
    <row r="85" spans="1:46" x14ac:dyDescent="0.2">
      <c r="A85" s="218" t="s">
        <v>242</v>
      </c>
      <c r="B85" s="235" t="s">
        <v>243</v>
      </c>
      <c r="J85" s="219" t="s">
        <v>171</v>
      </c>
      <c r="L85" s="151"/>
      <c r="M85" s="203" t="s">
        <v>139</v>
      </c>
      <c r="N85" s="202" t="str">
        <f ca="1">IF((P81&gt;P82),$B$76,"")</f>
        <v/>
      </c>
      <c r="O85" s="284" t="str">
        <f ca="1">IF(AND(N84=1,P84=1,M84=0,O84=0),B88,"")</f>
        <v/>
      </c>
      <c r="P85" s="288" t="str">
        <f ca="1">IF(AND(N82&lt;&gt;0,N84&gt;1,O84&gt;0),N82&amp;$B$81,"")</f>
        <v/>
      </c>
      <c r="Q85" s="204"/>
      <c r="R85" s="204"/>
      <c r="S85" s="205"/>
      <c r="T85" s="205"/>
      <c r="U85" s="287" t="str">
        <f ca="1">IF(V86&lt;8," The following fixtures calculated based on total OL applied to the most restrictive Occupancy: ","")</f>
        <v/>
      </c>
      <c r="V85" s="152"/>
      <c r="X85" s="44"/>
      <c r="Y85" s="44"/>
      <c r="Z85" s="184"/>
      <c r="AA85" s="184"/>
      <c r="AB85" s="185"/>
      <c r="AC85" s="184"/>
      <c r="AD85" s="184"/>
      <c r="AE85" s="44"/>
      <c r="AF85" s="44"/>
      <c r="AG85" s="44"/>
      <c r="AH85" s="44"/>
      <c r="AI85" s="44"/>
      <c r="AJ85" s="44"/>
      <c r="AK85" s="44"/>
      <c r="AL85" s="184"/>
      <c r="AM85" s="184"/>
      <c r="AN85" s="185"/>
      <c r="AO85" s="184"/>
      <c r="AP85" s="184"/>
      <c r="AQ85" s="44"/>
      <c r="AR85" s="44"/>
      <c r="AS85" s="44"/>
      <c r="AT85" s="44"/>
    </row>
    <row r="86" spans="1:46" x14ac:dyDescent="0.2">
      <c r="A86" s="218" t="s">
        <v>244</v>
      </c>
      <c r="B86" s="236" t="s">
        <v>252</v>
      </c>
      <c r="L86" s="151"/>
      <c r="M86" s="182" t="str">
        <f ca="1">IF(M84&lt;&gt;M81,"(Unisex WC)","")</f>
        <v/>
      </c>
      <c r="N86" s="182" t="str">
        <f ca="1">IF(N84&lt;&gt;N81,"(M WC)","")</f>
        <v/>
      </c>
      <c r="O86" s="182" t="str">
        <f ca="1">IF(O84&lt;&gt;O81,"(M Ur)","")</f>
        <v/>
      </c>
      <c r="P86" s="182" t="str">
        <f ca="1">IF(P84&lt;&gt;P81,"(F WC)","")</f>
        <v/>
      </c>
      <c r="Q86" s="182" t="str">
        <f ca="1">IF(Q84&lt;&gt;Q81,"(Unisex Lav.)","")</f>
        <v/>
      </c>
      <c r="R86" s="182" t="str">
        <f ca="1">IF(R84&lt;&gt;R81,"(M Lav.)","")</f>
        <v/>
      </c>
      <c r="S86" s="182" t="str">
        <f ca="1">IF(S84&lt;&gt;S81,"(F. Lav.)","")</f>
        <v/>
      </c>
      <c r="T86" s="182" t="str">
        <f ca="1">IF(T84&lt;&gt;T81,"(Bath/Shwr)","")</f>
        <v/>
      </c>
      <c r="U86" s="182" t="str">
        <f ca="1">IF(U84&lt;&gt;U81,"(Dr F)","")</f>
        <v/>
      </c>
      <c r="V86" s="152">
        <f ca="1">COUNTIF(M86:U86,"")</f>
        <v>9</v>
      </c>
      <c r="X86" s="44"/>
      <c r="Y86" s="44"/>
      <c r="Z86" s="184"/>
      <c r="AA86" s="184"/>
      <c r="AB86" s="184"/>
      <c r="AC86" s="184"/>
      <c r="AD86" s="184"/>
      <c r="AE86" s="44"/>
      <c r="AF86" s="44"/>
      <c r="AG86" s="44"/>
      <c r="AH86" s="44"/>
      <c r="AI86" s="44"/>
      <c r="AJ86" s="44"/>
      <c r="AK86" s="44"/>
      <c r="AL86" s="184"/>
      <c r="AM86" s="184"/>
      <c r="AN86" s="184"/>
      <c r="AO86" s="184"/>
      <c r="AP86" s="184"/>
      <c r="AQ86" s="44"/>
      <c r="AR86" s="44"/>
      <c r="AS86" s="44"/>
      <c r="AT86" s="44"/>
    </row>
    <row r="87" spans="1:46" x14ac:dyDescent="0.2">
      <c r="A87" s="136" t="s">
        <v>70</v>
      </c>
      <c r="B87" s="236" t="s">
        <v>241</v>
      </c>
      <c r="L87" s="151"/>
      <c r="M87" s="197">
        <f ca="1">IF(AND(M73=0,Q73=0),0,IF(M91&gt;0,0,IF(M63=1,1,IF(OR(S64=1,Q64=1,R64=1,P64=1),1,SUM(M64:O64)))))</f>
        <v>0</v>
      </c>
      <c r="N87" s="276"/>
      <c r="O87" s="276"/>
      <c r="P87" s="276"/>
      <c r="Q87" s="207">
        <f ca="1">IF(AND(M73=0,Q73=0),0,IF(Q91&gt;0,0,IF(M63=1,1,IF(OR(S64=1,Q64=1,R64=1,P64=1),1,SUM(M64:O64)))))</f>
        <v>0</v>
      </c>
      <c r="R87" s="276"/>
      <c r="S87" s="277"/>
      <c r="T87" s="278"/>
      <c r="U87" s="278"/>
      <c r="V87" s="152"/>
      <c r="X87" s="44"/>
      <c r="Y87" s="44"/>
      <c r="Z87" s="184"/>
      <c r="AA87" s="184"/>
      <c r="AB87" s="184"/>
      <c r="AC87" s="184"/>
      <c r="AD87" s="184"/>
      <c r="AE87" s="44"/>
      <c r="AF87" s="44"/>
      <c r="AG87" s="44"/>
      <c r="AH87" s="44"/>
      <c r="AI87" s="44"/>
      <c r="AJ87" s="44"/>
      <c r="AK87" s="44"/>
      <c r="AL87" s="184"/>
      <c r="AM87" s="184"/>
      <c r="AN87" s="184"/>
      <c r="AO87" s="184"/>
      <c r="AP87" s="184"/>
      <c r="AQ87" s="44"/>
      <c r="AR87" s="44"/>
      <c r="AS87" s="44"/>
      <c r="AT87" s="44"/>
    </row>
    <row r="88" spans="1:46" x14ac:dyDescent="0.2">
      <c r="A88" s="283" t="s">
        <v>262</v>
      </c>
      <c r="B88" s="145" t="s">
        <v>263</v>
      </c>
      <c r="L88" s="151"/>
      <c r="M88" s="44">
        <f>M62</f>
        <v>0</v>
      </c>
      <c r="N88" s="277"/>
      <c r="O88" s="277"/>
      <c r="P88" s="277"/>
      <c r="Q88" s="44">
        <f>M62</f>
        <v>0</v>
      </c>
      <c r="R88" s="277"/>
      <c r="S88" s="277"/>
      <c r="T88" s="277"/>
      <c r="U88" s="277"/>
      <c r="V88" s="152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</row>
    <row r="89" spans="1:46" x14ac:dyDescent="0.2">
      <c r="A89" s="145"/>
      <c r="L89" s="151"/>
      <c r="M89" s="44">
        <f>N62</f>
        <v>0</v>
      </c>
      <c r="N89" s="277"/>
      <c r="O89" s="277"/>
      <c r="P89" s="277"/>
      <c r="Q89" s="44">
        <f>N62</f>
        <v>0</v>
      </c>
      <c r="R89" s="277"/>
      <c r="S89" s="277"/>
      <c r="T89" s="277"/>
      <c r="U89" s="277"/>
      <c r="V89" s="152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</row>
    <row r="90" spans="1:46" x14ac:dyDescent="0.2">
      <c r="L90" s="151"/>
      <c r="M90" s="44">
        <f>O62</f>
        <v>0</v>
      </c>
      <c r="N90" s="277"/>
      <c r="O90" s="277"/>
      <c r="P90" s="277"/>
      <c r="Q90" s="44">
        <f>O62</f>
        <v>0</v>
      </c>
      <c r="R90" s="277"/>
      <c r="S90" s="277"/>
      <c r="T90" s="277"/>
      <c r="U90" s="277"/>
      <c r="V90" s="152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</row>
    <row r="91" spans="1:46" ht="12" thickBot="1" x14ac:dyDescent="0.25">
      <c r="L91" s="269" t="s">
        <v>256</v>
      </c>
      <c r="M91" s="270">
        <f>MIN(M88:M90)</f>
        <v>0</v>
      </c>
      <c r="N91" s="161"/>
      <c r="O91" s="161"/>
      <c r="P91" s="269" t="s">
        <v>256</v>
      </c>
      <c r="Q91" s="270">
        <f>MIN(Q88:Q90)</f>
        <v>0</v>
      </c>
      <c r="R91" s="161"/>
      <c r="S91" s="161"/>
      <c r="T91" s="161"/>
      <c r="U91" s="161"/>
      <c r="V91" s="162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</row>
    <row r="92" spans="1:46" x14ac:dyDescent="0.2">
      <c r="M92" s="279">
        <f>'Count (2)'!M77</f>
        <v>0</v>
      </c>
      <c r="N92" s="279">
        <f ca="1">'Count (2)'!N77</f>
        <v>0</v>
      </c>
      <c r="O92" s="279">
        <f ca="1">'Count (2)'!O77</f>
        <v>0</v>
      </c>
      <c r="P92" s="279">
        <f ca="1">'Count (2)'!P77</f>
        <v>0</v>
      </c>
      <c r="Q92" s="279">
        <f>'Count (2)'!Q77</f>
        <v>0</v>
      </c>
      <c r="R92" s="279">
        <f ca="1">'Count (2)'!R77</f>
        <v>0</v>
      </c>
      <c r="S92" s="279">
        <f ca="1">'Count (2)'!S77</f>
        <v>0</v>
      </c>
      <c r="T92" s="279">
        <f ca="1">'Count (2)'!T77</f>
        <v>0</v>
      </c>
      <c r="U92" s="279">
        <f ca="1">'Count (2)'!U77</f>
        <v>0</v>
      </c>
    </row>
    <row r="93" spans="1:46" x14ac:dyDescent="0.2">
      <c r="M93" s="279">
        <f>'Count (2)'!M78</f>
        <v>0</v>
      </c>
      <c r="N93" s="279">
        <f ca="1">'Count (2)'!N78</f>
        <v>0</v>
      </c>
      <c r="O93" s="279">
        <f ca="1">'Count (2)'!O78</f>
        <v>0</v>
      </c>
      <c r="P93" s="279">
        <f ca="1">'Count (2)'!P78</f>
        <v>0</v>
      </c>
      <c r="Q93" s="279">
        <f>'Count (2)'!Q78</f>
        <v>0</v>
      </c>
      <c r="R93" s="279">
        <f ca="1">'Count (2)'!R78</f>
        <v>0</v>
      </c>
      <c r="S93" s="279">
        <f ca="1">'Count (2)'!S78</f>
        <v>0</v>
      </c>
      <c r="T93" s="279">
        <f ca="1">'Count (2)'!T78</f>
        <v>0</v>
      </c>
      <c r="U93" s="279">
        <f ca="1">'Count (2)'!U78</f>
        <v>0</v>
      </c>
    </row>
    <row r="94" spans="1:46" x14ac:dyDescent="0.2">
      <c r="B94" s="12" t="s">
        <v>47</v>
      </c>
      <c r="M94" s="279">
        <f>'Count (2)'!M79</f>
        <v>0</v>
      </c>
      <c r="N94" s="279">
        <f ca="1">'Count (2)'!N79</f>
        <v>0</v>
      </c>
      <c r="O94" s="279">
        <f ca="1">'Count (2)'!O79</f>
        <v>0</v>
      </c>
      <c r="P94" s="279">
        <f ca="1">'Count (2)'!P79</f>
        <v>0</v>
      </c>
      <c r="Q94" s="279">
        <f>'Count (2)'!Q79</f>
        <v>0</v>
      </c>
      <c r="R94" s="279">
        <f ca="1">'Count (2)'!R79</f>
        <v>0</v>
      </c>
      <c r="S94" s="279">
        <f ca="1">'Count (2)'!S79</f>
        <v>0</v>
      </c>
      <c r="T94" s="279">
        <f ca="1">'Count (2)'!T79</f>
        <v>0</v>
      </c>
      <c r="U94" s="279">
        <f ca="1">'Count (2)'!U79</f>
        <v>0</v>
      </c>
    </row>
    <row r="95" spans="1:46" x14ac:dyDescent="0.2">
      <c r="A95" s="12">
        <v>1</v>
      </c>
      <c r="B95" s="258" t="str">
        <f>IF(L2&lt;&gt;1,CONCATENATE(N44,O44,P44,Q44,R44,S44,T44,U44,V44,N45,O45,P45,Q45,R45,S45,T45,U45,V45,N46,O46,P46,Q46,R46,S46,T46,U46,V46),"")</f>
        <v/>
      </c>
    </row>
    <row r="96" spans="1:46" x14ac:dyDescent="0.2">
      <c r="A96" s="12">
        <v>2</v>
      </c>
      <c r="B96" s="258" t="str">
        <f>IF(X2&lt;&gt;1,CONCATENATE(Z44,AA44,AB44,AC44,AD44,AE44,AF44,AG44,AH44,Z45,AA45,AB45,AC45,AD45,AE45,AF45,AG45,AH45,Z46,AA46,AB46,AC46,AD46,AE46,AF46,AG46,AH46),"")</f>
        <v/>
      </c>
    </row>
    <row r="97" spans="1:13" x14ac:dyDescent="0.2">
      <c r="A97" s="12">
        <v>3</v>
      </c>
      <c r="B97" s="258" t="str">
        <f>IF(AJ2&lt;&gt;1,CONCATENATE(AL44,AM44,AN44,AO44,AP44,AQ44,AR44,AS44,AT44,AL45,AM45,AN45,AO45,AP45,AQ45,AR45,AS45,AT45,AL46,AM46,AN46,AO46,AP46,AQ46,AR46,AS46,AT46),"")</f>
        <v/>
      </c>
    </row>
    <row r="98" spans="1:13" x14ac:dyDescent="0.2">
      <c r="A98" s="25" t="s">
        <v>64</v>
      </c>
      <c r="B98" s="258" t="str">
        <f>IF(OR(L2&lt;&gt;1, X2&lt;&gt;1,AJ2&lt;&gt;1),CONCATENATE(M85,N85,O85,P85,Q85,R85,S85,T85,U85,M86,N86,O86,P86,Q86,R86,S86,T86,U86),"")</f>
        <v/>
      </c>
    </row>
    <row r="99" spans="1:13" x14ac:dyDescent="0.2">
      <c r="M99" s="12">
        <f ca="1">IF(AND(M77&lt;&gt;0,N92&lt;&gt;0),0,1)</f>
        <v>1</v>
      </c>
    </row>
    <row r="100" spans="1:13" x14ac:dyDescent="0.2">
      <c r="M100" s="12">
        <f ca="1">IF(AND(M78&lt;&gt;0,N93&lt;&gt;0),0,1)</f>
        <v>1</v>
      </c>
    </row>
    <row r="101" spans="1:13" x14ac:dyDescent="0.2">
      <c r="A101" s="145"/>
      <c r="M101" s="12">
        <f ca="1">IF(AND(M79&lt;&gt;0,N94&lt;&gt;0),0,1)</f>
        <v>1</v>
      </c>
    </row>
    <row r="102" spans="1:13" x14ac:dyDescent="0.2">
      <c r="A102" s="145"/>
      <c r="B102" s="53">
        <f>IF(OR(B111=B112,B111=B113,B111=B114,B111=B115,B111=B116,B111=B117),1,0)</f>
        <v>1</v>
      </c>
      <c r="L102" s="281" t="s">
        <v>261</v>
      </c>
      <c r="M102" s="12">
        <f ca="1">MIN(M99:M101)</f>
        <v>1</v>
      </c>
    </row>
    <row r="103" spans="1:13" ht="12.75" x14ac:dyDescent="0.2">
      <c r="A103" s="145"/>
      <c r="B103" s="208">
        <f ca="1">IF(B102=0,-1,B105-B104)</f>
        <v>376</v>
      </c>
    </row>
    <row r="104" spans="1:13" ht="12.75" x14ac:dyDescent="0.2">
      <c r="A104" s="145"/>
      <c r="B104" s="209">
        <f ca="1">TODAY()</f>
        <v>43820</v>
      </c>
    </row>
    <row r="105" spans="1:13" ht="12.75" x14ac:dyDescent="0.2">
      <c r="A105" s="145"/>
      <c r="B105" s="209">
        <f>Plumbing!N3</f>
        <v>44196</v>
      </c>
    </row>
    <row r="106" spans="1:13" x14ac:dyDescent="0.2">
      <c r="A106" s="145"/>
    </row>
    <row r="107" spans="1:13" x14ac:dyDescent="0.2">
      <c r="A107" s="145"/>
    </row>
    <row r="108" spans="1:13" x14ac:dyDescent="0.2">
      <c r="A108" s="145"/>
      <c r="B108" s="12" t="s">
        <v>143</v>
      </c>
    </row>
    <row r="109" spans="1:13" x14ac:dyDescent="0.2">
      <c r="A109" s="145"/>
      <c r="B109" s="12" t="s">
        <v>144</v>
      </c>
    </row>
    <row r="110" spans="1:13" x14ac:dyDescent="0.2">
      <c r="A110" s="145"/>
    </row>
    <row r="111" spans="1:13" x14ac:dyDescent="0.2">
      <c r="A111" s="145"/>
      <c r="B111" s="55"/>
    </row>
    <row r="112" spans="1:13" x14ac:dyDescent="0.2">
      <c r="A112" s="145"/>
    </row>
    <row r="113" spans="1:44" x14ac:dyDescent="0.2">
      <c r="A113" s="145"/>
    </row>
    <row r="114" spans="1:44" x14ac:dyDescent="0.2">
      <c r="A114" s="145"/>
    </row>
    <row r="115" spans="1:44" x14ac:dyDescent="0.2">
      <c r="A115" s="145"/>
    </row>
    <row r="116" spans="1:44" x14ac:dyDescent="0.2">
      <c r="A116" s="145"/>
    </row>
    <row r="117" spans="1:44" x14ac:dyDescent="0.2">
      <c r="A117" s="145"/>
    </row>
    <row r="118" spans="1:44" x14ac:dyDescent="0.2">
      <c r="A118" s="145"/>
    </row>
    <row r="119" spans="1:44" x14ac:dyDescent="0.2">
      <c r="A119" s="145"/>
    </row>
    <row r="120" spans="1:44" x14ac:dyDescent="0.2">
      <c r="A120" s="145"/>
    </row>
    <row r="121" spans="1:44" x14ac:dyDescent="0.2">
      <c r="A121" s="145"/>
    </row>
    <row r="122" spans="1:44" x14ac:dyDescent="0.2">
      <c r="A122" s="145"/>
    </row>
    <row r="123" spans="1:44" x14ac:dyDescent="0.2">
      <c r="A123" s="145"/>
      <c r="L123" s="145"/>
      <c r="M123" s="145"/>
      <c r="N123" s="145"/>
      <c r="O123" s="145"/>
      <c r="P123" s="145"/>
      <c r="Q123" s="145"/>
      <c r="R123" s="145"/>
      <c r="S123" s="145"/>
      <c r="T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</row>
    <row r="124" spans="1:44" x14ac:dyDescent="0.2">
      <c r="A124" s="145"/>
      <c r="L124" s="146"/>
      <c r="M124" s="146"/>
      <c r="N124" s="146"/>
      <c r="O124" s="146"/>
      <c r="P124" s="146"/>
      <c r="Q124" s="146"/>
      <c r="R124" s="146"/>
      <c r="S124" s="145"/>
      <c r="T124" s="145"/>
      <c r="X124" s="146"/>
      <c r="Y124" s="146"/>
      <c r="Z124" s="146"/>
      <c r="AA124" s="146"/>
      <c r="AB124" s="146"/>
      <c r="AC124" s="146"/>
      <c r="AD124" s="146"/>
      <c r="AE124" s="145"/>
      <c r="AF124" s="145"/>
      <c r="AJ124" s="146"/>
      <c r="AK124" s="146"/>
      <c r="AL124" s="146"/>
      <c r="AM124" s="146"/>
      <c r="AN124" s="146"/>
      <c r="AO124" s="146"/>
      <c r="AP124" s="146"/>
      <c r="AQ124" s="145"/>
      <c r="AR124" s="145"/>
    </row>
    <row r="125" spans="1:44" x14ac:dyDescent="0.2">
      <c r="A125" s="145" t="s">
        <v>82</v>
      </c>
      <c r="B125" s="12" t="s">
        <v>10</v>
      </c>
      <c r="K125" s="47"/>
      <c r="L125" s="145"/>
      <c r="M125" s="145"/>
      <c r="N125" s="145"/>
      <c r="O125" s="145"/>
      <c r="P125" s="145"/>
      <c r="Q125" s="145"/>
      <c r="R125" s="145"/>
      <c r="S125" s="145"/>
      <c r="T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</row>
    <row r="126" spans="1:44" x14ac:dyDescent="0.2">
      <c r="A126" s="142" t="s">
        <v>76</v>
      </c>
      <c r="B126" s="12" t="s">
        <v>10</v>
      </c>
      <c r="C126" s="12" t="s">
        <v>19</v>
      </c>
      <c r="D126" s="12" t="s">
        <v>74</v>
      </c>
      <c r="E126" s="12" t="s">
        <v>20</v>
      </c>
      <c r="F126" s="12" t="s">
        <v>21</v>
      </c>
      <c r="G126" s="12" t="s">
        <v>22</v>
      </c>
      <c r="H126" s="12" t="s">
        <v>23</v>
      </c>
      <c r="I126" s="12" t="s">
        <v>24</v>
      </c>
      <c r="K126" s="47"/>
      <c r="L126" s="145"/>
      <c r="M126" s="145"/>
      <c r="N126" s="145"/>
      <c r="O126" s="145"/>
      <c r="P126" s="145"/>
      <c r="Q126" s="145"/>
      <c r="R126" s="145"/>
      <c r="S126" s="145"/>
      <c r="T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</row>
    <row r="127" spans="1:44" x14ac:dyDescent="0.2">
      <c r="A127" s="145">
        <v>0</v>
      </c>
      <c r="B127" s="12" t="s">
        <v>10</v>
      </c>
      <c r="C127" s="222">
        <v>99901</v>
      </c>
      <c r="D127" s="222">
        <v>99902</v>
      </c>
      <c r="E127" s="222">
        <v>99903</v>
      </c>
      <c r="F127" s="222">
        <v>99904</v>
      </c>
      <c r="G127" s="222">
        <v>99905</v>
      </c>
      <c r="H127" s="222">
        <v>99906</v>
      </c>
      <c r="I127" s="222">
        <v>99907</v>
      </c>
      <c r="K127" s="47"/>
      <c r="L127" s="145"/>
      <c r="M127" s="145"/>
      <c r="N127" s="145"/>
      <c r="O127" s="145"/>
      <c r="P127" s="145"/>
      <c r="Q127" s="145"/>
      <c r="R127" s="145"/>
      <c r="S127" s="145"/>
      <c r="T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</row>
    <row r="128" spans="1:44" x14ac:dyDescent="0.2">
      <c r="A128" s="145">
        <v>1</v>
      </c>
      <c r="B128" s="12" t="s">
        <v>10</v>
      </c>
      <c r="K128" s="47"/>
      <c r="L128" s="145"/>
      <c r="M128" s="145"/>
      <c r="N128" s="145"/>
      <c r="O128" s="145"/>
      <c r="P128" s="145"/>
      <c r="Q128" s="145"/>
      <c r="R128" s="145"/>
      <c r="S128" s="145"/>
      <c r="T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</row>
    <row r="129" spans="1:44" x14ac:dyDescent="0.2">
      <c r="A129" s="12">
        <v>999</v>
      </c>
      <c r="B129" s="12" t="s">
        <v>10</v>
      </c>
      <c r="K129" s="47"/>
      <c r="L129" s="145"/>
      <c r="M129" s="145"/>
      <c r="N129" s="145"/>
      <c r="O129" s="145"/>
      <c r="P129" s="145"/>
      <c r="Q129" s="145"/>
      <c r="R129" s="145"/>
      <c r="S129" s="145"/>
      <c r="T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</row>
    <row r="130" spans="1:44" x14ac:dyDescent="0.2">
      <c r="A130" s="12" t="s">
        <v>10</v>
      </c>
      <c r="B130" s="12" t="s">
        <v>10</v>
      </c>
      <c r="K130" s="47"/>
      <c r="L130" s="145"/>
      <c r="M130" s="145"/>
      <c r="N130" s="145"/>
      <c r="O130" s="145"/>
      <c r="P130" s="145"/>
      <c r="Q130" s="145"/>
      <c r="R130" s="145"/>
      <c r="S130" s="145"/>
      <c r="T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</row>
    <row r="131" spans="1:44" x14ac:dyDescent="0.2">
      <c r="A131" s="47">
        <v>99901</v>
      </c>
      <c r="B131" s="47" t="s">
        <v>113</v>
      </c>
      <c r="J131" s="12" t="s">
        <v>185</v>
      </c>
      <c r="K131" s="47"/>
      <c r="L131" s="145"/>
      <c r="M131" s="145"/>
      <c r="N131" s="145"/>
      <c r="O131" s="145"/>
      <c r="P131" s="145"/>
      <c r="Q131" s="145"/>
      <c r="R131" s="145"/>
      <c r="S131" s="145"/>
      <c r="T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</row>
    <row r="132" spans="1:44" x14ac:dyDescent="0.2">
      <c r="A132" s="47">
        <f>A131+1</f>
        <v>99902</v>
      </c>
      <c r="B132" s="47" t="s">
        <v>186</v>
      </c>
      <c r="J132" s="12" t="s">
        <v>185</v>
      </c>
      <c r="K132" s="47"/>
      <c r="L132" s="145"/>
      <c r="M132" s="145"/>
      <c r="N132" s="145"/>
      <c r="O132" s="145"/>
      <c r="P132" s="145"/>
      <c r="Q132" s="145"/>
      <c r="R132" s="145"/>
      <c r="S132" s="145"/>
      <c r="T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</row>
    <row r="133" spans="1:44" x14ac:dyDescent="0.2">
      <c r="A133" s="47">
        <f t="shared" ref="A133:A165" si="23">A132+1</f>
        <v>99903</v>
      </c>
      <c r="B133" s="47" t="s">
        <v>177</v>
      </c>
      <c r="J133" s="12" t="s">
        <v>185</v>
      </c>
      <c r="K133" s="47"/>
      <c r="L133" s="145"/>
      <c r="M133" s="145"/>
      <c r="N133" s="145"/>
      <c r="O133" s="145"/>
      <c r="P133" s="145"/>
      <c r="Q133" s="145"/>
      <c r="R133" s="145"/>
      <c r="S133" s="145"/>
      <c r="T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</row>
    <row r="134" spans="1:44" x14ac:dyDescent="0.2">
      <c r="A134" s="47">
        <f t="shared" si="23"/>
        <v>99904</v>
      </c>
      <c r="B134" s="47" t="s">
        <v>187</v>
      </c>
      <c r="J134" s="12" t="s">
        <v>185</v>
      </c>
      <c r="K134" s="47"/>
      <c r="L134" s="145"/>
      <c r="M134" s="145"/>
      <c r="N134" s="145"/>
      <c r="O134" s="145"/>
      <c r="P134" s="145"/>
      <c r="Q134" s="145"/>
      <c r="R134" s="145"/>
      <c r="S134" s="145"/>
      <c r="T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</row>
    <row r="135" spans="1:44" x14ac:dyDescent="0.2">
      <c r="A135" s="47">
        <f t="shared" si="23"/>
        <v>99905</v>
      </c>
      <c r="B135" s="47" t="s">
        <v>193</v>
      </c>
      <c r="J135" s="12" t="s">
        <v>185</v>
      </c>
      <c r="K135" s="47"/>
      <c r="L135" s="145"/>
      <c r="M135" s="145"/>
      <c r="N135" s="145"/>
      <c r="O135" s="145"/>
      <c r="P135" s="145"/>
      <c r="Q135" s="145"/>
      <c r="R135" s="145"/>
      <c r="S135" s="145"/>
      <c r="T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</row>
    <row r="136" spans="1:44" x14ac:dyDescent="0.2">
      <c r="A136" s="12">
        <f t="shared" si="23"/>
        <v>99906</v>
      </c>
      <c r="B136" s="226" t="s">
        <v>202</v>
      </c>
      <c r="J136" s="12" t="s">
        <v>25</v>
      </c>
      <c r="K136" s="47"/>
      <c r="L136" s="226"/>
      <c r="M136" s="145"/>
      <c r="N136" s="145"/>
      <c r="O136" s="145"/>
      <c r="P136" s="145"/>
      <c r="Q136" s="145"/>
      <c r="R136" s="145"/>
      <c r="S136" s="145"/>
      <c r="T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</row>
    <row r="137" spans="1:44" x14ac:dyDescent="0.2">
      <c r="A137" s="47">
        <f t="shared" si="23"/>
        <v>99907</v>
      </c>
      <c r="B137" s="47" t="s">
        <v>179</v>
      </c>
      <c r="J137" s="12" t="s">
        <v>185</v>
      </c>
      <c r="K137" s="47"/>
      <c r="L137" s="145"/>
      <c r="M137" s="145"/>
      <c r="N137" s="145"/>
      <c r="O137" s="145"/>
      <c r="P137" s="145"/>
      <c r="Q137" s="145"/>
      <c r="R137" s="145"/>
      <c r="S137" s="145"/>
      <c r="T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</row>
    <row r="138" spans="1:44" x14ac:dyDescent="0.2">
      <c r="A138" s="47">
        <f t="shared" si="23"/>
        <v>99908</v>
      </c>
      <c r="B138" s="47" t="s">
        <v>178</v>
      </c>
      <c r="J138" s="12" t="s">
        <v>188</v>
      </c>
      <c r="K138" s="47"/>
      <c r="L138" s="145"/>
      <c r="M138" s="145"/>
      <c r="N138" s="145"/>
      <c r="O138" s="145"/>
      <c r="P138" s="145"/>
      <c r="Q138" s="145"/>
      <c r="R138" s="145"/>
      <c r="S138" s="145"/>
      <c r="T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</row>
    <row r="139" spans="1:44" x14ac:dyDescent="0.2">
      <c r="A139" s="47">
        <f t="shared" si="23"/>
        <v>99909</v>
      </c>
      <c r="B139" s="47" t="s">
        <v>194</v>
      </c>
      <c r="J139" s="12" t="s">
        <v>25</v>
      </c>
      <c r="K139" s="47"/>
      <c r="L139" s="145"/>
      <c r="M139" s="145"/>
      <c r="N139" s="145"/>
      <c r="O139" s="145"/>
      <c r="P139" s="145"/>
      <c r="Q139" s="145"/>
      <c r="R139" s="145"/>
      <c r="S139" s="145"/>
      <c r="T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</row>
    <row r="140" spans="1:44" x14ac:dyDescent="0.2">
      <c r="A140" s="47">
        <f t="shared" si="23"/>
        <v>99910</v>
      </c>
      <c r="B140" s="47" t="s">
        <v>195</v>
      </c>
      <c r="J140" s="12" t="s">
        <v>25</v>
      </c>
      <c r="K140" s="47"/>
      <c r="L140" s="145"/>
      <c r="M140" s="145"/>
      <c r="N140" s="145"/>
      <c r="O140" s="145"/>
      <c r="P140" s="145"/>
      <c r="Q140" s="145"/>
      <c r="R140" s="145"/>
      <c r="S140" s="145"/>
      <c r="T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</row>
    <row r="141" spans="1:44" x14ac:dyDescent="0.2">
      <c r="A141" s="47">
        <f t="shared" si="23"/>
        <v>99911</v>
      </c>
      <c r="B141" s="47" t="s">
        <v>180</v>
      </c>
      <c r="J141" s="12" t="s">
        <v>183</v>
      </c>
      <c r="K141" s="47"/>
      <c r="L141" s="145"/>
      <c r="M141" s="145"/>
      <c r="N141" s="145"/>
      <c r="O141" s="145"/>
      <c r="P141" s="145"/>
      <c r="Q141" s="145"/>
      <c r="R141" s="145"/>
      <c r="S141" s="145"/>
      <c r="T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</row>
    <row r="142" spans="1:44" x14ac:dyDescent="0.2">
      <c r="A142" s="47">
        <f t="shared" si="23"/>
        <v>99912</v>
      </c>
      <c r="B142" s="47" t="s">
        <v>114</v>
      </c>
      <c r="J142" s="12" t="s">
        <v>184</v>
      </c>
      <c r="K142" s="47"/>
      <c r="L142" s="145"/>
      <c r="M142" s="145"/>
      <c r="N142" s="145"/>
      <c r="O142" s="145"/>
      <c r="P142" s="145"/>
      <c r="Q142" s="145"/>
      <c r="R142" s="145"/>
      <c r="S142" s="145"/>
      <c r="T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</row>
    <row r="143" spans="1:44" x14ac:dyDescent="0.2">
      <c r="A143" s="47">
        <f t="shared" si="23"/>
        <v>99913</v>
      </c>
      <c r="B143" s="47" t="s">
        <v>120</v>
      </c>
      <c r="J143" s="12" t="s">
        <v>196</v>
      </c>
      <c r="K143" s="47"/>
      <c r="L143" s="145"/>
      <c r="M143" s="145"/>
      <c r="N143" s="145"/>
      <c r="O143" s="145"/>
      <c r="P143" s="145"/>
      <c r="Q143" s="145"/>
      <c r="R143" s="145"/>
      <c r="S143" s="145"/>
      <c r="T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</row>
    <row r="144" spans="1:44" x14ac:dyDescent="0.2">
      <c r="A144" s="47">
        <f t="shared" si="23"/>
        <v>99914</v>
      </c>
      <c r="B144" s="47" t="s">
        <v>181</v>
      </c>
      <c r="J144" s="12" t="s">
        <v>183</v>
      </c>
      <c r="K144" s="47"/>
      <c r="L144" s="145"/>
      <c r="M144" s="145"/>
      <c r="N144" s="145"/>
      <c r="O144" s="145"/>
      <c r="P144" s="145"/>
      <c r="Q144" s="145"/>
      <c r="R144" s="145"/>
      <c r="S144" s="145"/>
      <c r="T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</row>
    <row r="145" spans="1:44" x14ac:dyDescent="0.2">
      <c r="A145" s="47">
        <f t="shared" si="23"/>
        <v>99915</v>
      </c>
      <c r="B145" s="47" t="s">
        <v>182</v>
      </c>
      <c r="J145" s="12" t="s">
        <v>183</v>
      </c>
      <c r="K145" s="47"/>
      <c r="L145" s="145"/>
      <c r="M145" s="145"/>
      <c r="N145" s="145"/>
      <c r="O145" s="145"/>
      <c r="P145" s="145"/>
      <c r="Q145" s="145"/>
      <c r="R145" s="145"/>
      <c r="S145" s="145"/>
      <c r="T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</row>
    <row r="146" spans="1:44" x14ac:dyDescent="0.2">
      <c r="A146" s="47">
        <f t="shared" si="23"/>
        <v>99916</v>
      </c>
      <c r="B146" s="47" t="s">
        <v>203</v>
      </c>
      <c r="J146" s="12" t="s">
        <v>197</v>
      </c>
      <c r="K146" s="47"/>
      <c r="L146" s="145"/>
      <c r="M146" s="145"/>
      <c r="N146" s="145"/>
      <c r="O146" s="145"/>
      <c r="P146" s="145"/>
      <c r="Q146" s="145"/>
      <c r="R146" s="145"/>
      <c r="S146" s="145"/>
      <c r="T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</row>
    <row r="147" spans="1:44" x14ac:dyDescent="0.2">
      <c r="A147" s="12">
        <f t="shared" si="23"/>
        <v>99917</v>
      </c>
      <c r="B147" s="47"/>
      <c r="K147" s="47"/>
      <c r="L147" s="145"/>
      <c r="M147" s="145"/>
      <c r="N147" s="145"/>
      <c r="O147" s="145"/>
      <c r="P147" s="145"/>
      <c r="Q147" s="145"/>
      <c r="R147" s="145"/>
      <c r="S147" s="145"/>
      <c r="T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</row>
    <row r="148" spans="1:44" x14ac:dyDescent="0.2">
      <c r="A148" s="47">
        <f t="shared" si="23"/>
        <v>99918</v>
      </c>
      <c r="B148" s="47" t="s">
        <v>177</v>
      </c>
      <c r="J148" s="12" t="s">
        <v>18</v>
      </c>
      <c r="K148" s="47"/>
      <c r="L148" s="145"/>
      <c r="M148" s="145"/>
      <c r="N148" s="145"/>
      <c r="O148" s="145"/>
      <c r="P148" s="145"/>
      <c r="Q148" s="145"/>
      <c r="R148" s="145"/>
      <c r="S148" s="145"/>
      <c r="T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</row>
    <row r="149" spans="1:44" x14ac:dyDescent="0.2">
      <c r="A149" s="47">
        <f t="shared" si="23"/>
        <v>99919</v>
      </c>
      <c r="B149" s="47" t="s">
        <v>199</v>
      </c>
      <c r="J149" s="12" t="s">
        <v>18</v>
      </c>
      <c r="K149" s="47"/>
      <c r="L149" s="145"/>
      <c r="M149" s="145"/>
      <c r="N149" s="145"/>
      <c r="O149" s="145"/>
      <c r="P149" s="145"/>
      <c r="Q149" s="145"/>
      <c r="R149" s="145"/>
      <c r="S149" s="145"/>
      <c r="T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</row>
    <row r="150" spans="1:44" x14ac:dyDescent="0.2">
      <c r="A150" s="47">
        <f t="shared" si="23"/>
        <v>99920</v>
      </c>
      <c r="B150" s="47" t="s">
        <v>193</v>
      </c>
      <c r="J150" s="12" t="s">
        <v>18</v>
      </c>
      <c r="K150" s="47"/>
      <c r="L150" s="145"/>
      <c r="M150" s="145"/>
      <c r="N150" s="145"/>
      <c r="O150" s="145"/>
      <c r="P150" s="145"/>
      <c r="Q150" s="145"/>
      <c r="R150" s="145"/>
      <c r="S150" s="145"/>
      <c r="T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</row>
    <row r="151" spans="1:44" x14ac:dyDescent="0.2">
      <c r="A151" s="47">
        <f t="shared" si="23"/>
        <v>99921</v>
      </c>
      <c r="B151" s="47" t="s">
        <v>189</v>
      </c>
      <c r="J151" s="12" t="s">
        <v>121</v>
      </c>
      <c r="K151" s="47"/>
      <c r="L151" s="145"/>
      <c r="M151" s="145"/>
      <c r="N151" s="145"/>
      <c r="O151" s="145"/>
      <c r="P151" s="145"/>
      <c r="Q151" s="145"/>
      <c r="R151" s="145"/>
      <c r="S151" s="145"/>
      <c r="T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</row>
    <row r="152" spans="1:44" x14ac:dyDescent="0.2">
      <c r="A152" s="47">
        <f t="shared" si="23"/>
        <v>99922</v>
      </c>
      <c r="B152" s="47" t="s">
        <v>198</v>
      </c>
      <c r="J152" s="12" t="s">
        <v>18</v>
      </c>
      <c r="K152" s="47"/>
      <c r="L152" s="145"/>
      <c r="M152" s="145"/>
      <c r="N152" s="145"/>
      <c r="O152" s="145"/>
      <c r="P152" s="145"/>
      <c r="Q152" s="145"/>
      <c r="R152" s="145"/>
      <c r="S152" s="145"/>
      <c r="T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</row>
    <row r="153" spans="1:44" x14ac:dyDescent="0.2">
      <c r="A153" s="47">
        <f t="shared" si="23"/>
        <v>99923</v>
      </c>
      <c r="B153" s="47" t="s">
        <v>190</v>
      </c>
      <c r="J153" s="12" t="s">
        <v>121</v>
      </c>
      <c r="K153" s="47"/>
      <c r="L153" s="145"/>
      <c r="M153" s="145"/>
      <c r="N153" s="145"/>
      <c r="O153" s="145"/>
      <c r="P153" s="145"/>
      <c r="Q153" s="145"/>
      <c r="R153" s="145"/>
      <c r="S153" s="145"/>
      <c r="T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</row>
    <row r="154" spans="1:44" x14ac:dyDescent="0.2">
      <c r="A154" s="47">
        <f t="shared" si="23"/>
        <v>99924</v>
      </c>
      <c r="B154" s="47" t="s">
        <v>191</v>
      </c>
      <c r="J154" s="12" t="s">
        <v>121</v>
      </c>
      <c r="K154" s="47"/>
      <c r="L154" s="145"/>
      <c r="M154" s="145"/>
      <c r="N154" s="145"/>
      <c r="O154" s="145"/>
      <c r="P154" s="145"/>
      <c r="Q154" s="145"/>
      <c r="R154" s="145"/>
      <c r="S154" s="145"/>
      <c r="T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</row>
    <row r="155" spans="1:44" x14ac:dyDescent="0.2">
      <c r="A155" s="47">
        <f t="shared" si="23"/>
        <v>99925</v>
      </c>
      <c r="B155" s="47" t="s">
        <v>192</v>
      </c>
      <c r="J155" s="12" t="s">
        <v>121</v>
      </c>
      <c r="K155" s="47"/>
      <c r="L155" s="145"/>
      <c r="M155" s="145"/>
      <c r="N155" s="145"/>
      <c r="O155" s="145"/>
      <c r="P155" s="145"/>
      <c r="Q155" s="145"/>
      <c r="R155" s="145"/>
      <c r="S155" s="145"/>
      <c r="T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</row>
    <row r="156" spans="1:44" x14ac:dyDescent="0.2">
      <c r="A156" s="47">
        <f t="shared" si="23"/>
        <v>99926</v>
      </c>
      <c r="B156" s="47" t="s">
        <v>116</v>
      </c>
      <c r="J156" s="12" t="s">
        <v>201</v>
      </c>
      <c r="K156" s="47"/>
      <c r="L156" s="145"/>
      <c r="M156" s="145"/>
      <c r="N156" s="145"/>
      <c r="O156" s="145"/>
      <c r="P156" s="145"/>
      <c r="Q156" s="145"/>
      <c r="R156" s="145"/>
      <c r="S156" s="145"/>
      <c r="T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</row>
    <row r="157" spans="1:44" x14ac:dyDescent="0.2">
      <c r="A157" s="47">
        <f t="shared" si="23"/>
        <v>99927</v>
      </c>
      <c r="B157" s="47" t="s">
        <v>200</v>
      </c>
      <c r="J157" s="12" t="s">
        <v>201</v>
      </c>
      <c r="K157" s="47"/>
      <c r="L157" s="145"/>
      <c r="M157" s="145"/>
      <c r="N157" s="145"/>
      <c r="O157" s="145"/>
      <c r="P157" s="145"/>
      <c r="Q157" s="145"/>
      <c r="R157" s="145"/>
      <c r="S157" s="145"/>
      <c r="T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</row>
    <row r="158" spans="1:44" x14ac:dyDescent="0.2">
      <c r="A158" s="47">
        <f t="shared" si="23"/>
        <v>99928</v>
      </c>
      <c r="B158" s="47" t="s">
        <v>117</v>
      </c>
      <c r="J158" s="12" t="s">
        <v>201</v>
      </c>
      <c r="K158" s="47"/>
    </row>
    <row r="159" spans="1:44" x14ac:dyDescent="0.2">
      <c r="A159" s="47">
        <f t="shared" si="23"/>
        <v>99929</v>
      </c>
      <c r="B159" s="47" t="s">
        <v>118</v>
      </c>
      <c r="J159" s="12" t="s">
        <v>201</v>
      </c>
    </row>
    <row r="160" spans="1:44" x14ac:dyDescent="0.2">
      <c r="A160" s="47">
        <f t="shared" si="23"/>
        <v>99930</v>
      </c>
      <c r="B160" s="47" t="s">
        <v>119</v>
      </c>
      <c r="J160" s="12" t="s">
        <v>201</v>
      </c>
    </row>
    <row r="161" spans="1:10" x14ac:dyDescent="0.2">
      <c r="A161" s="12">
        <f t="shared" si="23"/>
        <v>99931</v>
      </c>
      <c r="B161" s="47"/>
      <c r="J161" s="12" t="s">
        <v>205</v>
      </c>
    </row>
    <row r="162" spans="1:10" x14ac:dyDescent="0.2">
      <c r="A162" s="47">
        <f t="shared" si="23"/>
        <v>99932</v>
      </c>
      <c r="B162" s="47" t="s">
        <v>204</v>
      </c>
      <c r="J162" s="12" t="s">
        <v>206</v>
      </c>
    </row>
    <row r="163" spans="1:10" x14ac:dyDescent="0.2">
      <c r="A163" s="47">
        <f t="shared" si="23"/>
        <v>99933</v>
      </c>
      <c r="B163" s="47" t="s">
        <v>115</v>
      </c>
      <c r="J163" s="12" t="s">
        <v>206</v>
      </c>
    </row>
    <row r="164" spans="1:10" x14ac:dyDescent="0.2">
      <c r="A164" s="12">
        <f t="shared" si="23"/>
        <v>99934</v>
      </c>
      <c r="B164" s="47" t="s">
        <v>124</v>
      </c>
    </row>
    <row r="165" spans="1:10" x14ac:dyDescent="0.2">
      <c r="A165" s="12">
        <f t="shared" si="23"/>
        <v>99935</v>
      </c>
      <c r="B165" s="47" t="s">
        <v>124</v>
      </c>
    </row>
    <row r="166" spans="1:10" x14ac:dyDescent="0.2">
      <c r="A166" s="12" t="s">
        <v>128</v>
      </c>
      <c r="B166" s="47" t="s">
        <v>127</v>
      </c>
    </row>
  </sheetData>
  <sheetProtection password="C9BC" sheet="1" selectLockedCells="1" selectUnlockedCells="1"/>
  <customSheetViews>
    <customSheetView guid="{FF105486-337B-4F9D-974B-49C037148D9B}" state="hidden">
      <selection activeCell="B1" sqref="B1"/>
      <pageMargins left="0.75" right="0.75" top="1" bottom="1" header="0.5" footer="0.5"/>
      <pageSetup scale="50" orientation="landscape" horizontalDpi="0" verticalDpi="0" r:id="rId1"/>
      <headerFooter alignWithMargins="0"/>
    </customSheetView>
    <customSheetView guid="{96D8A50A-96D4-4A72-9572-2CD989544578}" state="hidden">
      <selection activeCell="B1" sqref="B1"/>
      <pageMargins left="0.75" right="0.75" top="1" bottom="1" header="0.5" footer="0.5"/>
      <pageSetup scale="50" orientation="landscape" horizontalDpi="0" verticalDpi="0" r:id="rId2"/>
      <headerFooter alignWithMargins="0"/>
    </customSheetView>
    <customSheetView guid="{FE69FE72-605C-46E9-A1C5-BEF8735596CB}" state="hidden">
      <pageMargins left="0.75" right="0.75" top="1" bottom="1" header="0.5" footer="0.5"/>
      <pageSetup scale="50" orientation="landscape" horizontalDpi="0" verticalDpi="0" r:id="rId3"/>
      <headerFooter alignWithMargins="0"/>
    </customSheetView>
    <customSheetView guid="{2B6667DB-A691-4F19-97E8-D67F3ED6538B}" state="hidden">
      <selection activeCell="B1" sqref="B1"/>
      <pageMargins left="0.75" right="0.75" top="1" bottom="1" header="0.5" footer="0.5"/>
      <pageSetup scale="50" orientation="landscape" horizontalDpi="0" verticalDpi="0" r:id="rId4"/>
      <headerFooter alignWithMargins="0"/>
    </customSheetView>
  </customSheetViews>
  <phoneticPr fontId="3" type="noConversion"/>
  <pageMargins left="0.75" right="0.75" top="1" bottom="1" header="0.5" footer="0.5"/>
  <pageSetup scale="50" orientation="landscape" horizontalDpi="0" verticalDpi="0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6"/>
  <sheetViews>
    <sheetView workbookViewId="0">
      <selection activeCell="E12" sqref="E12"/>
    </sheetView>
  </sheetViews>
  <sheetFormatPr defaultRowHeight="11.25" x14ac:dyDescent="0.2"/>
  <cols>
    <col min="1" max="1" width="5.28515625" style="12" customWidth="1"/>
    <col min="2" max="2" width="34.42578125" style="12" customWidth="1"/>
    <col min="3" max="3" width="7.5703125" style="12" customWidth="1"/>
    <col min="4" max="5" width="6.85546875" style="12" customWidth="1"/>
    <col min="6" max="6" width="6.42578125" style="12" customWidth="1"/>
    <col min="7" max="7" width="6.5703125" style="12" customWidth="1"/>
    <col min="8" max="8" width="6.7109375" style="12" customWidth="1"/>
    <col min="9" max="9" width="6.42578125" style="12" customWidth="1"/>
    <col min="10" max="10" width="5.5703125" style="12" customWidth="1"/>
    <col min="11" max="11" width="1.85546875" style="12" customWidth="1"/>
    <col min="12" max="12" width="30.7109375" style="12" customWidth="1"/>
    <col min="13" max="22" width="9.140625" style="12"/>
    <col min="23" max="23" width="1.85546875" style="12" customWidth="1"/>
    <col min="24" max="24" width="30.7109375" style="12" customWidth="1"/>
    <col min="25" max="34" width="9.140625" style="12"/>
    <col min="35" max="35" width="1.85546875" style="12" customWidth="1"/>
    <col min="36" max="36" width="30.7109375" style="12" customWidth="1"/>
    <col min="37" max="46" width="9.140625" style="12"/>
    <col min="47" max="47" width="1.85546875" style="12" customWidth="1"/>
    <col min="48" max="16384" width="9.140625" style="12"/>
  </cols>
  <sheetData>
    <row r="1" spans="1:46" ht="12" customHeight="1" x14ac:dyDescent="0.2">
      <c r="B1" s="12" t="s">
        <v>27</v>
      </c>
      <c r="C1" s="12" t="s">
        <v>0</v>
      </c>
      <c r="D1" s="12" t="s">
        <v>18</v>
      </c>
      <c r="E1" s="12" t="s">
        <v>18</v>
      </c>
      <c r="F1" s="12" t="s">
        <v>25</v>
      </c>
      <c r="G1" s="12" t="s">
        <v>26</v>
      </c>
      <c r="L1" s="63" t="s">
        <v>53</v>
      </c>
      <c r="M1" s="12" t="s">
        <v>0</v>
      </c>
      <c r="N1" s="12" t="s">
        <v>18</v>
      </c>
      <c r="O1" s="12" t="s">
        <v>18</v>
      </c>
      <c r="P1" s="12" t="s">
        <v>25</v>
      </c>
      <c r="Q1" s="12" t="s">
        <v>26</v>
      </c>
      <c r="X1" s="63" t="s">
        <v>55</v>
      </c>
      <c r="Y1" s="12" t="s">
        <v>0</v>
      </c>
      <c r="Z1" s="12" t="s">
        <v>18</v>
      </c>
      <c r="AA1" s="12" t="s">
        <v>18</v>
      </c>
      <c r="AB1" s="12" t="s">
        <v>25</v>
      </c>
      <c r="AC1" s="12" t="s">
        <v>26</v>
      </c>
      <c r="AJ1" s="63" t="s">
        <v>58</v>
      </c>
      <c r="AK1" s="12" t="s">
        <v>0</v>
      </c>
      <c r="AL1" s="12" t="s">
        <v>18</v>
      </c>
      <c r="AM1" s="12" t="s">
        <v>18</v>
      </c>
      <c r="AN1" s="12" t="s">
        <v>25</v>
      </c>
      <c r="AO1" s="12" t="s">
        <v>26</v>
      </c>
    </row>
    <row r="2" spans="1:46" ht="12" customHeight="1" x14ac:dyDescent="0.2">
      <c r="C2" s="32"/>
      <c r="D2" s="32"/>
      <c r="E2" s="32"/>
      <c r="F2" s="32"/>
      <c r="G2" s="27"/>
      <c r="L2" s="31">
        <f>Plumbing!$C$5</f>
        <v>1</v>
      </c>
      <c r="M2" s="271">
        <f>Plumbing!$G$12+Plumbing!$G$25+Plumbing!$G$38</f>
        <v>0</v>
      </c>
      <c r="N2" s="32">
        <f>Plumbing!$G$14+Plumbing!$G$27+Plumbing!$G$40</f>
        <v>0</v>
      </c>
      <c r="O2" s="32">
        <f>Plumbing!$G$14+Plumbing!$G$27+Plumbing!$G$40</f>
        <v>0</v>
      </c>
      <c r="P2" s="32">
        <f>Plumbing!$G$15+Plumbing!$G$28+Plumbing!$G$41</f>
        <v>0</v>
      </c>
      <c r="Q2" s="271">
        <f>Plumbing!$F$13+Plumbing!$F$26+Plumbing!$F$39</f>
        <v>0</v>
      </c>
      <c r="X2" s="31">
        <f>Plumbing!$C$18</f>
        <v>1</v>
      </c>
      <c r="Y2" s="271">
        <f>Plumbing!$G$12+Plumbing!$G$25+Plumbing!$G$38</f>
        <v>0</v>
      </c>
      <c r="Z2" s="32">
        <f>Plumbing!$G$14+Plumbing!$G$27+Plumbing!$G$40</f>
        <v>0</v>
      </c>
      <c r="AA2" s="32">
        <f>Plumbing!$G$14+Plumbing!$G$27+Plumbing!$G$40</f>
        <v>0</v>
      </c>
      <c r="AB2" s="32">
        <f>Plumbing!$G$15+Plumbing!$G$28+Plumbing!$G$41</f>
        <v>0</v>
      </c>
      <c r="AC2" s="271">
        <f>Plumbing!$F$13+Plumbing!$F$26+Plumbing!$F$39</f>
        <v>0</v>
      </c>
      <c r="AJ2" s="31">
        <f>Plumbing!$C$31</f>
        <v>1</v>
      </c>
      <c r="AK2" s="271">
        <f>Plumbing!$G$12+Plumbing!$G$25+Plumbing!$G$38</f>
        <v>0</v>
      </c>
      <c r="AL2" s="32">
        <f>Plumbing!$G$14+Plumbing!$G$27+Plumbing!$G$40</f>
        <v>0</v>
      </c>
      <c r="AM2" s="32">
        <f>Plumbing!$G$14+Plumbing!$G$27+Plumbing!$G$40</f>
        <v>0</v>
      </c>
      <c r="AN2" s="32">
        <f>Plumbing!$G$15+Plumbing!$G$28+Plumbing!$G$41</f>
        <v>0</v>
      </c>
      <c r="AO2" s="271">
        <f>Plumbing!$F$13+Plumbing!$F$26+Plumbing!$F$39</f>
        <v>0</v>
      </c>
    </row>
    <row r="3" spans="1:46" ht="14.25" customHeight="1" x14ac:dyDescent="0.2">
      <c r="A3" s="16"/>
      <c r="B3" s="34"/>
      <c r="C3" s="12" t="s">
        <v>19</v>
      </c>
      <c r="D3" s="12" t="s">
        <v>74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17</v>
      </c>
      <c r="L3" s="43">
        <f>Plumbing!$D$5</f>
        <v>1</v>
      </c>
      <c r="M3" s="12" t="s">
        <v>19</v>
      </c>
      <c r="N3" s="12" t="s">
        <v>74</v>
      </c>
      <c r="O3" s="12" t="s">
        <v>20</v>
      </c>
      <c r="P3" s="12" t="s">
        <v>38</v>
      </c>
      <c r="Q3" s="12" t="s">
        <v>39</v>
      </c>
      <c r="R3" s="12" t="s">
        <v>23</v>
      </c>
      <c r="S3" s="12" t="s">
        <v>24</v>
      </c>
      <c r="T3" s="12" t="s">
        <v>17</v>
      </c>
      <c r="U3" s="12" t="s">
        <v>36</v>
      </c>
      <c r="V3" s="12" t="s">
        <v>37</v>
      </c>
      <c r="X3" s="43">
        <f>Plumbing!$D$18</f>
        <v>1</v>
      </c>
      <c r="Y3" s="12" t="s">
        <v>19</v>
      </c>
      <c r="Z3" s="12" t="s">
        <v>74</v>
      </c>
      <c r="AA3" s="12" t="s">
        <v>20</v>
      </c>
      <c r="AB3" s="12" t="s">
        <v>38</v>
      </c>
      <c r="AC3" s="12" t="s">
        <v>39</v>
      </c>
      <c r="AD3" s="12" t="s">
        <v>23</v>
      </c>
      <c r="AE3" s="12" t="s">
        <v>24</v>
      </c>
      <c r="AF3" s="12" t="s">
        <v>17</v>
      </c>
      <c r="AG3" s="12" t="s">
        <v>36</v>
      </c>
      <c r="AH3" s="12" t="s">
        <v>37</v>
      </c>
      <c r="AJ3" s="43">
        <f>Plumbing!$D$31</f>
        <v>1</v>
      </c>
      <c r="AK3" s="12" t="s">
        <v>19</v>
      </c>
      <c r="AL3" s="12" t="s">
        <v>74</v>
      </c>
      <c r="AM3" s="12" t="s">
        <v>20</v>
      </c>
      <c r="AN3" s="12" t="s">
        <v>38</v>
      </c>
      <c r="AO3" s="12" t="s">
        <v>39</v>
      </c>
      <c r="AP3" s="12" t="s">
        <v>23</v>
      </c>
      <c r="AQ3" s="12" t="s">
        <v>24</v>
      </c>
      <c r="AR3" s="12" t="s">
        <v>17</v>
      </c>
      <c r="AS3" s="12" t="s">
        <v>36</v>
      </c>
      <c r="AT3" s="12" t="s">
        <v>37</v>
      </c>
    </row>
    <row r="4" spans="1:46" ht="15" customHeight="1" thickBot="1" x14ac:dyDescent="0.25">
      <c r="A4" s="60">
        <f ca="1">IF(B103&lt;0,99,1)</f>
        <v>1</v>
      </c>
      <c r="B4" s="26" t="s">
        <v>73</v>
      </c>
      <c r="C4" s="221" t="s">
        <v>10</v>
      </c>
      <c r="D4" s="221" t="s">
        <v>10</v>
      </c>
      <c r="E4" s="221" t="s">
        <v>10</v>
      </c>
      <c r="F4" s="221" t="s">
        <v>10</v>
      </c>
      <c r="G4" s="221" t="s">
        <v>10</v>
      </c>
      <c r="H4" s="221" t="s">
        <v>10</v>
      </c>
      <c r="I4" s="221" t="s">
        <v>10</v>
      </c>
      <c r="J4" s="221"/>
      <c r="L4" s="190" t="s">
        <v>73</v>
      </c>
      <c r="M4" s="55"/>
      <c r="N4" s="55"/>
      <c r="O4" s="55"/>
      <c r="P4" s="55"/>
      <c r="Q4" s="55"/>
      <c r="R4" s="55"/>
      <c r="S4" s="55"/>
      <c r="T4" s="55"/>
      <c r="X4" s="178" t="s">
        <v>73</v>
      </c>
      <c r="AJ4" s="180" t="s">
        <v>73</v>
      </c>
    </row>
    <row r="5" spans="1:46" ht="12" customHeight="1" x14ac:dyDescent="0.2">
      <c r="A5">
        <f t="shared" ref="A5:A36" ca="1" si="0">A4+1</f>
        <v>2</v>
      </c>
      <c r="B5" s="164" t="s">
        <v>148</v>
      </c>
      <c r="C5" s="223">
        <v>99901</v>
      </c>
      <c r="D5" s="223">
        <v>99902</v>
      </c>
      <c r="E5" s="223">
        <v>99903</v>
      </c>
      <c r="F5" s="223">
        <v>99904</v>
      </c>
      <c r="G5" s="223">
        <v>99905</v>
      </c>
      <c r="H5" s="223">
        <v>0</v>
      </c>
      <c r="I5" s="223">
        <v>99907</v>
      </c>
      <c r="J5" s="221"/>
      <c r="L5" s="164" t="s">
        <v>148</v>
      </c>
      <c r="M5" s="230">
        <f>IF($N$2&lt;1,0,IF($N$2&lt;101,1,IF($N$2&lt;201,2,IF($N$2&lt;401,3,3+($N$2-400)/500))))</f>
        <v>0</v>
      </c>
      <c r="N5" s="230">
        <f>IF($N$2&lt;1,0,IF($N$2&lt;201,1,IF($N$2&lt;301,2,IF($N$2&lt;401,3, IF($N$2&lt;601,4,4+($N$2-600)/300)))))</f>
        <v>0</v>
      </c>
      <c r="O5" s="230">
        <f>IF($P$2&lt;1,0,IF($P$2&lt;26,1,IF($P$2&lt;51,2,IF($P$2&lt;101,3,IF($P$2&lt;201,4,IF($P$2&lt;301,6,IF($P$2&lt;401,8,8+($P$2-400)/125)))))))</f>
        <v>0</v>
      </c>
      <c r="P5" s="230">
        <f>IF($N$2&lt;1,0,IF($N$2&lt;201,1,IF($N$2&lt;401,2,IF($N$2&lt;601,3, IF($N$2&lt;751,4,4+($N$2-750)/250)))))</f>
        <v>0</v>
      </c>
      <c r="Q5" s="230">
        <f>IF($P$2&lt;1,0,IF($P$2&lt;101,1,IF($P$2&lt;201,2,IF($P$2&lt;301,4,IF($P$2&lt;501,5,IF($P$2&lt;751,6,6+($P$2-750)/200))))))</f>
        <v>0</v>
      </c>
      <c r="R5" s="231">
        <v>0</v>
      </c>
      <c r="S5" s="230">
        <f>IF($M$2&lt;31,0,IF($M$2&lt;251,1,IF($M$2&lt;501,2,IF($M$2&lt;751,3,3+($M$2-750)/500))))</f>
        <v>0</v>
      </c>
      <c r="T5" s="33" t="str">
        <f>IF(AND($M$2&lt;=30,$M$2&gt;0),$B$74,"")</f>
        <v/>
      </c>
      <c r="U5" s="32">
        <f t="shared" ref="U5:U13" si="1">IF(M5+O5&lt;1,M5+O5,IF($M$47=1,1,M5+O5))</f>
        <v>0</v>
      </c>
      <c r="V5" s="32">
        <f t="shared" ref="V5:V13" si="2">IF(P5+Q5&lt;1,P5+Q5,IF($M$47=1,1,P5+Q5))</f>
        <v>0</v>
      </c>
      <c r="X5" s="164" t="s">
        <v>148</v>
      </c>
      <c r="Y5" s="230">
        <f>IF($Z$2&lt;1,0,IF($Z$2&lt;101,1,IF($Z$2&lt;201,2,IF($Z$2&lt;401,3,3+($Z$2-400)/500))))</f>
        <v>0</v>
      </c>
      <c r="Z5" s="230">
        <f>IF($Z$2&lt;1,0,IF($Z$2&lt;201,1,IF($Z$2&lt;301,2,IF($Z$2&lt;401,3, IF($Z$2&lt;601,4,4+($Z$2-600)/300)))))</f>
        <v>0</v>
      </c>
      <c r="AA5" s="230">
        <f>IF($AB$2&lt;1,0,IF($AB$2&lt;26,1,IF($AB$2&lt;51,2,IF($AB$2&lt;101,3,IF($AB$2&lt;201,4,IF($AB$2&lt;301,6,IF($AB$2&lt;401,8,8+($AB$2-400)/125)))))))</f>
        <v>0</v>
      </c>
      <c r="AB5" s="230">
        <f>IF($Z$2&lt;1,0,IF($Z$2&lt;201,1,IF($Z$2&lt;401,2,IF($Z$2&lt;601,3, IF($Z$2&lt;751,4,4+($Z$2-750)/250)))))</f>
        <v>0</v>
      </c>
      <c r="AC5" s="230">
        <f>IF($AB$2&lt;1,0,IF($AB$2&lt;101,1,IF($AB$2&lt;201,2,IF($AB$2&lt;301,4,IF($AB$2&lt;501,5,IF($AB$2&lt;751,6,6+($AB$2-750)/200))))))</f>
        <v>0</v>
      </c>
      <c r="AD5" s="231">
        <v>0</v>
      </c>
      <c r="AE5" s="230">
        <f>IF($Y$2&lt;31,0,IF($Y$2&lt;251,1,IF($Y$2&lt;501,2,IF($Y$2&lt;751,3,3+($Y$2-750)/500))))</f>
        <v>0</v>
      </c>
      <c r="AF5" s="33" t="str">
        <f>IF(AND($Y$2&lt;=30,$Y$2&gt;0),$B$74,"")</f>
        <v/>
      </c>
      <c r="AG5" s="32">
        <f t="shared" ref="AG5:AG13" si="3">IF(Y5+AA5&lt;1,Y5+AA5,IF($Y$47=1,1,Y5+AA5))</f>
        <v>0</v>
      </c>
      <c r="AH5" s="32">
        <f t="shared" ref="AH5:AH13" si="4">IF(AB5+AC5&lt;1,AB5+AC5,IF($Y$47=1,1,AB5+AC5))</f>
        <v>0</v>
      </c>
      <c r="AJ5" s="164" t="s">
        <v>148</v>
      </c>
      <c r="AK5" s="230">
        <f>IF($AL$2&lt;1,0,IF($AL$2&lt;101,1,IF($AL$2&lt;201,2,IF($AL$2&lt;401,3,3+($AL$2-400)/500))))</f>
        <v>0</v>
      </c>
      <c r="AL5" s="230">
        <f>IF($AL$2&lt;1,0,IF($AL$2&lt;201,1,IF($AL$2&lt;301,2,IF($AL$2&lt;401,3, IF($AL$2&lt;601,4,4+($AL$2-600)/300)))))</f>
        <v>0</v>
      </c>
      <c r="AM5" s="230">
        <f>IF($AN$2&lt;1,0,IF($AN$2&lt;26,1,IF($AN$2&lt;51,2,IF($AN$2&lt;101,3,IF($AN$2&lt;201,4,IF($AN$2&lt;301,6,IF($AN$2&lt;401,8,8+($AN$2-400)/125)))))))</f>
        <v>0</v>
      </c>
      <c r="AN5" s="230">
        <f>IF($AL$2&lt;1,0,IF($AL$2&lt;201,1,IF($AL$2&lt;401,2,IF($AL$2&lt;601,3, IF($AL$2&lt;751,4,4+($AL$2-750)/250)))))</f>
        <v>0</v>
      </c>
      <c r="AO5" s="230">
        <f>IF($AN$2&lt;1,0,IF($AN$2&lt;101,1,IF($AN$2&lt;201,2,IF($AN$2&lt;301,4,IF($AN$2&lt;501,5,IF($AN$2&lt;751,6,6+($AN$2-750)/200))))))</f>
        <v>0</v>
      </c>
      <c r="AP5" s="231">
        <v>0</v>
      </c>
      <c r="AQ5" s="230">
        <f>IF($AK$2&lt;31,0,IF($AK$2&lt;251,1,IF($AK$2&lt;501,2,IF($AK$2&lt;751,3,3+($AK$2-750)/500))))</f>
        <v>0</v>
      </c>
      <c r="AR5" s="33" t="str">
        <f>IF(AND($AK$2&lt;=30,$AK$2&gt;0),$B$74,"")</f>
        <v/>
      </c>
      <c r="AS5" s="32">
        <f t="shared" ref="AS5:AS13" si="5">IF(AK5+AM5&lt;1,AK5+AM5,IF($AK$47=1,1,AK5+AM5))</f>
        <v>0</v>
      </c>
      <c r="AT5" s="32">
        <f t="shared" ref="AT5:AT13" si="6">IF(AN5+AO5&lt;1,AN5+AO5,IF($AK$47=1,1,AN5+AO5))</f>
        <v>0</v>
      </c>
    </row>
    <row r="6" spans="1:46" ht="12" customHeight="1" x14ac:dyDescent="0.2">
      <c r="A6">
        <f t="shared" ca="1" si="0"/>
        <v>3</v>
      </c>
      <c r="B6" s="165" t="s">
        <v>149</v>
      </c>
      <c r="C6" s="223">
        <v>99911</v>
      </c>
      <c r="D6" s="223">
        <v>99902</v>
      </c>
      <c r="E6" s="223">
        <v>99903</v>
      </c>
      <c r="F6" s="223">
        <v>99914</v>
      </c>
      <c r="G6" s="223">
        <v>99915</v>
      </c>
      <c r="H6" s="223">
        <v>0</v>
      </c>
      <c r="I6" s="223">
        <v>99907</v>
      </c>
      <c r="J6" s="221"/>
      <c r="L6" s="165" t="s">
        <v>149</v>
      </c>
      <c r="M6" s="230">
        <f>IF($N$2&lt;1,0,IF($N$2&lt;51,1,IF($N$2&lt;151,2,IF($N$2&lt;301,3,IF($N$2&lt;401,4,4+($N$2-400)/250)))))</f>
        <v>0</v>
      </c>
      <c r="N6" s="230">
        <f>IF($N$2&lt;1,0,IF($N$2&lt;201,1,IF($N$2&lt;301,2,IF($N$2&lt;401,3, IF($N$2&lt;601,4,4+($N$2-600)/300)))))</f>
        <v>0</v>
      </c>
      <c r="O6" s="230">
        <f>IF($P$2&lt;1,0,IF($P$2&lt;26,1,IF($P$2&lt;51,2,IF($P$2&lt;101,3,IF($P$2&lt;201,4,IF($P$2&lt;301,6,IF($P$2&lt;401,8,8+($P$2-400)/125)))))))</f>
        <v>0</v>
      </c>
      <c r="P6" s="230">
        <f>IF($N$2&lt;1,0,IF($N$2&lt;151,1,IF($N$2&lt;201,2,IF($N$2&lt;401,3,3+($N$2-400)/250))))</f>
        <v>0</v>
      </c>
      <c r="Q6" s="230">
        <f>IF($P$2&lt;1,0,IF($P$2&lt;151,1,IF($P$2&lt;201,2,IF($P$2&lt;401,4,4+($P$2-400)/200))))</f>
        <v>0</v>
      </c>
      <c r="R6" s="231">
        <v>0</v>
      </c>
      <c r="S6" s="230">
        <f>IF($M$2&lt;31,0,IF($M$2&lt;251,1,IF($M$2&lt;501,2,IF($M$2&lt;751,3,3+($M$2-750)/500))))</f>
        <v>0</v>
      </c>
      <c r="T6" s="232" t="str">
        <f>IF(AND($M$2&lt;=30,$M$2&gt;0),$B$74,IF(S6&gt;0,$B$87,""))</f>
        <v/>
      </c>
      <c r="U6" s="32">
        <f t="shared" si="1"/>
        <v>0</v>
      </c>
      <c r="V6" s="32">
        <f t="shared" si="2"/>
        <v>0</v>
      </c>
      <c r="X6" s="165" t="s">
        <v>149</v>
      </c>
      <c r="Y6" s="230">
        <f>IF($Z$2&lt;1,0,IF($Z$2&lt;51,1,IF($Z$2&lt;151,2,IF($Z$2&lt;301,3,IF($Z$2&lt;401,4,4+($Z$2-400)/250)))))</f>
        <v>0</v>
      </c>
      <c r="Z6" s="230">
        <f>IF($Z$2&lt;1,0,IF($Z$2&lt;201,1,IF($Z$2&lt;301,2,IF($Z$2&lt;401,3, IF($Z$2&lt;601,4,4+($Z$2-600)/300)))))</f>
        <v>0</v>
      </c>
      <c r="AA6" s="230">
        <f>IF($AB$2&lt;1,0,IF($AB$2&lt;26,1,IF($AB$2&lt;51,2,IF($AB$2&lt;101,3,IF($AB$2&lt;201,4,IF($AB$2&lt;301,6,IF($AB$2&lt;401,8,8+($AB$2-400)/125)))))))</f>
        <v>0</v>
      </c>
      <c r="AB6" s="230">
        <f>IF($Z$2&lt;1,0,IF($Z$2&lt;151,1,IF($Z$2&lt;201,2,IF($Z$2&lt;401,3,3+($Z$2-400)/250))))</f>
        <v>0</v>
      </c>
      <c r="AC6" s="230">
        <f>IF($AB$2&lt;1,0,IF($AB$2&lt;151,1,IF($AB$2&lt;201,2,IF($AB$2&lt;401,4,4+($AB$2-400)/200))))</f>
        <v>0</v>
      </c>
      <c r="AD6" s="231">
        <v>0</v>
      </c>
      <c r="AE6" s="230">
        <f>IF($Y$2&lt;31,0,IF($Y$2&lt;251,1,IF($Y$2&lt;501,2,IF($Y$2&lt;751,3,3+($Y$2-750)/500))))</f>
        <v>0</v>
      </c>
      <c r="AF6" s="232" t="str">
        <f>IF(AND($Y$2&lt;=30,$Y$2&gt;0),$B$74,IF(AE6&gt;0,$B$87,""))</f>
        <v/>
      </c>
      <c r="AG6" s="32">
        <f t="shared" si="3"/>
        <v>0</v>
      </c>
      <c r="AH6" s="32">
        <f t="shared" si="4"/>
        <v>0</v>
      </c>
      <c r="AJ6" s="165" t="s">
        <v>149</v>
      </c>
      <c r="AK6" s="230">
        <f>IF($AL$2&lt;1,0,IF($AL$2&lt;51,1,IF($AL$2&lt;151,2,IF($AL$2&lt;301,3,IF($AL$2&lt;401,4,4+($AL$2-400)/250)))))</f>
        <v>0</v>
      </c>
      <c r="AL6" s="230">
        <f>IF($AL$2&lt;1,0,IF($AL$2&lt;201,1,IF($AL$2&lt;301,2,IF($AL$2&lt;401,3, IF($AL$2&lt;601,4,4+($AL$2-600)/300)))))</f>
        <v>0</v>
      </c>
      <c r="AM6" s="230">
        <f>IF($AN$2&lt;1,0,IF($AN$2&lt;26,1,IF($AN$2&lt;51,2,IF($AN$2&lt;101,3,IF($AN$2&lt;201,4,IF($AN$2&lt;301,6,IF($AN$2&lt;401,8,8+($AN$2-400)/125)))))))</f>
        <v>0</v>
      </c>
      <c r="AN6" s="230">
        <f>IF($AL$2&lt;1,0,IF($AL$2&lt;151,1,IF($AL$2&lt;201,2,IF($AL$2&lt;401,3,3+($AL$2-400)/250))))</f>
        <v>0</v>
      </c>
      <c r="AO6" s="230">
        <f>IF($AN$2&lt;1,0,IF($AN$2&lt;151,1,IF($AN$2&lt;201,2,IF($AN$2&lt;401,4,4+($AN$2-400)/200))))</f>
        <v>0</v>
      </c>
      <c r="AP6" s="231">
        <v>0</v>
      </c>
      <c r="AQ6" s="230">
        <f>IF($AK$2&lt;31,0,IF($AK$2&lt;251,1,IF($AK$2&lt;501,2,IF($AK$2&lt;751,3,3+($AK$2-750)/500))))</f>
        <v>0</v>
      </c>
      <c r="AR6" s="232" t="str">
        <f>IF(AND($AK$2&lt;=30,$AK$2&gt;0),$B$74,IF(AQ6&gt;0,$B$87,""))</f>
        <v/>
      </c>
      <c r="AS6" s="32">
        <f t="shared" si="5"/>
        <v>0</v>
      </c>
      <c r="AT6" s="32">
        <f t="shared" si="6"/>
        <v>0</v>
      </c>
    </row>
    <row r="7" spans="1:46" ht="12" customHeight="1" x14ac:dyDescent="0.2">
      <c r="A7">
        <f t="shared" ca="1" si="0"/>
        <v>4</v>
      </c>
      <c r="B7" s="165" t="s">
        <v>150</v>
      </c>
      <c r="C7" s="223">
        <v>99901</v>
      </c>
      <c r="D7" s="223">
        <v>99912</v>
      </c>
      <c r="E7" s="223">
        <v>99903</v>
      </c>
      <c r="F7" s="223">
        <v>99904</v>
      </c>
      <c r="G7" s="223">
        <v>99905</v>
      </c>
      <c r="H7" s="223">
        <v>0</v>
      </c>
      <c r="I7" s="223">
        <v>99907</v>
      </c>
      <c r="J7" s="221"/>
      <c r="L7" s="165" t="s">
        <v>150</v>
      </c>
      <c r="M7" s="230">
        <f>IF($N$2&lt;1,0,IF($N$2&lt;101,1,IF($N$2&lt;201,2,IF($N$2&lt;401,3,3+($N$2-400)/500))))</f>
        <v>0</v>
      </c>
      <c r="N7" s="230">
        <f>IF($N$2&lt;1,0,IF($N$2&lt;101,1,IF($N$2&lt;201,2,IF($N$2&lt;401,3, IF($N$2&lt;601,4,4+($N$2-600)/300)))))</f>
        <v>0</v>
      </c>
      <c r="O7" s="230">
        <f>IF($P$2&lt;1,0,IF($P$2&lt;26,1,IF($P$2&lt;51,2,IF($P$2&lt;101,3,IF($P$2&lt;201,4,IF($P$2&lt;301,6,IF($P$2&lt;401,8,8+($P$2-400)/125)))))))</f>
        <v>0</v>
      </c>
      <c r="P7" s="230">
        <f>IF($N$2&lt;1,0,IF($N$2&lt;201,1,IF($N$2&lt;401,2,IF($N$2&lt;601,3, IF($N$2&lt;751,4,4+($N$2-750)/250)))))</f>
        <v>0</v>
      </c>
      <c r="Q7" s="230">
        <f>IF($P$2&lt;1,0,IF($P$2&lt;101,1,IF($P$2&lt;201,2,IF($P$2&lt;301,4,IF($P$2&lt;501,5,IF($P$2&lt;751,6,6+($P$2-750)/200))))))</f>
        <v>0</v>
      </c>
      <c r="R7" s="231">
        <v>0</v>
      </c>
      <c r="S7" s="230">
        <f>IF($M$2&lt;31,0,IF($M$2&lt;251,1,IF($M$2&lt;501,2,IF($M$2&lt;751,3,3+($M$2-750)/500))))</f>
        <v>0</v>
      </c>
      <c r="T7" s="33" t="str">
        <f t="shared" ref="T7:T15" si="7">IF(AND($M$2&lt;=30,$M$2&gt;0),$B$74,"")</f>
        <v/>
      </c>
      <c r="U7" s="32">
        <f t="shared" si="1"/>
        <v>0</v>
      </c>
      <c r="V7" s="32">
        <f t="shared" si="2"/>
        <v>0</v>
      </c>
      <c r="X7" s="165" t="s">
        <v>150</v>
      </c>
      <c r="Y7" s="230">
        <f>IF($Z$2&lt;1,0,IF($Z$2&lt;101,1,IF($Z$2&lt;201,2,IF($Z$2&lt;401,3,3+($Z$2-400)/500))))</f>
        <v>0</v>
      </c>
      <c r="Z7" s="230">
        <f>IF($Z$2&lt;1,0,IF($Z$2&lt;101,1,IF($Z$2&lt;201,2,IF($Z$2&lt;401,3, IF($Z$2&lt;601,4,4+($Z$2-600)/300)))))</f>
        <v>0</v>
      </c>
      <c r="AA7" s="230">
        <f>IF($AB$2&lt;1,0,IF($AB$2&lt;26,1,IF($AB$2&lt;51,2,IF($AB$2&lt;101,3,IF($AB$2&lt;201,4,IF($AB$2&lt;301,6,IF($AB$2&lt;401,8,8+($AB$2-400)/125)))))))</f>
        <v>0</v>
      </c>
      <c r="AB7" s="230">
        <f>IF($Z$2&lt;1,0,IF($Z$2&lt;201,1,IF($Z$2&lt;401,2,IF($Z$2&lt;601,3, IF($Z$2&lt;751,4,4+($Z$2-750)/250)))))</f>
        <v>0</v>
      </c>
      <c r="AC7" s="230">
        <f>IF($AB$2&lt;1,0,IF($AB$2&lt;101,1,IF($AB$2&lt;201,2,IF($AB$2&lt;301,4,IF($AB$2&lt;501,5,IF($AB$2&lt;751,6,6+($AB$2-750)/200))))))</f>
        <v>0</v>
      </c>
      <c r="AD7" s="231">
        <v>0</v>
      </c>
      <c r="AE7" s="230">
        <f>IF($Y$2&lt;31,0,IF($Y$2&lt;251,1,IF($Y$2&lt;501,2,IF($Y$2&lt;751,3,3+($Y$2-750)/500))))</f>
        <v>0</v>
      </c>
      <c r="AF7" s="33" t="str">
        <f t="shared" ref="AF7:AF15" si="8">IF(AND($Y$2&lt;=30,$Y$2&gt;0),$B$74,"")</f>
        <v/>
      </c>
      <c r="AG7" s="32">
        <f t="shared" si="3"/>
        <v>0</v>
      </c>
      <c r="AH7" s="32">
        <f t="shared" si="4"/>
        <v>0</v>
      </c>
      <c r="AJ7" s="165" t="s">
        <v>150</v>
      </c>
      <c r="AK7" s="230">
        <f>IF($AL$2&lt;1,0,IF($AL$2&lt;101,1,IF($AL$2&lt;201,2,IF($AL$2&lt;401,3,3+($AL$2-400)/500))))</f>
        <v>0</v>
      </c>
      <c r="AL7" s="230">
        <f>IF($AL$2&lt;1,0,IF($AL$2&lt;101,1,IF($AL$2&lt;201,2,IF($AL$2&lt;401,3, IF($AL$2&lt;601,4,4+($AL$2-600)/300)))))</f>
        <v>0</v>
      </c>
      <c r="AM7" s="230">
        <f>IF($AN$2&lt;1,0,IF($AN$2&lt;26,1,IF($AN$2&lt;51,2,IF($AN$2&lt;101,3,IF($AN$2&lt;201,4,IF($AN$2&lt;301,6,IF($AN$2&lt;401,8,8+($AN$2-400)/125)))))))</f>
        <v>0</v>
      </c>
      <c r="AN7" s="230">
        <f>IF($AL$2&lt;1,0,IF($AL$2&lt;201,1,IF($AL$2&lt;401,2,IF($AL$2&lt;601,3, IF($AL$2&lt;751,4,4+($AL$2-750)/250)))))</f>
        <v>0</v>
      </c>
      <c r="AO7" s="230">
        <f>IF($AN$2&lt;1,0,IF($AN$2&lt;101,1,IF($AN$2&lt;201,2,IF($AN$2&lt;301,4,IF($AN$2&lt;501,5,IF($AN$2&lt;751,6,6+($AN$2-750)/200))))))</f>
        <v>0</v>
      </c>
      <c r="AP7" s="231">
        <v>0</v>
      </c>
      <c r="AQ7" s="230">
        <f>IF($AK$2&lt;31,0,IF($AK$2&lt;251,1,IF($AK$2&lt;501,2,IF($AK$2&lt;751,3,3+($AK$2-750)/500))))</f>
        <v>0</v>
      </c>
      <c r="AR7" s="33" t="str">
        <f t="shared" ref="AR7:AR15" si="9">IF(AND($AK$2&lt;=30,$AK$2&gt;0),$B$74,"")</f>
        <v/>
      </c>
      <c r="AS7" s="32">
        <f t="shared" si="5"/>
        <v>0</v>
      </c>
      <c r="AT7" s="32">
        <f t="shared" si="6"/>
        <v>0</v>
      </c>
    </row>
    <row r="8" spans="1:46" ht="12" customHeight="1" x14ac:dyDescent="0.2">
      <c r="A8">
        <f t="shared" ca="1" si="0"/>
        <v>5</v>
      </c>
      <c r="B8" s="165" t="s">
        <v>151</v>
      </c>
      <c r="C8" s="223">
        <v>99901</v>
      </c>
      <c r="D8" s="223">
        <v>99912</v>
      </c>
      <c r="E8" s="223">
        <v>99903</v>
      </c>
      <c r="F8" s="223">
        <v>99908</v>
      </c>
      <c r="G8" s="223">
        <v>99905</v>
      </c>
      <c r="H8" s="223">
        <v>0</v>
      </c>
      <c r="I8" s="223">
        <v>99907</v>
      </c>
      <c r="J8" s="221"/>
      <c r="L8" s="165" t="s">
        <v>151</v>
      </c>
      <c r="M8" s="230">
        <f>IF($N$2&lt;1,0,IF($N$2&lt;101,1,IF($N$2&lt;201,2,IF($N$2&lt;401,3,3+($N$2-400)/500))))</f>
        <v>0</v>
      </c>
      <c r="N8" s="230">
        <f>IF($N$2&lt;1,0,IF($N$2&lt;101,1,IF($N$2&lt;201,2,IF($N$2&lt;401,3, IF($N$2&lt;601,4,4+($N$2-600)/300)))))</f>
        <v>0</v>
      </c>
      <c r="O8" s="230">
        <f>IF($P$2&lt;1,0,IF($P$2&lt;26,1,IF($P$2&lt;51,2,IF($P$2&lt;101,3,IF($P$2&lt;201,4,IF($P$2&lt;301,6,IF($P$2&lt;401,8,8+($P$2-400)/125)))))))</f>
        <v>0</v>
      </c>
      <c r="P8" s="230">
        <f>IF($N$2&lt;1,0,IF($N$2&lt;201,1,IF($N$2&lt;401,2,IF($N$2&lt;751,3,3+($N$2-751)/250))))</f>
        <v>0</v>
      </c>
      <c r="Q8" s="230">
        <f>IF($P$2&lt;1,0,IF($P$2&lt;101,1,IF($P$2&lt;201,2,IF($P$2&lt;301,4,IF($P$2&lt;501,5,IF($P$2&lt;751,6,6+($P$2-750)/200))))))</f>
        <v>0</v>
      </c>
      <c r="R8" s="231">
        <v>0</v>
      </c>
      <c r="S8" s="230">
        <f>IF($M$2&lt;31,0,IF($M$2&lt;251,1,IF($M$2&lt;501,2,IF($M$2&lt;751,3,3+($M$2-750)/500))))</f>
        <v>0</v>
      </c>
      <c r="T8" s="33" t="str">
        <f t="shared" si="7"/>
        <v/>
      </c>
      <c r="U8" s="32">
        <f t="shared" si="1"/>
        <v>0</v>
      </c>
      <c r="V8" s="32">
        <f t="shared" si="2"/>
        <v>0</v>
      </c>
      <c r="X8" s="165" t="s">
        <v>151</v>
      </c>
      <c r="Y8" s="230">
        <f>IF($Z$2&lt;1,0,IF($Z$2&lt;101,1,IF($Z$2&lt;201,2,IF($Z$2&lt;401,3,3+($Z$2-400)/500))))</f>
        <v>0</v>
      </c>
      <c r="Z8" s="230">
        <f>IF($Z$2&lt;1,0,IF($Z$2&lt;101,1,IF($Z$2&lt;201,2,IF($Z$2&lt;401,3, IF($Z$2&lt;601,4,4+($Z$2-600)/300)))))</f>
        <v>0</v>
      </c>
      <c r="AA8" s="230">
        <f>IF($AB$2&lt;1,0,IF($AB$2&lt;26,1,IF($AB$2&lt;51,2,IF($AB$2&lt;101,3,IF($AB$2&lt;201,4,IF($AB$2&lt;301,6,IF($AB$2&lt;401,8,8+($AB$2-400)/125)))))))</f>
        <v>0</v>
      </c>
      <c r="AB8" s="230">
        <f>IF($Z$2&lt;1,0,IF($Z$2&lt;201,1,IF($Z$2&lt;401,2,IF($Z$2&lt;751,3,3+($Z$2-751)/250))))</f>
        <v>0</v>
      </c>
      <c r="AC8" s="230">
        <f>IF($AB$2&lt;1,0,IF($AB$2&lt;101,1,IF($AB$2&lt;201,2,IF($AB$2&lt;301,4,IF($AB$2&lt;501,5,IF($AB$2&lt;751,6,6+($AB$2-750)/200))))))</f>
        <v>0</v>
      </c>
      <c r="AD8" s="231">
        <v>0</v>
      </c>
      <c r="AE8" s="230">
        <f>IF($Y$2&lt;31,0,IF($Y$2&lt;251,1,IF($Y$2&lt;501,2,IF($Y$2&lt;751,3,3+($Y$2-750)/500))))</f>
        <v>0</v>
      </c>
      <c r="AF8" s="33" t="str">
        <f t="shared" si="8"/>
        <v/>
      </c>
      <c r="AG8" s="32">
        <f t="shared" si="3"/>
        <v>0</v>
      </c>
      <c r="AH8" s="32">
        <f t="shared" si="4"/>
        <v>0</v>
      </c>
      <c r="AJ8" s="165" t="s">
        <v>151</v>
      </c>
      <c r="AK8" s="230">
        <f>IF($AL$2&lt;1,0,IF($AL$2&lt;101,1,IF($AL$2&lt;201,2,IF($AL$2&lt;401,3,3+($AL$2-400)/500))))</f>
        <v>0</v>
      </c>
      <c r="AL8" s="230">
        <f>IF($AL$2&lt;1,0,IF($AL$2&lt;101,1,IF($AL$2&lt;201,2,IF($AL$2&lt;401,3, IF($AL$2&lt;601,4,4+($AL$2-600)/300)))))</f>
        <v>0</v>
      </c>
      <c r="AM8" s="230">
        <f>IF($AN$2&lt;1,0,IF($AN$2&lt;26,1,IF($AN$2&lt;51,2,IF($AN$2&lt;101,3,IF($AN$2&lt;201,4,IF($AN$2&lt;301,6,IF($AN$2&lt;401,8,8+($AN$2-400)/125)))))))</f>
        <v>0</v>
      </c>
      <c r="AN8" s="230">
        <f>IF($AL$2&lt;1,0,IF($AL$2&lt;201,1,IF($AL$2&lt;401,2,IF($AL$2&lt;751,3,3+($AL$2-751)/250))))</f>
        <v>0</v>
      </c>
      <c r="AO8" s="230">
        <f>IF($AN$2&lt;1,0,IF($AN$2&lt;101,1,IF($AN$2&lt;201,2,IF($AN$2&lt;301,4,IF($AN$2&lt;501,5,IF($AN$2&lt;751,6,6+($AN$2-750)/200))))))</f>
        <v>0</v>
      </c>
      <c r="AP8" s="231">
        <v>0</v>
      </c>
      <c r="AQ8" s="230">
        <f>IF($AK$2&lt;31,0,IF($AK$2&lt;251,1,IF($AK$2&lt;501,2,IF($AK$2&lt;751,3,3+($AK$2-750)/500))))</f>
        <v>0</v>
      </c>
      <c r="AR8" s="33" t="str">
        <f t="shared" si="9"/>
        <v/>
      </c>
      <c r="AS8" s="32">
        <f t="shared" si="5"/>
        <v>0</v>
      </c>
      <c r="AT8" s="32">
        <f t="shared" si="6"/>
        <v>0</v>
      </c>
    </row>
    <row r="9" spans="1:46" ht="12" customHeight="1" x14ac:dyDescent="0.2">
      <c r="A9">
        <f t="shared" ca="1" si="0"/>
        <v>6</v>
      </c>
      <c r="B9" s="165" t="s">
        <v>152</v>
      </c>
      <c r="C9" s="223">
        <v>99901</v>
      </c>
      <c r="D9" s="223">
        <v>99912</v>
      </c>
      <c r="E9" s="223">
        <v>99903</v>
      </c>
      <c r="F9" s="223">
        <v>99908</v>
      </c>
      <c r="G9" s="223">
        <v>99905</v>
      </c>
      <c r="H9" s="223">
        <v>0</v>
      </c>
      <c r="I9" s="223">
        <v>99907</v>
      </c>
      <c r="J9" s="221"/>
      <c r="L9" s="165" t="s">
        <v>152</v>
      </c>
      <c r="M9" s="230">
        <f>IF($N$2&lt;1,0,IF($N$2&lt;101,1,IF($N$2&lt;201,2,IF($N$2&lt;401,3,3+($N$2-400)/500))))</f>
        <v>0</v>
      </c>
      <c r="N9" s="230">
        <f>IF($N$2&lt;1,0,IF($N$2&lt;101,1,IF($N$2&lt;201,2,IF($N$2&lt;401,3, IF($N$2&lt;601,4,4+($N$2-600)/300)))))</f>
        <v>0</v>
      </c>
      <c r="O9" s="230">
        <f>IF($P$2&lt;1,0,IF($P$2&lt;26,1,IF($P$2&lt;51,2,IF($P$2&lt;101,3,IF($P$2&lt;201,4,IF($P$2&lt;301,6,IF($P$2&lt;401,8,8+($P$2-400)/125)))))))</f>
        <v>0</v>
      </c>
      <c r="P9" s="230">
        <f>IF($N$2&lt;1,0,IF($N$2&lt;201,1,IF($N$2&lt;401,2,IF($N$2&lt;751,3,3+($N$2-750)/250))))</f>
        <v>0</v>
      </c>
      <c r="Q9" s="230">
        <f>IF($P$2&lt;1,0,IF($P$2&lt;101,1,IF($P$2&lt;201,2,IF($P$2&lt;301,4,IF($P$2&lt;501,5,IF($P$2&lt;751,6,6+($P$2-750)/200))))))</f>
        <v>0</v>
      </c>
      <c r="R9" s="231">
        <v>0</v>
      </c>
      <c r="S9" s="230">
        <f>IF($M$2&lt;31,0,IF($M$2&lt;251,1,IF($M$2&lt;501,2,IF($M$2&lt;751,3,3+($M$2-750)/500))))</f>
        <v>0</v>
      </c>
      <c r="T9" s="33" t="str">
        <f t="shared" si="7"/>
        <v/>
      </c>
      <c r="U9" s="32">
        <f t="shared" si="1"/>
        <v>0</v>
      </c>
      <c r="V9" s="32">
        <f t="shared" si="2"/>
        <v>0</v>
      </c>
      <c r="X9" s="165" t="s">
        <v>152</v>
      </c>
      <c r="Y9" s="230">
        <f>IF($Z$2&lt;1,0,IF($Z$2&lt;101,1,IF($Z$2&lt;201,2,IF($Z$2&lt;401,3,3+($Z$2-400)/500))))</f>
        <v>0</v>
      </c>
      <c r="Z9" s="230">
        <f>IF($Z$2&lt;1,0,IF($Z$2&lt;101,1,IF($Z$2&lt;201,2,IF($Z$2&lt;401,3, IF($Z$2&lt;601,4,4+($Z$2-600)/300)))))</f>
        <v>0</v>
      </c>
      <c r="AA9" s="230">
        <f>IF($AB$2&lt;1,0,IF($AB$2&lt;26,1,IF($AB$2&lt;51,2,IF($AB$2&lt;101,3,IF($AB$2&lt;201,4,IF($AB$2&lt;301,6,IF($AB$2&lt;401,8,8+($AB$2-400)/125)))))))</f>
        <v>0</v>
      </c>
      <c r="AB9" s="230">
        <f>IF($Z$2&lt;1,0,IF($Z$2&lt;201,1,IF($Z$2&lt;401,2,IF($Z$2&lt;751,3,3+($Z$2-750)/250))))</f>
        <v>0</v>
      </c>
      <c r="AC9" s="230">
        <f>IF($AB$2&lt;1,0,IF($AB$2&lt;101,1,IF($AB$2&lt;201,2,IF($AB$2&lt;301,4,IF($AB$2&lt;501,5,IF($AB$2&lt;751,6,6+($AB$2-750)/200))))))</f>
        <v>0</v>
      </c>
      <c r="AD9" s="231">
        <v>0</v>
      </c>
      <c r="AE9" s="230">
        <f>IF($Y$2&lt;31,0,IF($Y$2&lt;251,1,IF($Y$2&lt;501,2,IF($Y$2&lt;751,3,3+($Y$2-750)/500))))</f>
        <v>0</v>
      </c>
      <c r="AF9" s="33" t="str">
        <f t="shared" si="8"/>
        <v/>
      </c>
      <c r="AG9" s="32">
        <f t="shared" si="3"/>
        <v>0</v>
      </c>
      <c r="AH9" s="32">
        <f t="shared" si="4"/>
        <v>0</v>
      </c>
      <c r="AJ9" s="165" t="s">
        <v>152</v>
      </c>
      <c r="AK9" s="230">
        <f>IF($AL$2&lt;1,0,IF($AL$2&lt;101,1,IF($AL$2&lt;201,2,IF($AL$2&lt;401,3,3+($AL$2-400)/500))))</f>
        <v>0</v>
      </c>
      <c r="AL9" s="230">
        <f>IF($AL$2&lt;1,0,IF($AL$2&lt;101,1,IF($AL$2&lt;201,2,IF($AL$2&lt;401,3, IF($AL$2&lt;601,4,4+($AL$2-600)/300)))))</f>
        <v>0</v>
      </c>
      <c r="AM9" s="230">
        <f>IF($AN$2&lt;1,0,IF($AN$2&lt;26,1,IF($AN$2&lt;51,2,IF($AN$2&lt;101,3,IF($AN$2&lt;201,4,IF($AN$2&lt;301,6,IF($AN$2&lt;401,8,8+($AN$2-400)/125)))))))</f>
        <v>0</v>
      </c>
      <c r="AN9" s="230">
        <f>IF($AL$2&lt;1,0,IF($AL$2&lt;201,1,IF($AL$2&lt;401,2,IF($AL$2&lt;751,3,3+($AL$2-750)/250))))</f>
        <v>0</v>
      </c>
      <c r="AO9" s="230">
        <f>IF($AN$2&lt;1,0,IF($AN$2&lt;101,1,IF($AN$2&lt;201,2,IF($AN$2&lt;301,4,IF($AN$2&lt;501,5,IF($AN$2&lt;751,6,6+($AN$2-750)/200))))))</f>
        <v>0</v>
      </c>
      <c r="AP9" s="231">
        <v>0</v>
      </c>
      <c r="AQ9" s="230">
        <f>IF($AK$2&lt;31,0,IF($AK$2&lt;251,1,IF($AK$2&lt;501,2,IF($AK$2&lt;751,3,3+($AK$2-750)/500))))</f>
        <v>0</v>
      </c>
      <c r="AR9" s="33" t="str">
        <f t="shared" si="9"/>
        <v/>
      </c>
      <c r="AS9" s="32">
        <f t="shared" si="5"/>
        <v>0</v>
      </c>
      <c r="AT9" s="32">
        <f t="shared" si="6"/>
        <v>0</v>
      </c>
    </row>
    <row r="10" spans="1:46" ht="12" customHeight="1" x14ac:dyDescent="0.2">
      <c r="A10">
        <f t="shared" ca="1" si="0"/>
        <v>7</v>
      </c>
      <c r="B10" s="165" t="s">
        <v>153</v>
      </c>
      <c r="C10" s="223">
        <v>99921</v>
      </c>
      <c r="D10" s="223">
        <v>99912</v>
      </c>
      <c r="E10" s="223">
        <v>99923</v>
      </c>
      <c r="F10" s="223">
        <v>99924</v>
      </c>
      <c r="G10" s="223">
        <v>99925</v>
      </c>
      <c r="H10" s="223">
        <v>0</v>
      </c>
      <c r="I10" s="225">
        <v>6.6666666666666671E-3</v>
      </c>
      <c r="J10" s="221"/>
      <c r="L10" s="165" t="s">
        <v>153</v>
      </c>
      <c r="M10" s="230">
        <f>IF($N$2&lt;1,0,IF($N$2&lt;51,1,IF($N$2&lt;101,2,IF($N$2&lt;201,3,IF($N$2&lt;401,4,4+($N$2-400)/500)))))</f>
        <v>0</v>
      </c>
      <c r="N10" s="230">
        <f>IF($N$2&lt;1,0,IF($N$2&lt;101,1,IF($N$2&lt;201,2,IF($N$2&lt;401,3, IF($N$2&lt;601,4,4+($N$2-600)/300)))))</f>
        <v>0</v>
      </c>
      <c r="O10" s="230">
        <f>IF($P$2&lt;1,0,IF($P$2&lt;16,1,IF($P$2&lt;31,2,IF($P$2&lt;51,3,IF($P$2&lt;101,4,IF($P$2&lt;201,8,IF($P$2&lt;401,11,11+($P$2-400)/150)))))))</f>
        <v>0</v>
      </c>
      <c r="P10" s="230">
        <f>IF($N$2&lt;1,0,IF($N$2&lt;76,1,IF($N$2&lt;151,2,IF($N$2&lt;201,3, IF($N$2&lt;301,4,IF($N$2&lt;401,5,5+($N$2-400)/250))))))</f>
        <v>0</v>
      </c>
      <c r="Q10" s="230">
        <f>IF($P$2&lt;1,0,IF($P$2&lt;51,1,IF($P$2&lt;101,2,IF($P$2&lt;151,3,IF($P$2&lt;201,4,IF($P$2&lt;301,5,IF($P$2&lt;401,6,6+($P$2-400)/200)))))))</f>
        <v>0</v>
      </c>
      <c r="R10" s="231">
        <v>0</v>
      </c>
      <c r="S10" s="143">
        <f>IF($M$2&lt;=30,0,$M$2*$I10)</f>
        <v>0</v>
      </c>
      <c r="T10" s="33" t="str">
        <f t="shared" si="7"/>
        <v/>
      </c>
      <c r="U10" s="32">
        <f t="shared" si="1"/>
        <v>0</v>
      </c>
      <c r="V10" s="32">
        <f t="shared" si="2"/>
        <v>0</v>
      </c>
      <c r="X10" s="165" t="s">
        <v>153</v>
      </c>
      <c r="Y10" s="230">
        <f>IF($Z$2&lt;1,0,IF($Z$2&lt;51,1,IF($Z$2&lt;101,2,IF($Z$2&lt;201,3,IF($Z$2&lt;401,4,4+($Z$2-400)/500)))))</f>
        <v>0</v>
      </c>
      <c r="Z10" s="230">
        <f>IF($Z$2&lt;1,0,IF($Z$2&lt;101,1,IF($Z$2&lt;201,2,IF($Z$2&lt;401,3, IF($Z$2&lt;601,4,4+($Z$2-600)/300)))))</f>
        <v>0</v>
      </c>
      <c r="AA10" s="230">
        <f>IF($AB$2&lt;1,0,IF($AB$2&lt;16,1,IF($AB$2&lt;31,2,IF($AB$2&lt;51,3,IF($AB$2&lt;101,4,IF($AB$2&lt;201,8,IF($AB$2&lt;401,11,11+($AB$2-400)/150)))))))</f>
        <v>0</v>
      </c>
      <c r="AB10" s="230">
        <f>IF($Z$2&lt;1,0,IF($Z$2&lt;76,1,IF($Z$2&lt;151,2,IF($Z$2&lt;201,3, IF($Z$2&lt;301,4,IF($Z$2&lt;401,5,5+($Z$2-400)/250))))))</f>
        <v>0</v>
      </c>
      <c r="AC10" s="230">
        <f>IF($AB$2&lt;1,0,IF($AB$2&lt;51,1,IF($AB$2&lt;101,2,IF($AB$2&lt;151,3,IF($AB$2&lt;201,4,IF($AB$2&lt;301,5,IF($AB$2&lt;401,6,6+($AB$2-400)/200)))))))</f>
        <v>0</v>
      </c>
      <c r="AD10" s="231">
        <v>0</v>
      </c>
      <c r="AE10" s="143">
        <f>IF($Y$2&lt;=30,0,$Y$2*$I10)</f>
        <v>0</v>
      </c>
      <c r="AF10" s="33" t="str">
        <f t="shared" si="8"/>
        <v/>
      </c>
      <c r="AG10" s="32">
        <f t="shared" si="3"/>
        <v>0</v>
      </c>
      <c r="AH10" s="32">
        <f t="shared" si="4"/>
        <v>0</v>
      </c>
      <c r="AJ10" s="165" t="s">
        <v>153</v>
      </c>
      <c r="AK10" s="230">
        <f>IF($AL$2&lt;1,0,IF($AL$2&lt;51,1,IF($AL$2&lt;101,2,IF($AL$2&lt;201,3,IF($AL$2&lt;401,4,4+($AL$2-400)/500)))))</f>
        <v>0</v>
      </c>
      <c r="AL10" s="230">
        <f>IF($AL$2&lt;1,0,IF($AL$2&lt;101,1,IF($AL$2&lt;201,2,IF($AL$2&lt;401,3, IF($AL$2&lt;601,4,4+($AL$2-600)/300)))))</f>
        <v>0</v>
      </c>
      <c r="AM10" s="230">
        <f>IF($AN$2&lt;1,0,IF($AN$2&lt;16,1,IF($AN$2&lt;31,2,IF($AN$2&lt;51,3,IF($AN$2&lt;101,4,IF($AN$2&lt;201,8,IF($AN$2&lt;401,11,11+($AN$2-400)/150)))))))</f>
        <v>0</v>
      </c>
      <c r="AN10" s="230">
        <f>IF($AL$2&lt;1,0,IF($AL$2&lt;76,1,IF($AL$2&lt;151,2,IF($AL$2&lt;201,3, IF($AL$2&lt;301,4,IF($AL$2&lt;401,5,5+($AL$2-400)/250))))))</f>
        <v>0</v>
      </c>
      <c r="AO10" s="230">
        <f>IF($AN$2&lt;1,0,IF($AN$2&lt;51,1,IF($AN$2&lt;101,2,IF($AN$2&lt;151,3,IF($AN$2&lt;201,4,IF($AN$2&lt;301,5,IF($AN$2&lt;401,6,6+($AN$2-400)/200)))))))</f>
        <v>0</v>
      </c>
      <c r="AP10" s="231">
        <v>0</v>
      </c>
      <c r="AQ10" s="143">
        <f>IF($AK$2&lt;=30,0,$AK$2*$I10)</f>
        <v>0</v>
      </c>
      <c r="AR10" s="33" t="str">
        <f t="shared" si="9"/>
        <v/>
      </c>
      <c r="AS10" s="32">
        <f t="shared" si="5"/>
        <v>0</v>
      </c>
      <c r="AT10" s="32">
        <f t="shared" si="6"/>
        <v>0</v>
      </c>
    </row>
    <row r="11" spans="1:46" ht="12" customHeight="1" x14ac:dyDescent="0.2">
      <c r="A11">
        <f t="shared" ca="1" si="0"/>
        <v>8</v>
      </c>
      <c r="B11" s="165" t="s">
        <v>154</v>
      </c>
      <c r="C11" s="224">
        <v>0.02</v>
      </c>
      <c r="D11" s="224">
        <v>0.01</v>
      </c>
      <c r="E11" s="224">
        <v>3.3333333333333333E-2</v>
      </c>
      <c r="F11" s="225">
        <v>2.5000000000000001E-2</v>
      </c>
      <c r="G11" s="225">
        <v>2.5000000000000001E-2</v>
      </c>
      <c r="H11" s="223">
        <v>0</v>
      </c>
      <c r="I11" s="225">
        <v>6.6666666666666671E-3</v>
      </c>
      <c r="J11" s="221"/>
      <c r="L11" s="165" t="s">
        <v>154</v>
      </c>
      <c r="M11" s="233">
        <f>$N$2*$C11</f>
        <v>0</v>
      </c>
      <c r="N11" s="234">
        <f>$N$2*$D11</f>
        <v>0</v>
      </c>
      <c r="O11" s="233">
        <f>$P$2*$E11</f>
        <v>0</v>
      </c>
      <c r="P11" s="233">
        <f>$N$2*$F11</f>
        <v>0</v>
      </c>
      <c r="Q11" s="233">
        <f>$P$2*$G11</f>
        <v>0</v>
      </c>
      <c r="R11" s="231">
        <v>0</v>
      </c>
      <c r="S11" s="143">
        <f>IF($M$2&lt;=30,0,$M$2*$I11)</f>
        <v>0</v>
      </c>
      <c r="T11" s="33" t="str">
        <f t="shared" si="7"/>
        <v/>
      </c>
      <c r="U11" s="32">
        <f t="shared" si="1"/>
        <v>0</v>
      </c>
      <c r="V11" s="32">
        <f t="shared" si="2"/>
        <v>0</v>
      </c>
      <c r="X11" s="165" t="s">
        <v>154</v>
      </c>
      <c r="Y11" s="233">
        <f>$Z$2*$C11</f>
        <v>0</v>
      </c>
      <c r="Z11" s="234">
        <f>$Z$2*$D11</f>
        <v>0</v>
      </c>
      <c r="AA11" s="233">
        <f>$AB$2*$E11</f>
        <v>0</v>
      </c>
      <c r="AB11" s="233">
        <f>$Z$2*$F11</f>
        <v>0</v>
      </c>
      <c r="AC11" s="233">
        <f>$AB$2*$G11</f>
        <v>0</v>
      </c>
      <c r="AD11" s="231">
        <v>0</v>
      </c>
      <c r="AE11" s="143">
        <f>IF($Y$2&lt;=30,0,$Y$2*$I11)</f>
        <v>0</v>
      </c>
      <c r="AF11" s="33" t="str">
        <f t="shared" si="8"/>
        <v/>
      </c>
      <c r="AG11" s="32">
        <f t="shared" si="3"/>
        <v>0</v>
      </c>
      <c r="AH11" s="32">
        <f t="shared" si="4"/>
        <v>0</v>
      </c>
      <c r="AJ11" s="165" t="s">
        <v>154</v>
      </c>
      <c r="AK11" s="233">
        <f>$AL$2*$C11</f>
        <v>0</v>
      </c>
      <c r="AL11" s="234">
        <f>$AL$2*$D11</f>
        <v>0</v>
      </c>
      <c r="AM11" s="233">
        <f>$AN$2*$E11</f>
        <v>0</v>
      </c>
      <c r="AN11" s="233">
        <f>$AL$2*$F11</f>
        <v>0</v>
      </c>
      <c r="AO11" s="233">
        <f>$AN$2*$G11</f>
        <v>0</v>
      </c>
      <c r="AP11" s="231">
        <v>0</v>
      </c>
      <c r="AQ11" s="143">
        <f>IF($AK$2&lt;=30,0,$AK$2*$I11)</f>
        <v>0</v>
      </c>
      <c r="AR11" s="33" t="str">
        <f t="shared" si="9"/>
        <v/>
      </c>
      <c r="AS11" s="32">
        <f t="shared" si="5"/>
        <v>0</v>
      </c>
      <c r="AT11" s="32">
        <f t="shared" si="6"/>
        <v>0</v>
      </c>
    </row>
    <row r="12" spans="1:46" ht="12" customHeight="1" x14ac:dyDescent="0.2">
      <c r="A12">
        <f t="shared" ca="1" si="0"/>
        <v>9</v>
      </c>
      <c r="B12" s="165" t="s">
        <v>155</v>
      </c>
      <c r="C12" s="223">
        <v>99909</v>
      </c>
      <c r="D12" s="223">
        <v>0</v>
      </c>
      <c r="E12" s="223">
        <v>99909</v>
      </c>
      <c r="F12" s="223">
        <v>99910</v>
      </c>
      <c r="G12" s="223">
        <v>99910</v>
      </c>
      <c r="H12" s="143">
        <v>99906</v>
      </c>
      <c r="I12" s="223">
        <v>99907</v>
      </c>
      <c r="J12" s="221"/>
      <c r="L12" s="165" t="s">
        <v>155</v>
      </c>
      <c r="M12" s="230">
        <f>IF($N$2&lt;1,0,IF($N$2&lt;51,1,IF($N$2&lt;76,2,IF($N$2&lt;101,3,3+($N$2-100)/40))))</f>
        <v>0</v>
      </c>
      <c r="N12" s="234">
        <f>$N$2*$D12</f>
        <v>0</v>
      </c>
      <c r="O12" s="230">
        <f>IF($P$2&lt;1,0,IF($P$2&lt;51,1,IF($P$2&lt;76,2,IF($P$2&lt;101,3,3+($P$2-100)/40))))</f>
        <v>0</v>
      </c>
      <c r="P12" s="230">
        <f>IF($N$2&lt;1,0,IF($N$2&lt;51,1,IF($N$2&lt;76,2,IF($N$2&lt;101,3,3+($N$2-100)/40))))</f>
        <v>0</v>
      </c>
      <c r="Q12" s="230">
        <f>IF($P$2&lt;1,0,IF($P$2&lt;51,1,IF($P$2&lt;76,2,IF($P$2&lt;101,3,3+($P$2-100)/40))))</f>
        <v>0</v>
      </c>
      <c r="R12" s="231">
        <v>0</v>
      </c>
      <c r="S12" s="230">
        <f>IF($M$2&lt;31,0,IF($M$2&lt;251,1,IF($M$2&lt;501,2,IF($M$2&lt;751,3,3+($M$2-750)/500))))</f>
        <v>0</v>
      </c>
      <c r="T12" s="33" t="str">
        <f t="shared" si="7"/>
        <v/>
      </c>
      <c r="U12" s="32">
        <f t="shared" si="1"/>
        <v>0</v>
      </c>
      <c r="V12" s="32">
        <f t="shared" si="2"/>
        <v>0</v>
      </c>
      <c r="X12" s="165" t="s">
        <v>155</v>
      </c>
      <c r="Y12" s="230">
        <f>IF($Z$2&lt;1,0,IF($Z$2&lt;51,1,IF($Z$2&lt;76,2,IF($Z$2&lt;101,3,3+($Z$2-100)/40))))</f>
        <v>0</v>
      </c>
      <c r="Z12" s="234">
        <f>$Z$2*$D12</f>
        <v>0</v>
      </c>
      <c r="AA12" s="230">
        <f>IF($AB$2&lt;1,0,IF($AB$2&lt;51,1,IF($AB$2&lt;76,2,IF($AB$2&lt;101,3,3+($AB$2-100)/40))))</f>
        <v>0</v>
      </c>
      <c r="AB12" s="230">
        <f>IF($Z$2&lt;1,0,IF($Z$2&lt;51,1,IF($Z$2&lt;76,2,IF($Z$2&lt;101,3,3+($Z$2-100)/40))))</f>
        <v>0</v>
      </c>
      <c r="AC12" s="230">
        <f>IF($AB$2&lt;1,0,IF($AB$2&lt;51,1,IF($AB$2&lt;76,2,IF($AB$2&lt;101,3,3+($AB$2-100)/40))))</f>
        <v>0</v>
      </c>
      <c r="AD12" s="231">
        <v>0</v>
      </c>
      <c r="AE12" s="230">
        <f>IF($Y$2&lt;31,0,IF($Y$2&lt;251,1,IF($Y$2&lt;501,2,IF($Y$2&lt;751,3,3+($Y$2-750)/500))))</f>
        <v>0</v>
      </c>
      <c r="AF12" s="33" t="str">
        <f t="shared" si="8"/>
        <v/>
      </c>
      <c r="AG12" s="32">
        <f t="shared" si="3"/>
        <v>0</v>
      </c>
      <c r="AH12" s="32">
        <f t="shared" si="4"/>
        <v>0</v>
      </c>
      <c r="AJ12" s="165" t="s">
        <v>155</v>
      </c>
      <c r="AK12" s="230">
        <f>IF($AL$2&lt;1,0,IF($AL$2&lt;51,1,IF($AL$2&lt;76,2,IF($AL$2&lt;101,3,3+($AL$2-100)/40))))</f>
        <v>0</v>
      </c>
      <c r="AL12" s="234">
        <f>$AL$2*$D12</f>
        <v>0</v>
      </c>
      <c r="AM12" s="230">
        <f>IF($AN$2&lt;1,0,IF($AN$2&lt;51,1,IF($AN$2&lt;76,2,IF($AN$2&lt;101,3,3+($AN$2-100)/40))))</f>
        <v>0</v>
      </c>
      <c r="AN12" s="230">
        <f>IF($AL$2&lt;1,0,IF($AL$2&lt;51,1,IF($AL$2&lt;76,2,IF($AL$2&lt;101,3,3+($AL$2-100)/40))))</f>
        <v>0</v>
      </c>
      <c r="AO12" s="230">
        <f>IF($AN$2&lt;1,0,IF($AN$2&lt;51,1,IF($AN$2&lt;76,2,IF($AN$2&lt;101,3,3+($AN$2-100)/40))))</f>
        <v>0</v>
      </c>
      <c r="AP12" s="231">
        <v>0</v>
      </c>
      <c r="AQ12" s="230">
        <f>IF($AK$2&lt;31,0,IF($AK$2&lt;251,1,IF($AK$2&lt;501,2,IF($AK$2&lt;751,3,3+($AK$2-750)/500))))</f>
        <v>0</v>
      </c>
      <c r="AR12" s="33" t="str">
        <f t="shared" si="9"/>
        <v/>
      </c>
      <c r="AS12" s="32">
        <f t="shared" si="5"/>
        <v>0</v>
      </c>
      <c r="AT12" s="32">
        <f t="shared" si="6"/>
        <v>0</v>
      </c>
    </row>
    <row r="13" spans="1:46" ht="12" customHeight="1" x14ac:dyDescent="0.2">
      <c r="A13">
        <f t="shared" ca="1" si="0"/>
        <v>10</v>
      </c>
      <c r="B13" s="165" t="s">
        <v>156</v>
      </c>
      <c r="C13" s="223">
        <v>0.125</v>
      </c>
      <c r="D13" s="223">
        <v>0</v>
      </c>
      <c r="E13" s="223">
        <v>0.125</v>
      </c>
      <c r="F13" s="223">
        <v>0.1</v>
      </c>
      <c r="G13" s="223">
        <v>0.1</v>
      </c>
      <c r="H13" s="223">
        <v>0.05</v>
      </c>
      <c r="I13" s="225">
        <v>6.6666666666666671E-3</v>
      </c>
      <c r="J13" s="221"/>
      <c r="L13" s="165" t="s">
        <v>156</v>
      </c>
      <c r="M13" s="230">
        <f>$N$2*$C13</f>
        <v>0</v>
      </c>
      <c r="N13" s="234">
        <f>$N$2*$D13</f>
        <v>0</v>
      </c>
      <c r="O13" s="233">
        <f>$P$2*$E13</f>
        <v>0</v>
      </c>
      <c r="P13" s="233">
        <f>$N$2*$F13</f>
        <v>0</v>
      </c>
      <c r="Q13" s="233">
        <f>$P$2*$G13</f>
        <v>0</v>
      </c>
      <c r="R13" s="39">
        <f>$M$2*$H$13</f>
        <v>0</v>
      </c>
      <c r="S13" s="143">
        <f>IF($M$2&lt;=30,0,$M$2*$I13)</f>
        <v>0</v>
      </c>
      <c r="T13" s="33" t="str">
        <f t="shared" si="7"/>
        <v/>
      </c>
      <c r="U13" s="32">
        <f t="shared" si="1"/>
        <v>0</v>
      </c>
      <c r="V13" s="32">
        <f t="shared" si="2"/>
        <v>0</v>
      </c>
      <c r="X13" s="165" t="s">
        <v>156</v>
      </c>
      <c r="Y13" s="230">
        <f>$Z$2*$C13</f>
        <v>0</v>
      </c>
      <c r="Z13" s="234">
        <f>$Z$2*$D13</f>
        <v>0</v>
      </c>
      <c r="AA13" s="233">
        <f>$AB$2*$E13</f>
        <v>0</v>
      </c>
      <c r="AB13" s="233">
        <f>$Z$2*$F13</f>
        <v>0</v>
      </c>
      <c r="AC13" s="233">
        <f>$AB$2*$G13</f>
        <v>0</v>
      </c>
      <c r="AD13" s="39">
        <f>$Y$2*$H$13</f>
        <v>0</v>
      </c>
      <c r="AE13" s="143">
        <f>IF($Y$2&lt;=30,0,$Y$2*$I13)</f>
        <v>0</v>
      </c>
      <c r="AF13" s="33" t="str">
        <f t="shared" si="8"/>
        <v/>
      </c>
      <c r="AG13" s="32">
        <f t="shared" si="3"/>
        <v>0</v>
      </c>
      <c r="AH13" s="32">
        <f t="shared" si="4"/>
        <v>0</v>
      </c>
      <c r="AJ13" s="165" t="s">
        <v>156</v>
      </c>
      <c r="AK13" s="230">
        <f>$AL$2*$C13</f>
        <v>0</v>
      </c>
      <c r="AL13" s="234">
        <f>$AL$2*$D13</f>
        <v>0</v>
      </c>
      <c r="AM13" s="233">
        <f>$AN$2*$E13</f>
        <v>0</v>
      </c>
      <c r="AN13" s="233">
        <f>$AL$2*$F13</f>
        <v>0</v>
      </c>
      <c r="AO13" s="233">
        <f>$AN$2*$G13</f>
        <v>0</v>
      </c>
      <c r="AP13" s="39">
        <f>$AK$2*$H$13</f>
        <v>0</v>
      </c>
      <c r="AQ13" s="143">
        <f>IF($AK$2&lt;=30,0,$AK$2*$I13)</f>
        <v>0</v>
      </c>
      <c r="AR13" s="33" t="str">
        <f t="shared" si="9"/>
        <v/>
      </c>
      <c r="AS13" s="32">
        <f t="shared" si="5"/>
        <v>0</v>
      </c>
      <c r="AT13" s="32">
        <f t="shared" si="6"/>
        <v>0</v>
      </c>
    </row>
    <row r="14" spans="1:46" ht="12" customHeight="1" x14ac:dyDescent="0.2">
      <c r="A14">
        <f t="shared" ca="1" si="0"/>
        <v>11</v>
      </c>
      <c r="B14" s="165" t="s">
        <v>157</v>
      </c>
      <c r="C14" s="227">
        <v>1</v>
      </c>
      <c r="D14" s="227" t="s">
        <v>15</v>
      </c>
      <c r="E14" s="227" t="s">
        <v>15</v>
      </c>
      <c r="F14" s="227">
        <v>1</v>
      </c>
      <c r="G14" s="227" t="s">
        <v>15</v>
      </c>
      <c r="H14" s="223">
        <v>0</v>
      </c>
      <c r="I14" s="227">
        <v>1</v>
      </c>
      <c r="J14" s="221"/>
      <c r="L14" s="165" t="s">
        <v>157</v>
      </c>
      <c r="M14" s="227" t="s">
        <v>15</v>
      </c>
      <c r="N14" s="227" t="s">
        <v>15</v>
      </c>
      <c r="O14" s="227" t="s">
        <v>15</v>
      </c>
      <c r="P14" s="227" t="s">
        <v>15</v>
      </c>
      <c r="Q14" s="227" t="s">
        <v>15</v>
      </c>
      <c r="R14" s="231">
        <v>0</v>
      </c>
      <c r="S14" s="36">
        <f>ROUNDUP($Q$2*$I$14,0)</f>
        <v>0</v>
      </c>
      <c r="T14" s="33" t="str">
        <f t="shared" si="7"/>
        <v/>
      </c>
      <c r="U14" s="27">
        <f>ROUNDUP($Q$2*$C$14,0)</f>
        <v>0</v>
      </c>
      <c r="V14" s="27">
        <f>ROUNDUP($Q$2*$F$14,0)</f>
        <v>0</v>
      </c>
      <c r="X14" s="165" t="s">
        <v>157</v>
      </c>
      <c r="Y14" s="227" t="s">
        <v>15</v>
      </c>
      <c r="Z14" s="227" t="s">
        <v>15</v>
      </c>
      <c r="AA14" s="227" t="s">
        <v>15</v>
      </c>
      <c r="AB14" s="227" t="s">
        <v>15</v>
      </c>
      <c r="AC14" s="227" t="s">
        <v>15</v>
      </c>
      <c r="AD14" s="231">
        <v>0</v>
      </c>
      <c r="AE14" s="36">
        <f>ROUNDUP($AC$2*$I$14,0)</f>
        <v>0</v>
      </c>
      <c r="AF14" s="33" t="str">
        <f t="shared" si="8"/>
        <v/>
      </c>
      <c r="AG14" s="27">
        <f>ROUNDUP($AC$2*$C$14,0)</f>
        <v>0</v>
      </c>
      <c r="AH14" s="27">
        <f>ROUNDUP($AC$2*$F$14,0)</f>
        <v>0</v>
      </c>
      <c r="AJ14" s="165" t="s">
        <v>157</v>
      </c>
      <c r="AK14" s="227" t="s">
        <v>15</v>
      </c>
      <c r="AL14" s="227" t="s">
        <v>15</v>
      </c>
      <c r="AM14" s="227" t="s">
        <v>15</v>
      </c>
      <c r="AN14" s="227" t="s">
        <v>15</v>
      </c>
      <c r="AO14" s="227" t="s">
        <v>15</v>
      </c>
      <c r="AP14" s="231">
        <v>0</v>
      </c>
      <c r="AQ14" s="36">
        <f>ROUNDUP($AO$2*$I$14,0)</f>
        <v>0</v>
      </c>
      <c r="AR14" s="33" t="str">
        <f t="shared" si="9"/>
        <v/>
      </c>
      <c r="AS14" s="27">
        <f>ROUNDUP($AO$2*$C$14,0)</f>
        <v>0</v>
      </c>
      <c r="AT14" s="27">
        <f>ROUNDUP($AO$2*$F$14,0)</f>
        <v>0</v>
      </c>
    </row>
    <row r="15" spans="1:46" ht="12" customHeight="1" x14ac:dyDescent="0.2">
      <c r="A15">
        <f t="shared" ca="1" si="0"/>
        <v>12</v>
      </c>
      <c r="B15" s="165" t="s">
        <v>158</v>
      </c>
      <c r="C15" s="223">
        <v>99913</v>
      </c>
      <c r="D15" s="223">
        <v>0</v>
      </c>
      <c r="E15" s="223">
        <v>99913</v>
      </c>
      <c r="F15" s="225">
        <v>2.5000000000000001E-2</v>
      </c>
      <c r="G15" s="225">
        <v>2.5000000000000001E-2</v>
      </c>
      <c r="H15" s="223">
        <v>0</v>
      </c>
      <c r="I15" s="225">
        <v>6.6666666666666671E-3</v>
      </c>
      <c r="J15" s="221"/>
      <c r="L15" s="165" t="s">
        <v>158</v>
      </c>
      <c r="M15" s="230">
        <f>IF($N$2&lt;1,0,IF($N$2&lt;15,1,IF($N$2&lt;36,2,IF($N$2&lt;56,3,3+($N$2-55)/40))))</f>
        <v>0</v>
      </c>
      <c r="N15" s="234">
        <f>$N$2*$D15</f>
        <v>0</v>
      </c>
      <c r="O15" s="230">
        <f>IF($P$2&lt;1,0,IF($P$2&lt;15,1,IF($P$2&lt;36,2,IF($P$2&lt;56,3,3+($P$2-55)/40))))</f>
        <v>0</v>
      </c>
      <c r="P15" s="233">
        <f>$N$2*$F15</f>
        <v>0</v>
      </c>
      <c r="Q15" s="233">
        <f>$P$2*$G15</f>
        <v>0</v>
      </c>
      <c r="R15" s="231">
        <v>0</v>
      </c>
      <c r="S15" s="143">
        <f>IF($M$2&lt;=30,0,$M$2*$I15)</f>
        <v>0</v>
      </c>
      <c r="T15" s="33" t="str">
        <f t="shared" si="7"/>
        <v/>
      </c>
      <c r="U15" s="32">
        <f>IF(M15+O15&lt;1,M15+O15,IF($M$47=1,1,M15+O15))</f>
        <v>0</v>
      </c>
      <c r="V15" s="32">
        <f>IF(P15+Q15&lt;1,P15+Q15,IF($M$47=1,1,P15+Q15))</f>
        <v>0</v>
      </c>
      <c r="X15" s="165" t="s">
        <v>158</v>
      </c>
      <c r="Y15" s="230">
        <f>IF($Z$2&lt;1,0,IF($Z$2&lt;15,1,IF($Z$2&lt;36,2,IF($Z$2&lt;56,3,3+($Z$2-55)/40))))</f>
        <v>0</v>
      </c>
      <c r="Z15" s="234">
        <f>$Z$2*$D15</f>
        <v>0</v>
      </c>
      <c r="AA15" s="230">
        <f>IF($AB$2&lt;1,0,IF($AB$2&lt;15,1,IF($AB$2&lt;36,2,IF($AB$2&lt;56,3,3+($AB$2-55)/40))))</f>
        <v>0</v>
      </c>
      <c r="AB15" s="233">
        <f>$Z$2*$F15</f>
        <v>0</v>
      </c>
      <c r="AC15" s="233">
        <f>$AB$2*$G15</f>
        <v>0</v>
      </c>
      <c r="AD15" s="231">
        <v>0</v>
      </c>
      <c r="AE15" s="143">
        <f>IF($Y$2&lt;=30,0,$Y$2*$I15)</f>
        <v>0</v>
      </c>
      <c r="AF15" s="33" t="str">
        <f t="shared" si="8"/>
        <v/>
      </c>
      <c r="AG15" s="32">
        <f>IF(Y15+AA15&lt;1,Y15+AA15,IF($Y$47=1,1,Y15+AA15))</f>
        <v>0</v>
      </c>
      <c r="AH15" s="32">
        <f>IF(AB15+AC15&lt;1,AB15+AC15,IF($Y$47=1,1,AB15+AC15))</f>
        <v>0</v>
      </c>
      <c r="AJ15" s="165" t="s">
        <v>158</v>
      </c>
      <c r="AK15" s="230">
        <f>IF($AL$2&lt;1,0,IF($AL$2&lt;15,1,IF($AL$2&lt;36,2,IF($AL$2&lt;56,3,3+($AL$2-55)/40))))</f>
        <v>0</v>
      </c>
      <c r="AL15" s="234">
        <f>$AL$2*$D15</f>
        <v>0</v>
      </c>
      <c r="AM15" s="230">
        <f>IF($AN$2&lt;1,0,IF($AN$2&lt;15,1,IF($AN$2&lt;36,2,IF($AN$2&lt;56,3,3+($AN$2-55)/40))))</f>
        <v>0</v>
      </c>
      <c r="AN15" s="233">
        <f>$AL$2*$F15</f>
        <v>0</v>
      </c>
      <c r="AO15" s="233">
        <f>$AN$2*$G15</f>
        <v>0</v>
      </c>
      <c r="AP15" s="231">
        <v>0</v>
      </c>
      <c r="AQ15" s="143">
        <f>IF($AK$2&lt;=30,0,$AK$2*$I15)</f>
        <v>0</v>
      </c>
      <c r="AR15" s="33" t="str">
        <f t="shared" si="9"/>
        <v/>
      </c>
      <c r="AS15" s="32">
        <f>IF(AK15+AM15&lt;1,AK15+AM15,IF($AK$47=1,1,AK15+AM15))</f>
        <v>0</v>
      </c>
      <c r="AT15" s="32">
        <f>IF(AN15+AO15&lt;1,AN15+AO15,IF($AK$47=1,1,AN15+AO15))</f>
        <v>0</v>
      </c>
    </row>
    <row r="16" spans="1:46" ht="12" customHeight="1" x14ac:dyDescent="0.2">
      <c r="A16">
        <f t="shared" ca="1" si="0"/>
        <v>13</v>
      </c>
      <c r="B16" s="165" t="s">
        <v>159</v>
      </c>
      <c r="C16" s="227">
        <v>1</v>
      </c>
      <c r="D16" s="227" t="s">
        <v>15</v>
      </c>
      <c r="E16" s="227" t="s">
        <v>15</v>
      </c>
      <c r="F16" s="227">
        <v>1</v>
      </c>
      <c r="G16" s="227" t="s">
        <v>15</v>
      </c>
      <c r="H16" s="223">
        <v>0.05</v>
      </c>
      <c r="I16" s="223">
        <v>99916</v>
      </c>
      <c r="J16" s="221"/>
      <c r="L16" s="165" t="s">
        <v>159</v>
      </c>
      <c r="M16" s="227" t="s">
        <v>15</v>
      </c>
      <c r="N16" s="227" t="s">
        <v>15</v>
      </c>
      <c r="O16" s="227" t="s">
        <v>15</v>
      </c>
      <c r="P16" s="227" t="s">
        <v>15</v>
      </c>
      <c r="Q16" s="227" t="s">
        <v>15</v>
      </c>
      <c r="R16" s="27">
        <f>$Q$2*$H$16</f>
        <v>0</v>
      </c>
      <c r="S16" s="36">
        <f>IF(AND($M$2&lt;=30,$Q$2&lt;=30),0,1)</f>
        <v>0</v>
      </c>
      <c r="T16" s="33" t="str">
        <f>IF(AND($M$2&lt;1,$Q$2&lt;1),"",$B$85)</f>
        <v/>
      </c>
      <c r="U16" s="27">
        <f>ROUNDUP($Q$2*$C$16,0)</f>
        <v>0</v>
      </c>
      <c r="V16" s="27">
        <f>ROUNDUP($Q$2*$F$16,0)</f>
        <v>0</v>
      </c>
      <c r="X16" s="165" t="s">
        <v>159</v>
      </c>
      <c r="Y16" s="227" t="s">
        <v>15</v>
      </c>
      <c r="Z16" s="227" t="s">
        <v>15</v>
      </c>
      <c r="AA16" s="227" t="s">
        <v>15</v>
      </c>
      <c r="AB16" s="227" t="s">
        <v>15</v>
      </c>
      <c r="AC16" s="227" t="s">
        <v>15</v>
      </c>
      <c r="AD16" s="27">
        <f>$AC$2*$H$16</f>
        <v>0</v>
      </c>
      <c r="AE16" s="36">
        <f>IF(AND($Y$2&lt;=30,$AC$2&lt;=30),0,1)</f>
        <v>0</v>
      </c>
      <c r="AF16" s="33" t="str">
        <f>IF(AND($Y$2&lt;1,$AC$2&lt;1),"",$B$85)</f>
        <v/>
      </c>
      <c r="AG16" s="27">
        <f>ROUNDUP($AC$2*$C$16,0)</f>
        <v>0</v>
      </c>
      <c r="AH16" s="27">
        <f>ROUNDUP($AC$2*$F$16,0)</f>
        <v>0</v>
      </c>
      <c r="AJ16" s="165" t="s">
        <v>159</v>
      </c>
      <c r="AK16" s="227" t="s">
        <v>15</v>
      </c>
      <c r="AL16" s="227" t="s">
        <v>15</v>
      </c>
      <c r="AM16" s="227" t="s">
        <v>15</v>
      </c>
      <c r="AN16" s="227" t="s">
        <v>15</v>
      </c>
      <c r="AO16" s="227" t="s">
        <v>15</v>
      </c>
      <c r="AP16" s="227" t="s">
        <v>15</v>
      </c>
      <c r="AQ16" s="36">
        <f>IF(AND($AK$2&lt;=30,$AO$2&lt;=30),0,1)</f>
        <v>0</v>
      </c>
      <c r="AR16" s="33" t="str">
        <f>IF(AND($AK$2&lt;1,$AO$2&lt;1),"",$B$85)</f>
        <v/>
      </c>
      <c r="AS16" s="27">
        <f>ROUNDUP($AO$2*$C$16,0)</f>
        <v>0</v>
      </c>
      <c r="AT16" s="27">
        <f>ROUNDUP($AO$2*$F$16,0)</f>
        <v>0</v>
      </c>
    </row>
    <row r="17" spans="1:46" ht="12" customHeight="1" x14ac:dyDescent="0.2">
      <c r="A17">
        <f t="shared" ca="1" si="0"/>
        <v>14</v>
      </c>
      <c r="B17" s="165" t="s">
        <v>160</v>
      </c>
      <c r="C17" s="223">
        <v>0.125</v>
      </c>
      <c r="D17" s="223">
        <v>0</v>
      </c>
      <c r="E17" s="223">
        <v>0.125</v>
      </c>
      <c r="F17" s="223">
        <v>0.1</v>
      </c>
      <c r="G17" s="223">
        <v>0.1</v>
      </c>
      <c r="H17" s="223">
        <v>0.125</v>
      </c>
      <c r="I17" s="223">
        <v>99916</v>
      </c>
      <c r="J17" s="221"/>
      <c r="L17" s="165" t="s">
        <v>160</v>
      </c>
      <c r="M17" s="230">
        <f>$N$2*$C17</f>
        <v>0</v>
      </c>
      <c r="N17" s="234">
        <f>$N$2*$D17</f>
        <v>0</v>
      </c>
      <c r="O17" s="233">
        <f>$P$2*$E17</f>
        <v>0</v>
      </c>
      <c r="P17" s="233">
        <f>$N$2*$F17</f>
        <v>0</v>
      </c>
      <c r="Q17" s="233">
        <f>$P$2*$G17</f>
        <v>0</v>
      </c>
      <c r="R17" s="39">
        <f>$M$2*$H$17</f>
        <v>0</v>
      </c>
      <c r="S17" s="36">
        <f>IF(OR($M$2&lt;=30,$Q$2&lt;=30),0,1)</f>
        <v>0</v>
      </c>
      <c r="T17" s="33" t="str">
        <f t="shared" ref="T17:T26" si="10">IF(AND($M$2&lt;=30,$M$2&gt;0),$B$74,"")</f>
        <v/>
      </c>
      <c r="U17" s="32">
        <f t="shared" ref="U17:U26" si="11">IF(M17+O17&lt;1,M17+O17,IF($M$47=1,1,M17+O17))</f>
        <v>0</v>
      </c>
      <c r="V17" s="32">
        <f t="shared" ref="V17:V26" si="12">IF(P17+Q17&lt;1,P17+Q17,IF($M$47=1,1,P17+Q17))</f>
        <v>0</v>
      </c>
      <c r="X17" s="165" t="s">
        <v>160</v>
      </c>
      <c r="Y17" s="230">
        <f>$Z$2*$C17</f>
        <v>0</v>
      </c>
      <c r="Z17" s="234">
        <f>$Z$2*$D17</f>
        <v>0</v>
      </c>
      <c r="AA17" s="233">
        <f>$AB$2*$E17</f>
        <v>0</v>
      </c>
      <c r="AB17" s="233">
        <f>$Z$2*$F17</f>
        <v>0</v>
      </c>
      <c r="AC17" s="233">
        <f>$AB$2*$G17</f>
        <v>0</v>
      </c>
      <c r="AD17" s="39">
        <f>$Y$2*$H$17</f>
        <v>0</v>
      </c>
      <c r="AE17" s="36">
        <f>IF(OR($Y$2&lt;=30,$AC$2&lt;=30),0,1)</f>
        <v>0</v>
      </c>
      <c r="AF17" s="33" t="str">
        <f t="shared" ref="AF17:AF26" si="13">IF(AND($Y$2&lt;=30,$Y$2&gt;0),$B$74,"")</f>
        <v/>
      </c>
      <c r="AG17" s="32">
        <f t="shared" ref="AG17:AG26" si="14">IF(Y17+AA17&lt;1,Y17+AA17,IF($Y$47=1,1,Y17+AA17))</f>
        <v>0</v>
      </c>
      <c r="AH17" s="32">
        <f t="shared" ref="AH17:AH26" si="15">IF(AB17+AC17&lt;1,AB17+AC17,IF($Y$47=1,1,AB17+AC17))</f>
        <v>0</v>
      </c>
      <c r="AJ17" s="165" t="s">
        <v>160</v>
      </c>
      <c r="AK17" s="230">
        <f>$AL$2*$C17</f>
        <v>0</v>
      </c>
      <c r="AL17" s="234">
        <f>$AL$2*$D17</f>
        <v>0</v>
      </c>
      <c r="AM17" s="233">
        <f>$AN$2*$E17</f>
        <v>0</v>
      </c>
      <c r="AN17" s="233">
        <f>$AL$2*$F17</f>
        <v>0</v>
      </c>
      <c r="AO17" s="233">
        <f>$AN$2*$G17</f>
        <v>0</v>
      </c>
      <c r="AP17" s="39">
        <f>$AK$2*$H$17</f>
        <v>0</v>
      </c>
      <c r="AQ17" s="36">
        <f>IF(OR($AK$2&lt;=30,$AO$2&lt;=30),0,1)</f>
        <v>0</v>
      </c>
      <c r="AR17" s="33" t="str">
        <f t="shared" ref="AR17:AR26" si="16">IF(AND($AK$2&lt;=30,$AK$2&gt;0),$B$74,"")</f>
        <v/>
      </c>
      <c r="AS17" s="32">
        <f t="shared" ref="AS17:AS26" si="17">IF(AK17+AM17&lt;1,AK17+AM17,IF($AK$47=1,1,AK17+AM17))</f>
        <v>0</v>
      </c>
      <c r="AT17" s="32">
        <f t="shared" ref="AT17:AT26" si="18">IF(AN17+AO17&lt;1,AN17+AO17,IF($AK$47=1,1,AN17+AO17))</f>
        <v>0</v>
      </c>
    </row>
    <row r="18" spans="1:46" ht="12" customHeight="1" x14ac:dyDescent="0.2">
      <c r="A18">
        <f t="shared" ca="1" si="0"/>
        <v>15</v>
      </c>
      <c r="B18" s="165" t="s">
        <v>161</v>
      </c>
      <c r="C18" s="223">
        <v>99913</v>
      </c>
      <c r="D18" s="223">
        <v>0</v>
      </c>
      <c r="E18" s="223">
        <v>99913</v>
      </c>
      <c r="F18" s="225">
        <v>2.5000000000000001E-2</v>
      </c>
      <c r="G18" s="225">
        <v>2.5000000000000001E-2</v>
      </c>
      <c r="H18" s="223">
        <v>0</v>
      </c>
      <c r="I18" s="225">
        <v>6.6666666666666671E-3</v>
      </c>
      <c r="J18" s="221"/>
      <c r="L18" s="165" t="s">
        <v>161</v>
      </c>
      <c r="M18" s="230">
        <f>IF($N$2&lt;1,0,IF($N$2&lt;15,1,IF($N$2&lt;36,2,IF($N$2&lt;56,3,3+($N$2-55)/40))))</f>
        <v>0</v>
      </c>
      <c r="N18" s="234">
        <f>$N$2*$D18</f>
        <v>0</v>
      </c>
      <c r="O18" s="230">
        <f>IF($P$2&lt;1,0,IF($P$2&lt;15,1,IF($P$2&lt;36,2,IF($P$2&lt;56,3,3+($P$2-55)/40))))</f>
        <v>0</v>
      </c>
      <c r="P18" s="233">
        <f>$N$2*$F18</f>
        <v>0</v>
      </c>
      <c r="Q18" s="233">
        <f>$P$2*$G18</f>
        <v>0</v>
      </c>
      <c r="R18" s="231">
        <v>0</v>
      </c>
      <c r="S18" s="143">
        <f>IF($M$2&lt;=30,0,$M$2*$I18)</f>
        <v>0</v>
      </c>
      <c r="T18" s="33" t="str">
        <f t="shared" si="10"/>
        <v/>
      </c>
      <c r="U18" s="32">
        <f t="shared" si="11"/>
        <v>0</v>
      </c>
      <c r="V18" s="32">
        <f t="shared" si="12"/>
        <v>0</v>
      </c>
      <c r="X18" s="165" t="s">
        <v>161</v>
      </c>
      <c r="Y18" s="230">
        <f>IF($Z$2&lt;1,0,IF($Z$2&lt;15,1,IF($Z$2&lt;36,2,IF($Z$2&lt;56,3,3+($Z$2-55)/40))))</f>
        <v>0</v>
      </c>
      <c r="Z18" s="234">
        <f>$Z$2*$D18</f>
        <v>0</v>
      </c>
      <c r="AA18" s="230">
        <f>IF($AB$2&lt;1,0,IF($AB$2&lt;15,1,IF($AB$2&lt;36,2,IF($AB$2&lt;56,3,3+($AB$2-55)/40))))</f>
        <v>0</v>
      </c>
      <c r="AB18" s="233">
        <f>$Z$2*$F18</f>
        <v>0</v>
      </c>
      <c r="AC18" s="233">
        <f>$AB$2*$G18</f>
        <v>0</v>
      </c>
      <c r="AD18" s="231">
        <v>0</v>
      </c>
      <c r="AE18" s="143">
        <f>IF($Y$2&lt;=30,0,$Y$2*$I18)</f>
        <v>0</v>
      </c>
      <c r="AF18" s="33" t="str">
        <f t="shared" si="13"/>
        <v/>
      </c>
      <c r="AG18" s="32">
        <f t="shared" si="14"/>
        <v>0</v>
      </c>
      <c r="AH18" s="32">
        <f t="shared" si="15"/>
        <v>0</v>
      </c>
      <c r="AJ18" s="165" t="s">
        <v>161</v>
      </c>
      <c r="AK18" s="230">
        <f>IF($AL$2&lt;1,0,IF($AL$2&lt;15,1,IF($AL$2&lt;36,2,IF($AL$2&lt;56,3,3+($AL$2-55)/40))))</f>
        <v>0</v>
      </c>
      <c r="AL18" s="234">
        <f>$AL$2*$D18</f>
        <v>0</v>
      </c>
      <c r="AM18" s="230">
        <f>IF($AN$2&lt;1,0,IF($AN$2&lt;15,1,IF($AN$2&lt;36,2,IF($AN$2&lt;56,3,3+($AN$2-55)/40))))</f>
        <v>0</v>
      </c>
      <c r="AN18" s="233">
        <f>$AL$2*$F18</f>
        <v>0</v>
      </c>
      <c r="AO18" s="233">
        <f>$AN$2*$G18</f>
        <v>0</v>
      </c>
      <c r="AP18" s="231">
        <v>0</v>
      </c>
      <c r="AQ18" s="143">
        <f>IF($AK$2&lt;=30,0,$AK$2*$I18)</f>
        <v>0</v>
      </c>
      <c r="AR18" s="33" t="str">
        <f t="shared" si="16"/>
        <v/>
      </c>
      <c r="AS18" s="32">
        <f t="shared" si="17"/>
        <v>0</v>
      </c>
      <c r="AT18" s="32">
        <f t="shared" si="18"/>
        <v>0</v>
      </c>
    </row>
    <row r="19" spans="1:46" ht="12" customHeight="1" x14ac:dyDescent="0.2">
      <c r="A19">
        <f t="shared" ca="1" si="0"/>
        <v>16</v>
      </c>
      <c r="B19" s="165" t="s">
        <v>162</v>
      </c>
      <c r="C19" s="223">
        <v>99913</v>
      </c>
      <c r="D19" s="223">
        <v>0</v>
      </c>
      <c r="E19" s="223">
        <v>99913</v>
      </c>
      <c r="F19" s="225">
        <v>2.5000000000000001E-2</v>
      </c>
      <c r="G19" s="225">
        <v>2.5000000000000001E-2</v>
      </c>
      <c r="H19" s="223">
        <v>0</v>
      </c>
      <c r="I19" s="225">
        <v>6.6666666666666671E-3</v>
      </c>
      <c r="J19" s="221"/>
      <c r="L19" s="165" t="s">
        <v>162</v>
      </c>
      <c r="M19" s="230">
        <f>IF($N$2&lt;1,0,IF($N$2&lt;15,1,IF($N$2&lt;36,2,IF($N$2&lt;56,3,3+($N$2-55)/40))))</f>
        <v>0</v>
      </c>
      <c r="N19" s="234">
        <f>$N$2*$D19</f>
        <v>0</v>
      </c>
      <c r="O19" s="230">
        <f>IF($P$2&lt;1,0,IF($P$2&lt;15,1,IF($P$2&lt;36,2,IF($P$2&lt;56,3,3+($P$2-55)/40))))</f>
        <v>0</v>
      </c>
      <c r="P19" s="233">
        <f>$N$2*$F19</f>
        <v>0</v>
      </c>
      <c r="Q19" s="233">
        <f>$P$2*$G19</f>
        <v>0</v>
      </c>
      <c r="R19" s="231">
        <v>0</v>
      </c>
      <c r="S19" s="143">
        <f>IF($M$2&lt;=30,0,$M$2*$I19)</f>
        <v>0</v>
      </c>
      <c r="T19" s="33" t="str">
        <f t="shared" si="10"/>
        <v/>
      </c>
      <c r="U19" s="32">
        <f t="shared" si="11"/>
        <v>0</v>
      </c>
      <c r="V19" s="32">
        <f t="shared" si="12"/>
        <v>0</v>
      </c>
      <c r="X19" s="165" t="s">
        <v>162</v>
      </c>
      <c r="Y19" s="230">
        <f>IF($Z$2&lt;1,0,IF($Z$2&lt;15,1,IF($Z$2&lt;36,2,IF($Z$2&lt;56,3,3+($Z$2-55)/40))))</f>
        <v>0</v>
      </c>
      <c r="Z19" s="234">
        <f>$Z$2*$D19</f>
        <v>0</v>
      </c>
      <c r="AA19" s="230">
        <f>IF($AB$2&lt;1,0,IF($AB$2&lt;15,1,IF($AB$2&lt;36,2,IF($AB$2&lt;56,3,3+($AB$2-55)/40))))</f>
        <v>0</v>
      </c>
      <c r="AB19" s="233">
        <f>$Z$2*$F19</f>
        <v>0</v>
      </c>
      <c r="AC19" s="233">
        <f>$AB$2*$G19</f>
        <v>0</v>
      </c>
      <c r="AD19" s="231">
        <v>0</v>
      </c>
      <c r="AE19" s="143">
        <f>IF($Y$2&lt;=30,0,$Y$2*$I19)</f>
        <v>0</v>
      </c>
      <c r="AF19" s="33" t="str">
        <f t="shared" si="13"/>
        <v/>
      </c>
      <c r="AG19" s="32">
        <f t="shared" si="14"/>
        <v>0</v>
      </c>
      <c r="AH19" s="32">
        <f t="shared" si="15"/>
        <v>0</v>
      </c>
      <c r="AJ19" s="165" t="s">
        <v>162</v>
      </c>
      <c r="AK19" s="230">
        <f>IF($AL$2&lt;1,0,IF($AL$2&lt;15,1,IF($AL$2&lt;36,2,IF($AL$2&lt;56,3,3+($AL$2-55)/40))))</f>
        <v>0</v>
      </c>
      <c r="AL19" s="234">
        <f>$AL$2*$D19</f>
        <v>0</v>
      </c>
      <c r="AM19" s="230">
        <f>IF($AN$2&lt;1,0,IF($AN$2&lt;15,1,IF($AN$2&lt;36,2,IF($AN$2&lt;56,3,3+($AN$2-55)/40))))</f>
        <v>0</v>
      </c>
      <c r="AN19" s="233">
        <f>$AL$2*$F19</f>
        <v>0</v>
      </c>
      <c r="AO19" s="233">
        <f>$AN$2*$G19</f>
        <v>0</v>
      </c>
      <c r="AP19" s="231">
        <v>0</v>
      </c>
      <c r="AQ19" s="143">
        <f>IF($AK$2&lt;=30,0,$AK$2*$I19)</f>
        <v>0</v>
      </c>
      <c r="AR19" s="33" t="str">
        <f t="shared" si="16"/>
        <v/>
      </c>
      <c r="AS19" s="32">
        <f t="shared" si="17"/>
        <v>0</v>
      </c>
      <c r="AT19" s="32">
        <f t="shared" si="18"/>
        <v>0</v>
      </c>
    </row>
    <row r="20" spans="1:46" ht="12" customHeight="1" x14ac:dyDescent="0.2">
      <c r="A20">
        <f t="shared" ca="1" si="0"/>
        <v>17</v>
      </c>
      <c r="B20" s="165" t="s">
        <v>163</v>
      </c>
      <c r="C20" s="223">
        <v>99901</v>
      </c>
      <c r="D20" s="223">
        <v>99922</v>
      </c>
      <c r="E20" s="223">
        <v>99918</v>
      </c>
      <c r="F20" s="223">
        <v>99919</v>
      </c>
      <c r="G20" s="223">
        <v>99920</v>
      </c>
      <c r="H20" s="223">
        <v>0</v>
      </c>
      <c r="I20" s="223">
        <v>99907</v>
      </c>
      <c r="J20" s="221"/>
      <c r="L20" s="165" t="s">
        <v>163</v>
      </c>
      <c r="M20" s="230">
        <f>IF($N$2&lt;1,0,IF($N$2&lt;101,1,IF($N$2&lt;201,2,IF($N$2&lt;401,3,3+($N$2-400)/500))))</f>
        <v>0</v>
      </c>
      <c r="N20" s="230">
        <f>IF($N$2&lt;200,0,IF($N$2&lt;401,1,1+($N$2-400)/500))</f>
        <v>0</v>
      </c>
      <c r="O20" s="230">
        <f>IF($P$2&lt;1,0,IF($P$2&lt;101,1,IF($P$2&lt;201,2,IF($P$2&lt;301,4,IF($P$2&lt;401,6,6+($P$2-400)/200)))))</f>
        <v>0</v>
      </c>
      <c r="P20" s="230">
        <f>IF($N$2&lt;1,0,IF($N$2&lt;201,1,IF($N$2&lt;401,2,2+($N$2-400)/500)))</f>
        <v>0</v>
      </c>
      <c r="Q20" s="230">
        <f>IF($P$2&lt;1,0,IF($P$2&lt;201,1,IF($P$2&lt;301,2,IF($P$2&lt;401,3,3+($P$2-400)/400))))</f>
        <v>0</v>
      </c>
      <c r="R20" s="231">
        <v>0</v>
      </c>
      <c r="S20" s="230">
        <f>IF($M$2&lt;31,0,IF($M$2&lt;251,1,IF($M$2&lt;501,2,IF($M$2&lt;751,3,3+($M$2-750)/500))))</f>
        <v>0</v>
      </c>
      <c r="T20" s="33" t="str">
        <f t="shared" si="10"/>
        <v/>
      </c>
      <c r="U20" s="32">
        <f t="shared" si="11"/>
        <v>0</v>
      </c>
      <c r="V20" s="32">
        <f t="shared" si="12"/>
        <v>0</v>
      </c>
      <c r="X20" s="165" t="s">
        <v>163</v>
      </c>
      <c r="Y20" s="230">
        <f>IF($Z$2&lt;1,0,IF($Z$2&lt;101,1,IF($Z$2&lt;201,2,IF($Z$2&lt;401,3,3+($Z$2-400)/500))))</f>
        <v>0</v>
      </c>
      <c r="Z20" s="230">
        <f>IF($Z$2&lt;200,0,IF($Z$2&lt;401,1,1+($Z$2-400)/500))</f>
        <v>0</v>
      </c>
      <c r="AA20" s="230">
        <f>IF($AB$2&lt;1,0,IF($AB$2&lt;101,1,IF($AB$2&lt;201,2,IF($AB$2&lt;301,4,IF($AB$2&lt;401,6,6+($AB$2-400)/200)))))</f>
        <v>0</v>
      </c>
      <c r="AB20" s="230">
        <f>IF($Z$2&lt;1,0,IF($Z$2&lt;201,1,IF($Z$2&lt;401,2,2+($Z$2-400)/500)))</f>
        <v>0</v>
      </c>
      <c r="AC20" s="230">
        <f>IF($AB$2&lt;1,0,IF($AB$2&lt;201,1,IF($AB$2&lt;301,2,IF($AB$2&lt;401,3,3+($AB$2-400)/400))))</f>
        <v>0</v>
      </c>
      <c r="AD20" s="231">
        <v>0</v>
      </c>
      <c r="AE20" s="230">
        <f>IF($Y$2&lt;31,0,IF($Y$2&lt;251,1,IF($Y$2&lt;501,2,IF($Y$2&lt;751,3,3+($Y$2-750)/500))))</f>
        <v>0</v>
      </c>
      <c r="AF20" s="33" t="str">
        <f t="shared" si="13"/>
        <v/>
      </c>
      <c r="AG20" s="32">
        <f t="shared" si="14"/>
        <v>0</v>
      </c>
      <c r="AH20" s="32">
        <f t="shared" si="15"/>
        <v>0</v>
      </c>
      <c r="AJ20" s="165" t="s">
        <v>163</v>
      </c>
      <c r="AK20" s="230">
        <f>IF($AL$2&lt;1,0,IF($AL$2&lt;101,1,IF($AL$2&lt;201,2,IF($AL$2&lt;401,3,3+($AL$2-400)/500))))</f>
        <v>0</v>
      </c>
      <c r="AL20" s="230">
        <f>IF($AL$2&lt;200,0,IF($AL$2&lt;401,1,1+($AL$2-400)/500))</f>
        <v>0</v>
      </c>
      <c r="AM20" s="230">
        <f>IF($AN$2&lt;1,0,IF($AN$2&lt;101,1,IF($AN$2&lt;201,2,IF($AN$2&lt;301,4,IF($AN$2&lt;401,6,6+($AN$2-400)/200)))))</f>
        <v>0</v>
      </c>
      <c r="AN20" s="230">
        <f>IF($AL$2&lt;1,0,IF($AL$2&lt;201,1,IF($AL$2&lt;401,2,2+($AL$2-400)/500)))</f>
        <v>0</v>
      </c>
      <c r="AO20" s="230">
        <f>IF($AN$2&lt;1,0,IF($AN$2&lt;201,1,IF($AN$2&lt;301,2,IF($AN$2&lt;401,3,3+($AN$2-400)/400))))</f>
        <v>0</v>
      </c>
      <c r="AP20" s="231">
        <v>0</v>
      </c>
      <c r="AQ20" s="230">
        <f>IF($AK$2&lt;31,0,IF($AK$2&lt;251,1,IF($AK$2&lt;501,2,IF($AK$2&lt;751,3,3+($AK$2-750)/500))))</f>
        <v>0</v>
      </c>
      <c r="AR20" s="33" t="str">
        <f t="shared" si="16"/>
        <v/>
      </c>
      <c r="AS20" s="32">
        <f t="shared" si="17"/>
        <v>0</v>
      </c>
      <c r="AT20" s="32">
        <f t="shared" si="18"/>
        <v>0</v>
      </c>
    </row>
    <row r="21" spans="1:46" ht="12" customHeight="1" x14ac:dyDescent="0.2">
      <c r="A21">
        <f t="shared" ca="1" si="0"/>
        <v>18</v>
      </c>
      <c r="B21" s="165" t="s">
        <v>164</v>
      </c>
      <c r="C21" s="223">
        <v>99926</v>
      </c>
      <c r="D21" s="223">
        <v>99927</v>
      </c>
      <c r="E21" s="223">
        <v>99928</v>
      </c>
      <c r="F21" s="223">
        <v>99929</v>
      </c>
      <c r="G21" s="223">
        <v>99930</v>
      </c>
      <c r="H21" s="223">
        <v>0.125</v>
      </c>
      <c r="I21" s="225">
        <v>6.6666666666666671E-3</v>
      </c>
      <c r="J21" s="221"/>
      <c r="L21" s="165" t="s">
        <v>164</v>
      </c>
      <c r="M21" s="230">
        <f>IF($N$2&lt;1,0,IF($N$2&lt;11,1,1+($N$2-10)/25))</f>
        <v>0</v>
      </c>
      <c r="N21" s="230">
        <f>IF($N$2&lt;1,0,IF($N$2&lt;151,N2/25,6+($N$2-150)/50))</f>
        <v>0</v>
      </c>
      <c r="O21" s="230">
        <f>IF($P$2&lt;1,0,IF($P$2&lt;9,1,1+($P$2-8)/20))</f>
        <v>0</v>
      </c>
      <c r="P21" s="230">
        <f>IF($N$2&lt;1,0,IF($N$2&lt;13,1,1+($N$2-12)/20))</f>
        <v>0</v>
      </c>
      <c r="Q21" s="230">
        <f>IF($P$2&lt;1,0,IF($P$2&lt;13,1,1+($P$2-12)/15))</f>
        <v>0</v>
      </c>
      <c r="R21" s="39">
        <f>$M$2*$H$21</f>
        <v>0</v>
      </c>
      <c r="S21" s="143">
        <f>IF($M$2&lt;=30,0,$M$2*$I21)</f>
        <v>0</v>
      </c>
      <c r="T21" s="33" t="str">
        <f t="shared" si="10"/>
        <v/>
      </c>
      <c r="U21" s="32">
        <f t="shared" si="11"/>
        <v>0</v>
      </c>
      <c r="V21" s="32">
        <f t="shared" si="12"/>
        <v>0</v>
      </c>
      <c r="X21" s="165" t="s">
        <v>164</v>
      </c>
      <c r="Y21" s="230">
        <f>IF($Z$2&lt;1,0,IF($Z$2&lt;11,1,1+($Z$2-10)/25))</f>
        <v>0</v>
      </c>
      <c r="Z21" s="230">
        <f>IF($Z$2&lt;1,0,IF($Z$2&lt;151,Z2/25,6+($Z$2-150)/50))</f>
        <v>0</v>
      </c>
      <c r="AA21" s="230">
        <f>IF($AB$2&lt;1,0,IF($AB$2&lt;9,1,1+($AB$2-8)/20))</f>
        <v>0</v>
      </c>
      <c r="AB21" s="230">
        <f>IF($Z$2&lt;1,0,IF($Z$2&lt;13,1,1+($Z$2-12)/20))</f>
        <v>0</v>
      </c>
      <c r="AC21" s="230">
        <f>IF($AB$2&lt;1,0,IF($AB$2&lt;13,1,1+($AB$2-12)/15))</f>
        <v>0</v>
      </c>
      <c r="AD21" s="39">
        <f>$Y$2*$H$21</f>
        <v>0</v>
      </c>
      <c r="AE21" s="143">
        <f>IF($Y$2&lt;=30,0,$Y$2*$I21)</f>
        <v>0</v>
      </c>
      <c r="AF21" s="33" t="str">
        <f t="shared" si="13"/>
        <v/>
      </c>
      <c r="AG21" s="32">
        <f t="shared" si="14"/>
        <v>0</v>
      </c>
      <c r="AH21" s="32">
        <f t="shared" si="15"/>
        <v>0</v>
      </c>
      <c r="AJ21" s="165" t="s">
        <v>164</v>
      </c>
      <c r="AK21" s="230">
        <f>IF($AL$2&lt;1,0,IF($AL$2&lt;11,1,1+($AL$2-10)/25))</f>
        <v>0</v>
      </c>
      <c r="AL21" s="230">
        <f>IF($AL$2&lt;1,0,IF($AL$2&lt;151,AL2/25,6+($AL$2-150)/50))</f>
        <v>0</v>
      </c>
      <c r="AM21" s="230">
        <f>IF($AN$2&lt;1,0,IF($AN$2&lt;9,1,1+($AN$2-8)/20))</f>
        <v>0</v>
      </c>
      <c r="AN21" s="230">
        <f>IF($AL$2&lt;1,0,IF($AL$2&lt;13,1,1+($AL$2-12)/20))</f>
        <v>0</v>
      </c>
      <c r="AO21" s="230">
        <f>IF($AN$2&lt;1,0,IF($AN$2&lt;13,1,1+($AN$2-12)/15))</f>
        <v>0</v>
      </c>
      <c r="AP21" s="39">
        <f>$AK$2*$H$21</f>
        <v>0</v>
      </c>
      <c r="AQ21" s="143">
        <f>IF($AK$2&lt;=30,0,$AK$2*$I21)</f>
        <v>0</v>
      </c>
      <c r="AR21" s="33" t="str">
        <f t="shared" si="16"/>
        <v/>
      </c>
      <c r="AS21" s="32">
        <f t="shared" si="17"/>
        <v>0</v>
      </c>
      <c r="AT21" s="32">
        <f t="shared" si="18"/>
        <v>0</v>
      </c>
    </row>
    <row r="22" spans="1:46" ht="12" customHeight="1" x14ac:dyDescent="0.2">
      <c r="A22">
        <f t="shared" ca="1" si="0"/>
        <v>19</v>
      </c>
      <c r="B22" s="165" t="s">
        <v>165</v>
      </c>
      <c r="C22" s="223">
        <v>99913</v>
      </c>
      <c r="D22" s="223">
        <v>0</v>
      </c>
      <c r="E22" s="223">
        <v>99913</v>
      </c>
      <c r="F22" s="225">
        <v>2.5000000000000001E-2</v>
      </c>
      <c r="G22" s="225">
        <v>2.5000000000000001E-2</v>
      </c>
      <c r="H22" s="223">
        <v>0</v>
      </c>
      <c r="I22" s="225">
        <v>6.6666666666666671E-3</v>
      </c>
      <c r="J22" s="221"/>
      <c r="L22" s="165" t="s">
        <v>165</v>
      </c>
      <c r="M22" s="230">
        <f>IF($N$2&lt;1,0,IF($N$2&lt;15,1,IF($N$2&lt;36,2,IF($N$2&lt;56,3,3+($N$2-55)/40))))</f>
        <v>0</v>
      </c>
      <c r="N22" s="234">
        <f>$N$2*$D22</f>
        <v>0</v>
      </c>
      <c r="O22" s="230">
        <f>IF($P$2&lt;1,0,IF($P$2&lt;15,1,IF($P$2&lt;36,2,IF($P$2&lt;56,3,3+($P$2-55)/40))))</f>
        <v>0</v>
      </c>
      <c r="P22" s="233">
        <f>$N$2*$F22</f>
        <v>0</v>
      </c>
      <c r="Q22" s="233">
        <f>$P$2*$G22</f>
        <v>0</v>
      </c>
      <c r="R22" s="231">
        <v>0</v>
      </c>
      <c r="S22" s="143">
        <f>IF($M$2&lt;=30,0,$M$2*$I22)</f>
        <v>0</v>
      </c>
      <c r="T22" s="33" t="str">
        <f t="shared" si="10"/>
        <v/>
      </c>
      <c r="U22" s="32">
        <f t="shared" si="11"/>
        <v>0</v>
      </c>
      <c r="V22" s="32">
        <f t="shared" si="12"/>
        <v>0</v>
      </c>
      <c r="X22" s="165" t="s">
        <v>165</v>
      </c>
      <c r="Y22" s="230">
        <f>IF($Z$2&lt;1,0,IF($Z$2&lt;15,1,IF($Z$2&lt;36,2,IF($Z$2&lt;56,3,3+($Z$2-55)/40))))</f>
        <v>0</v>
      </c>
      <c r="Z22" s="234">
        <f>$Z$2*$D22</f>
        <v>0</v>
      </c>
      <c r="AA22" s="230">
        <f>IF($AB$2&lt;1,0,IF($AB$2&lt;15,1,IF($AB$2&lt;36,2,IF($AB$2&lt;56,3,3+($AB$2-55)/40))))</f>
        <v>0</v>
      </c>
      <c r="AB22" s="233">
        <f>$Z$2*$F22</f>
        <v>0</v>
      </c>
      <c r="AC22" s="233">
        <f>$AB$2*$G22</f>
        <v>0</v>
      </c>
      <c r="AD22" s="231">
        <v>0</v>
      </c>
      <c r="AE22" s="143">
        <f>IF($Y$2&lt;=30,0,$Y$2*$I22)</f>
        <v>0</v>
      </c>
      <c r="AF22" s="33" t="str">
        <f t="shared" si="13"/>
        <v/>
      </c>
      <c r="AG22" s="32">
        <f t="shared" si="14"/>
        <v>0</v>
      </c>
      <c r="AH22" s="32">
        <f t="shared" si="15"/>
        <v>0</v>
      </c>
      <c r="AJ22" s="165" t="s">
        <v>165</v>
      </c>
      <c r="AK22" s="230">
        <f>IF($AL$2&lt;1,0,IF($AL$2&lt;15,1,IF($AL$2&lt;36,2,IF($AL$2&lt;56,3,3+($AL$2-55)/40))))</f>
        <v>0</v>
      </c>
      <c r="AL22" s="234">
        <f>$AL$2*$D22</f>
        <v>0</v>
      </c>
      <c r="AM22" s="230">
        <f>IF($AN$2&lt;1,0,IF($AN$2&lt;15,1,IF($AN$2&lt;36,2,IF($AN$2&lt;56,3,3+($AN$2-55)/40))))</f>
        <v>0</v>
      </c>
      <c r="AN22" s="233">
        <f>$AL$2*$F22</f>
        <v>0</v>
      </c>
      <c r="AO22" s="233">
        <f>$AN$2*$G22</f>
        <v>0</v>
      </c>
      <c r="AP22" s="231">
        <v>0</v>
      </c>
      <c r="AQ22" s="143">
        <f>IF($AK$2&lt;=30,0,$AK$2*$I22)</f>
        <v>0</v>
      </c>
      <c r="AR22" s="33" t="str">
        <f t="shared" si="16"/>
        <v/>
      </c>
      <c r="AS22" s="32">
        <f t="shared" si="17"/>
        <v>0</v>
      </c>
      <c r="AT22" s="32">
        <f t="shared" si="18"/>
        <v>0</v>
      </c>
    </row>
    <row r="23" spans="1:46" ht="12" customHeight="1" x14ac:dyDescent="0.2">
      <c r="A23">
        <f t="shared" ca="1" si="0"/>
        <v>20</v>
      </c>
      <c r="B23" s="165" t="s">
        <v>166</v>
      </c>
      <c r="C23" s="225">
        <v>6.6666666666666666E-2</v>
      </c>
      <c r="D23" s="223">
        <v>0</v>
      </c>
      <c r="E23" s="225">
        <v>6.6666666666666666E-2</v>
      </c>
      <c r="F23" s="225">
        <v>6.6666666666666666E-2</v>
      </c>
      <c r="G23" s="225">
        <v>6.6666666666666666E-2</v>
      </c>
      <c r="H23" s="223">
        <v>0.125</v>
      </c>
      <c r="I23" s="225">
        <v>6.6666666666666671E-3</v>
      </c>
      <c r="J23" s="221"/>
      <c r="L23" s="165" t="s">
        <v>166</v>
      </c>
      <c r="M23" s="230">
        <f>$N$2*$C23</f>
        <v>0</v>
      </c>
      <c r="N23" s="234">
        <f>$N$2*$D23</f>
        <v>0</v>
      </c>
      <c r="O23" s="233">
        <f>$P$2*$E23</f>
        <v>0</v>
      </c>
      <c r="P23" s="233">
        <f>$N$2*$F23</f>
        <v>0</v>
      </c>
      <c r="Q23" s="233">
        <f>$P$2*$G23</f>
        <v>0</v>
      </c>
      <c r="R23" s="39">
        <f>$M$2*$H$23</f>
        <v>0</v>
      </c>
      <c r="S23" s="143">
        <f>IF($M$2&lt;=30,0,$M$2*$I23)</f>
        <v>0</v>
      </c>
      <c r="T23" s="33" t="str">
        <f t="shared" si="10"/>
        <v/>
      </c>
      <c r="U23" s="32">
        <f t="shared" si="11"/>
        <v>0</v>
      </c>
      <c r="V23" s="32">
        <f t="shared" si="12"/>
        <v>0</v>
      </c>
      <c r="X23" s="165" t="s">
        <v>166</v>
      </c>
      <c r="Y23" s="233">
        <f>$Z$2*$C23</f>
        <v>0</v>
      </c>
      <c r="Z23" s="234">
        <f>$Z$2*$D23</f>
        <v>0</v>
      </c>
      <c r="AA23" s="233">
        <f>$AB$2*$E23</f>
        <v>0</v>
      </c>
      <c r="AB23" s="233">
        <f>$Z$2*$F23</f>
        <v>0</v>
      </c>
      <c r="AC23" s="233">
        <f>$AB$2*$G23</f>
        <v>0</v>
      </c>
      <c r="AD23" s="39">
        <f>$Y$2*$H$23</f>
        <v>0</v>
      </c>
      <c r="AE23" s="143">
        <f>IF($Y$2&lt;=30,0,$Y$2*$I23)</f>
        <v>0</v>
      </c>
      <c r="AF23" s="33" t="str">
        <f t="shared" si="13"/>
        <v/>
      </c>
      <c r="AG23" s="32">
        <f t="shared" si="14"/>
        <v>0</v>
      </c>
      <c r="AH23" s="32">
        <f t="shared" si="15"/>
        <v>0</v>
      </c>
      <c r="AJ23" s="165" t="s">
        <v>166</v>
      </c>
      <c r="AK23" s="233">
        <f>$AL$2*$C23</f>
        <v>0</v>
      </c>
      <c r="AL23" s="234">
        <f>$AL$2*$D23</f>
        <v>0</v>
      </c>
      <c r="AM23" s="233">
        <f>$AN$2*$E23</f>
        <v>0</v>
      </c>
      <c r="AN23" s="233">
        <f>$AL$2*$F23</f>
        <v>0</v>
      </c>
      <c r="AO23" s="233">
        <f>$AN$2*$G23</f>
        <v>0</v>
      </c>
      <c r="AP23" s="39">
        <f>$AK$2*$H$23</f>
        <v>0</v>
      </c>
      <c r="AQ23" s="143">
        <f>IF($AK$2&lt;=30,0,$AK$2*$I23)</f>
        <v>0</v>
      </c>
      <c r="AR23" s="33" t="str">
        <f t="shared" si="16"/>
        <v/>
      </c>
      <c r="AS23" s="32">
        <f t="shared" si="17"/>
        <v>0</v>
      </c>
      <c r="AT23" s="32">
        <f t="shared" si="18"/>
        <v>0</v>
      </c>
    </row>
    <row r="24" spans="1:46" ht="12" customHeight="1" x14ac:dyDescent="0.2">
      <c r="A24">
        <f t="shared" ca="1" si="0"/>
        <v>21</v>
      </c>
      <c r="B24" s="165" t="s">
        <v>167</v>
      </c>
      <c r="C24" s="223">
        <v>99926</v>
      </c>
      <c r="D24" s="223">
        <v>0</v>
      </c>
      <c r="E24" s="223">
        <v>99928</v>
      </c>
      <c r="F24" s="223">
        <v>99929</v>
      </c>
      <c r="G24" s="223">
        <v>99930</v>
      </c>
      <c r="H24" s="223">
        <v>0.125</v>
      </c>
      <c r="I24" s="225">
        <v>6.6666666666666671E-3</v>
      </c>
      <c r="J24" s="221"/>
      <c r="L24" s="165" t="s">
        <v>167</v>
      </c>
      <c r="M24" s="230">
        <f>IF($N$2&lt;1,0,IF($N$2&lt;11,1,1+($N$2-10)/25))</f>
        <v>0</v>
      </c>
      <c r="N24" s="234">
        <f>$N$2*$D24</f>
        <v>0</v>
      </c>
      <c r="O24" s="230">
        <f>IF($P$2&lt;1,0,IF($P$2&lt;9,1,1+($P$2-8)/20))</f>
        <v>0</v>
      </c>
      <c r="P24" s="230">
        <f>IF($N$2&lt;1,0,IF($N$2&lt;13,1,1+($N$2-12)/20))</f>
        <v>0</v>
      </c>
      <c r="Q24" s="230">
        <f>IF($P$2&lt;1,0,IF($P$2&lt;13,1,1+($P$2-12)/15))</f>
        <v>0</v>
      </c>
      <c r="R24" s="39">
        <f>$M$2*$H$24</f>
        <v>0</v>
      </c>
      <c r="S24" s="143">
        <f>IF($M$2&lt;=30,0,$M$2*$I24)</f>
        <v>0</v>
      </c>
      <c r="T24" s="33" t="str">
        <f t="shared" si="10"/>
        <v/>
      </c>
      <c r="U24" s="32">
        <f t="shared" si="11"/>
        <v>0</v>
      </c>
      <c r="V24" s="32">
        <f t="shared" si="12"/>
        <v>0</v>
      </c>
      <c r="X24" s="165" t="s">
        <v>167</v>
      </c>
      <c r="Y24" s="230">
        <f>IF($Z$2&lt;1,0,IF($Z$2&lt;11,1,1+($Z$2-10)/25))</f>
        <v>0</v>
      </c>
      <c r="Z24" s="234">
        <f>$Z$2*$D24</f>
        <v>0</v>
      </c>
      <c r="AA24" s="230">
        <f>IF($AB$2&lt;1,0,IF($AB$2&lt;9,1,1+($AB$2-8)/20))</f>
        <v>0</v>
      </c>
      <c r="AB24" s="230">
        <f>IF($Z$2&lt;1,0,IF($Z$2&lt;13,1,1+($Z$2-12)/20))</f>
        <v>0</v>
      </c>
      <c r="AC24" s="230">
        <f>IF($AB$2&lt;1,0,IF($AB$2&lt;13,1,1+($AB$2-12)/15))</f>
        <v>0</v>
      </c>
      <c r="AD24" s="39">
        <f>$Y$2*$H$24</f>
        <v>0</v>
      </c>
      <c r="AE24" s="143">
        <f>IF($Y$2&lt;=30,0,$Y$2*$I24)</f>
        <v>0</v>
      </c>
      <c r="AF24" s="33" t="str">
        <f t="shared" si="13"/>
        <v/>
      </c>
      <c r="AG24" s="32">
        <f t="shared" si="14"/>
        <v>0</v>
      </c>
      <c r="AH24" s="32">
        <f t="shared" si="15"/>
        <v>0</v>
      </c>
      <c r="AJ24" s="165" t="s">
        <v>167</v>
      </c>
      <c r="AK24" s="230">
        <f>IF($AL$2&lt;1,0,IF($AL$2&lt;11,1,1+($AL$2-10)/25))</f>
        <v>0</v>
      </c>
      <c r="AL24" s="234">
        <f>$AL$2*$D24</f>
        <v>0</v>
      </c>
      <c r="AM24" s="230">
        <f>IF($AN$2&lt;1,0,IF($AN$2&lt;9,1,1+($AN$2-8)/20))</f>
        <v>0</v>
      </c>
      <c r="AN24" s="230">
        <f>IF($AL$2&lt;1,0,IF($AL$2&lt;13,1,1+($AL$2-12)/20))</f>
        <v>0</v>
      </c>
      <c r="AO24" s="230">
        <f>IF($AN$2&lt;1,0,IF($AN$2&lt;13,1,1+($AN$2-12)/15))</f>
        <v>0</v>
      </c>
      <c r="AP24" s="39">
        <f>$AK$2*$H$24</f>
        <v>0</v>
      </c>
      <c r="AQ24" s="143">
        <f>IF($AK$2&lt;=30,0,$AK$2*$I24)</f>
        <v>0</v>
      </c>
      <c r="AR24" s="33" t="str">
        <f t="shared" si="16"/>
        <v/>
      </c>
      <c r="AS24" s="32">
        <f t="shared" si="17"/>
        <v>0</v>
      </c>
      <c r="AT24" s="32">
        <f t="shared" si="18"/>
        <v>0</v>
      </c>
    </row>
    <row r="25" spans="1:46" ht="12" customHeight="1" x14ac:dyDescent="0.2">
      <c r="A25">
        <f t="shared" ca="1" si="0"/>
        <v>22</v>
      </c>
      <c r="B25" s="165" t="s">
        <v>168</v>
      </c>
      <c r="C25" s="223">
        <v>99926</v>
      </c>
      <c r="D25" s="223">
        <v>0</v>
      </c>
      <c r="E25" s="223">
        <v>99928</v>
      </c>
      <c r="F25" s="223">
        <v>99929</v>
      </c>
      <c r="G25" s="223">
        <v>99930</v>
      </c>
      <c r="H25" s="223">
        <v>0.125</v>
      </c>
      <c r="I25" s="225">
        <v>6.6666666666666671E-3</v>
      </c>
      <c r="J25" s="221"/>
      <c r="L25" s="165" t="s">
        <v>168</v>
      </c>
      <c r="M25" s="230">
        <f>IF($N$2&lt;1,0,IF($N$2&lt;11,1,1+($N$2-10)/25))</f>
        <v>0</v>
      </c>
      <c r="N25" s="234">
        <f>$N$2*$D25</f>
        <v>0</v>
      </c>
      <c r="O25" s="230">
        <f>IF($P$2&lt;1,0,IF($P$2&lt;9,1,1+($P$2-8)/20))</f>
        <v>0</v>
      </c>
      <c r="P25" s="230">
        <f>IF($N$2&lt;1,0,IF($N$2&lt;13,1,1+($N$2-12)/20))</f>
        <v>0</v>
      </c>
      <c r="Q25" s="230">
        <f>IF($P$2&lt;1,0,IF($P$2&lt;13,1,1+($P$2-12)/15))</f>
        <v>0</v>
      </c>
      <c r="R25" s="39">
        <f>$M$2*$H$25</f>
        <v>0</v>
      </c>
      <c r="S25" s="143">
        <f>IF($M$2&lt;=30,0,$M$2*$I25)</f>
        <v>0</v>
      </c>
      <c r="T25" s="33" t="str">
        <f t="shared" si="10"/>
        <v/>
      </c>
      <c r="U25" s="32">
        <f t="shared" si="11"/>
        <v>0</v>
      </c>
      <c r="V25" s="32">
        <f t="shared" si="12"/>
        <v>0</v>
      </c>
      <c r="X25" s="165" t="s">
        <v>168</v>
      </c>
      <c r="Y25" s="230">
        <f>IF($Z$2&lt;1,0,IF($Z$2&lt;11,1,1+($Z$2-10)/25))</f>
        <v>0</v>
      </c>
      <c r="Z25" s="234">
        <f>$Z$2*$D25</f>
        <v>0</v>
      </c>
      <c r="AA25" s="230">
        <f>IF($AB$2&lt;1,0,IF($AB$2&lt;9,1,1+($AB$2-8)/20))</f>
        <v>0</v>
      </c>
      <c r="AB25" s="230">
        <f>IF($Z$2&lt;1,0,IF($Z$2&lt;13,1,1+($Z$2-12)/20))</f>
        <v>0</v>
      </c>
      <c r="AC25" s="230">
        <f>IF($AB$2&lt;1,0,IF($AB$2&lt;13,1,1+($AB$2-12)/15))</f>
        <v>0</v>
      </c>
      <c r="AD25" s="39">
        <f>$Y$2*$H$25</f>
        <v>0</v>
      </c>
      <c r="AE25" s="143">
        <f>IF($Y$2&lt;=30,0,$Y$2*$I25)</f>
        <v>0</v>
      </c>
      <c r="AF25" s="33" t="str">
        <f t="shared" si="13"/>
        <v/>
      </c>
      <c r="AG25" s="32">
        <f t="shared" si="14"/>
        <v>0</v>
      </c>
      <c r="AH25" s="32">
        <f t="shared" si="15"/>
        <v>0</v>
      </c>
      <c r="AJ25" s="165" t="s">
        <v>168</v>
      </c>
      <c r="AK25" s="230">
        <f>IF($AL$2&lt;1,0,IF($AL$2&lt;11,1,1+($AL$2-10)/25))</f>
        <v>0</v>
      </c>
      <c r="AL25" s="234">
        <f>$AL$2*$D25</f>
        <v>0</v>
      </c>
      <c r="AM25" s="230">
        <f>IF($AN$2&lt;1,0,IF($AN$2&lt;9,1,1+($AN$2-8)/20))</f>
        <v>0</v>
      </c>
      <c r="AN25" s="230">
        <f>IF($AL$2&lt;1,0,IF($AL$2&lt;13,1,1+($AL$2-12)/20))</f>
        <v>0</v>
      </c>
      <c r="AO25" s="230">
        <f>IF($AN$2&lt;1,0,IF($AN$2&lt;13,1,1+($AN$2-12)/15))</f>
        <v>0</v>
      </c>
      <c r="AP25" s="39">
        <f>$AK$2*$H$25</f>
        <v>0</v>
      </c>
      <c r="AQ25" s="143">
        <f>IF($AK$2&lt;=30,0,$AK$2*$I25)</f>
        <v>0</v>
      </c>
      <c r="AR25" s="33" t="str">
        <f t="shared" si="16"/>
        <v/>
      </c>
      <c r="AS25" s="32">
        <f t="shared" si="17"/>
        <v>0</v>
      </c>
      <c r="AT25" s="32">
        <f t="shared" si="18"/>
        <v>0</v>
      </c>
    </row>
    <row r="26" spans="1:46" ht="12" customHeight="1" x14ac:dyDescent="0.2">
      <c r="A26">
        <f t="shared" ca="1" si="0"/>
        <v>23</v>
      </c>
      <c r="B26" s="165" t="s">
        <v>169</v>
      </c>
      <c r="C26" s="223">
        <v>99901</v>
      </c>
      <c r="D26" s="223">
        <v>0</v>
      </c>
      <c r="E26" s="223">
        <v>99932</v>
      </c>
      <c r="F26" s="223">
        <v>99933</v>
      </c>
      <c r="G26" s="223">
        <v>99933</v>
      </c>
      <c r="H26" s="223">
        <v>0</v>
      </c>
      <c r="I26" s="223">
        <v>99907</v>
      </c>
      <c r="J26" s="221"/>
      <c r="L26" s="165" t="s">
        <v>169</v>
      </c>
      <c r="M26" s="230">
        <f>IF($N$2&lt;1,0,IF($N$2&lt;101,1,IF($N$2&lt;201,2,IF($N$2&lt;401,3,3+($N$2-400)/500))))</f>
        <v>0</v>
      </c>
      <c r="N26" s="234">
        <f>$N$2*$D26</f>
        <v>0</v>
      </c>
      <c r="O26" s="230">
        <f>IF($P$2&lt;1,0,IF($P$2&lt;101,1,IF($P$2&lt;201,2,IF($P$2&lt;401,3,3+($P$2-400)/150))))</f>
        <v>0</v>
      </c>
      <c r="P26" s="230">
        <f>IF($N$2&lt;1,0,IF($N$2&lt;201,1,IF($N$2&lt;401,2,IF($N$2&lt;751,3, 3+($N$2-750)/500))))</f>
        <v>0</v>
      </c>
      <c r="Q26" s="230">
        <f>IF($P$2&lt;1,0,IF($P$2&lt;201,1,IF($P$2&lt;401,2,IF($P$2&lt;751,3, 3+($P$2-750)/500))))</f>
        <v>0</v>
      </c>
      <c r="R26" s="231">
        <v>0</v>
      </c>
      <c r="S26" s="230">
        <f>IF($M$2&lt;31,0,IF($M$2&lt;251,1,IF($M$2&lt;501,2,IF($M$2&lt;751,3,3+($M$2-750)/500))))</f>
        <v>0</v>
      </c>
      <c r="T26" s="33" t="str">
        <f t="shared" si="10"/>
        <v/>
      </c>
      <c r="U26" s="32">
        <f t="shared" si="11"/>
        <v>0</v>
      </c>
      <c r="V26" s="32">
        <f t="shared" si="12"/>
        <v>0</v>
      </c>
      <c r="X26" s="165" t="s">
        <v>169</v>
      </c>
      <c r="Y26" s="230">
        <f>IF($Z$2&lt;1,0,IF($Z$2&lt;101,1,IF($Z$2&lt;201,2,IF($Z$2&lt;401,3,3+($Z$2-400)/500))))</f>
        <v>0</v>
      </c>
      <c r="Z26" s="234">
        <f>$Z$2*$D26</f>
        <v>0</v>
      </c>
      <c r="AA26" s="230">
        <f>IF($AB$2&lt;1,0,IF($AB$2&lt;101,1,IF($AB$2&lt;201,2,IF($AB$2&lt;401,3,3+($AB$2-400)/150))))</f>
        <v>0</v>
      </c>
      <c r="AB26" s="230">
        <f>IF($Z$2&lt;1,0,IF($Z$2&lt;201,1,IF($Z$2&lt;401,2,IF($Z$2&lt;751,3, 3+($Z$2-750)/500))))</f>
        <v>0</v>
      </c>
      <c r="AC26" s="230">
        <f>IF($AB$2&lt;1,0,IF($AB$2&lt;201,1,IF($AB$2&lt;401,2,IF($AB$2&lt;751,3, 3+($AB$2-750)/500))))</f>
        <v>0</v>
      </c>
      <c r="AD26" s="231">
        <v>0</v>
      </c>
      <c r="AE26" s="230">
        <f>IF($Y$2&lt;31,0,IF($Y$2&lt;251,1,IF($Y$2&lt;501,2,IF($Y$2&lt;751,3,3+($Y$2-750)/500))))</f>
        <v>0</v>
      </c>
      <c r="AF26" s="33" t="str">
        <f t="shared" si="13"/>
        <v/>
      </c>
      <c r="AG26" s="32">
        <f t="shared" si="14"/>
        <v>0</v>
      </c>
      <c r="AH26" s="32">
        <f t="shared" si="15"/>
        <v>0</v>
      </c>
      <c r="AJ26" s="165" t="s">
        <v>169</v>
      </c>
      <c r="AK26" s="230">
        <f>IF($AL$2&lt;1,0,IF($AL$2&lt;101,1,IF($AL$2&lt;201,2,IF($AL$2&lt;401,3,3+($AL$2-400)/500))))</f>
        <v>0</v>
      </c>
      <c r="AL26" s="234">
        <f>$AL$2*$D26</f>
        <v>0</v>
      </c>
      <c r="AM26" s="230">
        <f>IF($AN$2&lt;1,0,IF($AN$2&lt;101,1,IF($AN$2&lt;201,2,IF($AN$2&lt;401,3,3+($AN$2-400)/150))))</f>
        <v>0</v>
      </c>
      <c r="AN26" s="230">
        <f>IF($AL$2&lt;1,0,IF($AL$2&lt;201,1,IF($AL$2&lt;401,2,IF($AL$2&lt;751,3, 3+($AL$2-750)/500))))</f>
        <v>0</v>
      </c>
      <c r="AO26" s="230">
        <f>IF($AN$2&lt;1,0,IF($AN$2&lt;201,1,IF($AN$2&lt;401,2,IF($AN$2&lt;751,3, 3+($AN$2-750)/500))))</f>
        <v>0</v>
      </c>
      <c r="AP26" s="231">
        <v>0</v>
      </c>
      <c r="AQ26" s="230">
        <f>IF($AK$2&lt;31,0,IF($AK$2&lt;251,1,IF($AK$2&lt;501,2,IF($AK$2&lt;751,3,3+($AK$2-750)/500))))</f>
        <v>0</v>
      </c>
      <c r="AR26" s="33" t="str">
        <f t="shared" si="16"/>
        <v/>
      </c>
      <c r="AS26" s="32">
        <f t="shared" si="17"/>
        <v>0</v>
      </c>
      <c r="AT26" s="32">
        <f t="shared" si="18"/>
        <v>0</v>
      </c>
    </row>
    <row r="27" spans="1:46" ht="12" customHeight="1" x14ac:dyDescent="0.2">
      <c r="A27">
        <f t="shared" ca="1" si="0"/>
        <v>24</v>
      </c>
      <c r="B27" s="3"/>
      <c r="C27" s="220"/>
      <c r="D27" s="220"/>
      <c r="E27" s="220"/>
      <c r="F27" s="220"/>
      <c r="G27" s="220"/>
      <c r="H27" s="220"/>
      <c r="I27" s="220"/>
      <c r="L27" s="191"/>
      <c r="M27" s="24"/>
      <c r="N27" s="24"/>
      <c r="O27" s="24"/>
      <c r="P27" s="24"/>
      <c r="Q27" s="24"/>
      <c r="R27" s="24"/>
      <c r="S27" s="24"/>
      <c r="T27" s="145"/>
      <c r="U27" s="24"/>
      <c r="V27" s="24"/>
      <c r="X27" s="179"/>
      <c r="Y27" s="24"/>
      <c r="Z27" s="24"/>
      <c r="AA27" s="24"/>
      <c r="AB27" s="24"/>
      <c r="AC27" s="24"/>
      <c r="AD27" s="24"/>
      <c r="AE27" s="24"/>
      <c r="AF27" s="145"/>
      <c r="AG27" s="24"/>
      <c r="AH27" s="24"/>
      <c r="AJ27" s="181"/>
      <c r="AK27" s="24"/>
      <c r="AL27" s="24"/>
      <c r="AM27" s="24"/>
      <c r="AN27" s="24"/>
      <c r="AO27" s="24"/>
      <c r="AP27" s="24"/>
      <c r="AQ27" s="24"/>
      <c r="AR27" s="145"/>
      <c r="AS27" s="24"/>
      <c r="AT27" s="24"/>
    </row>
    <row r="28" spans="1:46" ht="12" customHeight="1" x14ac:dyDescent="0.2">
      <c r="A28">
        <f t="shared" ca="1" si="0"/>
        <v>25</v>
      </c>
      <c r="B28" s="3"/>
      <c r="C28" s="220"/>
      <c r="D28" s="220"/>
      <c r="E28" s="220"/>
      <c r="F28" s="220"/>
      <c r="G28" s="220"/>
      <c r="H28" s="220"/>
      <c r="I28" s="220"/>
      <c r="L28" s="191"/>
      <c r="M28" s="24"/>
      <c r="N28" s="24"/>
      <c r="O28" s="24"/>
      <c r="P28" s="24"/>
      <c r="Q28" s="24"/>
      <c r="R28" s="24"/>
      <c r="S28" s="24"/>
      <c r="T28" s="145"/>
      <c r="U28" s="24"/>
      <c r="V28" s="24"/>
      <c r="X28" s="179"/>
      <c r="Y28" s="24"/>
      <c r="Z28" s="24"/>
      <c r="AA28" s="24"/>
      <c r="AB28" s="24"/>
      <c r="AC28" s="24"/>
      <c r="AD28" s="24"/>
      <c r="AE28" s="24"/>
      <c r="AF28" s="145"/>
      <c r="AG28" s="24"/>
      <c r="AH28" s="24"/>
      <c r="AJ28" s="181"/>
      <c r="AK28" s="24"/>
      <c r="AL28" s="24"/>
      <c r="AM28" s="24"/>
      <c r="AN28" s="24"/>
      <c r="AO28" s="24"/>
      <c r="AP28" s="24"/>
      <c r="AQ28" s="24"/>
      <c r="AR28" s="145"/>
      <c r="AS28" s="24"/>
      <c r="AT28" s="24"/>
    </row>
    <row r="29" spans="1:46" ht="12" customHeight="1" x14ac:dyDescent="0.2">
      <c r="A29">
        <f t="shared" ca="1" si="0"/>
        <v>26</v>
      </c>
      <c r="B29" s="3"/>
      <c r="C29" s="220"/>
      <c r="D29" s="220"/>
      <c r="E29" s="220"/>
      <c r="F29" s="220"/>
      <c r="G29" s="220"/>
      <c r="H29" s="220"/>
      <c r="I29" s="220"/>
      <c r="L29" s="191"/>
      <c r="M29" s="24"/>
      <c r="N29" s="24"/>
      <c r="O29" s="24"/>
      <c r="P29" s="24"/>
      <c r="Q29" s="24"/>
      <c r="R29" s="24"/>
      <c r="S29" s="24"/>
      <c r="T29" s="145"/>
      <c r="U29" s="24"/>
      <c r="V29" s="24"/>
      <c r="X29" s="179"/>
      <c r="Y29" s="24"/>
      <c r="Z29" s="24"/>
      <c r="AA29" s="24"/>
      <c r="AB29" s="24"/>
      <c r="AC29" s="24"/>
      <c r="AD29" s="24"/>
      <c r="AE29" s="24"/>
      <c r="AF29" s="145"/>
      <c r="AG29" s="24"/>
      <c r="AH29" s="24"/>
      <c r="AJ29" s="181"/>
      <c r="AK29" s="24"/>
      <c r="AL29" s="24"/>
      <c r="AM29" s="24"/>
      <c r="AN29" s="24"/>
      <c r="AO29" s="24"/>
      <c r="AP29" s="24"/>
      <c r="AQ29" s="24"/>
      <c r="AR29" s="145"/>
      <c r="AS29" s="24"/>
      <c r="AT29" s="24"/>
    </row>
    <row r="30" spans="1:46" ht="12" customHeight="1" x14ac:dyDescent="0.2">
      <c r="A30">
        <f t="shared" ca="1" si="0"/>
        <v>27</v>
      </c>
      <c r="B30" s="3"/>
      <c r="C30" s="220"/>
      <c r="D30" s="220"/>
      <c r="E30" s="220"/>
      <c r="F30" s="220"/>
      <c r="G30" s="220"/>
      <c r="H30" s="220"/>
      <c r="I30" s="220"/>
      <c r="L30" s="191"/>
      <c r="M30" s="24"/>
      <c r="N30" s="24"/>
      <c r="O30" s="24"/>
      <c r="P30" s="24"/>
      <c r="Q30" s="24"/>
      <c r="R30" s="24"/>
      <c r="S30" s="24"/>
      <c r="T30" s="145"/>
      <c r="U30" s="24"/>
      <c r="V30" s="24"/>
      <c r="X30" s="179"/>
      <c r="Y30" s="24"/>
      <c r="Z30" s="24"/>
      <c r="AA30" s="24"/>
      <c r="AB30" s="24"/>
      <c r="AC30" s="24"/>
      <c r="AD30" s="24"/>
      <c r="AE30" s="24"/>
      <c r="AF30" s="145"/>
      <c r="AG30" s="24"/>
      <c r="AH30" s="24"/>
      <c r="AJ30" s="181"/>
      <c r="AK30" s="24"/>
      <c r="AL30" s="24"/>
      <c r="AM30" s="24"/>
      <c r="AN30" s="24"/>
      <c r="AO30" s="24"/>
      <c r="AP30" s="24"/>
      <c r="AQ30" s="24"/>
      <c r="AR30" s="145"/>
      <c r="AS30" s="24"/>
      <c r="AT30" s="24"/>
    </row>
    <row r="31" spans="1:46" ht="12" customHeight="1" x14ac:dyDescent="0.2">
      <c r="A31">
        <f t="shared" ca="1" si="0"/>
        <v>28</v>
      </c>
      <c r="B31" s="3"/>
      <c r="C31" s="220"/>
      <c r="D31" s="220"/>
      <c r="E31" s="220"/>
      <c r="F31" s="220"/>
      <c r="G31" s="220"/>
      <c r="H31" s="220"/>
      <c r="I31" s="220"/>
      <c r="L31" s="191"/>
      <c r="M31" s="24"/>
      <c r="N31" s="24"/>
      <c r="O31" s="24"/>
      <c r="P31" s="24"/>
      <c r="Q31" s="24"/>
      <c r="R31" s="24"/>
      <c r="S31" s="24"/>
      <c r="T31" s="145"/>
      <c r="U31" s="24"/>
      <c r="V31" s="24"/>
      <c r="X31" s="179"/>
      <c r="Y31" s="24"/>
      <c r="Z31" s="24"/>
      <c r="AA31" s="24"/>
      <c r="AB31" s="24"/>
      <c r="AC31" s="24"/>
      <c r="AD31" s="24"/>
      <c r="AE31" s="24"/>
      <c r="AF31" s="145"/>
      <c r="AG31" s="24"/>
      <c r="AH31" s="24"/>
      <c r="AJ31" s="181"/>
      <c r="AK31" s="24"/>
      <c r="AL31" s="24"/>
      <c r="AM31" s="24"/>
      <c r="AN31" s="24"/>
      <c r="AO31" s="24"/>
      <c r="AP31" s="24"/>
      <c r="AQ31" s="24"/>
      <c r="AR31" s="145"/>
      <c r="AS31" s="24"/>
      <c r="AT31" s="24"/>
    </row>
    <row r="32" spans="1:46" ht="12" customHeight="1" x14ac:dyDescent="0.2">
      <c r="A32">
        <f t="shared" ca="1" si="0"/>
        <v>29</v>
      </c>
      <c r="B32" s="3"/>
      <c r="C32" s="220"/>
      <c r="D32" s="220"/>
      <c r="E32" s="220"/>
      <c r="F32" s="220"/>
      <c r="G32" s="220"/>
      <c r="H32" s="220"/>
      <c r="I32" s="220"/>
      <c r="L32" s="191"/>
      <c r="M32" s="24"/>
      <c r="N32" s="24"/>
      <c r="O32" s="24"/>
      <c r="P32" s="24"/>
      <c r="Q32" s="24"/>
      <c r="R32" s="24"/>
      <c r="S32" s="24"/>
      <c r="T32" s="145"/>
      <c r="U32" s="24"/>
      <c r="V32" s="24"/>
      <c r="X32" s="179"/>
      <c r="Y32" s="24"/>
      <c r="Z32" s="24"/>
      <c r="AA32" s="24"/>
      <c r="AB32" s="24"/>
      <c r="AC32" s="24"/>
      <c r="AD32" s="24"/>
      <c r="AE32" s="24"/>
      <c r="AF32" s="145"/>
      <c r="AG32" s="24"/>
      <c r="AH32" s="24"/>
      <c r="AJ32" s="181"/>
      <c r="AK32" s="24"/>
      <c r="AL32" s="24"/>
      <c r="AM32" s="24"/>
      <c r="AN32" s="24"/>
      <c r="AO32" s="24"/>
      <c r="AP32" s="24"/>
      <c r="AQ32" s="24"/>
      <c r="AR32" s="145"/>
      <c r="AS32" s="24"/>
      <c r="AT32" s="24"/>
    </row>
    <row r="33" spans="1:47" ht="12" customHeight="1" x14ac:dyDescent="0.2">
      <c r="A33">
        <f t="shared" ca="1" si="0"/>
        <v>30</v>
      </c>
      <c r="B33" s="3"/>
      <c r="C33" s="220"/>
      <c r="D33" s="220"/>
      <c r="E33" s="220"/>
      <c r="F33" s="220"/>
      <c r="G33" s="220"/>
      <c r="H33" s="220"/>
      <c r="I33" s="220"/>
      <c r="L33" s="191"/>
      <c r="M33" s="24"/>
      <c r="N33" s="24"/>
      <c r="O33" s="24"/>
      <c r="P33" s="24"/>
      <c r="Q33" s="24"/>
      <c r="R33" s="24"/>
      <c r="S33" s="24"/>
      <c r="T33" s="145"/>
      <c r="U33" s="24"/>
      <c r="V33" s="24"/>
      <c r="X33" s="179"/>
      <c r="Y33" s="24"/>
      <c r="Z33" s="24"/>
      <c r="AA33" s="24"/>
      <c r="AB33" s="24"/>
      <c r="AC33" s="24"/>
      <c r="AD33" s="24"/>
      <c r="AE33" s="24"/>
      <c r="AF33" s="145"/>
      <c r="AG33" s="24"/>
      <c r="AH33" s="24"/>
      <c r="AJ33" s="181"/>
      <c r="AK33" s="24"/>
      <c r="AL33" s="24"/>
      <c r="AM33" s="24"/>
      <c r="AN33" s="24"/>
      <c r="AO33" s="24"/>
      <c r="AP33" s="24"/>
      <c r="AQ33" s="24"/>
      <c r="AR33" s="145"/>
      <c r="AS33" s="24"/>
      <c r="AT33" s="24"/>
    </row>
    <row r="34" spans="1:47" ht="12" customHeight="1" x14ac:dyDescent="0.2">
      <c r="A34">
        <f t="shared" ca="1" si="0"/>
        <v>31</v>
      </c>
      <c r="B34" s="3"/>
      <c r="C34" s="220"/>
      <c r="D34" s="220"/>
      <c r="E34" s="220"/>
      <c r="F34" s="220"/>
      <c r="G34" s="220"/>
      <c r="H34" s="220"/>
      <c r="I34" s="220"/>
      <c r="L34" s="191"/>
      <c r="M34" s="24"/>
      <c r="N34" s="24"/>
      <c r="O34" s="24"/>
      <c r="P34" s="24"/>
      <c r="Q34" s="24"/>
      <c r="R34" s="24"/>
      <c r="S34" s="24"/>
      <c r="T34" s="145"/>
      <c r="U34" s="24"/>
      <c r="V34" s="24"/>
      <c r="X34" s="179"/>
      <c r="Y34" s="24"/>
      <c r="Z34" s="24"/>
      <c r="AA34" s="24"/>
      <c r="AB34" s="24"/>
      <c r="AC34" s="24"/>
      <c r="AD34" s="24"/>
      <c r="AE34" s="24"/>
      <c r="AF34" s="145"/>
      <c r="AG34" s="24"/>
      <c r="AH34" s="24"/>
      <c r="AJ34" s="181"/>
      <c r="AK34" s="24"/>
      <c r="AL34" s="24"/>
      <c r="AM34" s="24"/>
      <c r="AN34" s="24"/>
      <c r="AO34" s="24"/>
      <c r="AP34" s="24"/>
      <c r="AQ34" s="24"/>
      <c r="AR34" s="145"/>
      <c r="AS34" s="24"/>
      <c r="AT34" s="24"/>
    </row>
    <row r="35" spans="1:47" ht="12" customHeight="1" x14ac:dyDescent="0.2">
      <c r="A35">
        <f t="shared" ca="1" si="0"/>
        <v>32</v>
      </c>
      <c r="B35" s="3"/>
      <c r="C35" s="220"/>
      <c r="D35" s="220"/>
      <c r="E35" s="220"/>
      <c r="F35" s="220"/>
      <c r="G35" s="220"/>
      <c r="H35" s="220"/>
      <c r="I35" s="220"/>
      <c r="L35" s="191"/>
      <c r="M35" s="24"/>
      <c r="N35" s="24"/>
      <c r="O35" s="24"/>
      <c r="P35" s="24"/>
      <c r="Q35" s="24"/>
      <c r="R35" s="24"/>
      <c r="S35" s="24"/>
      <c r="T35" s="145"/>
      <c r="U35" s="24"/>
      <c r="V35" s="24"/>
      <c r="X35" s="179"/>
      <c r="Y35" s="24"/>
      <c r="Z35" s="24"/>
      <c r="AA35" s="24"/>
      <c r="AB35" s="24"/>
      <c r="AC35" s="24"/>
      <c r="AD35" s="24"/>
      <c r="AE35" s="24"/>
      <c r="AF35" s="145"/>
      <c r="AG35" s="24"/>
      <c r="AH35" s="24"/>
      <c r="AJ35" s="181"/>
      <c r="AK35" s="24"/>
      <c r="AL35" s="24"/>
      <c r="AM35" s="24"/>
      <c r="AN35" s="24"/>
      <c r="AO35" s="24"/>
      <c r="AP35" s="24"/>
      <c r="AQ35" s="24"/>
      <c r="AR35" s="145"/>
      <c r="AS35" s="24"/>
      <c r="AT35" s="24"/>
    </row>
    <row r="36" spans="1:47" ht="12" customHeight="1" x14ac:dyDescent="0.2">
      <c r="A36">
        <f t="shared" ca="1" si="0"/>
        <v>33</v>
      </c>
      <c r="B36" s="3"/>
      <c r="C36" s="220"/>
      <c r="D36" s="220"/>
      <c r="E36" s="220"/>
      <c r="F36" s="220"/>
      <c r="G36" s="220"/>
      <c r="H36" s="220"/>
      <c r="I36" s="220"/>
      <c r="L36" s="191"/>
      <c r="M36" s="24"/>
      <c r="N36" s="24"/>
      <c r="O36" s="24"/>
      <c r="P36" s="24"/>
      <c r="Q36" s="24"/>
      <c r="R36" s="24"/>
      <c r="S36" s="24"/>
      <c r="T36" s="145"/>
      <c r="U36" s="24"/>
      <c r="V36" s="24"/>
      <c r="X36" s="179"/>
      <c r="Y36" s="24"/>
      <c r="Z36" s="24"/>
      <c r="AA36" s="24"/>
      <c r="AB36" s="24"/>
      <c r="AC36" s="24"/>
      <c r="AD36" s="24"/>
      <c r="AE36" s="24"/>
      <c r="AF36" s="145"/>
      <c r="AG36" s="24"/>
      <c r="AH36" s="24"/>
      <c r="AJ36" s="181"/>
      <c r="AK36" s="24"/>
      <c r="AL36" s="24"/>
      <c r="AM36" s="24"/>
      <c r="AN36" s="24"/>
      <c r="AO36" s="24"/>
      <c r="AP36" s="24"/>
      <c r="AQ36" s="24"/>
      <c r="AR36" s="145"/>
      <c r="AS36" s="24"/>
      <c r="AT36" s="24"/>
    </row>
    <row r="37" spans="1:47" ht="12" customHeight="1" x14ac:dyDescent="0.2">
      <c r="B37" s="59"/>
      <c r="L37" s="191"/>
      <c r="X37" s="179"/>
      <c r="AJ37" s="181"/>
    </row>
    <row r="38" spans="1:47" ht="18" customHeight="1" thickBot="1" x14ac:dyDescent="0.25">
      <c r="A38" s="12">
        <f ca="1">IF(B103&lt;0,99,1)</f>
        <v>1</v>
      </c>
      <c r="B38" s="26"/>
      <c r="N38" s="47"/>
      <c r="O38" s="47"/>
      <c r="Z38" s="47"/>
      <c r="AA38" s="47"/>
      <c r="AL38" s="47"/>
      <c r="AM38" s="47"/>
    </row>
    <row r="39" spans="1:47" ht="12" customHeight="1" x14ac:dyDescent="0.2">
      <c r="A39">
        <f t="shared" ref="A39:A70" ca="1" si="19">A38+1</f>
        <v>2</v>
      </c>
      <c r="B39" s="164" t="s">
        <v>148</v>
      </c>
      <c r="C39" s="216" t="s">
        <v>40</v>
      </c>
      <c r="D39" s="216" t="s">
        <v>40</v>
      </c>
      <c r="E39" s="216" t="s">
        <v>40</v>
      </c>
      <c r="F39" s="216" t="s">
        <v>40</v>
      </c>
      <c r="G39" s="216" t="s">
        <v>40</v>
      </c>
      <c r="H39" s="144" t="s">
        <v>32</v>
      </c>
      <c r="I39" s="216" t="s">
        <v>40</v>
      </c>
      <c r="L39" s="33" t="s">
        <v>28</v>
      </c>
      <c r="N39" s="47"/>
      <c r="O39" s="47"/>
      <c r="X39" s="33" t="s">
        <v>28</v>
      </c>
      <c r="Z39" s="47"/>
      <c r="AA39" s="47"/>
      <c r="AJ39" s="33" t="s">
        <v>28</v>
      </c>
      <c r="AL39" s="47"/>
      <c r="AM39" s="47"/>
    </row>
    <row r="40" spans="1:47" ht="12" customHeight="1" x14ac:dyDescent="0.2">
      <c r="A40">
        <f t="shared" ca="1" si="19"/>
        <v>3</v>
      </c>
      <c r="B40" s="165" t="s">
        <v>149</v>
      </c>
      <c r="C40" s="216" t="s">
        <v>40</v>
      </c>
      <c r="D40" s="216" t="s">
        <v>40</v>
      </c>
      <c r="E40" s="216" t="s">
        <v>40</v>
      </c>
      <c r="F40" s="216" t="s">
        <v>40</v>
      </c>
      <c r="G40" s="216" t="s">
        <v>40</v>
      </c>
      <c r="H40" s="144" t="s">
        <v>32</v>
      </c>
      <c r="I40" s="216" t="s">
        <v>40</v>
      </c>
      <c r="L40" s="35" t="s">
        <v>29</v>
      </c>
      <c r="X40" s="35" t="s">
        <v>29</v>
      </c>
      <c r="AJ40" s="35" t="s">
        <v>29</v>
      </c>
    </row>
    <row r="41" spans="1:47" ht="12" customHeight="1" x14ac:dyDescent="0.2">
      <c r="A41">
        <f t="shared" ca="1" si="19"/>
        <v>4</v>
      </c>
      <c r="B41" s="165" t="s">
        <v>150</v>
      </c>
      <c r="C41" s="216" t="s">
        <v>40</v>
      </c>
      <c r="D41" s="216" t="s">
        <v>40</v>
      </c>
      <c r="E41" s="216" t="s">
        <v>40</v>
      </c>
      <c r="F41" s="216" t="s">
        <v>40</v>
      </c>
      <c r="G41" s="216" t="s">
        <v>40</v>
      </c>
      <c r="H41" s="144" t="s">
        <v>32</v>
      </c>
      <c r="I41" s="216" t="s">
        <v>40</v>
      </c>
      <c r="L41" s="41" t="s">
        <v>30</v>
      </c>
      <c r="X41" s="41" t="s">
        <v>30</v>
      </c>
      <c r="AJ41" s="41" t="s">
        <v>30</v>
      </c>
    </row>
    <row r="42" spans="1:47" ht="12" customHeight="1" x14ac:dyDescent="0.2">
      <c r="A42">
        <f t="shared" ca="1" si="19"/>
        <v>5</v>
      </c>
      <c r="B42" s="165" t="s">
        <v>151</v>
      </c>
      <c r="C42" s="216" t="s">
        <v>40</v>
      </c>
      <c r="D42" s="216" t="s">
        <v>40</v>
      </c>
      <c r="E42" s="216" t="s">
        <v>40</v>
      </c>
      <c r="F42" s="216" t="s">
        <v>40</v>
      </c>
      <c r="G42" s="216" t="s">
        <v>40</v>
      </c>
      <c r="H42" s="144" t="s">
        <v>32</v>
      </c>
      <c r="I42" s="216" t="s">
        <v>40</v>
      </c>
      <c r="L42" s="40" t="s">
        <v>31</v>
      </c>
      <c r="N42" s="12" t="s">
        <v>19</v>
      </c>
      <c r="O42" s="12" t="s">
        <v>74</v>
      </c>
      <c r="P42" s="12" t="s">
        <v>20</v>
      </c>
      <c r="Q42" s="12" t="s">
        <v>21</v>
      </c>
      <c r="R42" s="12" t="s">
        <v>22</v>
      </c>
      <c r="S42" s="12" t="s">
        <v>23</v>
      </c>
      <c r="T42" s="12" t="s">
        <v>24</v>
      </c>
      <c r="U42" s="12" t="s">
        <v>17</v>
      </c>
      <c r="V42" s="12" t="s">
        <v>122</v>
      </c>
      <c r="X42" s="40" t="s">
        <v>31</v>
      </c>
      <c r="Z42" s="12" t="s">
        <v>19</v>
      </c>
      <c r="AA42" s="12" t="s">
        <v>74</v>
      </c>
      <c r="AB42" s="12" t="s">
        <v>20</v>
      </c>
      <c r="AC42" s="12" t="s">
        <v>21</v>
      </c>
      <c r="AD42" s="12" t="s">
        <v>22</v>
      </c>
      <c r="AE42" s="12" t="s">
        <v>23</v>
      </c>
      <c r="AF42" s="12" t="s">
        <v>24</v>
      </c>
      <c r="AG42" s="12" t="s">
        <v>17</v>
      </c>
      <c r="AH42" s="12" t="s">
        <v>122</v>
      </c>
      <c r="AJ42" s="40" t="s">
        <v>31</v>
      </c>
      <c r="AL42" s="12" t="s">
        <v>19</v>
      </c>
      <c r="AM42" s="12" t="s">
        <v>74</v>
      </c>
      <c r="AN42" s="12" t="s">
        <v>20</v>
      </c>
      <c r="AO42" s="12" t="s">
        <v>21</v>
      </c>
      <c r="AP42" s="12" t="s">
        <v>22</v>
      </c>
      <c r="AQ42" s="12" t="s">
        <v>23</v>
      </c>
      <c r="AR42" s="12" t="s">
        <v>24</v>
      </c>
      <c r="AS42" s="12" t="s">
        <v>17</v>
      </c>
      <c r="AT42" s="12" t="s">
        <v>122</v>
      </c>
    </row>
    <row r="43" spans="1:47" ht="12" customHeight="1" thickBot="1" x14ac:dyDescent="0.25">
      <c r="A43">
        <f t="shared" ca="1" si="19"/>
        <v>6</v>
      </c>
      <c r="B43" s="165" t="s">
        <v>152</v>
      </c>
      <c r="C43" s="216" t="s">
        <v>40</v>
      </c>
      <c r="D43" s="216" t="s">
        <v>40</v>
      </c>
      <c r="E43" s="216" t="s">
        <v>40</v>
      </c>
      <c r="F43" s="216" t="s">
        <v>40</v>
      </c>
      <c r="G43" s="216" t="s">
        <v>40</v>
      </c>
      <c r="H43" s="144" t="s">
        <v>32</v>
      </c>
      <c r="I43" s="216" t="s">
        <v>40</v>
      </c>
      <c r="M43" s="29"/>
      <c r="N43" s="32" t="str">
        <f ca="1">LOOKUP(LOOKUP(L2,$A$4:$A$36,$C$4:$C$36),$A$124:$A$166,$B$124:$B$166)</f>
        <v xml:space="preserve"> </v>
      </c>
      <c r="O43" s="32" t="str">
        <f ca="1">LOOKUP(LOOKUP(L2,$A$4:$A$36,$D$4:$D$36),$A$124:$A$166,$B$124:$B$166)</f>
        <v xml:space="preserve"> </v>
      </c>
      <c r="P43" s="32" t="str">
        <f ca="1">LOOKUP(LOOKUP(L2,$A$4:$A$36,$E$4:$E$36),$A$124:$A$166,$B$124:$B$166)</f>
        <v xml:space="preserve"> </v>
      </c>
      <c r="Q43" s="32" t="str">
        <f ca="1">LOOKUP(LOOKUP(L2,$A$4:$A$36,$F$4:$F$36),$A$124:$A$166,$B$124:$B$166)</f>
        <v xml:space="preserve"> </v>
      </c>
      <c r="R43" s="32" t="str">
        <f ca="1">LOOKUP(LOOKUP(L2,$A$4:$A$36,$G$4:$G$36),$A$124:$A$166,$B$124:$B$166)</f>
        <v xml:space="preserve"> </v>
      </c>
      <c r="S43" s="32" t="str">
        <f ca="1">LOOKUP(LOOKUP(L2,$A$4:$A$36,$H$4:$H$36),$A$124:$A$166,$B$124:$B$166)</f>
        <v xml:space="preserve"> </v>
      </c>
      <c r="T43" s="32" t="str">
        <f ca="1">LOOKUP(LOOKUP(L2,$A$4:$A$36,$I$4:$I$36),$A$124:$A$166,$B$124:$B$166)</f>
        <v xml:space="preserve"> </v>
      </c>
      <c r="U43" s="24"/>
      <c r="V43" s="242"/>
      <c r="W43" s="174" t="s">
        <v>121</v>
      </c>
      <c r="Y43" s="29"/>
      <c r="Z43" s="32" t="str">
        <f ca="1">LOOKUP(LOOKUP(X2,$A$4:$A$36,$C$4:$C$36),$A$124:$A$166,$B$124:$B$166)</f>
        <v xml:space="preserve"> </v>
      </c>
      <c r="AA43" s="32" t="str">
        <f ca="1">LOOKUP(LOOKUP(X2,$A$4:$A$36,$D$4:$D$36),$A$124:$A$166,$B$124:$B$166)</f>
        <v xml:space="preserve"> </v>
      </c>
      <c r="AB43" s="32" t="str">
        <f ca="1">LOOKUP(LOOKUP(X2,$A$4:$A$36,$E$4:$E$36),$A$124:$A$166,$B$124:$B$166)</f>
        <v xml:space="preserve"> </v>
      </c>
      <c r="AC43" s="32" t="str">
        <f ca="1">LOOKUP(LOOKUP(X2,$A$4:$A$36,$F$4:$F$36),$A$124:$A$166,$B$124:$B$166)</f>
        <v xml:space="preserve"> </v>
      </c>
      <c r="AD43" s="32" t="str">
        <f ca="1">LOOKUP(LOOKUP(X2,$A$4:$A$36,$G$4:$G$36),$A$124:$A$166,$B$124:$B$166)</f>
        <v xml:space="preserve"> </v>
      </c>
      <c r="AE43" s="32" t="str">
        <f ca="1">LOOKUP(LOOKUP(X2,$A$4:$A$36,$H$4:$H$36),$A$124:$A$166,$B$124:$B$166)</f>
        <v xml:space="preserve"> </v>
      </c>
      <c r="AF43" s="32" t="str">
        <f ca="1">LOOKUP(LOOKUP(X2,$A$4:$A$36,$I$4:$I$36),$A$124:$A$166,$B$124:$B$166)</f>
        <v xml:space="preserve"> </v>
      </c>
      <c r="AG43" s="24"/>
      <c r="AH43" s="242"/>
      <c r="AI43" s="174" t="s">
        <v>121</v>
      </c>
      <c r="AK43" s="29"/>
      <c r="AL43" s="32" t="str">
        <f ca="1">LOOKUP(LOOKUP(AJ2,$A$4:$A$36,$C$4:$C$36),$A$124:$A$166,$B$124:$B$166)</f>
        <v xml:space="preserve"> </v>
      </c>
      <c r="AM43" s="32" t="str">
        <f ca="1">LOOKUP(LOOKUP(AJ2,$A$4:$A$36,$D$4:$D$36),$A$124:$A$166,$B$124:$B$166)</f>
        <v xml:space="preserve"> </v>
      </c>
      <c r="AN43" s="32" t="str">
        <f ca="1">LOOKUP(LOOKUP(AJ2,$A$4:$A$36,$E$4:$E$36),$A$124:$A$166,$B$124:$B$166)</f>
        <v xml:space="preserve"> </v>
      </c>
      <c r="AO43" s="32" t="str">
        <f ca="1">LOOKUP(LOOKUP(AJ2,$A$4:$A$36,$F$4:$F$36),$A$124:$A$166,$B$124:$B$166)</f>
        <v xml:space="preserve"> </v>
      </c>
      <c r="AP43" s="32" t="str">
        <f ca="1">LOOKUP(LOOKUP(AJ2,$A$4:$A$36,$G$4:$G$36),$A$124:$A$166,$B$124:$B$166)</f>
        <v xml:space="preserve"> </v>
      </c>
      <c r="AQ43" s="32" t="str">
        <f ca="1">LOOKUP(LOOKUP(AJ2,$A$4:$A$36,$H$4:$H$36),$A$124:$A$166,$B$124:$B$166)</f>
        <v xml:space="preserve"> </v>
      </c>
      <c r="AR43" s="32" t="str">
        <f ca="1">LOOKUP(LOOKUP(AJ2,$A$4:$A$36,$I$4:$I$36),$A$124:$A$166,$B$124:$B$166)</f>
        <v xml:space="preserve"> </v>
      </c>
      <c r="AS43" s="24"/>
      <c r="AT43" s="242"/>
      <c r="AU43" s="174" t="s">
        <v>121</v>
      </c>
    </row>
    <row r="44" spans="1:47" ht="12" customHeight="1" thickBot="1" x14ac:dyDescent="0.25">
      <c r="A44">
        <f t="shared" ca="1" si="19"/>
        <v>7</v>
      </c>
      <c r="B44" s="165" t="s">
        <v>153</v>
      </c>
      <c r="C44" s="216" t="s">
        <v>40</v>
      </c>
      <c r="D44" s="216" t="s">
        <v>40</v>
      </c>
      <c r="E44" s="216" t="s">
        <v>40</v>
      </c>
      <c r="F44" s="216" t="s">
        <v>40</v>
      </c>
      <c r="G44" s="216" t="s">
        <v>40</v>
      </c>
      <c r="H44" s="144" t="s">
        <v>32</v>
      </c>
      <c r="I44" s="216" t="s">
        <v>42</v>
      </c>
      <c r="L44" s="25" t="s">
        <v>91</v>
      </c>
      <c r="M44" s="42">
        <f>IF(OR(L2=11,L2=13),1,0)</f>
        <v>0</v>
      </c>
      <c r="N44" s="239" t="str">
        <f ca="1">N43</f>
        <v xml:space="preserve"> </v>
      </c>
      <c r="O44" s="239" t="str">
        <f ca="1">IF(O43=N43,"",O43)</f>
        <v/>
      </c>
      <c r="P44" s="248" t="str">
        <f ca="1">IF(OR(P43=O43,P43=N43),"",P43)</f>
        <v/>
      </c>
      <c r="Q44" s="50" t="str">
        <f ca="1">IF(OR(Q43=P43,Q43=O43,Q43=N43),"",Q43)</f>
        <v/>
      </c>
      <c r="R44" s="50" t="str">
        <f ca="1">IF(OR(R43=Q43,R43=P43,R43=O43,R43=N43),"",R43)</f>
        <v/>
      </c>
      <c r="S44" s="50" t="str">
        <f ca="1">IF(OR(S43=R43,S43=Q43,S43=P43,S43=O43,S43=N43),"",S43)</f>
        <v/>
      </c>
      <c r="T44" s="50" t="str">
        <f ca="1">IF(U57=0,"",T43)</f>
        <v/>
      </c>
      <c r="U44" s="241">
        <f ca="1">LOOKUP(L2,$A$4:$A$36,T4:T36)</f>
        <v>0</v>
      </c>
      <c r="V44" s="244" t="str">
        <f>IF(L2&lt;2,"",$B$84)</f>
        <v/>
      </c>
      <c r="W44" s="174" t="s">
        <v>121</v>
      </c>
      <c r="X44" s="25" t="s">
        <v>91</v>
      </c>
      <c r="Y44" s="42">
        <f>IF(OR(X2=11,X2=13),1,0)</f>
        <v>0</v>
      </c>
      <c r="Z44" s="49" t="str">
        <f ca="1">Z43</f>
        <v xml:space="preserve"> </v>
      </c>
      <c r="AA44" s="49" t="str">
        <f ca="1">IF(AA43=Z43,"",AA43)</f>
        <v/>
      </c>
      <c r="AB44" s="50" t="str">
        <f ca="1">IF(OR(AB43=AA43,AB43=Z43),"",AB43)</f>
        <v/>
      </c>
      <c r="AC44" s="50" t="str">
        <f ca="1">IF(OR(AC43=AB43,AC43=AA43,AC43=Z43),"",AC43)</f>
        <v/>
      </c>
      <c r="AD44" s="50" t="str">
        <f ca="1">IF(OR(AD43=AC43,AD43=AB43,AD43=AA43,AD43=Z43),"",AD43)</f>
        <v/>
      </c>
      <c r="AE44" s="50" t="str">
        <f ca="1">IF(OR(AE43=AD43,AE43=AC43,AE43=AB43,AE43=AA43,AE43=Z43),"",AE43)</f>
        <v/>
      </c>
      <c r="AF44" s="50" t="str">
        <f ca="1">IF(AG57=0,"",AF43)</f>
        <v/>
      </c>
      <c r="AG44" s="241">
        <f ca="1">LOOKUP(X2,$A$4:$A$36,AF4:AF36)</f>
        <v>0</v>
      </c>
      <c r="AH44" s="244" t="str">
        <f>IF(X2&lt;2,"",$C$84)</f>
        <v/>
      </c>
      <c r="AI44" s="174" t="s">
        <v>121</v>
      </c>
      <c r="AJ44" s="25" t="s">
        <v>91</v>
      </c>
      <c r="AK44" s="42">
        <f>IF(OR(AJ2=11,AJ2=13),1,0)</f>
        <v>0</v>
      </c>
      <c r="AL44" s="49" t="str">
        <f ca="1">AL43</f>
        <v xml:space="preserve"> </v>
      </c>
      <c r="AM44" s="49" t="str">
        <f ca="1">IF(AM43=AL43,"",AM43)</f>
        <v/>
      </c>
      <c r="AN44" s="50" t="str">
        <f ca="1">IF(OR(AN43=AM43,AN43=AL43),"",AN43)</f>
        <v/>
      </c>
      <c r="AO44" s="50" t="str">
        <f ca="1">IF(OR(AO43=AN43,AO43=AM43,AO43=AL43),"",AO43)</f>
        <v/>
      </c>
      <c r="AP44" s="50" t="str">
        <f ca="1">IF(OR(AP43=AO43,AP43=AN43,AP43=AM43,AP43=AL43),"",AP43)</f>
        <v/>
      </c>
      <c r="AQ44" s="50" t="str">
        <f ca="1">IF(OR(AQ43=AP43,AQ43=AO43,AQ43=AN43,AQ43=AM43,AQ43=AL43),"",AQ43)</f>
        <v/>
      </c>
      <c r="AR44" s="50" t="str">
        <f ca="1">IF(AS57=0,"",AR43)</f>
        <v/>
      </c>
      <c r="AS44" s="241">
        <f ca="1">LOOKUP(AJ2,$A$4:$A$36,AR4:AR36)</f>
        <v>0</v>
      </c>
      <c r="AT44" s="244" t="str">
        <f>IF(AJ2&lt;2,"",$D$84)</f>
        <v/>
      </c>
      <c r="AU44" s="174" t="s">
        <v>121</v>
      </c>
    </row>
    <row r="45" spans="1:47" ht="12" customHeight="1" thickBot="1" x14ac:dyDescent="0.25">
      <c r="A45">
        <f t="shared" ca="1" si="19"/>
        <v>8</v>
      </c>
      <c r="B45" s="165" t="s">
        <v>154</v>
      </c>
      <c r="C45" s="216" t="s">
        <v>43</v>
      </c>
      <c r="D45" s="216" t="s">
        <v>44</v>
      </c>
      <c r="E45" s="216" t="s">
        <v>81</v>
      </c>
      <c r="F45" s="216" t="s">
        <v>41</v>
      </c>
      <c r="G45" s="216" t="s">
        <v>41</v>
      </c>
      <c r="H45" s="144" t="s">
        <v>32</v>
      </c>
      <c r="I45" s="216" t="s">
        <v>42</v>
      </c>
      <c r="L45" s="45" t="s">
        <v>90</v>
      </c>
      <c r="M45" s="238">
        <f>IF(AND(M44=0,M2&lt;=10),1,0)</f>
        <v>1</v>
      </c>
      <c r="N45" s="240" t="str">
        <f>IF(AND(P57&gt;P58,N49=0),$B$76,IF(AND(P58&lt;N57+O57,N49=1),$B$86,""))</f>
        <v/>
      </c>
      <c r="O45" s="249" t="str">
        <f>IF(AND(M45=1,M2&gt;0),$B$79,"")</f>
        <v/>
      </c>
      <c r="P45" s="250" t="str">
        <f>IF(N49=1,$B$77,"")</f>
        <v/>
      </c>
      <c r="Q45" s="254"/>
      <c r="R45" s="51"/>
      <c r="S45" s="24"/>
      <c r="T45" s="24"/>
      <c r="U45" s="17"/>
      <c r="V45" s="243"/>
      <c r="W45" s="174" t="s">
        <v>121</v>
      </c>
      <c r="X45" s="45" t="s">
        <v>90</v>
      </c>
      <c r="Y45" s="238">
        <f>IF(AND(Y44=0,Y2&lt;=10),1,0)</f>
        <v>1</v>
      </c>
      <c r="Z45" s="240" t="str">
        <f>IF(AND(AB57&gt;AB58,Z49=0),$B$76,IF(AND(AB58&lt;Z57+AA57,Z49=1),$B$86,""))</f>
        <v/>
      </c>
      <c r="AA45" s="249" t="str">
        <f>IF(AND(Y45=1,Y2&gt;0),$B$79,"")</f>
        <v/>
      </c>
      <c r="AB45" s="250" t="str">
        <f>IF(Z49=1,$B$77,"")</f>
        <v/>
      </c>
      <c r="AC45" s="254"/>
      <c r="AD45" s="51"/>
      <c r="AE45" s="24"/>
      <c r="AF45" s="24"/>
      <c r="AG45" s="17"/>
      <c r="AH45" s="243"/>
      <c r="AI45" s="174" t="s">
        <v>121</v>
      </c>
      <c r="AJ45" s="45" t="s">
        <v>90</v>
      </c>
      <c r="AK45" s="238">
        <f>IF(AND(AK44=0,AK2&lt;=10),1,0)</f>
        <v>1</v>
      </c>
      <c r="AL45" s="240" t="str">
        <f>IF(AND(AN57&gt;AN58,AL49=0),$B$76,IF(AND(AN58&lt;AL57+AM57,AL49=1),$B$86,""))</f>
        <v/>
      </c>
      <c r="AM45" s="249" t="str">
        <f>IF(AND(AK45=1,AK2&gt;0),$B$79,"")</f>
        <v/>
      </c>
      <c r="AN45" s="250" t="str">
        <f>IF(AL49=1,$B$77,"")</f>
        <v/>
      </c>
      <c r="AO45" s="254"/>
      <c r="AP45" s="51"/>
      <c r="AQ45" s="24"/>
      <c r="AR45" s="24"/>
      <c r="AS45" s="17"/>
      <c r="AT45" s="243"/>
      <c r="AU45" s="174" t="s">
        <v>121</v>
      </c>
    </row>
    <row r="46" spans="1:47" ht="12" customHeight="1" thickBot="1" x14ac:dyDescent="0.25">
      <c r="A46">
        <f t="shared" ca="1" si="19"/>
        <v>9</v>
      </c>
      <c r="B46" s="165" t="s">
        <v>155</v>
      </c>
      <c r="C46" s="216" t="s">
        <v>40</v>
      </c>
      <c r="D46" s="144" t="s">
        <v>32</v>
      </c>
      <c r="E46" s="216" t="s">
        <v>40</v>
      </c>
      <c r="F46" s="216" t="s">
        <v>40</v>
      </c>
      <c r="G46" s="216" t="s">
        <v>40</v>
      </c>
      <c r="H46" s="216" t="s">
        <v>40</v>
      </c>
      <c r="I46" s="216" t="s">
        <v>40</v>
      </c>
      <c r="L46" s="45" t="s">
        <v>249</v>
      </c>
      <c r="M46" s="256">
        <f>MAX(O48:P48)</f>
        <v>0</v>
      </c>
      <c r="N46" s="253"/>
      <c r="O46" s="251" t="str">
        <f>IF(AND(M45&lt;&gt;1,M44&lt;&gt;1,M46=1),$B$80,"")</f>
        <v/>
      </c>
      <c r="P46" s="253"/>
      <c r="Q46" s="51"/>
      <c r="R46" s="51"/>
      <c r="S46" s="17"/>
      <c r="T46" s="17"/>
      <c r="U46" s="17"/>
      <c r="V46" s="28"/>
      <c r="W46" s="174" t="s">
        <v>121</v>
      </c>
      <c r="X46" s="45" t="s">
        <v>249</v>
      </c>
      <c r="Y46" s="256">
        <f>MAX(AA48:AB48)</f>
        <v>0</v>
      </c>
      <c r="Z46" s="253"/>
      <c r="AA46" s="251" t="str">
        <f>IF(AND(Y45&lt;&gt;1,Y44&lt;&gt;1,Y46=1),$B$80,"")</f>
        <v/>
      </c>
      <c r="AB46" s="253"/>
      <c r="AC46" s="51"/>
      <c r="AD46" s="51"/>
      <c r="AE46" s="17"/>
      <c r="AF46" s="17"/>
      <c r="AG46" s="17"/>
      <c r="AH46" s="28"/>
      <c r="AI46" s="174" t="s">
        <v>121</v>
      </c>
      <c r="AJ46" s="45" t="s">
        <v>249</v>
      </c>
      <c r="AK46" s="256">
        <f>MAX(AM48:AN48)</f>
        <v>0</v>
      </c>
      <c r="AL46" s="253"/>
      <c r="AM46" s="251" t="str">
        <f>IF(AND(AK45&lt;&gt;1,AK44&lt;&gt;1,AK46=1),$B$80,"")</f>
        <v/>
      </c>
      <c r="AN46" s="253"/>
      <c r="AO46" s="51"/>
      <c r="AP46" s="51"/>
      <c r="AQ46" s="17"/>
      <c r="AR46" s="17"/>
      <c r="AS46" s="17"/>
      <c r="AT46" s="28"/>
      <c r="AU46" s="174" t="s">
        <v>121</v>
      </c>
    </row>
    <row r="47" spans="1:47" ht="12" customHeight="1" x14ac:dyDescent="0.2">
      <c r="A47">
        <f t="shared" ca="1" si="19"/>
        <v>10</v>
      </c>
      <c r="B47" s="165" t="s">
        <v>156</v>
      </c>
      <c r="C47" s="216" t="s">
        <v>78</v>
      </c>
      <c r="D47" s="144" t="s">
        <v>32</v>
      </c>
      <c r="E47" s="216" t="s">
        <v>78</v>
      </c>
      <c r="F47" s="216" t="s">
        <v>79</v>
      </c>
      <c r="G47" s="216" t="s">
        <v>79</v>
      </c>
      <c r="H47" s="216" t="s">
        <v>80</v>
      </c>
      <c r="I47" s="216" t="s">
        <v>42</v>
      </c>
      <c r="L47" s="25" t="s">
        <v>15</v>
      </c>
      <c r="M47" s="196">
        <f>IF(OR(M44=1,M45=1,M46=1),1,0)</f>
        <v>1</v>
      </c>
      <c r="N47" s="51"/>
      <c r="O47" s="255"/>
      <c r="P47" s="51"/>
      <c r="Q47" s="52"/>
      <c r="R47" s="52"/>
      <c r="S47" s="17"/>
      <c r="T47" s="17"/>
      <c r="U47" s="17"/>
      <c r="V47" s="28"/>
      <c r="W47" s="174" t="s">
        <v>121</v>
      </c>
      <c r="X47" s="25" t="s">
        <v>15</v>
      </c>
      <c r="Y47" s="196">
        <f>IF(OR(Y44=1,Y45=1,Y46=1),1,0)</f>
        <v>1</v>
      </c>
      <c r="Z47" s="51"/>
      <c r="AA47" s="255"/>
      <c r="AB47" s="51"/>
      <c r="AC47" s="52"/>
      <c r="AD47" s="52"/>
      <c r="AE47" s="17"/>
      <c r="AF47" s="17"/>
      <c r="AG47" s="17"/>
      <c r="AH47" s="28"/>
      <c r="AI47" s="174" t="s">
        <v>121</v>
      </c>
      <c r="AJ47" s="25" t="s">
        <v>15</v>
      </c>
      <c r="AK47" s="196">
        <f>IF(OR(AK44=1,AK45=1,AK46=1),1,0)</f>
        <v>1</v>
      </c>
      <c r="AL47" s="51"/>
      <c r="AM47" s="255"/>
      <c r="AN47" s="51"/>
      <c r="AO47" s="52"/>
      <c r="AP47" s="52"/>
      <c r="AQ47" s="17"/>
      <c r="AR47" s="17"/>
      <c r="AS47" s="17"/>
      <c r="AT47" s="28"/>
      <c r="AU47" s="174" t="s">
        <v>121</v>
      </c>
    </row>
    <row r="48" spans="1:47" ht="12" customHeight="1" x14ac:dyDescent="0.2">
      <c r="A48">
        <f t="shared" ca="1" si="19"/>
        <v>11</v>
      </c>
      <c r="B48" s="165" t="s">
        <v>157</v>
      </c>
      <c r="C48" s="54" t="s">
        <v>75</v>
      </c>
      <c r="D48" s="54" t="s">
        <v>15</v>
      </c>
      <c r="E48" s="54" t="s">
        <v>15</v>
      </c>
      <c r="F48" s="54" t="s">
        <v>75</v>
      </c>
      <c r="G48" s="54" t="s">
        <v>15</v>
      </c>
      <c r="H48" s="144" t="s">
        <v>32</v>
      </c>
      <c r="I48" s="54" t="s">
        <v>75</v>
      </c>
      <c r="L48" s="147" t="s">
        <v>93</v>
      </c>
      <c r="M48" s="57"/>
      <c r="N48" s="246" t="s">
        <v>244</v>
      </c>
      <c r="O48" s="257">
        <f>IF(AND(M2&lt;=50,OR(L2=7,L2=17)),1,0)</f>
        <v>0</v>
      </c>
      <c r="P48" s="257">
        <f>IF(AND(L2=3,OR(M2&lt;=50,AND(Plumbing!$F$12&lt;750,Plumbing!$D$5&gt;2))),1,0)</f>
        <v>0</v>
      </c>
      <c r="Q48" s="17"/>
      <c r="R48" s="17"/>
      <c r="S48" s="17"/>
      <c r="T48" s="17"/>
      <c r="U48" s="17"/>
      <c r="V48" s="28"/>
      <c r="W48" s="46"/>
      <c r="X48" s="147" t="s">
        <v>93</v>
      </c>
      <c r="Y48" s="57"/>
      <c r="Z48" s="246" t="s">
        <v>244</v>
      </c>
      <c r="AA48" s="257">
        <f>IF(AND(Y2&lt;=50,OR(X2=7,X2=17)),1,0)</f>
        <v>0</v>
      </c>
      <c r="AB48" s="257">
        <f>IF(AND(X2=3,OR(Y2&lt;=50,AND(Plumbing!$F$25&lt;750,Plumbing!$D$18&gt;2))),1,0)</f>
        <v>0</v>
      </c>
      <c r="AC48" s="17"/>
      <c r="AD48" s="17"/>
      <c r="AE48" s="17"/>
      <c r="AF48" s="17"/>
      <c r="AG48" s="17"/>
      <c r="AH48" s="28"/>
      <c r="AI48" s="46"/>
      <c r="AJ48" s="147" t="s">
        <v>93</v>
      </c>
      <c r="AK48" s="57"/>
      <c r="AL48" s="246" t="s">
        <v>244</v>
      </c>
      <c r="AM48" s="257">
        <f>IF(AND(AK2&lt;=50,OR(AJ2=7,AJ2=17)),1,0)</f>
        <v>0</v>
      </c>
      <c r="AN48" s="257">
        <f>IF(AND(AJ2=3,OR(AK2&lt;=50,AND(Plumbing!$F$38&lt;750,Plumbing!$D$31&gt;2))),1,0)</f>
        <v>0</v>
      </c>
      <c r="AO48" s="17"/>
      <c r="AP48" s="17"/>
      <c r="AQ48" s="17"/>
      <c r="AR48" s="17"/>
      <c r="AS48" s="17"/>
      <c r="AT48" s="28"/>
      <c r="AU48" s="46"/>
    </row>
    <row r="49" spans="1:47" ht="12" customHeight="1" x14ac:dyDescent="0.2">
      <c r="A49">
        <f t="shared" ca="1" si="19"/>
        <v>12</v>
      </c>
      <c r="B49" s="165" t="s">
        <v>158</v>
      </c>
      <c r="C49" s="216" t="s">
        <v>40</v>
      </c>
      <c r="D49" s="144" t="s">
        <v>32</v>
      </c>
      <c r="E49" s="216" t="s">
        <v>40</v>
      </c>
      <c r="F49" s="216" t="s">
        <v>41</v>
      </c>
      <c r="G49" s="216" t="s">
        <v>41</v>
      </c>
      <c r="H49" s="144" t="s">
        <v>32</v>
      </c>
      <c r="I49" s="144" t="s">
        <v>32</v>
      </c>
      <c r="L49" s="25" t="s">
        <v>250</v>
      </c>
      <c r="M49" s="252">
        <f>IF(M47=1,0,IF(N55&lt;3,0,ROUNDDOWN(0.33334*N57,0)))</f>
        <v>0</v>
      </c>
      <c r="N49" s="247">
        <f>IF(AND(M2&lt;50,OR(L2=2,L2=3,L2=4,L2=5,L2=6,L2=8)),1,0)</f>
        <v>0</v>
      </c>
      <c r="O49" s="24"/>
      <c r="P49" s="17"/>
      <c r="Q49" s="17"/>
      <c r="R49" s="17"/>
      <c r="S49" s="17"/>
      <c r="T49" s="17"/>
      <c r="U49" s="17"/>
      <c r="V49" s="28"/>
      <c r="W49" s="46"/>
      <c r="X49" s="25" t="s">
        <v>250</v>
      </c>
      <c r="Y49" s="252">
        <f>IF(Y47=1,0,IF(Z55&lt;3,0,ROUNDDOWN(0.33334*Z57,0)))</f>
        <v>0</v>
      </c>
      <c r="Z49" s="247">
        <f>IF(AND(Y2&lt;50,OR(X2=2,X2=3,X2=4,X2=5,X2=6,X2=8)),1,0)</f>
        <v>0</v>
      </c>
      <c r="AA49" s="24"/>
      <c r="AB49" s="17"/>
      <c r="AC49" s="17"/>
      <c r="AD49" s="17"/>
      <c r="AE49" s="17"/>
      <c r="AF49" s="17"/>
      <c r="AG49" s="17"/>
      <c r="AH49" s="28"/>
      <c r="AI49" s="46"/>
      <c r="AJ49" s="25" t="s">
        <v>250</v>
      </c>
      <c r="AK49" s="252">
        <f>IF(AK47=1,0,IF(AL55&lt;3,0,ROUNDDOWN(0.33334*AL57,0)))</f>
        <v>0</v>
      </c>
      <c r="AL49" s="247">
        <f>IF(AND(AK2&lt;50,OR(AJ2=2,AJ2=3,AJ2=4,AJ2=5,AJ2=6,AJ2=8)),1,0)</f>
        <v>0</v>
      </c>
      <c r="AM49" s="24"/>
      <c r="AN49" s="17"/>
      <c r="AO49" s="17"/>
      <c r="AP49" s="17"/>
      <c r="AQ49" s="17"/>
      <c r="AR49" s="17"/>
      <c r="AS49" s="17"/>
      <c r="AT49" s="28"/>
      <c r="AU49" s="46"/>
    </row>
    <row r="50" spans="1:47" ht="12" customHeight="1" x14ac:dyDescent="0.2">
      <c r="A50">
        <f t="shared" ca="1" si="19"/>
        <v>13</v>
      </c>
      <c r="B50" s="165" t="s">
        <v>159</v>
      </c>
      <c r="C50" s="54" t="s">
        <v>174</v>
      </c>
      <c r="D50" s="54" t="s">
        <v>15</v>
      </c>
      <c r="E50" s="54" t="s">
        <v>15</v>
      </c>
      <c r="F50" s="54" t="s">
        <v>174</v>
      </c>
      <c r="G50" s="54" t="s">
        <v>15</v>
      </c>
      <c r="H50" s="216" t="s">
        <v>77</v>
      </c>
      <c r="I50" s="216" t="s">
        <v>40</v>
      </c>
      <c r="L50" s="25"/>
      <c r="M50" s="176"/>
      <c r="N50" s="24"/>
      <c r="O50" s="17"/>
      <c r="P50" s="17"/>
      <c r="Q50" s="17"/>
      <c r="R50" s="17"/>
      <c r="S50" s="17"/>
      <c r="T50" s="17"/>
      <c r="U50" s="17"/>
      <c r="V50" s="28"/>
      <c r="W50" s="46"/>
      <c r="X50" s="25"/>
      <c r="Y50" s="176"/>
      <c r="Z50" s="24"/>
      <c r="AA50" s="17"/>
      <c r="AB50" s="17"/>
      <c r="AC50" s="17"/>
      <c r="AD50" s="17"/>
      <c r="AE50" s="17"/>
      <c r="AF50" s="17"/>
      <c r="AG50" s="17"/>
      <c r="AH50" s="28"/>
      <c r="AI50" s="46"/>
      <c r="AJ50" s="25"/>
      <c r="AK50" s="176"/>
      <c r="AL50" s="24"/>
      <c r="AM50" s="17"/>
      <c r="AN50" s="17"/>
      <c r="AO50" s="17"/>
      <c r="AP50" s="17"/>
      <c r="AQ50" s="17"/>
      <c r="AR50" s="17"/>
      <c r="AS50" s="17"/>
      <c r="AT50" s="28"/>
      <c r="AU50" s="46"/>
    </row>
    <row r="51" spans="1:47" ht="12" customHeight="1" x14ac:dyDescent="0.2">
      <c r="A51">
        <f t="shared" ca="1" si="19"/>
        <v>14</v>
      </c>
      <c r="B51" s="165" t="s">
        <v>160</v>
      </c>
      <c r="C51" s="216" t="s">
        <v>46</v>
      </c>
      <c r="D51" s="144" t="s">
        <v>32</v>
      </c>
      <c r="E51" s="216" t="s">
        <v>46</v>
      </c>
      <c r="F51" s="216" t="s">
        <v>45</v>
      </c>
      <c r="G51" s="216" t="s">
        <v>45</v>
      </c>
      <c r="H51" s="216" t="s">
        <v>46</v>
      </c>
      <c r="I51" s="216" t="s">
        <v>175</v>
      </c>
    </row>
    <row r="52" spans="1:47" ht="12" customHeight="1" x14ac:dyDescent="0.2">
      <c r="A52">
        <f t="shared" ca="1" si="19"/>
        <v>15</v>
      </c>
      <c r="B52" s="165" t="s">
        <v>161</v>
      </c>
      <c r="C52" s="216" t="s">
        <v>40</v>
      </c>
      <c r="D52" s="144" t="s">
        <v>32</v>
      </c>
      <c r="E52" s="216" t="s">
        <v>40</v>
      </c>
      <c r="F52" s="216" t="s">
        <v>41</v>
      </c>
      <c r="G52" s="216" t="s">
        <v>41</v>
      </c>
      <c r="H52" s="144" t="s">
        <v>32</v>
      </c>
      <c r="I52" s="216" t="s">
        <v>42</v>
      </c>
      <c r="M52" s="44" t="s">
        <v>12</v>
      </c>
      <c r="N52" s="44"/>
      <c r="O52" s="44"/>
      <c r="P52" s="44"/>
      <c r="Q52" s="44" t="s">
        <v>14</v>
      </c>
      <c r="R52" s="44"/>
      <c r="T52" s="44" t="s">
        <v>35</v>
      </c>
      <c r="U52" s="44" t="s">
        <v>34</v>
      </c>
      <c r="V52" s="44" t="s">
        <v>17</v>
      </c>
      <c r="Y52" s="44" t="s">
        <v>12</v>
      </c>
      <c r="Z52" s="44"/>
      <c r="AA52" s="44"/>
      <c r="AB52" s="44"/>
      <c r="AC52" s="44" t="s">
        <v>14</v>
      </c>
      <c r="AD52" s="44"/>
      <c r="AF52" s="44" t="s">
        <v>35</v>
      </c>
      <c r="AG52" s="44" t="s">
        <v>34</v>
      </c>
      <c r="AH52" s="44" t="s">
        <v>17</v>
      </c>
      <c r="AK52" s="44" t="s">
        <v>12</v>
      </c>
      <c r="AL52" s="44"/>
      <c r="AM52" s="44"/>
      <c r="AN52" s="44"/>
      <c r="AO52" s="44" t="s">
        <v>14</v>
      </c>
      <c r="AP52" s="44"/>
      <c r="AR52" s="44" t="s">
        <v>35</v>
      </c>
      <c r="AS52" s="44" t="s">
        <v>34</v>
      </c>
      <c r="AT52" s="44" t="s">
        <v>17</v>
      </c>
    </row>
    <row r="53" spans="1:47" ht="12" customHeight="1" x14ac:dyDescent="0.2">
      <c r="A53">
        <f t="shared" ca="1" si="19"/>
        <v>16</v>
      </c>
      <c r="B53" s="165" t="s">
        <v>162</v>
      </c>
      <c r="C53" s="216" t="s">
        <v>40</v>
      </c>
      <c r="D53" s="144" t="s">
        <v>32</v>
      </c>
      <c r="E53" s="216" t="s">
        <v>40</v>
      </c>
      <c r="F53" s="216" t="s">
        <v>41</v>
      </c>
      <c r="G53" s="216" t="s">
        <v>41</v>
      </c>
      <c r="H53" s="144" t="s">
        <v>32</v>
      </c>
      <c r="I53" s="216" t="s">
        <v>42</v>
      </c>
      <c r="L53" s="25"/>
      <c r="M53" s="12" t="s">
        <v>85</v>
      </c>
      <c r="N53" s="12" t="s">
        <v>84</v>
      </c>
      <c r="O53" s="12" t="s">
        <v>83</v>
      </c>
      <c r="P53" s="12" t="s">
        <v>86</v>
      </c>
      <c r="Q53" s="12" t="s">
        <v>87</v>
      </c>
      <c r="R53" s="12" t="s">
        <v>88</v>
      </c>
      <c r="S53" s="12" t="s">
        <v>89</v>
      </c>
      <c r="X53" s="25"/>
      <c r="Y53" s="12" t="s">
        <v>85</v>
      </c>
      <c r="Z53" s="12" t="s">
        <v>84</v>
      </c>
      <c r="AA53" s="12" t="s">
        <v>83</v>
      </c>
      <c r="AB53" s="12" t="s">
        <v>86</v>
      </c>
      <c r="AC53" s="12" t="s">
        <v>87</v>
      </c>
      <c r="AD53" s="12" t="s">
        <v>88</v>
      </c>
      <c r="AE53" s="12" t="s">
        <v>89</v>
      </c>
      <c r="AJ53" s="25"/>
      <c r="AK53" s="12" t="s">
        <v>85</v>
      </c>
      <c r="AL53" s="12" t="s">
        <v>84</v>
      </c>
      <c r="AM53" s="12" t="s">
        <v>83</v>
      </c>
      <c r="AN53" s="12" t="s">
        <v>86</v>
      </c>
      <c r="AO53" s="12" t="s">
        <v>87</v>
      </c>
      <c r="AP53" s="12" t="s">
        <v>88</v>
      </c>
      <c r="AQ53" s="12" t="s">
        <v>89</v>
      </c>
    </row>
    <row r="54" spans="1:47" ht="12" customHeight="1" x14ac:dyDescent="0.2">
      <c r="A54">
        <f t="shared" ca="1" si="19"/>
        <v>17</v>
      </c>
      <c r="B54" s="165" t="s">
        <v>163</v>
      </c>
      <c r="C54" s="216" t="s">
        <v>40</v>
      </c>
      <c r="D54" s="216" t="s">
        <v>40</v>
      </c>
      <c r="E54" s="216" t="s">
        <v>40</v>
      </c>
      <c r="F54" s="216" t="s">
        <v>40</v>
      </c>
      <c r="G54" s="216" t="s">
        <v>40</v>
      </c>
      <c r="H54" s="144" t="s">
        <v>32</v>
      </c>
      <c r="I54" s="216" t="s">
        <v>40</v>
      </c>
      <c r="L54" s="25" t="s">
        <v>16</v>
      </c>
      <c r="M54" s="53" t="str">
        <f>IF(M44=1,LOOKUP(L2,$A$38:$A$70,$C$38:$C$70),"")</f>
        <v/>
      </c>
      <c r="N54" s="53">
        <f ca="1">IF(M44&lt;&gt;1,LOOKUP(L2,$A$38:$A$70,$C$38:$C$70),"")</f>
        <v>0</v>
      </c>
      <c r="O54" s="53">
        <f ca="1">IF(M44&lt;&gt;1,LOOKUP(L2,$A$38:$A$70,$D$38:$D$70),"")</f>
        <v>0</v>
      </c>
      <c r="P54" s="53">
        <f ca="1">IF(M44&lt;&gt;1,LOOKUP(L2,$A$38:$A$70,$E$38:$E$70),"")</f>
        <v>0</v>
      </c>
      <c r="Q54" s="53" t="str">
        <f>IF(M44=1,LOOKUP(L2,$A$38:$A$70,$F$38:$F$70),"")</f>
        <v/>
      </c>
      <c r="R54" s="53">
        <f ca="1">IF(M44&lt;&gt;1,LOOKUP(L2,$A$38:$A$70,$F$38:$F$70),"")</f>
        <v>0</v>
      </c>
      <c r="S54" s="53">
        <f ca="1">IF(M44&lt;&gt;1,LOOKUP(L2,$A$38:$A$70,$G$38:$G$70),"")</f>
        <v>0</v>
      </c>
      <c r="T54" s="53">
        <f ca="1">LOOKUP(L2,$A$38:$A$70,$H$38:$H$70)</f>
        <v>0</v>
      </c>
      <c r="U54" s="53">
        <f ca="1">LOOKUP(L2,$A$38:$A$70,$I$38:$I$70)</f>
        <v>0</v>
      </c>
      <c r="V54" s="30"/>
      <c r="X54" s="25" t="s">
        <v>16</v>
      </c>
      <c r="Y54" s="53" t="str">
        <f>IF(Y44=1,LOOKUP(X2,$A$38:$A$70,$C$38:$C$70),"")</f>
        <v/>
      </c>
      <c r="Z54" s="53">
        <f ca="1">IF(Y44&lt;&gt;1,LOOKUP(X2,$A$38:$A$70,$C$38:$C$70),"")</f>
        <v>0</v>
      </c>
      <c r="AA54" s="53">
        <f ca="1">IF(Y44&lt;&gt;1,LOOKUP(X2,$A$38:$A$70,$D$38:$D$70),"")</f>
        <v>0</v>
      </c>
      <c r="AB54" s="53">
        <f ca="1">IF(Y44&lt;&gt;1,LOOKUP(X2,$A$38:$A$70,$E$38:$E$70),"")</f>
        <v>0</v>
      </c>
      <c r="AC54" s="53" t="str">
        <f>IF(Y44=1,LOOKUP(X2,$A$38:$A$70,$F$38:$F$70),"")</f>
        <v/>
      </c>
      <c r="AD54" s="53">
        <f ca="1">IF(Y44&lt;&gt;1,LOOKUP(X2,$A$38:$A$70,$F$38:$F$70),"")</f>
        <v>0</v>
      </c>
      <c r="AE54" s="53">
        <f ca="1">IF(Y44&lt;&gt;1,LOOKUP(X2,$A$38:$A$70,$G$38:$G$70),"")</f>
        <v>0</v>
      </c>
      <c r="AF54" s="53">
        <f ca="1">LOOKUP(X2,$A$38:$A$70,$H$38:$H$70)</f>
        <v>0</v>
      </c>
      <c r="AG54" s="53">
        <f ca="1">LOOKUP(X2,$A$38:$A$70,$I$38:$I$70)</f>
        <v>0</v>
      </c>
      <c r="AH54" s="30"/>
      <c r="AJ54" s="25" t="s">
        <v>16</v>
      </c>
      <c r="AK54" s="53" t="str">
        <f>IF(AK44=1,LOOKUP(AJ2,$A$38:$A$70,$C$38:$C$70),"")</f>
        <v/>
      </c>
      <c r="AL54" s="53">
        <f ca="1">IF(AK44&lt;&gt;1,LOOKUP(AJ2,$A$38:$A$70,$C$38:$C$70),"")</f>
        <v>0</v>
      </c>
      <c r="AM54" s="53">
        <f ca="1">IF(AK44&lt;&gt;1,LOOKUP(AJ2,$A$38:$A$70,$D$38:$D$70),"")</f>
        <v>0</v>
      </c>
      <c r="AN54" s="53">
        <f ca="1">IF(AK44&lt;&gt;1,LOOKUP(AJ2,$A$38:$A$70,$E$38:$E$70),"")</f>
        <v>0</v>
      </c>
      <c r="AO54" s="53" t="str">
        <f>IF(AK44=1,LOOKUP(AJ2,$A$38:$A$70,$F$38:$F$70),"")</f>
        <v/>
      </c>
      <c r="AP54" s="53">
        <f ca="1">IF(AK44&lt;&gt;1,LOOKUP(AJ2,$A$38:$A$70,$F$38:$F$70),"")</f>
        <v>0</v>
      </c>
      <c r="AQ54" s="53">
        <f ca="1">IF(AK44&lt;&gt;1,LOOKUP(AJ2,$A$38:$A$70,$G$38:$G$70),"")</f>
        <v>0</v>
      </c>
      <c r="AR54" s="53">
        <f ca="1">LOOKUP(AJ2,$A$38:$A$70,$H$38:$H$70)</f>
        <v>0</v>
      </c>
      <c r="AS54" s="53">
        <f ca="1">LOOKUP(AJ2,$A$38:$A$70,$I$38:$I$70)</f>
        <v>0</v>
      </c>
      <c r="AT54" s="30"/>
    </row>
    <row r="55" spans="1:47" ht="12" customHeight="1" x14ac:dyDescent="0.2">
      <c r="A55">
        <f t="shared" ca="1" si="19"/>
        <v>18</v>
      </c>
      <c r="B55" s="165" t="s">
        <v>164</v>
      </c>
      <c r="C55" s="216" t="s">
        <v>40</v>
      </c>
      <c r="D55" s="216" t="s">
        <v>40</v>
      </c>
      <c r="E55" s="216" t="s">
        <v>40</v>
      </c>
      <c r="F55" s="216" t="s">
        <v>40</v>
      </c>
      <c r="G55" s="216" t="s">
        <v>40</v>
      </c>
      <c r="H55" s="216" t="s">
        <v>46</v>
      </c>
      <c r="I55" s="216" t="s">
        <v>42</v>
      </c>
      <c r="L55" s="25" t="s">
        <v>33</v>
      </c>
      <c r="M55" s="146">
        <f ca="1">IF(M47=1,(LOOKUP(L2,$A$4:$A$36,U4:U36)),0)</f>
        <v>0</v>
      </c>
      <c r="N55" s="146">
        <f>IF(M47&lt;&gt;1,(LOOKUP(L2,$A$4:$A$36,M4:M36)),0)</f>
        <v>0</v>
      </c>
      <c r="O55" s="146">
        <f>IF(L2=18,LOOKUP(L2,$A$4:$A$36,N4:N36), IF(M47&lt;&gt;1,LOOKUP(L2,$A$4:$A$36,N4:N36),0))</f>
        <v>0</v>
      </c>
      <c r="P55" s="146">
        <f>IF(M47&lt;&gt;1,(LOOKUP(L2,$A$4:$A$36,O4:O36)),0)</f>
        <v>0</v>
      </c>
      <c r="Q55" s="146">
        <f ca="1">IF(M47=1,(LOOKUP(L2,$A$4:$A$36,V4:V36)),0)</f>
        <v>0</v>
      </c>
      <c r="R55" s="146">
        <f>IF(M47&lt;&gt;1,(LOOKUP(L2,$A$4:$A$36,P4:P36)),0)</f>
        <v>0</v>
      </c>
      <c r="S55" s="146">
        <f>IF(M47&lt;&gt;1,(LOOKUP(L2,$A$4:$A$36,Q4:Q36)),0)</f>
        <v>0</v>
      </c>
      <c r="T55" s="146">
        <f ca="1">LOOKUP(L2,$A$4:$A$36,R4:R36)</f>
        <v>0</v>
      </c>
      <c r="U55" s="146">
        <f ca="1">LOOKUP(L2,$A$4:$A$36,S4:S36)</f>
        <v>0</v>
      </c>
      <c r="V55" s="30"/>
      <c r="X55" s="25" t="s">
        <v>33</v>
      </c>
      <c r="Y55" s="146">
        <f ca="1">IF(Y47=1,(LOOKUP(X2,$A$4:$A$36,AG4:AG36)),0)</f>
        <v>0</v>
      </c>
      <c r="Z55" s="146">
        <f>IF(Y47&lt;&gt;1,(LOOKUP(X2,$A$4:$A$36,Y4:Y36)),0)</f>
        <v>0</v>
      </c>
      <c r="AA55" s="146">
        <f>IF(X2=18,LOOKUP(X2,$A$4:$A$36,Z4:Z36), IF(Y47&lt;&gt;1,LOOKUP(X2,$A$4:$A$36,Z4:Z36),0))</f>
        <v>0</v>
      </c>
      <c r="AB55" s="146">
        <f>IF(Y47&lt;&gt;1,(LOOKUP(X2,$A$4:$A$36,AA4:AA36)),0)</f>
        <v>0</v>
      </c>
      <c r="AC55" s="146">
        <f ca="1">IF(Y47=1,(LOOKUP(X2,$A$4:$A$36,AH4:AH36)),0)</f>
        <v>0</v>
      </c>
      <c r="AD55" s="146">
        <f>IF(Y47&lt;&gt;1,(LOOKUP(X2,$A$4:$A$36,AB4:AB36)),0)</f>
        <v>0</v>
      </c>
      <c r="AE55" s="146">
        <f>IF(Y47&lt;&gt;1,(LOOKUP(X2,$A$4:$A$36,AC4:AC36)),0)</f>
        <v>0</v>
      </c>
      <c r="AF55" s="146">
        <f ca="1">LOOKUP(X2,$A$4:$A$36,AD4:AD36)</f>
        <v>0</v>
      </c>
      <c r="AG55" s="146">
        <f ca="1">LOOKUP(X2,$A$4:$A$36,AE4:AE36)</f>
        <v>0</v>
      </c>
      <c r="AH55" s="30"/>
      <c r="AJ55" s="25" t="s">
        <v>33</v>
      </c>
      <c r="AK55" s="146">
        <f ca="1">IF(AK47=1,(LOOKUP(AJ2,$A$4:$A$36,AS4:AS36)),0)</f>
        <v>0</v>
      </c>
      <c r="AL55" s="146">
        <f>IF(AK47&lt;&gt;1,(LOOKUP(AJ2,$A$4:$A$36,AK4:AK36)),0)</f>
        <v>0</v>
      </c>
      <c r="AM55" s="146">
        <f>IF(AJ2=18,LOOKUP(AJ2,$A$4:$A$36,AL4:AL36), IF(AK47&lt;&gt;1,LOOKUP(AJ2,$A$4:$A$36,AL4:AL36),0))</f>
        <v>0</v>
      </c>
      <c r="AN55" s="146">
        <f>IF(AK47&lt;&gt;1,(LOOKUP(AJ2,$A$4:$A$36,AM4:AM36)),0)</f>
        <v>0</v>
      </c>
      <c r="AO55" s="146">
        <f ca="1">IF(AK47=1,(LOOKUP(AJ2,$A$4:$A$36,AT4:AT36)),0)</f>
        <v>0</v>
      </c>
      <c r="AP55" s="146">
        <f>IF(AK47&lt;&gt;1,(LOOKUP(AJ2,$A$4:$A$36,AN4:AN36)),0)</f>
        <v>0</v>
      </c>
      <c r="AQ55" s="146">
        <f>IF(AK47&lt;&gt;1,(LOOKUP(AJ2,$A$4:$A$36,AO4:AO36)),0)</f>
        <v>0</v>
      </c>
      <c r="AR55" s="146">
        <f ca="1">LOOKUP(AJ2,$A$4:$A$36,AP4:AP36)</f>
        <v>0</v>
      </c>
      <c r="AS55" s="146">
        <f ca="1">LOOKUP(AJ2,$A$4:$A$36,AQ4:AQ36)</f>
        <v>0</v>
      </c>
      <c r="AT55" s="30"/>
    </row>
    <row r="56" spans="1:47" ht="12" customHeight="1" thickBot="1" x14ac:dyDescent="0.25">
      <c r="A56">
        <f t="shared" ca="1" si="19"/>
        <v>19</v>
      </c>
      <c r="B56" s="165" t="s">
        <v>165</v>
      </c>
      <c r="C56" s="216" t="s">
        <v>40</v>
      </c>
      <c r="D56" s="144" t="s">
        <v>32</v>
      </c>
      <c r="E56" s="216" t="s">
        <v>40</v>
      </c>
      <c r="F56" s="216" t="s">
        <v>41</v>
      </c>
      <c r="G56" s="216" t="s">
        <v>41</v>
      </c>
      <c r="H56" s="144" t="s">
        <v>32</v>
      </c>
      <c r="I56" s="144" t="s">
        <v>32</v>
      </c>
      <c r="L56" s="25" t="s">
        <v>62</v>
      </c>
      <c r="M56" s="146">
        <f ca="1">M55+M48</f>
        <v>0</v>
      </c>
      <c r="N56" s="146">
        <f>N55-M48</f>
        <v>0</v>
      </c>
      <c r="O56" s="146">
        <f>O55-M48</f>
        <v>0</v>
      </c>
      <c r="P56" s="146">
        <f>P55</f>
        <v>0</v>
      </c>
      <c r="Q56" s="146">
        <f ca="1">Q55+M48</f>
        <v>0</v>
      </c>
      <c r="R56" s="146">
        <f>R55-M48</f>
        <v>0</v>
      </c>
      <c r="S56" s="146">
        <f>S55</f>
        <v>0</v>
      </c>
      <c r="T56" s="146">
        <f ca="1">T55</f>
        <v>0</v>
      </c>
      <c r="U56" s="146">
        <f ca="1">U55</f>
        <v>0</v>
      </c>
      <c r="V56" s="30"/>
      <c r="X56" s="25" t="s">
        <v>62</v>
      </c>
      <c r="Y56" s="146">
        <f ca="1">Y55+Y48</f>
        <v>0</v>
      </c>
      <c r="Z56" s="146">
        <f>Z55-Y48</f>
        <v>0</v>
      </c>
      <c r="AA56" s="146">
        <f>AA55-Y48</f>
        <v>0</v>
      </c>
      <c r="AB56" s="146">
        <f>AB55</f>
        <v>0</v>
      </c>
      <c r="AC56" s="146">
        <f ca="1">AC55+Y48</f>
        <v>0</v>
      </c>
      <c r="AD56" s="146">
        <f>AD55-Y48</f>
        <v>0</v>
      </c>
      <c r="AE56" s="146">
        <f>AE55</f>
        <v>0</v>
      </c>
      <c r="AF56" s="146">
        <f ca="1">AF55</f>
        <v>0</v>
      </c>
      <c r="AG56" s="146">
        <f ca="1">AG55</f>
        <v>0</v>
      </c>
      <c r="AH56" s="30"/>
      <c r="AJ56" s="25" t="s">
        <v>62</v>
      </c>
      <c r="AK56" s="146">
        <f ca="1">AK55+AK48</f>
        <v>0</v>
      </c>
      <c r="AL56" s="146">
        <f>AL55-AK48</f>
        <v>0</v>
      </c>
      <c r="AM56" s="146">
        <f>AM55-AK48</f>
        <v>0</v>
      </c>
      <c r="AN56" s="146">
        <f>AN55</f>
        <v>0</v>
      </c>
      <c r="AO56" s="146">
        <f ca="1">AO55+AK48</f>
        <v>0</v>
      </c>
      <c r="AP56" s="146">
        <f>AP55-AK48</f>
        <v>0</v>
      </c>
      <c r="AQ56" s="146">
        <f>AQ55</f>
        <v>0</v>
      </c>
      <c r="AR56" s="146">
        <f ca="1">AR55</f>
        <v>0</v>
      </c>
      <c r="AS56" s="146">
        <f ca="1">AS55</f>
        <v>0</v>
      </c>
      <c r="AT56" s="30"/>
    </row>
    <row r="57" spans="1:47" ht="12" customHeight="1" thickBot="1" x14ac:dyDescent="0.25">
      <c r="A57">
        <f t="shared" ca="1" si="19"/>
        <v>20</v>
      </c>
      <c r="B57" s="165" t="s">
        <v>166</v>
      </c>
      <c r="C57" s="216" t="s">
        <v>176</v>
      </c>
      <c r="D57" s="144" t="s">
        <v>32</v>
      </c>
      <c r="E57" s="216" t="s">
        <v>176</v>
      </c>
      <c r="F57" s="216" t="s">
        <v>176</v>
      </c>
      <c r="G57" s="216" t="s">
        <v>176</v>
      </c>
      <c r="H57" s="216" t="s">
        <v>46</v>
      </c>
      <c r="I57" s="216" t="s">
        <v>42</v>
      </c>
      <c r="L57" s="25" t="str">
        <f>L1</f>
        <v>Space 1</v>
      </c>
      <c r="M57" s="189">
        <f ca="1">ROUNDUP(M56,0)</f>
        <v>0</v>
      </c>
      <c r="N57" s="189">
        <f>ROUNDUP(N56,0)</f>
        <v>0</v>
      </c>
      <c r="O57" s="189">
        <f>ROUNDUP(O56,0)</f>
        <v>0</v>
      </c>
      <c r="P57" s="237">
        <f>IF(OR(M47=1,N49=1,Plumbing!$F$15&lt;Plumbing!$F$14),P58,IF(P58&lt;N57+O57,N57+O57,P58))</f>
        <v>0</v>
      </c>
      <c r="Q57" s="189">
        <f ca="1">ROUNDUP(Q56,0)</f>
        <v>0</v>
      </c>
      <c r="R57" s="189">
        <f>ROUNDUP(R56,0)</f>
        <v>0</v>
      </c>
      <c r="S57" s="189">
        <f>ROUNDUP(S56,0)</f>
        <v>0</v>
      </c>
      <c r="T57" s="189">
        <f ca="1">ROUNDUP(T56,0)</f>
        <v>0</v>
      </c>
      <c r="U57" s="189">
        <f ca="1">ROUNDUP(U56,0)</f>
        <v>0</v>
      </c>
      <c r="X57" s="25" t="str">
        <f>X1</f>
        <v>Space 2</v>
      </c>
      <c r="Y57" s="188">
        <f ca="1">ROUNDUP(Y56,0)</f>
        <v>0</v>
      </c>
      <c r="Z57" s="188">
        <f>ROUNDUP(Z56,0)</f>
        <v>0</v>
      </c>
      <c r="AA57" s="188">
        <f>ROUNDUP(AA56,0)</f>
        <v>0</v>
      </c>
      <c r="AB57" s="237">
        <f>IF(OR(Y47=1,Z49=1,Plumbing!$F$28&lt;Plumbing!$F$27),AB58,IF(AB58&lt;Z57+AA57,Z57+AA57,AB58))</f>
        <v>0</v>
      </c>
      <c r="AC57" s="188">
        <f ca="1">ROUNDUP(AC56,0)</f>
        <v>0</v>
      </c>
      <c r="AD57" s="188">
        <f>ROUNDUP(AD56,0)</f>
        <v>0</v>
      </c>
      <c r="AE57" s="188">
        <f>ROUNDUP(AE56,0)</f>
        <v>0</v>
      </c>
      <c r="AF57" s="188">
        <f ca="1">ROUNDUP(AF56,0)</f>
        <v>0</v>
      </c>
      <c r="AG57" s="188">
        <f ca="1">ROUNDUP(AG56,0)</f>
        <v>0</v>
      </c>
      <c r="AJ57" s="25" t="str">
        <f>AJ1</f>
        <v>Space 3</v>
      </c>
      <c r="AK57" s="187">
        <f ca="1">ROUNDUP(AK56,0)</f>
        <v>0</v>
      </c>
      <c r="AL57" s="187">
        <f>ROUNDUP(AL56,0)</f>
        <v>0</v>
      </c>
      <c r="AM57" s="187">
        <f>ROUNDUP(AM56,0)</f>
        <v>0</v>
      </c>
      <c r="AN57" s="237">
        <f>IF(OR(AK47=1,AL49=1,Plumbing!$F$41&lt;Plumbing!$F$40),AN58,IF(AN58&lt;AL57+AM57,AL57+AM57,AN58))</f>
        <v>0</v>
      </c>
      <c r="AO57" s="187">
        <f ca="1">ROUNDUP(AO56,0)</f>
        <v>0</v>
      </c>
      <c r="AP57" s="187">
        <f>ROUNDUP(AP56,0)</f>
        <v>0</v>
      </c>
      <c r="AQ57" s="187">
        <f>ROUNDUP(AQ56,0)</f>
        <v>0</v>
      </c>
      <c r="AR57" s="187">
        <f ca="1">ROUNDUP(AR56,0)</f>
        <v>0</v>
      </c>
      <c r="AS57" s="187">
        <f ca="1">ROUNDUP(AS56,0)</f>
        <v>0</v>
      </c>
    </row>
    <row r="58" spans="1:47" ht="12" customHeight="1" x14ac:dyDescent="0.2">
      <c r="A58">
        <f t="shared" ca="1" si="19"/>
        <v>21</v>
      </c>
      <c r="B58" s="165" t="s">
        <v>167</v>
      </c>
      <c r="C58" s="216" t="s">
        <v>40</v>
      </c>
      <c r="D58" s="144" t="s">
        <v>32</v>
      </c>
      <c r="E58" s="216" t="s">
        <v>40</v>
      </c>
      <c r="F58" s="216" t="s">
        <v>40</v>
      </c>
      <c r="G58" s="216" t="s">
        <v>40</v>
      </c>
      <c r="H58" s="216" t="s">
        <v>46</v>
      </c>
      <c r="I58" s="216" t="s">
        <v>42</v>
      </c>
      <c r="L58" s="45"/>
      <c r="P58" s="12">
        <f>ROUNDUP(P56,0)</f>
        <v>0</v>
      </c>
      <c r="R58" s="47"/>
      <c r="S58" s="47"/>
      <c r="T58" s="47"/>
      <c r="X58" s="45"/>
      <c r="AB58" s="12">
        <f>ROUNDUP(AB56,0)</f>
        <v>0</v>
      </c>
      <c r="AD58" s="47"/>
      <c r="AE58" s="47"/>
      <c r="AF58" s="47"/>
      <c r="AJ58" s="45"/>
      <c r="AN58" s="12">
        <f>ROUNDUP(AN56,0)</f>
        <v>0</v>
      </c>
      <c r="AP58" s="47"/>
      <c r="AQ58" s="47"/>
      <c r="AR58" s="47"/>
    </row>
    <row r="59" spans="1:47" ht="12" customHeight="1" x14ac:dyDescent="0.2">
      <c r="A59">
        <f t="shared" ca="1" si="19"/>
        <v>22</v>
      </c>
      <c r="B59" s="165" t="s">
        <v>168</v>
      </c>
      <c r="C59" s="216" t="s">
        <v>40</v>
      </c>
      <c r="D59" s="144" t="s">
        <v>32</v>
      </c>
      <c r="E59" s="216" t="s">
        <v>40</v>
      </c>
      <c r="F59" s="216" t="s">
        <v>40</v>
      </c>
      <c r="G59" s="216" t="s">
        <v>40</v>
      </c>
      <c r="H59" s="216" t="s">
        <v>46</v>
      </c>
      <c r="I59" s="216" t="s">
        <v>42</v>
      </c>
      <c r="L59" s="45"/>
      <c r="R59" s="47"/>
      <c r="S59" s="47"/>
      <c r="T59" s="47"/>
      <c r="X59" s="45"/>
      <c r="AD59" s="47"/>
      <c r="AE59" s="47"/>
      <c r="AF59" s="47"/>
      <c r="AJ59" s="45"/>
      <c r="AP59" s="47"/>
      <c r="AQ59" s="47"/>
      <c r="AR59" s="47"/>
    </row>
    <row r="60" spans="1:47" ht="12" customHeight="1" x14ac:dyDescent="0.2">
      <c r="A60">
        <f t="shared" ca="1" si="19"/>
        <v>23</v>
      </c>
      <c r="B60" s="165" t="s">
        <v>169</v>
      </c>
      <c r="C60" s="216" t="s">
        <v>40</v>
      </c>
      <c r="D60" s="144" t="s">
        <v>32</v>
      </c>
      <c r="E60" s="216" t="s">
        <v>40</v>
      </c>
      <c r="F60" s="216" t="s">
        <v>40</v>
      </c>
      <c r="G60" s="216" t="s">
        <v>40</v>
      </c>
      <c r="H60" s="144" t="s">
        <v>32</v>
      </c>
      <c r="I60" s="216" t="s">
        <v>40</v>
      </c>
      <c r="T60" s="146"/>
      <c r="AF60" s="146"/>
      <c r="AR60" s="146"/>
    </row>
    <row r="61" spans="1:47" ht="12" customHeight="1" thickBot="1" x14ac:dyDescent="0.25">
      <c r="A61">
        <f t="shared" ca="1" si="19"/>
        <v>24</v>
      </c>
      <c r="B61" s="3"/>
      <c r="C61" s="220"/>
      <c r="D61" s="220"/>
      <c r="E61" s="220"/>
      <c r="F61" s="220"/>
      <c r="G61" s="220"/>
      <c r="H61" s="220"/>
      <c r="I61" s="220"/>
    </row>
    <row r="62" spans="1:47" ht="12" customHeight="1" thickBot="1" x14ac:dyDescent="0.25">
      <c r="A62">
        <f t="shared" ca="1" si="19"/>
        <v>25</v>
      </c>
      <c r="B62" s="3"/>
      <c r="C62" s="220"/>
      <c r="D62" s="220"/>
      <c r="E62" s="220"/>
      <c r="F62" s="220"/>
      <c r="G62" s="220"/>
      <c r="H62" s="220"/>
      <c r="I62" s="220"/>
      <c r="L62" s="192" t="s">
        <v>91</v>
      </c>
      <c r="M62" s="260">
        <f>IF(AND(M44=1,M45=0,M46=0),M57,0)</f>
        <v>0</v>
      </c>
      <c r="N62" s="261">
        <f>IF(AND(Y44=1,Y45=0,Y46=0),Y57,0)</f>
        <v>0</v>
      </c>
      <c r="O62" s="262">
        <f>IF(AND(AK44=1,AK45=0,AK46=0),AK57,0)</f>
        <v>0</v>
      </c>
      <c r="P62" s="149"/>
      <c r="Q62" s="149"/>
      <c r="R62" s="149"/>
      <c r="S62" s="149"/>
      <c r="T62" s="149"/>
      <c r="U62" s="149"/>
      <c r="V62" s="150"/>
    </row>
    <row r="63" spans="1:47" ht="12" customHeight="1" x14ac:dyDescent="0.2">
      <c r="A63">
        <f t="shared" ca="1" si="19"/>
        <v>26</v>
      </c>
      <c r="B63" s="3"/>
      <c r="C63" s="220"/>
      <c r="D63" s="220"/>
      <c r="E63" s="220"/>
      <c r="F63" s="220"/>
      <c r="G63" s="220"/>
      <c r="H63" s="220"/>
      <c r="I63" s="220"/>
      <c r="L63" s="157" t="s">
        <v>90</v>
      </c>
      <c r="M63" s="259">
        <f>IF(AND(M73&lt;=10,M73&gt;0),1,0)</f>
        <v>0</v>
      </c>
      <c r="N63" s="46"/>
      <c r="O63" s="46"/>
      <c r="P63" s="44"/>
      <c r="Q63" s="44"/>
      <c r="R63" s="44"/>
      <c r="S63" s="44"/>
      <c r="T63" s="44"/>
      <c r="U63" s="46"/>
      <c r="V63" s="152"/>
    </row>
    <row r="64" spans="1:47" ht="12" customHeight="1" x14ac:dyDescent="0.2">
      <c r="A64">
        <f t="shared" ca="1" si="19"/>
        <v>27</v>
      </c>
      <c r="B64" s="3"/>
      <c r="C64" s="220"/>
      <c r="D64" s="220"/>
      <c r="E64" s="220"/>
      <c r="F64" s="220"/>
      <c r="G64" s="220"/>
      <c r="H64" s="220"/>
      <c r="I64" s="220"/>
      <c r="L64" s="45" t="s">
        <v>249</v>
      </c>
      <c r="M64" s="197">
        <f>M46</f>
        <v>0</v>
      </c>
      <c r="N64" s="197">
        <f>Y46</f>
        <v>0</v>
      </c>
      <c r="O64" s="197">
        <f>AK46</f>
        <v>0</v>
      </c>
      <c r="P64" s="193">
        <f>IF(AND(M64=1,N64=1,M2+Y2&lt;=50),1,0)</f>
        <v>0</v>
      </c>
      <c r="Q64" s="193">
        <f>IF(AND(M64=1,O64=1,M2+AK2&lt;=50),1,0)</f>
        <v>0</v>
      </c>
      <c r="R64" s="193">
        <f>IF(AND(N64=1,O64=1,AK2+Y2&lt;=50),1,0)</f>
        <v>0</v>
      </c>
      <c r="S64" s="193">
        <f>IF(AND(M64=1,N64=1,O64=1,M2+Y2+AK2&lt;=50),1,0)</f>
        <v>0</v>
      </c>
      <c r="T64" s="46">
        <f>MAX(M63:S64)</f>
        <v>0</v>
      </c>
      <c r="U64" s="46"/>
      <c r="V64" s="152"/>
    </row>
    <row r="65" spans="1:46" ht="12" customHeight="1" x14ac:dyDescent="0.2">
      <c r="A65">
        <f t="shared" ca="1" si="19"/>
        <v>28</v>
      </c>
      <c r="B65" s="3"/>
      <c r="C65" s="220"/>
      <c r="D65" s="220"/>
      <c r="E65" s="220"/>
      <c r="F65" s="220"/>
      <c r="G65" s="220"/>
      <c r="H65" s="220"/>
      <c r="I65" s="220"/>
      <c r="L65" s="154" t="s">
        <v>15</v>
      </c>
      <c r="M65" s="266">
        <f>IF(OR(M64=1,M63=1,P64=1,Q64=1,S64=1),1,0)</f>
        <v>0</v>
      </c>
      <c r="N65" s="266">
        <f>IF(OR(N64=1,M63=1,P64=1,R64=1,S64=1),1,0)</f>
        <v>0</v>
      </c>
      <c r="O65" s="266">
        <f>IF(OR(O64=1,M63=1,R64=1,Q64=1,S64=1),1,0)</f>
        <v>0</v>
      </c>
      <c r="P65" s="44"/>
      <c r="Q65" s="44"/>
      <c r="R65" s="44"/>
      <c r="S65" s="44"/>
      <c r="T65" s="44"/>
      <c r="U65" s="46"/>
      <c r="V65" s="152"/>
    </row>
    <row r="66" spans="1:46" ht="12" customHeight="1" x14ac:dyDescent="0.2">
      <c r="A66">
        <f t="shared" ca="1" si="19"/>
        <v>29</v>
      </c>
      <c r="B66" s="3"/>
      <c r="C66" s="220"/>
      <c r="D66" s="220"/>
      <c r="E66" s="220"/>
      <c r="F66" s="220"/>
      <c r="G66" s="220"/>
      <c r="H66" s="220"/>
      <c r="I66" s="220"/>
      <c r="L66" s="45" t="s">
        <v>249</v>
      </c>
      <c r="M66" s="46" t="s">
        <v>136</v>
      </c>
      <c r="N66" s="46" t="s">
        <v>137</v>
      </c>
      <c r="O66" s="46" t="s">
        <v>138</v>
      </c>
      <c r="P66" s="46" t="s">
        <v>132</v>
      </c>
      <c r="Q66" s="46" t="s">
        <v>133</v>
      </c>
      <c r="R66" s="46" t="s">
        <v>134</v>
      </c>
      <c r="S66" s="46" t="s">
        <v>135</v>
      </c>
      <c r="T66" s="46"/>
      <c r="U66" s="46"/>
      <c r="V66" s="152"/>
    </row>
    <row r="67" spans="1:46" ht="12" customHeight="1" thickBot="1" x14ac:dyDescent="0.25">
      <c r="A67">
        <f t="shared" ca="1" si="19"/>
        <v>30</v>
      </c>
      <c r="B67" s="3"/>
      <c r="C67" s="220"/>
      <c r="D67" s="220"/>
      <c r="E67" s="220"/>
      <c r="F67" s="220"/>
      <c r="G67" s="220"/>
      <c r="H67" s="220"/>
      <c r="I67" s="220"/>
      <c r="L67" s="160"/>
      <c r="M67" s="161"/>
      <c r="N67" s="161"/>
      <c r="O67" s="161"/>
      <c r="P67" s="161"/>
      <c r="Q67" s="161"/>
      <c r="R67" s="161"/>
      <c r="S67" s="161"/>
      <c r="T67" s="161"/>
      <c r="U67" s="161"/>
      <c r="V67" s="162"/>
    </row>
    <row r="68" spans="1:46" ht="12" customHeight="1" x14ac:dyDescent="0.2">
      <c r="A68">
        <f t="shared" ca="1" si="19"/>
        <v>31</v>
      </c>
      <c r="B68" s="3"/>
      <c r="C68" s="220"/>
      <c r="D68" s="220"/>
      <c r="E68" s="220"/>
      <c r="F68" s="220"/>
      <c r="G68" s="220"/>
      <c r="H68" s="220"/>
      <c r="I68" s="220"/>
      <c r="L68" s="148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</row>
    <row r="69" spans="1:46" ht="12" customHeight="1" x14ac:dyDescent="0.2">
      <c r="A69">
        <f t="shared" ca="1" si="19"/>
        <v>32</v>
      </c>
      <c r="B69" s="3"/>
      <c r="C69" s="220"/>
      <c r="D69" s="220"/>
      <c r="E69" s="220"/>
      <c r="F69" s="220"/>
      <c r="G69" s="220"/>
      <c r="H69" s="220"/>
      <c r="I69" s="220"/>
      <c r="L69" s="151"/>
      <c r="M69" s="46" t="s">
        <v>0</v>
      </c>
      <c r="N69" s="46" t="s">
        <v>18</v>
      </c>
      <c r="O69" s="46" t="s">
        <v>18</v>
      </c>
      <c r="P69" s="46" t="s">
        <v>25</v>
      </c>
      <c r="Q69" s="46" t="s">
        <v>26</v>
      </c>
      <c r="R69" s="263" t="s">
        <v>257</v>
      </c>
      <c r="S69" s="46"/>
      <c r="T69" s="46"/>
      <c r="U69" s="46"/>
      <c r="V69" s="152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</row>
    <row r="70" spans="1:46" ht="12" customHeight="1" x14ac:dyDescent="0.2">
      <c r="A70">
        <f t="shared" ca="1" si="19"/>
        <v>33</v>
      </c>
      <c r="B70" s="3"/>
      <c r="C70" s="220"/>
      <c r="D70" s="220"/>
      <c r="E70" s="220"/>
      <c r="F70" s="220"/>
      <c r="G70" s="220"/>
      <c r="H70" s="220"/>
      <c r="I70" s="220"/>
      <c r="L70" s="151">
        <v>1</v>
      </c>
      <c r="M70" s="32">
        <f>IF(Plumbing!B10&lt;&gt;"",0,Plumbing!$G$12)</f>
        <v>0</v>
      </c>
      <c r="N70" s="32">
        <f>IF(Plumbing!A10&lt;&gt;"",0,Plumbing!$G$12*Plumbing!$F$14)</f>
        <v>0</v>
      </c>
      <c r="O70" s="32">
        <f>IF(Plumbing!B10&lt;&gt;"",0,Plumbing!$G$12*Plumbing!$F$14)</f>
        <v>0</v>
      </c>
      <c r="P70" s="32">
        <f>IF(Plumbing!B10&lt;&gt;"",0,Plumbing!$G$12*Plumbing!$F$15)</f>
        <v>0</v>
      </c>
      <c r="Q70" s="198">
        <f ca="1">IF(Plumbing!E13=0,0,Plumbing!$F$13)</f>
        <v>0</v>
      </c>
      <c r="R70" s="264">
        <f>IF(OR(M65=1,N49=1,Plumbing!$F$15&lt;Plumbing!$F$14),1,0)</f>
        <v>0</v>
      </c>
      <c r="S70" s="44"/>
      <c r="T70" s="46"/>
      <c r="U70" s="46"/>
      <c r="V70" s="152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</row>
    <row r="71" spans="1:46" ht="12" customHeight="1" x14ac:dyDescent="0.2">
      <c r="B71" s="59"/>
      <c r="L71" s="151">
        <v>2</v>
      </c>
      <c r="M71" s="32">
        <f>IF(Plumbing!B23&lt;&gt;"",0,Plumbing!$G$25)</f>
        <v>0</v>
      </c>
      <c r="N71" s="32">
        <f>IF(Plumbing!A23&lt;&gt;"",0,Plumbing!$G$25*Plumbing!$F$27)</f>
        <v>0</v>
      </c>
      <c r="O71" s="32">
        <f>IF(Plumbing!B23&lt;&gt;"",0,Plumbing!$G$25*Plumbing!$F$27)</f>
        <v>0</v>
      </c>
      <c r="P71" s="32">
        <f>IF(Plumbing!B23&lt;&gt;"",0,Plumbing!$G$25*Plumbing!$F$28)</f>
        <v>0</v>
      </c>
      <c r="Q71" s="198">
        <f ca="1">IF(Plumbing!E26=0,0,Plumbing!$F$26)</f>
        <v>0</v>
      </c>
      <c r="R71" s="264">
        <f>IF(OR(N65=1,Z49=1,Plumbing!$F$28&lt;Plumbing!$F$27),1,0)</f>
        <v>0</v>
      </c>
      <c r="S71" s="44"/>
      <c r="T71" s="46"/>
      <c r="U71" s="46"/>
      <c r="V71" s="152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</row>
    <row r="72" spans="1:46" ht="12" customHeight="1" thickBot="1" x14ac:dyDescent="0.25">
      <c r="L72" s="151">
        <v>3</v>
      </c>
      <c r="M72" s="64">
        <f>IF(Plumbing!B36&lt;&gt;"",0,Plumbing!$G$38)</f>
        <v>0</v>
      </c>
      <c r="N72" s="64">
        <f>IF(Plumbing!A36&lt;&gt;"",0,Plumbing!$G$38*Plumbing!$F$40)</f>
        <v>0</v>
      </c>
      <c r="O72" s="64">
        <f>IF(Plumbing!B36&lt;&gt;"",0,Plumbing!$G$38*Plumbing!$F$40)</f>
        <v>0</v>
      </c>
      <c r="P72" s="64">
        <f>IF(Plumbing!B36&lt;&gt;"",0,Plumbing!$G$38*Plumbing!$F$41)</f>
        <v>0</v>
      </c>
      <c r="Q72" s="199">
        <f ca="1">IF(Plumbing!E39=0,0,Plumbing!$F$39)</f>
        <v>0</v>
      </c>
      <c r="R72" s="264">
        <f>IF(OR(O65=1,AL49=1,Plumbing!$F$41&lt;Plumbing!$F$40),1,0)</f>
        <v>0</v>
      </c>
      <c r="S72" s="44"/>
      <c r="T72" s="46"/>
      <c r="U72" s="46"/>
      <c r="V72" s="152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</row>
    <row r="73" spans="1:46" ht="12" customHeight="1" thickTop="1" thickBot="1" x14ac:dyDescent="0.25">
      <c r="L73" s="153" t="s">
        <v>61</v>
      </c>
      <c r="M73" s="65">
        <f>SUM(M70:M72)</f>
        <v>0</v>
      </c>
      <c r="N73" s="65">
        <f>SUM(N70:N72)</f>
        <v>0</v>
      </c>
      <c r="O73" s="65">
        <f>SUM(O70:O72)</f>
        <v>0</v>
      </c>
      <c r="P73" s="65">
        <f>SUM(P70:P72)</f>
        <v>0</v>
      </c>
      <c r="Q73" s="200">
        <f ca="1">SUM(Q70:Q72)</f>
        <v>0</v>
      </c>
      <c r="R73" s="265"/>
      <c r="S73" s="44"/>
      <c r="T73" s="46"/>
      <c r="U73" s="46"/>
      <c r="V73" s="152"/>
      <c r="X73" s="186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186"/>
      <c r="AK73" s="44"/>
      <c r="AL73" s="44"/>
      <c r="AM73" s="44"/>
      <c r="AN73" s="44"/>
      <c r="AO73" s="44"/>
      <c r="AP73" s="44"/>
      <c r="AQ73" s="44"/>
      <c r="AR73" s="44"/>
      <c r="AS73" s="44"/>
      <c r="AT73" s="44"/>
    </row>
    <row r="74" spans="1:46" ht="12" customHeight="1" thickTop="1" x14ac:dyDescent="0.2">
      <c r="A74" s="36" t="s">
        <v>94</v>
      </c>
      <c r="B74" s="236" t="s">
        <v>207</v>
      </c>
      <c r="L74" s="154"/>
      <c r="M74" s="46"/>
      <c r="N74" s="46"/>
      <c r="O74" s="46"/>
      <c r="P74" s="46"/>
      <c r="Q74" s="46"/>
      <c r="R74" s="46"/>
      <c r="S74" s="46"/>
      <c r="T74" s="46"/>
      <c r="U74" s="46"/>
      <c r="V74" s="152"/>
      <c r="X74" s="183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183"/>
      <c r="AK74" s="44"/>
      <c r="AL74" s="44"/>
      <c r="AM74" s="44"/>
      <c r="AN74" s="44"/>
      <c r="AO74" s="44"/>
      <c r="AP74" s="44"/>
      <c r="AQ74" s="44"/>
      <c r="AR74" s="44"/>
      <c r="AS74" s="44"/>
      <c r="AT74" s="44"/>
    </row>
    <row r="75" spans="1:46" ht="12" customHeight="1" x14ac:dyDescent="0.2">
      <c r="A75" s="36" t="s">
        <v>95</v>
      </c>
      <c r="B75" s="55" t="s">
        <v>10</v>
      </c>
      <c r="J75" s="55"/>
      <c r="L75" s="151"/>
      <c r="M75" s="44" t="s">
        <v>12</v>
      </c>
      <c r="N75" s="44"/>
      <c r="O75" s="44"/>
      <c r="P75" s="44"/>
      <c r="Q75" s="44" t="s">
        <v>14</v>
      </c>
      <c r="R75" s="44"/>
      <c r="S75" s="46"/>
      <c r="T75" s="44" t="s">
        <v>35</v>
      </c>
      <c r="U75" s="44" t="s">
        <v>34</v>
      </c>
      <c r="V75" s="268" t="s">
        <v>131</v>
      </c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</row>
    <row r="76" spans="1:46" x14ac:dyDescent="0.2">
      <c r="A76" s="142" t="s">
        <v>245</v>
      </c>
      <c r="B76" s="236" t="s">
        <v>253</v>
      </c>
      <c r="L76" s="154"/>
      <c r="M76" s="46" t="s">
        <v>15</v>
      </c>
      <c r="N76" s="46" t="s">
        <v>11</v>
      </c>
      <c r="O76" s="46" t="s">
        <v>130</v>
      </c>
      <c r="P76" s="46" t="s">
        <v>13</v>
      </c>
      <c r="Q76" s="46" t="s">
        <v>15</v>
      </c>
      <c r="R76" s="46" t="s">
        <v>11</v>
      </c>
      <c r="S76" s="46" t="s">
        <v>13</v>
      </c>
      <c r="T76" s="46"/>
      <c r="U76" s="46"/>
      <c r="V76" s="152"/>
      <c r="X76" s="183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183"/>
      <c r="AK76" s="44"/>
      <c r="AL76" s="44"/>
      <c r="AM76" s="44"/>
      <c r="AN76" s="44"/>
      <c r="AO76" s="44"/>
      <c r="AP76" s="44"/>
      <c r="AQ76" s="44"/>
      <c r="AR76" s="44"/>
      <c r="AS76" s="44"/>
      <c r="AT76" s="44"/>
    </row>
    <row r="77" spans="1:46" x14ac:dyDescent="0.2">
      <c r="A77" s="39" t="s">
        <v>244</v>
      </c>
      <c r="B77" s="236" t="s">
        <v>246</v>
      </c>
      <c r="L77" s="154">
        <v>1</v>
      </c>
      <c r="M77" s="195">
        <f>IF(M65=1,(LOOKUP(L2,$A$4:$A$36,U4:U36)),0)</f>
        <v>0</v>
      </c>
      <c r="N77" s="195">
        <f ca="1">IF(M65&lt;&gt;1,(LOOKUP(L2,$A$4:$A$36,M4:M36)),0)</f>
        <v>0</v>
      </c>
      <c r="O77" s="195">
        <f ca="1">IF(M65&lt;&gt;1,LOOKUP(L2,$A$4:$A$36,N4:N36),0)</f>
        <v>0</v>
      </c>
      <c r="P77" s="195">
        <f ca="1">IF(M65&lt;&gt;1,(LOOKUP(L2,$A$4:$A$36,O4:O36)),0)</f>
        <v>0</v>
      </c>
      <c r="Q77" s="195">
        <f>IF(M65=1,(LOOKUP(L2,$A$4:$A$36,V4:V36)),0)</f>
        <v>0</v>
      </c>
      <c r="R77" s="195">
        <f ca="1">IF(M65&lt;&gt;1,(LOOKUP(L2,$A$4:$A$36,P4:P36)),0)</f>
        <v>0</v>
      </c>
      <c r="S77" s="195">
        <f ca="1">IF(M65&lt;&gt;1,(LOOKUP(L2,$A$4:$A$36,Q4:Q36)),0)</f>
        <v>0</v>
      </c>
      <c r="T77" s="195">
        <f ca="1">T56</f>
        <v>0</v>
      </c>
      <c r="U77" s="195">
        <f ca="1">U56</f>
        <v>0</v>
      </c>
      <c r="V77" s="267">
        <f>IF(P57&gt;=P58,N57+O57,P57)</f>
        <v>0</v>
      </c>
      <c r="X77" s="183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44"/>
      <c r="AJ77" s="183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</row>
    <row r="78" spans="1:46" x14ac:dyDescent="0.2">
      <c r="A78" s="37" t="s">
        <v>125</v>
      </c>
      <c r="B78" s="55" t="s">
        <v>10</v>
      </c>
      <c r="L78" s="154">
        <v>2</v>
      </c>
      <c r="M78" s="195">
        <f>IF(N65=1,(LOOKUP(X2,$A$4:$A$36,AG4:AG36)),0)</f>
        <v>0</v>
      </c>
      <c r="N78" s="195">
        <f ca="1">IF(N65&lt;&gt;1,(LOOKUP(X2,$A$4:$A$36,Y4:Y36)),0)</f>
        <v>0</v>
      </c>
      <c r="O78" s="195">
        <f ca="1">IF(N65&lt;&gt;1,LOOKUP(X2,$A$4:$A$36,Z4:Z36),0)</f>
        <v>0</v>
      </c>
      <c r="P78" s="195">
        <f ca="1">IF(N65&lt;&gt;1,(LOOKUP(X2,$A$4:$A$36,AA4:AA36)),0)</f>
        <v>0</v>
      </c>
      <c r="Q78" s="195">
        <f>IF(N65=1,(LOOKUP(X2,$A$4:$A$36,AH4:AH36)),0)</f>
        <v>0</v>
      </c>
      <c r="R78" s="195">
        <f ca="1">IF(N65&lt;&gt;1,(LOOKUP(X2,$A$4:$A$36,AB4:AB36)),0)</f>
        <v>0</v>
      </c>
      <c r="S78" s="195">
        <f ca="1">IF(N65&lt;&gt;1,(LOOKUP(X2,$A$4:$A$36,AC4:AC36)),0)</f>
        <v>0</v>
      </c>
      <c r="T78" s="195">
        <f ca="1">AF56</f>
        <v>0</v>
      </c>
      <c r="U78" s="195">
        <f ca="1">AG56</f>
        <v>0</v>
      </c>
      <c r="V78" s="155"/>
      <c r="X78" s="183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44"/>
      <c r="AJ78" s="183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</row>
    <row r="79" spans="1:46" x14ac:dyDescent="0.2">
      <c r="A79" s="38" t="s">
        <v>96</v>
      </c>
      <c r="B79" s="236" t="s">
        <v>247</v>
      </c>
      <c r="L79" s="154">
        <v>3</v>
      </c>
      <c r="M79" s="195">
        <f>IF(O65=1,(LOOKUP(AJ2,$A$4:$A$36,AS4:AS36)),0)</f>
        <v>0</v>
      </c>
      <c r="N79" s="195">
        <f ca="1">IF(O65&lt;&gt;1,(LOOKUP(AJ2,$A$4:$A$36,AK4:AK36)),0)</f>
        <v>0</v>
      </c>
      <c r="O79" s="195">
        <f ca="1" xml:space="preserve"> IF(O65&lt;&gt;1,LOOKUP(AJ2,$A$4:$A$36,AL4:AL36),0)</f>
        <v>0</v>
      </c>
      <c r="P79" s="195">
        <f ca="1">IF(O65&lt;&gt;1,(LOOKUP(AJ2,$A$4:$A$36,AM4:AM36)),0)</f>
        <v>0</v>
      </c>
      <c r="Q79" s="195">
        <f>IF(O65=1,(LOOKUP(AJ2,$A$4:$A$36,AT4:AT36)),0)</f>
        <v>0</v>
      </c>
      <c r="R79" s="195">
        <f ca="1">IF(O65&lt;&gt;1,(LOOKUP(AJ2,$A$4:$A$36,AN4:AN36)),0)</f>
        <v>0</v>
      </c>
      <c r="S79" s="195">
        <f ca="1">IF(O65&lt;&gt;1,(LOOKUP(AJ2,$A$4:$A$36,AO4:AO36)),0)</f>
        <v>0</v>
      </c>
      <c r="T79" s="195">
        <f ca="1">AR56</f>
        <v>0</v>
      </c>
      <c r="U79" s="195">
        <f ca="1">AS56</f>
        <v>0</v>
      </c>
      <c r="V79" s="155"/>
      <c r="X79" s="183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44"/>
      <c r="AJ79" s="183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</row>
    <row r="80" spans="1:46" x14ac:dyDescent="0.2">
      <c r="A80" s="38" t="s">
        <v>98</v>
      </c>
      <c r="B80" s="236" t="s">
        <v>248</v>
      </c>
      <c r="L80" s="154" t="s">
        <v>61</v>
      </c>
      <c r="M80" s="156">
        <f>SUM(M86:M90)</f>
        <v>0</v>
      </c>
      <c r="N80" s="156">
        <f ca="1">SUM(N77:N79)</f>
        <v>0</v>
      </c>
      <c r="O80" s="156">
        <f ca="1">SUM(O77:O79)</f>
        <v>0</v>
      </c>
      <c r="P80" s="156">
        <f ca="1">SUM(P77:P79)</f>
        <v>0</v>
      </c>
      <c r="Q80" s="156">
        <f>SUM(Q86:Q90)</f>
        <v>0</v>
      </c>
      <c r="R80" s="156">
        <f ca="1">SUM(R77:R79)</f>
        <v>0</v>
      </c>
      <c r="S80" s="156">
        <f ca="1">SUM(S77:S79)</f>
        <v>0</v>
      </c>
      <c r="T80" s="156">
        <f ca="1">SUM(T77:T79)</f>
        <v>0</v>
      </c>
      <c r="U80" s="156">
        <f ca="1">SUM(U77:U79)</f>
        <v>0</v>
      </c>
      <c r="V80" s="152"/>
      <c r="X80" s="183"/>
      <c r="Y80" s="182"/>
      <c r="Z80" s="182"/>
      <c r="AA80" s="182"/>
      <c r="AB80" s="182"/>
      <c r="AC80" s="182"/>
      <c r="AD80" s="182"/>
      <c r="AE80" s="182"/>
      <c r="AF80" s="182"/>
      <c r="AG80" s="182"/>
      <c r="AH80" s="44"/>
      <c r="AI80" s="44"/>
      <c r="AJ80" s="183"/>
      <c r="AK80" s="182"/>
      <c r="AL80" s="182"/>
      <c r="AM80" s="182"/>
      <c r="AN80" s="182"/>
      <c r="AO80" s="182"/>
      <c r="AP80" s="182"/>
      <c r="AQ80" s="182"/>
      <c r="AR80" s="182"/>
      <c r="AS80" s="182"/>
      <c r="AT80" s="44"/>
    </row>
    <row r="81" spans="1:46" x14ac:dyDescent="0.2">
      <c r="A81" s="48" t="s">
        <v>97</v>
      </c>
      <c r="B81" s="55" t="s">
        <v>10</v>
      </c>
      <c r="J81" s="219" t="s">
        <v>251</v>
      </c>
      <c r="L81" s="157" t="s">
        <v>65</v>
      </c>
      <c r="M81" s="156">
        <f>ROUNDUP(M80,0)</f>
        <v>0</v>
      </c>
      <c r="N81" s="156">
        <f ca="1">ROUNDUP(N80,0)</f>
        <v>0</v>
      </c>
      <c r="O81" s="156">
        <f ca="1">ROUNDUP(O80,0)</f>
        <v>0</v>
      </c>
      <c r="P81" s="156">
        <f ca="1">IF(AND(MIN(R70,R71,R72)=0,P82&lt;N81+O81),N81+O81,P82)</f>
        <v>0</v>
      </c>
      <c r="Q81" s="156">
        <f>ROUNDUP(Q80,0)</f>
        <v>0</v>
      </c>
      <c r="R81" s="156">
        <f ca="1">ROUNDUP(R80,0)</f>
        <v>0</v>
      </c>
      <c r="S81" s="156">
        <f ca="1">ROUNDUP(S80,0)</f>
        <v>0</v>
      </c>
      <c r="T81" s="156">
        <f ca="1">ROUNDUP(T80,0)</f>
        <v>0</v>
      </c>
      <c r="U81" s="156">
        <f ca="1">ROUNDUP(U80,0)</f>
        <v>0</v>
      </c>
      <c r="V81" s="152"/>
      <c r="X81" s="183"/>
      <c r="Y81" s="182"/>
      <c r="Z81" s="182"/>
      <c r="AA81" s="182"/>
      <c r="AB81" s="182"/>
      <c r="AC81" s="182"/>
      <c r="AD81" s="182"/>
      <c r="AE81" s="182"/>
      <c r="AF81" s="182"/>
      <c r="AG81" s="182"/>
      <c r="AH81" s="44"/>
      <c r="AI81" s="44"/>
      <c r="AJ81" s="183"/>
      <c r="AK81" s="182"/>
      <c r="AL81" s="182"/>
      <c r="AM81" s="182"/>
      <c r="AN81" s="182"/>
      <c r="AO81" s="182"/>
      <c r="AP81" s="182"/>
      <c r="AQ81" s="182"/>
      <c r="AR81" s="182"/>
      <c r="AS81" s="182"/>
      <c r="AT81" s="44"/>
    </row>
    <row r="82" spans="1:46" x14ac:dyDescent="0.2">
      <c r="A82" s="37" t="s">
        <v>126</v>
      </c>
      <c r="B82" s="55" t="s">
        <v>10</v>
      </c>
      <c r="L82" s="158"/>
      <c r="M82" s="156"/>
      <c r="N82" s="201"/>
      <c r="O82" s="156"/>
      <c r="P82" s="159">
        <f ca="1">ROUNDUP(P80,0)</f>
        <v>0</v>
      </c>
      <c r="Q82" s="156"/>
      <c r="R82" s="156"/>
      <c r="S82" s="159"/>
      <c r="T82" s="156"/>
      <c r="U82" s="156"/>
      <c r="V82" s="152"/>
      <c r="X82" s="186"/>
      <c r="Y82" s="182"/>
      <c r="Z82" s="182"/>
      <c r="AA82" s="182"/>
      <c r="AB82" s="182"/>
      <c r="AC82" s="182"/>
      <c r="AD82" s="182"/>
      <c r="AE82" s="182"/>
      <c r="AF82" s="182"/>
      <c r="AG82" s="182"/>
      <c r="AH82" s="44"/>
      <c r="AI82" s="44"/>
      <c r="AJ82" s="186"/>
      <c r="AK82" s="182"/>
      <c r="AL82" s="182"/>
      <c r="AM82" s="182"/>
      <c r="AN82" s="182"/>
      <c r="AO82" s="182"/>
      <c r="AP82" s="182"/>
      <c r="AQ82" s="182"/>
      <c r="AR82" s="182"/>
      <c r="AS82" s="182"/>
      <c r="AT82" s="44"/>
    </row>
    <row r="83" spans="1:46" x14ac:dyDescent="0.2">
      <c r="A83" s="214" t="s">
        <v>145</v>
      </c>
      <c r="B83" s="213"/>
      <c r="L83" s="154" t="s">
        <v>259</v>
      </c>
      <c r="M83" s="24">
        <f>M81</f>
        <v>0</v>
      </c>
      <c r="N83" s="24">
        <f t="shared" ref="N83:U83" ca="1" si="20">ROUNDUP(MAX(N77:N79),0)</f>
        <v>0</v>
      </c>
      <c r="O83" s="24">
        <f ca="1">ROUNDUP(MAX(O77:O79),0)</f>
        <v>0</v>
      </c>
      <c r="P83" s="24">
        <f t="shared" ca="1" si="20"/>
        <v>0</v>
      </c>
      <c r="Q83" s="24">
        <f>Q81</f>
        <v>0</v>
      </c>
      <c r="R83" s="24">
        <f t="shared" ca="1" si="20"/>
        <v>0</v>
      </c>
      <c r="S83" s="24">
        <f t="shared" ca="1" si="20"/>
        <v>0</v>
      </c>
      <c r="T83" s="24">
        <f t="shared" ca="1" si="20"/>
        <v>0</v>
      </c>
      <c r="U83" s="24">
        <f t="shared" ca="1" si="20"/>
        <v>0</v>
      </c>
      <c r="V83" s="152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</row>
    <row r="84" spans="1:46" x14ac:dyDescent="0.2">
      <c r="A84" s="228" t="s">
        <v>92</v>
      </c>
      <c r="B84" s="245" t="str">
        <f ca="1">LOOKUP(L2,Support!B1:B23,Support!H1:H23)</f>
        <v xml:space="preserve"> </v>
      </c>
      <c r="C84" s="245" t="str">
        <f ca="1">LOOKUP(X2,Support!B1:B23,Support!H1:H23)</f>
        <v xml:space="preserve"> </v>
      </c>
      <c r="D84" s="245" t="str">
        <f ca="1">LOOKUP(AJ2,Support!B1:B23,Support!H1:H23)</f>
        <v xml:space="preserve"> </v>
      </c>
      <c r="L84" s="151"/>
      <c r="M84" s="44"/>
      <c r="N84" s="44"/>
      <c r="O84" s="44"/>
      <c r="P84" s="44"/>
      <c r="Q84" s="44"/>
      <c r="R84" s="44"/>
      <c r="S84" s="44"/>
      <c r="T84" s="44"/>
      <c r="U84" s="44"/>
      <c r="V84" s="152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</row>
    <row r="85" spans="1:46" x14ac:dyDescent="0.2">
      <c r="A85" s="218" t="s">
        <v>242</v>
      </c>
      <c r="B85" s="235" t="s">
        <v>243</v>
      </c>
      <c r="J85" s="219" t="s">
        <v>171</v>
      </c>
      <c r="L85" s="151"/>
      <c r="M85" s="44"/>
      <c r="N85" s="44"/>
      <c r="O85" s="44"/>
      <c r="P85" s="44"/>
      <c r="Q85" s="44"/>
      <c r="R85" s="44"/>
      <c r="S85" s="44"/>
      <c r="T85" s="44"/>
      <c r="U85" s="44"/>
      <c r="V85" s="152"/>
      <c r="X85" s="44"/>
      <c r="Y85" s="44"/>
      <c r="Z85" s="184"/>
      <c r="AA85" s="184"/>
      <c r="AB85" s="185"/>
      <c r="AC85" s="184"/>
      <c r="AD85" s="184"/>
      <c r="AE85" s="44"/>
      <c r="AF85" s="44"/>
      <c r="AG85" s="44"/>
      <c r="AH85" s="44"/>
      <c r="AI85" s="44"/>
      <c r="AJ85" s="44"/>
      <c r="AK85" s="44"/>
      <c r="AL85" s="184"/>
      <c r="AM85" s="184"/>
      <c r="AN85" s="185"/>
      <c r="AO85" s="184"/>
      <c r="AP85" s="184"/>
      <c r="AQ85" s="44"/>
      <c r="AR85" s="44"/>
      <c r="AS85" s="44"/>
      <c r="AT85" s="44"/>
    </row>
    <row r="86" spans="1:46" x14ac:dyDescent="0.2">
      <c r="A86" s="218" t="s">
        <v>244</v>
      </c>
      <c r="B86" s="236" t="s">
        <v>252</v>
      </c>
      <c r="L86" s="151"/>
      <c r="M86" s="44">
        <f>IF($T$64=1,MAX(M77:M79),SUM(M77:M79))</f>
        <v>0</v>
      </c>
      <c r="N86" s="44"/>
      <c r="O86" s="44"/>
      <c r="P86" s="44"/>
      <c r="Q86" s="44">
        <f>IF($T$64=1,MAX(Q77:Q79),SUM(Q77:Q79))</f>
        <v>0</v>
      </c>
      <c r="R86" s="44"/>
      <c r="S86" s="44"/>
      <c r="T86" s="44"/>
      <c r="U86" s="44"/>
      <c r="V86" s="152"/>
      <c r="X86" s="44"/>
      <c r="Y86" s="44"/>
      <c r="Z86" s="184"/>
      <c r="AA86" s="184"/>
      <c r="AB86" s="184"/>
      <c r="AC86" s="184"/>
      <c r="AD86" s="184"/>
      <c r="AE86" s="44"/>
      <c r="AF86" s="44"/>
      <c r="AG86" s="44"/>
      <c r="AH86" s="44"/>
      <c r="AI86" s="44"/>
      <c r="AJ86" s="44"/>
      <c r="AK86" s="44"/>
      <c r="AL86" s="184"/>
      <c r="AM86" s="184"/>
      <c r="AN86" s="184"/>
      <c r="AO86" s="184"/>
      <c r="AP86" s="184"/>
      <c r="AQ86" s="44"/>
      <c r="AR86" s="44"/>
      <c r="AS86" s="44"/>
      <c r="AT86" s="44"/>
    </row>
    <row r="87" spans="1:46" x14ac:dyDescent="0.2">
      <c r="A87" s="136" t="s">
        <v>70</v>
      </c>
      <c r="B87" s="236" t="s">
        <v>241</v>
      </c>
      <c r="L87" s="151"/>
      <c r="M87" s="197"/>
      <c r="N87" s="184"/>
      <c r="O87" s="184"/>
      <c r="P87" s="184"/>
      <c r="Q87" s="207"/>
      <c r="R87" s="184"/>
      <c r="S87" s="44"/>
      <c r="T87" s="194"/>
      <c r="U87" s="194"/>
      <c r="V87" s="152"/>
      <c r="X87" s="44"/>
      <c r="Y87" s="44"/>
      <c r="Z87" s="184"/>
      <c r="AA87" s="184"/>
      <c r="AB87" s="184"/>
      <c r="AC87" s="184"/>
      <c r="AD87" s="184"/>
      <c r="AE87" s="44"/>
      <c r="AF87" s="44"/>
      <c r="AG87" s="44"/>
      <c r="AH87" s="44"/>
      <c r="AI87" s="44"/>
      <c r="AJ87" s="44"/>
      <c r="AK87" s="44"/>
      <c r="AL87" s="184"/>
      <c r="AM87" s="184"/>
      <c r="AN87" s="184"/>
      <c r="AO87" s="184"/>
      <c r="AP87" s="184"/>
      <c r="AQ87" s="44"/>
      <c r="AR87" s="44"/>
      <c r="AS87" s="44"/>
      <c r="AT87" s="44"/>
    </row>
    <row r="88" spans="1:46" x14ac:dyDescent="0.2">
      <c r="A88" s="145"/>
      <c r="B88" s="145"/>
      <c r="L88" s="151"/>
      <c r="M88" s="44">
        <f>M62</f>
        <v>0</v>
      </c>
      <c r="N88" s="44"/>
      <c r="O88" s="44"/>
      <c r="P88" s="44"/>
      <c r="Q88" s="44">
        <f>M62</f>
        <v>0</v>
      </c>
      <c r="R88" s="44"/>
      <c r="S88" s="44"/>
      <c r="T88" s="44"/>
      <c r="U88" s="44"/>
      <c r="V88" s="152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</row>
    <row r="89" spans="1:46" x14ac:dyDescent="0.2">
      <c r="A89" s="145"/>
      <c r="L89" s="151"/>
      <c r="M89" s="44">
        <f>N62</f>
        <v>0</v>
      </c>
      <c r="N89" s="44"/>
      <c r="O89" s="44"/>
      <c r="P89" s="44"/>
      <c r="Q89" s="44">
        <f>N62</f>
        <v>0</v>
      </c>
      <c r="R89" s="44"/>
      <c r="S89" s="44"/>
      <c r="T89" s="44"/>
      <c r="U89" s="44"/>
      <c r="V89" s="152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</row>
    <row r="90" spans="1:46" x14ac:dyDescent="0.2">
      <c r="L90" s="151"/>
      <c r="M90" s="44">
        <f>O62</f>
        <v>0</v>
      </c>
      <c r="N90" s="44"/>
      <c r="O90" s="44"/>
      <c r="P90" s="44"/>
      <c r="Q90" s="44">
        <f>O62</f>
        <v>0</v>
      </c>
      <c r="R90" s="44"/>
      <c r="S90" s="44"/>
      <c r="T90" s="44"/>
      <c r="U90" s="44"/>
      <c r="V90" s="152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</row>
    <row r="91" spans="1:46" ht="12" thickBot="1" x14ac:dyDescent="0.25">
      <c r="L91" s="269" t="s">
        <v>256</v>
      </c>
      <c r="M91" s="270">
        <f>MIN(M88:M90)</f>
        <v>0</v>
      </c>
      <c r="N91" s="161"/>
      <c r="O91" s="161"/>
      <c r="P91" s="269" t="s">
        <v>256</v>
      </c>
      <c r="Q91" s="270">
        <f>MIN(Q88:Q90)</f>
        <v>0</v>
      </c>
      <c r="R91" s="161"/>
      <c r="S91" s="161"/>
      <c r="T91" s="161"/>
      <c r="U91" s="161"/>
      <c r="V91" s="162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</row>
    <row r="92" spans="1:46" x14ac:dyDescent="0.2">
      <c r="M92" s="279">
        <f>IF(M77="unisex",0,M77)</f>
        <v>0</v>
      </c>
      <c r="N92" s="279">
        <f ca="1">IF(N77="unisex",0,N77)</f>
        <v>0</v>
      </c>
      <c r="O92" s="279">
        <f t="shared" ref="O92:U92" ca="1" si="21">IF(O77="unisex",0,O77)</f>
        <v>0</v>
      </c>
      <c r="P92" s="279">
        <f t="shared" ca="1" si="21"/>
        <v>0</v>
      </c>
      <c r="Q92" s="279">
        <f t="shared" si="21"/>
        <v>0</v>
      </c>
      <c r="R92" s="279">
        <f t="shared" ca="1" si="21"/>
        <v>0</v>
      </c>
      <c r="S92" s="279">
        <f t="shared" ca="1" si="21"/>
        <v>0</v>
      </c>
      <c r="T92" s="279">
        <f t="shared" ca="1" si="21"/>
        <v>0</v>
      </c>
      <c r="U92" s="279">
        <f t="shared" ca="1" si="21"/>
        <v>0</v>
      </c>
    </row>
    <row r="93" spans="1:46" x14ac:dyDescent="0.2">
      <c r="M93" s="279">
        <f t="shared" ref="M93:U93" si="22">IF(M78="unisex",0,M78)</f>
        <v>0</v>
      </c>
      <c r="N93" s="279">
        <f t="shared" ca="1" si="22"/>
        <v>0</v>
      </c>
      <c r="O93" s="279">
        <f t="shared" ca="1" si="22"/>
        <v>0</v>
      </c>
      <c r="P93" s="279">
        <f t="shared" ca="1" si="22"/>
        <v>0</v>
      </c>
      <c r="Q93" s="279">
        <f t="shared" si="22"/>
        <v>0</v>
      </c>
      <c r="R93" s="279">
        <f t="shared" ca="1" si="22"/>
        <v>0</v>
      </c>
      <c r="S93" s="279">
        <f t="shared" ca="1" si="22"/>
        <v>0</v>
      </c>
      <c r="T93" s="279">
        <f t="shared" ca="1" si="22"/>
        <v>0</v>
      </c>
      <c r="U93" s="279">
        <f t="shared" ca="1" si="22"/>
        <v>0</v>
      </c>
    </row>
    <row r="94" spans="1:46" x14ac:dyDescent="0.2">
      <c r="B94" s="12" t="s">
        <v>47</v>
      </c>
      <c r="M94" s="279">
        <f t="shared" ref="M94:U94" si="23">IF(M79="unisex",0,M79)</f>
        <v>0</v>
      </c>
      <c r="N94" s="279">
        <f t="shared" ca="1" si="23"/>
        <v>0</v>
      </c>
      <c r="O94" s="279">
        <f t="shared" ca="1" si="23"/>
        <v>0</v>
      </c>
      <c r="P94" s="279">
        <f t="shared" ca="1" si="23"/>
        <v>0</v>
      </c>
      <c r="Q94" s="279">
        <f t="shared" si="23"/>
        <v>0</v>
      </c>
      <c r="R94" s="279">
        <f t="shared" ca="1" si="23"/>
        <v>0</v>
      </c>
      <c r="S94" s="279">
        <f t="shared" ca="1" si="23"/>
        <v>0</v>
      </c>
      <c r="T94" s="279">
        <f t="shared" ca="1" si="23"/>
        <v>0</v>
      </c>
      <c r="U94" s="279">
        <f t="shared" ca="1" si="23"/>
        <v>0</v>
      </c>
    </row>
    <row r="95" spans="1:46" x14ac:dyDescent="0.2">
      <c r="A95" s="12">
        <v>1</v>
      </c>
      <c r="B95" s="258" t="str">
        <f>IF(L2&lt;&gt;1,CONCATENATE(N44,O44,P44,Q44,R44,S44,T44,U44,V44,N45,O45,P45,Q45,R45,S45,T45,U45,V45,N46,O46,P46,Q46,R46,S46,T46,U46,V46),"")</f>
        <v/>
      </c>
    </row>
    <row r="96" spans="1:46" x14ac:dyDescent="0.2">
      <c r="A96" s="12">
        <v>2</v>
      </c>
      <c r="B96" s="258" t="str">
        <f>IF(X2&lt;&gt;1,CONCATENATE(Z44,AA44,AB44,AC44,AD44,AE44,AF44,AG44,AH44,Z45,AA45,AB45,AC45,AD45,AE45,AF45,AG45,AH45,Z46,AA46,AB46,AC46,AD46,AE46,AF46,AG46,AH46),"")</f>
        <v/>
      </c>
    </row>
    <row r="97" spans="1:2" x14ac:dyDescent="0.2">
      <c r="A97" s="12">
        <v>3</v>
      </c>
      <c r="B97" s="258" t="str">
        <f>IF(AJ2&lt;&gt;1,CONCATENATE(AL44,AM44,AN44,AO44,AP44,AQ44,AR44,AS44,AT44,AL45,AM45,AN45,AO45,AP45,AQ45,AR45,AS45,AT45,AL46,AM46,AN46,AO46,AP46,AQ46,AR46,AS46,AT46),"")</f>
        <v/>
      </c>
    </row>
    <row r="98" spans="1:2" x14ac:dyDescent="0.2">
      <c r="A98" s="25" t="s">
        <v>64</v>
      </c>
      <c r="B98" s="258" t="str">
        <f>IF(OR(L2&lt;&gt;1, X2&lt;&gt;1,AJ2&lt;&gt;1),CONCATENATE(M85,N85,O85,P85,Q85,R85,S85,T85,U85,),"")</f>
        <v/>
      </c>
    </row>
    <row r="101" spans="1:2" x14ac:dyDescent="0.2">
      <c r="A101" s="145"/>
    </row>
    <row r="102" spans="1:2" x14ac:dyDescent="0.2">
      <c r="A102" s="145"/>
      <c r="B102" s="53">
        <f>IF(OR(B111=B112,B111=B113,B111=B114,B111=B115,B111=B116,B111=B117),1,0)</f>
        <v>1</v>
      </c>
    </row>
    <row r="103" spans="1:2" ht="12.75" x14ac:dyDescent="0.2">
      <c r="A103" s="145"/>
      <c r="B103" s="208">
        <f ca="1">IF(B102=0,-1,B105-B104)</f>
        <v>376</v>
      </c>
    </row>
    <row r="104" spans="1:2" ht="12.75" x14ac:dyDescent="0.2">
      <c r="A104" s="145"/>
      <c r="B104" s="209">
        <f ca="1">TODAY()</f>
        <v>43820</v>
      </c>
    </row>
    <row r="105" spans="1:2" ht="12.75" x14ac:dyDescent="0.2">
      <c r="A105" s="145"/>
      <c r="B105" s="209">
        <f>Plumbing!N3</f>
        <v>44196</v>
      </c>
    </row>
    <row r="106" spans="1:2" x14ac:dyDescent="0.2">
      <c r="A106" s="145"/>
    </row>
    <row r="107" spans="1:2" x14ac:dyDescent="0.2">
      <c r="A107" s="145"/>
    </row>
    <row r="108" spans="1:2" x14ac:dyDescent="0.2">
      <c r="A108" s="145"/>
      <c r="B108" s="12" t="s">
        <v>143</v>
      </c>
    </row>
    <row r="109" spans="1:2" x14ac:dyDescent="0.2">
      <c r="A109" s="145"/>
      <c r="B109" s="12" t="s">
        <v>144</v>
      </c>
    </row>
    <row r="110" spans="1:2" x14ac:dyDescent="0.2">
      <c r="A110" s="145"/>
    </row>
    <row r="111" spans="1:2" x14ac:dyDescent="0.2">
      <c r="A111" s="145"/>
      <c r="B111" s="55"/>
    </row>
    <row r="112" spans="1:2" x14ac:dyDescent="0.2">
      <c r="A112" s="145"/>
    </row>
    <row r="113" spans="1:44" x14ac:dyDescent="0.2">
      <c r="A113" s="145"/>
    </row>
    <row r="114" spans="1:44" x14ac:dyDescent="0.2">
      <c r="A114" s="145"/>
    </row>
    <row r="115" spans="1:44" x14ac:dyDescent="0.2">
      <c r="A115" s="145"/>
    </row>
    <row r="116" spans="1:44" x14ac:dyDescent="0.2">
      <c r="A116" s="145"/>
    </row>
    <row r="117" spans="1:44" x14ac:dyDescent="0.2">
      <c r="A117" s="145"/>
    </row>
    <row r="118" spans="1:44" x14ac:dyDescent="0.2">
      <c r="A118" s="145"/>
    </row>
    <row r="119" spans="1:44" x14ac:dyDescent="0.2">
      <c r="A119" s="145"/>
    </row>
    <row r="120" spans="1:44" x14ac:dyDescent="0.2">
      <c r="A120" s="145"/>
    </row>
    <row r="121" spans="1:44" x14ac:dyDescent="0.2">
      <c r="A121" s="145"/>
    </row>
    <row r="122" spans="1:44" x14ac:dyDescent="0.2">
      <c r="A122" s="145"/>
    </row>
    <row r="123" spans="1:44" x14ac:dyDescent="0.2">
      <c r="A123" s="145"/>
      <c r="L123" s="145"/>
      <c r="M123" s="145"/>
      <c r="N123" s="145"/>
      <c r="O123" s="145"/>
      <c r="P123" s="145"/>
      <c r="Q123" s="145"/>
      <c r="R123" s="145"/>
      <c r="S123" s="145"/>
      <c r="T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</row>
    <row r="124" spans="1:44" x14ac:dyDescent="0.2">
      <c r="A124" s="145"/>
      <c r="L124" s="146"/>
      <c r="M124" s="146"/>
      <c r="N124" s="146"/>
      <c r="O124" s="146"/>
      <c r="P124" s="146"/>
      <c r="Q124" s="146"/>
      <c r="R124" s="146"/>
      <c r="S124" s="145"/>
      <c r="T124" s="145"/>
      <c r="X124" s="146"/>
      <c r="Y124" s="146"/>
      <c r="Z124" s="146"/>
      <c r="AA124" s="146"/>
      <c r="AB124" s="146"/>
      <c r="AC124" s="146"/>
      <c r="AD124" s="146"/>
      <c r="AE124" s="145"/>
      <c r="AF124" s="145"/>
      <c r="AJ124" s="146"/>
      <c r="AK124" s="146"/>
      <c r="AL124" s="146"/>
      <c r="AM124" s="146"/>
      <c r="AN124" s="146"/>
      <c r="AO124" s="146"/>
      <c r="AP124" s="146"/>
      <c r="AQ124" s="145"/>
      <c r="AR124" s="145"/>
    </row>
    <row r="125" spans="1:44" x14ac:dyDescent="0.2">
      <c r="A125" s="145" t="s">
        <v>82</v>
      </c>
      <c r="B125" s="12" t="s">
        <v>10</v>
      </c>
      <c r="K125" s="47"/>
      <c r="L125" s="145"/>
      <c r="M125" s="145"/>
      <c r="N125" s="145"/>
      <c r="O125" s="145"/>
      <c r="P125" s="145"/>
      <c r="Q125" s="145"/>
      <c r="R125" s="145"/>
      <c r="S125" s="145"/>
      <c r="T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</row>
    <row r="126" spans="1:44" x14ac:dyDescent="0.2">
      <c r="A126" s="142" t="s">
        <v>76</v>
      </c>
      <c r="B126" s="12" t="s">
        <v>10</v>
      </c>
      <c r="C126" s="12" t="s">
        <v>19</v>
      </c>
      <c r="D126" s="12" t="s">
        <v>74</v>
      </c>
      <c r="E126" s="12" t="s">
        <v>20</v>
      </c>
      <c r="F126" s="12" t="s">
        <v>21</v>
      </c>
      <c r="G126" s="12" t="s">
        <v>22</v>
      </c>
      <c r="H126" s="12" t="s">
        <v>23</v>
      </c>
      <c r="I126" s="12" t="s">
        <v>24</v>
      </c>
      <c r="K126" s="47"/>
      <c r="L126" s="145"/>
      <c r="M126" s="145"/>
      <c r="N126" s="145"/>
      <c r="O126" s="145"/>
      <c r="P126" s="145"/>
      <c r="Q126" s="145"/>
      <c r="R126" s="145"/>
      <c r="S126" s="145"/>
      <c r="T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</row>
    <row r="127" spans="1:44" x14ac:dyDescent="0.2">
      <c r="A127" s="145">
        <v>0</v>
      </c>
      <c r="B127" s="12" t="s">
        <v>10</v>
      </c>
      <c r="C127" s="222">
        <v>99901</v>
      </c>
      <c r="D127" s="222">
        <v>99902</v>
      </c>
      <c r="E127" s="222">
        <v>99903</v>
      </c>
      <c r="F127" s="222">
        <v>99904</v>
      </c>
      <c r="G127" s="222">
        <v>99905</v>
      </c>
      <c r="H127" s="222">
        <v>99906</v>
      </c>
      <c r="I127" s="222">
        <v>99907</v>
      </c>
      <c r="K127" s="47"/>
      <c r="L127" s="145"/>
      <c r="M127" s="145"/>
      <c r="N127" s="145"/>
      <c r="O127" s="145"/>
      <c r="P127" s="145"/>
      <c r="Q127" s="145"/>
      <c r="R127" s="145"/>
      <c r="S127" s="145"/>
      <c r="T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</row>
    <row r="128" spans="1:44" x14ac:dyDescent="0.2">
      <c r="A128" s="145">
        <v>1</v>
      </c>
      <c r="B128" s="12" t="s">
        <v>10</v>
      </c>
      <c r="K128" s="47"/>
      <c r="L128" s="145"/>
      <c r="M128" s="145"/>
      <c r="N128" s="145"/>
      <c r="O128" s="145"/>
      <c r="P128" s="145"/>
      <c r="Q128" s="145"/>
      <c r="R128" s="145"/>
      <c r="S128" s="145"/>
      <c r="T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</row>
    <row r="129" spans="1:44" x14ac:dyDescent="0.2">
      <c r="A129" s="12">
        <v>999</v>
      </c>
      <c r="B129" s="12" t="s">
        <v>10</v>
      </c>
      <c r="K129" s="47"/>
      <c r="L129" s="145"/>
      <c r="M129" s="145"/>
      <c r="N129" s="145"/>
      <c r="O129" s="145"/>
      <c r="P129" s="145"/>
      <c r="Q129" s="145"/>
      <c r="R129" s="145"/>
      <c r="S129" s="145"/>
      <c r="T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</row>
    <row r="130" spans="1:44" x14ac:dyDescent="0.2">
      <c r="A130" s="12" t="s">
        <v>10</v>
      </c>
      <c r="B130" s="12" t="s">
        <v>10</v>
      </c>
      <c r="K130" s="47"/>
      <c r="L130" s="145"/>
      <c r="M130" s="145"/>
      <c r="N130" s="145"/>
      <c r="O130" s="145"/>
      <c r="P130" s="145"/>
      <c r="Q130" s="145"/>
      <c r="R130" s="145"/>
      <c r="S130" s="145"/>
      <c r="T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</row>
    <row r="131" spans="1:44" x14ac:dyDescent="0.2">
      <c r="A131" s="47">
        <v>99901</v>
      </c>
      <c r="B131" s="47" t="s">
        <v>113</v>
      </c>
      <c r="J131" s="12" t="s">
        <v>185</v>
      </c>
      <c r="K131" s="47"/>
      <c r="L131" s="145"/>
      <c r="M131" s="145"/>
      <c r="N131" s="145"/>
      <c r="O131" s="145"/>
      <c r="P131" s="145"/>
      <c r="Q131" s="145"/>
      <c r="R131" s="145"/>
      <c r="S131" s="145"/>
      <c r="T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</row>
    <row r="132" spans="1:44" x14ac:dyDescent="0.2">
      <c r="A132" s="47">
        <f t="shared" ref="A132:A165" si="24">A131+1</f>
        <v>99902</v>
      </c>
      <c r="B132" s="47" t="s">
        <v>186</v>
      </c>
      <c r="J132" s="12" t="s">
        <v>185</v>
      </c>
      <c r="K132" s="47"/>
      <c r="L132" s="145"/>
      <c r="M132" s="145"/>
      <c r="N132" s="145"/>
      <c r="O132" s="145"/>
      <c r="P132" s="145"/>
      <c r="Q132" s="145"/>
      <c r="R132" s="145"/>
      <c r="S132" s="145"/>
      <c r="T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</row>
    <row r="133" spans="1:44" x14ac:dyDescent="0.2">
      <c r="A133" s="47">
        <f t="shared" si="24"/>
        <v>99903</v>
      </c>
      <c r="B133" s="47" t="s">
        <v>177</v>
      </c>
      <c r="J133" s="12" t="s">
        <v>185</v>
      </c>
      <c r="K133" s="47"/>
      <c r="L133" s="145"/>
      <c r="M133" s="145"/>
      <c r="N133" s="145"/>
      <c r="O133" s="145"/>
      <c r="P133" s="145"/>
      <c r="Q133" s="145"/>
      <c r="R133" s="145"/>
      <c r="S133" s="145"/>
      <c r="T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</row>
    <row r="134" spans="1:44" x14ac:dyDescent="0.2">
      <c r="A134" s="47">
        <f t="shared" si="24"/>
        <v>99904</v>
      </c>
      <c r="B134" s="47" t="s">
        <v>187</v>
      </c>
      <c r="J134" s="12" t="s">
        <v>185</v>
      </c>
      <c r="K134" s="47"/>
      <c r="L134" s="145"/>
      <c r="M134" s="145"/>
      <c r="N134" s="145"/>
      <c r="O134" s="145"/>
      <c r="P134" s="145"/>
      <c r="Q134" s="145"/>
      <c r="R134" s="145"/>
      <c r="S134" s="145"/>
      <c r="T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</row>
    <row r="135" spans="1:44" x14ac:dyDescent="0.2">
      <c r="A135" s="47">
        <f t="shared" si="24"/>
        <v>99905</v>
      </c>
      <c r="B135" s="47" t="s">
        <v>193</v>
      </c>
      <c r="J135" s="12" t="s">
        <v>185</v>
      </c>
      <c r="K135" s="47"/>
      <c r="L135" s="145"/>
      <c r="M135" s="145"/>
      <c r="N135" s="145"/>
      <c r="O135" s="145"/>
      <c r="P135" s="145"/>
      <c r="Q135" s="145"/>
      <c r="R135" s="145"/>
      <c r="S135" s="145"/>
      <c r="T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</row>
    <row r="136" spans="1:44" x14ac:dyDescent="0.2">
      <c r="A136" s="12">
        <f t="shared" si="24"/>
        <v>99906</v>
      </c>
      <c r="B136" s="226" t="s">
        <v>202</v>
      </c>
      <c r="J136" s="12" t="s">
        <v>25</v>
      </c>
      <c r="K136" s="47"/>
      <c r="L136" s="226"/>
      <c r="M136" s="145"/>
      <c r="N136" s="145"/>
      <c r="O136" s="145"/>
      <c r="P136" s="145"/>
      <c r="Q136" s="145"/>
      <c r="R136" s="145"/>
      <c r="S136" s="145"/>
      <c r="T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</row>
    <row r="137" spans="1:44" x14ac:dyDescent="0.2">
      <c r="A137" s="47">
        <f t="shared" si="24"/>
        <v>99907</v>
      </c>
      <c r="B137" s="47" t="s">
        <v>179</v>
      </c>
      <c r="J137" s="12" t="s">
        <v>185</v>
      </c>
      <c r="K137" s="47"/>
      <c r="L137" s="145"/>
      <c r="M137" s="145"/>
      <c r="N137" s="145"/>
      <c r="O137" s="145"/>
      <c r="P137" s="145"/>
      <c r="Q137" s="145"/>
      <c r="R137" s="145"/>
      <c r="S137" s="145"/>
      <c r="T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</row>
    <row r="138" spans="1:44" x14ac:dyDescent="0.2">
      <c r="A138" s="47">
        <f t="shared" si="24"/>
        <v>99908</v>
      </c>
      <c r="B138" s="47" t="s">
        <v>178</v>
      </c>
      <c r="J138" s="12" t="s">
        <v>188</v>
      </c>
      <c r="K138" s="47"/>
      <c r="L138" s="145"/>
      <c r="M138" s="145"/>
      <c r="N138" s="145"/>
      <c r="O138" s="145"/>
      <c r="P138" s="145"/>
      <c r="Q138" s="145"/>
      <c r="R138" s="145"/>
      <c r="S138" s="145"/>
      <c r="T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</row>
    <row r="139" spans="1:44" x14ac:dyDescent="0.2">
      <c r="A139" s="47">
        <f t="shared" si="24"/>
        <v>99909</v>
      </c>
      <c r="B139" s="47" t="s">
        <v>194</v>
      </c>
      <c r="J139" s="12" t="s">
        <v>25</v>
      </c>
      <c r="K139" s="47"/>
      <c r="L139" s="145"/>
      <c r="M139" s="145"/>
      <c r="N139" s="145"/>
      <c r="O139" s="145"/>
      <c r="P139" s="145"/>
      <c r="Q139" s="145"/>
      <c r="R139" s="145"/>
      <c r="S139" s="145"/>
      <c r="T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</row>
    <row r="140" spans="1:44" x14ac:dyDescent="0.2">
      <c r="A140" s="47">
        <f t="shared" si="24"/>
        <v>99910</v>
      </c>
      <c r="B140" s="47" t="s">
        <v>195</v>
      </c>
      <c r="J140" s="12" t="s">
        <v>25</v>
      </c>
      <c r="K140" s="47"/>
      <c r="L140" s="145"/>
      <c r="M140" s="145"/>
      <c r="N140" s="145"/>
      <c r="O140" s="145"/>
      <c r="P140" s="145"/>
      <c r="Q140" s="145"/>
      <c r="R140" s="145"/>
      <c r="S140" s="145"/>
      <c r="T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</row>
    <row r="141" spans="1:44" x14ac:dyDescent="0.2">
      <c r="A141" s="47">
        <f t="shared" si="24"/>
        <v>99911</v>
      </c>
      <c r="B141" s="47" t="s">
        <v>180</v>
      </c>
      <c r="J141" s="12" t="s">
        <v>183</v>
      </c>
      <c r="K141" s="47"/>
      <c r="L141" s="145"/>
      <c r="M141" s="145"/>
      <c r="N141" s="145"/>
      <c r="O141" s="145"/>
      <c r="P141" s="145"/>
      <c r="Q141" s="145"/>
      <c r="R141" s="145"/>
      <c r="S141" s="145"/>
      <c r="T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</row>
    <row r="142" spans="1:44" x14ac:dyDescent="0.2">
      <c r="A142" s="47">
        <f t="shared" si="24"/>
        <v>99912</v>
      </c>
      <c r="B142" s="47" t="s">
        <v>114</v>
      </c>
      <c r="J142" s="12" t="s">
        <v>184</v>
      </c>
      <c r="K142" s="47"/>
      <c r="L142" s="145"/>
      <c r="M142" s="145"/>
      <c r="N142" s="145"/>
      <c r="O142" s="145"/>
      <c r="P142" s="145"/>
      <c r="Q142" s="145"/>
      <c r="R142" s="145"/>
      <c r="S142" s="145"/>
      <c r="T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</row>
    <row r="143" spans="1:44" x14ac:dyDescent="0.2">
      <c r="A143" s="47">
        <f t="shared" si="24"/>
        <v>99913</v>
      </c>
      <c r="B143" s="47" t="s">
        <v>120</v>
      </c>
      <c r="J143" s="12" t="s">
        <v>196</v>
      </c>
      <c r="K143" s="47"/>
      <c r="L143" s="145"/>
      <c r="M143" s="145"/>
      <c r="N143" s="145"/>
      <c r="O143" s="145"/>
      <c r="P143" s="145"/>
      <c r="Q143" s="145"/>
      <c r="R143" s="145"/>
      <c r="S143" s="145"/>
      <c r="T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</row>
    <row r="144" spans="1:44" x14ac:dyDescent="0.2">
      <c r="A144" s="47">
        <f t="shared" si="24"/>
        <v>99914</v>
      </c>
      <c r="B144" s="47" t="s">
        <v>181</v>
      </c>
      <c r="J144" s="12" t="s">
        <v>183</v>
      </c>
      <c r="K144" s="47"/>
      <c r="L144" s="145"/>
      <c r="M144" s="145"/>
      <c r="N144" s="145"/>
      <c r="O144" s="145"/>
      <c r="P144" s="145"/>
      <c r="Q144" s="145"/>
      <c r="R144" s="145"/>
      <c r="S144" s="145"/>
      <c r="T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</row>
    <row r="145" spans="1:44" x14ac:dyDescent="0.2">
      <c r="A145" s="47">
        <f t="shared" si="24"/>
        <v>99915</v>
      </c>
      <c r="B145" s="47" t="s">
        <v>182</v>
      </c>
      <c r="J145" s="12" t="s">
        <v>183</v>
      </c>
      <c r="K145" s="47"/>
      <c r="L145" s="145"/>
      <c r="M145" s="145"/>
      <c r="N145" s="145"/>
      <c r="O145" s="145"/>
      <c r="P145" s="145"/>
      <c r="Q145" s="145"/>
      <c r="R145" s="145"/>
      <c r="S145" s="145"/>
      <c r="T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</row>
    <row r="146" spans="1:44" x14ac:dyDescent="0.2">
      <c r="A146" s="47">
        <f t="shared" si="24"/>
        <v>99916</v>
      </c>
      <c r="B146" s="47" t="s">
        <v>203</v>
      </c>
      <c r="J146" s="12" t="s">
        <v>197</v>
      </c>
      <c r="K146" s="47"/>
      <c r="L146" s="145"/>
      <c r="M146" s="145"/>
      <c r="N146" s="145"/>
      <c r="O146" s="145"/>
      <c r="P146" s="145"/>
      <c r="Q146" s="145"/>
      <c r="R146" s="145"/>
      <c r="S146" s="145"/>
      <c r="T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</row>
    <row r="147" spans="1:44" x14ac:dyDescent="0.2">
      <c r="A147" s="12">
        <f t="shared" si="24"/>
        <v>99917</v>
      </c>
      <c r="B147" s="47"/>
      <c r="K147" s="47"/>
      <c r="L147" s="145"/>
      <c r="M147" s="145"/>
      <c r="N147" s="145"/>
      <c r="O147" s="145"/>
      <c r="P147" s="145"/>
      <c r="Q147" s="145"/>
      <c r="R147" s="145"/>
      <c r="S147" s="145"/>
      <c r="T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</row>
    <row r="148" spans="1:44" x14ac:dyDescent="0.2">
      <c r="A148" s="47">
        <f t="shared" si="24"/>
        <v>99918</v>
      </c>
      <c r="B148" s="47" t="s">
        <v>177</v>
      </c>
      <c r="J148" s="12" t="s">
        <v>18</v>
      </c>
      <c r="K148" s="47"/>
      <c r="L148" s="145"/>
      <c r="M148" s="145"/>
      <c r="N148" s="145"/>
      <c r="O148" s="145"/>
      <c r="P148" s="145"/>
      <c r="Q148" s="145"/>
      <c r="R148" s="145"/>
      <c r="S148" s="145"/>
      <c r="T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</row>
    <row r="149" spans="1:44" x14ac:dyDescent="0.2">
      <c r="A149" s="47">
        <f t="shared" si="24"/>
        <v>99919</v>
      </c>
      <c r="B149" s="47" t="s">
        <v>199</v>
      </c>
      <c r="J149" s="12" t="s">
        <v>18</v>
      </c>
      <c r="K149" s="47"/>
      <c r="L149" s="145"/>
      <c r="M149" s="145"/>
      <c r="N149" s="145"/>
      <c r="O149" s="145"/>
      <c r="P149" s="145"/>
      <c r="Q149" s="145"/>
      <c r="R149" s="145"/>
      <c r="S149" s="145"/>
      <c r="T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</row>
    <row r="150" spans="1:44" x14ac:dyDescent="0.2">
      <c r="A150" s="47">
        <f t="shared" si="24"/>
        <v>99920</v>
      </c>
      <c r="B150" s="47" t="s">
        <v>193</v>
      </c>
      <c r="J150" s="12" t="s">
        <v>18</v>
      </c>
      <c r="K150" s="47"/>
      <c r="L150" s="145"/>
      <c r="M150" s="145"/>
      <c r="N150" s="145"/>
      <c r="O150" s="145"/>
      <c r="P150" s="145"/>
      <c r="Q150" s="145"/>
      <c r="R150" s="145"/>
      <c r="S150" s="145"/>
      <c r="T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</row>
    <row r="151" spans="1:44" x14ac:dyDescent="0.2">
      <c r="A151" s="47">
        <f t="shared" si="24"/>
        <v>99921</v>
      </c>
      <c r="B151" s="47" t="s">
        <v>189</v>
      </c>
      <c r="J151" s="12" t="s">
        <v>121</v>
      </c>
      <c r="K151" s="47"/>
      <c r="L151" s="145"/>
      <c r="M151" s="145"/>
      <c r="N151" s="145"/>
      <c r="O151" s="145"/>
      <c r="P151" s="145"/>
      <c r="Q151" s="145"/>
      <c r="R151" s="145"/>
      <c r="S151" s="145"/>
      <c r="T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</row>
    <row r="152" spans="1:44" x14ac:dyDescent="0.2">
      <c r="A152" s="47">
        <f t="shared" si="24"/>
        <v>99922</v>
      </c>
      <c r="B152" s="47" t="s">
        <v>198</v>
      </c>
      <c r="J152" s="12" t="s">
        <v>18</v>
      </c>
      <c r="K152" s="47"/>
      <c r="L152" s="145"/>
      <c r="M152" s="145"/>
      <c r="N152" s="145"/>
      <c r="O152" s="145"/>
      <c r="P152" s="145"/>
      <c r="Q152" s="145"/>
      <c r="R152" s="145"/>
      <c r="S152" s="145"/>
      <c r="T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</row>
    <row r="153" spans="1:44" x14ac:dyDescent="0.2">
      <c r="A153" s="47">
        <f t="shared" si="24"/>
        <v>99923</v>
      </c>
      <c r="B153" s="47" t="s">
        <v>190</v>
      </c>
      <c r="J153" s="12" t="s">
        <v>121</v>
      </c>
      <c r="K153" s="47"/>
      <c r="L153" s="145"/>
      <c r="M153" s="145"/>
      <c r="N153" s="145"/>
      <c r="O153" s="145"/>
      <c r="P153" s="145"/>
      <c r="Q153" s="145"/>
      <c r="R153" s="145"/>
      <c r="S153" s="145"/>
      <c r="T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</row>
    <row r="154" spans="1:44" x14ac:dyDescent="0.2">
      <c r="A154" s="47">
        <f t="shared" si="24"/>
        <v>99924</v>
      </c>
      <c r="B154" s="47" t="s">
        <v>191</v>
      </c>
      <c r="J154" s="12" t="s">
        <v>121</v>
      </c>
      <c r="K154" s="47"/>
      <c r="L154" s="145"/>
      <c r="M154" s="145"/>
      <c r="N154" s="145"/>
      <c r="O154" s="145"/>
      <c r="P154" s="145"/>
      <c r="Q154" s="145"/>
      <c r="R154" s="145"/>
      <c r="S154" s="145"/>
      <c r="T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</row>
    <row r="155" spans="1:44" x14ac:dyDescent="0.2">
      <c r="A155" s="47">
        <f t="shared" si="24"/>
        <v>99925</v>
      </c>
      <c r="B155" s="47" t="s">
        <v>192</v>
      </c>
      <c r="J155" s="12" t="s">
        <v>121</v>
      </c>
      <c r="K155" s="47"/>
      <c r="L155" s="145"/>
      <c r="M155" s="145"/>
      <c r="N155" s="145"/>
      <c r="O155" s="145"/>
      <c r="P155" s="145"/>
      <c r="Q155" s="145"/>
      <c r="R155" s="145"/>
      <c r="S155" s="145"/>
      <c r="T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</row>
    <row r="156" spans="1:44" x14ac:dyDescent="0.2">
      <c r="A156" s="47">
        <f t="shared" si="24"/>
        <v>99926</v>
      </c>
      <c r="B156" s="47" t="s">
        <v>116</v>
      </c>
      <c r="J156" s="12" t="s">
        <v>201</v>
      </c>
      <c r="K156" s="47"/>
      <c r="L156" s="145"/>
      <c r="M156" s="145"/>
      <c r="N156" s="145"/>
      <c r="O156" s="145"/>
      <c r="P156" s="145"/>
      <c r="Q156" s="145"/>
      <c r="R156" s="145"/>
      <c r="S156" s="145"/>
      <c r="T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</row>
    <row r="157" spans="1:44" x14ac:dyDescent="0.2">
      <c r="A157" s="47">
        <f t="shared" si="24"/>
        <v>99927</v>
      </c>
      <c r="B157" s="47" t="s">
        <v>200</v>
      </c>
      <c r="J157" s="12" t="s">
        <v>201</v>
      </c>
      <c r="K157" s="47"/>
      <c r="L157" s="145"/>
      <c r="M157" s="145"/>
      <c r="N157" s="145"/>
      <c r="O157" s="145"/>
      <c r="P157" s="145"/>
      <c r="Q157" s="145"/>
      <c r="R157" s="145"/>
      <c r="S157" s="145"/>
      <c r="T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</row>
    <row r="158" spans="1:44" x14ac:dyDescent="0.2">
      <c r="A158" s="47">
        <f t="shared" si="24"/>
        <v>99928</v>
      </c>
      <c r="B158" s="47" t="s">
        <v>117</v>
      </c>
      <c r="J158" s="12" t="s">
        <v>201</v>
      </c>
      <c r="K158" s="47"/>
    </row>
    <row r="159" spans="1:44" x14ac:dyDescent="0.2">
      <c r="A159" s="47">
        <f t="shared" si="24"/>
        <v>99929</v>
      </c>
      <c r="B159" s="47" t="s">
        <v>118</v>
      </c>
      <c r="J159" s="12" t="s">
        <v>201</v>
      </c>
    </row>
    <row r="160" spans="1:44" x14ac:dyDescent="0.2">
      <c r="A160" s="47">
        <f t="shared" si="24"/>
        <v>99930</v>
      </c>
      <c r="B160" s="47" t="s">
        <v>119</v>
      </c>
      <c r="J160" s="12" t="s">
        <v>201</v>
      </c>
    </row>
    <row r="161" spans="1:10" x14ac:dyDescent="0.2">
      <c r="A161" s="12">
        <f t="shared" si="24"/>
        <v>99931</v>
      </c>
      <c r="B161" s="47"/>
      <c r="J161" s="12" t="s">
        <v>205</v>
      </c>
    </row>
    <row r="162" spans="1:10" x14ac:dyDescent="0.2">
      <c r="A162" s="47">
        <f t="shared" si="24"/>
        <v>99932</v>
      </c>
      <c r="B162" s="47" t="s">
        <v>204</v>
      </c>
      <c r="J162" s="12" t="s">
        <v>206</v>
      </c>
    </row>
    <row r="163" spans="1:10" x14ac:dyDescent="0.2">
      <c r="A163" s="47">
        <f t="shared" si="24"/>
        <v>99933</v>
      </c>
      <c r="B163" s="47" t="s">
        <v>115</v>
      </c>
      <c r="J163" s="12" t="s">
        <v>206</v>
      </c>
    </row>
    <row r="164" spans="1:10" x14ac:dyDescent="0.2">
      <c r="A164" s="12">
        <f t="shared" si="24"/>
        <v>99934</v>
      </c>
      <c r="B164" s="47" t="s">
        <v>124</v>
      </c>
    </row>
    <row r="165" spans="1:10" x14ac:dyDescent="0.2">
      <c r="A165" s="12">
        <f t="shared" si="24"/>
        <v>99935</v>
      </c>
      <c r="B165" s="47" t="s">
        <v>124</v>
      </c>
    </row>
    <row r="166" spans="1:10" x14ac:dyDescent="0.2">
      <c r="A166" s="12" t="s">
        <v>128</v>
      </c>
      <c r="B166" s="47" t="s">
        <v>127</v>
      </c>
    </row>
  </sheetData>
  <sheetProtection password="C9BC" sheet="1" objects="1" scenarios="1" selectLockedCells="1" selectUnlockedCells="1"/>
  <customSheetViews>
    <customSheetView guid="{FF105486-337B-4F9D-974B-49C037148D9B}" state="hidden">
      <selection activeCell="E12" sqref="E12"/>
      <pageMargins left="0.75" right="0.75" top="1" bottom="1" header="0.5" footer="0.5"/>
      <pageSetup scale="50" orientation="landscape" horizontalDpi="0" verticalDpi="0" r:id="rId1"/>
      <headerFooter alignWithMargins="0"/>
    </customSheetView>
    <customSheetView guid="{96D8A50A-96D4-4A72-9572-2CD989544578}" state="hidden">
      <selection activeCell="E12" sqref="E12"/>
      <pageMargins left="0.75" right="0.75" top="1" bottom="1" header="0.5" footer="0.5"/>
      <pageSetup scale="50" orientation="landscape" horizontalDpi="0" verticalDpi="0" r:id="rId2"/>
      <headerFooter alignWithMargins="0"/>
    </customSheetView>
    <customSheetView guid="{2B6667DB-A691-4F19-97E8-D67F3ED6538B}" state="hidden">
      <selection activeCell="E12" sqref="E12"/>
      <pageMargins left="0.75" right="0.75" top="1" bottom="1" header="0.5" footer="0.5"/>
      <pageSetup scale="50" orientation="landscape" horizontalDpi="0" verticalDpi="0" r:id="rId3"/>
      <headerFooter alignWithMargins="0"/>
    </customSheetView>
  </customSheetViews>
  <phoneticPr fontId="3" type="noConversion"/>
  <pageMargins left="0.75" right="0.75" top="1" bottom="1" header="0.5" footer="0.5"/>
  <pageSetup scale="50" orientation="landscape" horizontalDpi="0" verticalDpi="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Plumbing</vt:lpstr>
      <vt:lpstr>Support</vt:lpstr>
      <vt:lpstr>Count</vt:lpstr>
      <vt:lpstr>Count (2)</vt:lpstr>
      <vt:lpstr>Plumbing!Print_Area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</dc:creator>
  <cp:lastModifiedBy>Ara</cp:lastModifiedBy>
  <cp:lastPrinted>2019-09-09T15:45:02Z</cp:lastPrinted>
  <dcterms:created xsi:type="dcterms:W3CDTF">2009-01-25T23:05:24Z</dcterms:created>
  <dcterms:modified xsi:type="dcterms:W3CDTF">2019-12-21T20:18:49Z</dcterms:modified>
</cp:coreProperties>
</file>