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\Documents\Ara\Ara4Help\2026\"/>
    </mc:Choice>
  </mc:AlternateContent>
  <xr:revisionPtr revIDLastSave="0" documentId="13_ncr:1_{13C23415-FF38-44B3-90CF-7E74F051B5C5}" xr6:coauthVersionLast="47" xr6:coauthVersionMax="47" xr10:uidLastSave="{00000000-0000-0000-0000-000000000000}"/>
  <workbookProtection workbookAlgorithmName="SHA-512" workbookHashValue="789Os7X67rh3vS5Yccffys9jy4oqmr/QtNvDZ/TSj2ReXgp9l8b7UyOKqQLc/o7FK+vMxZPH2tUcSysuieKUqA==" workbookSaltValue="Z8jHn2ZnP5dFqXa/DV03Rg==" workbookSpinCount="100000" lockStructure="1"/>
  <bookViews>
    <workbookView xWindow="3285" yWindow="960" windowWidth="20055" windowHeight="12435" xr2:uid="{00000000-000D-0000-FFFF-FFFF00000000}"/>
  </bookViews>
  <sheets>
    <sheet name="ChaCha" sheetId="1" r:id="rId1"/>
    <sheet name="Info" sheetId="2" state="hidden" r:id="rId2"/>
    <sheet name="T503" sheetId="3" state="hidden" r:id="rId3"/>
    <sheet name="Height" sheetId="4" state="hidden" r:id="rId4"/>
    <sheet name="Area" sheetId="5" state="hidden" r:id="rId5"/>
    <sheet name="Frontage" sheetId="6" state="hidden" r:id="rId6"/>
    <sheet name="Grade" sheetId="7" r:id="rId7"/>
    <sheet name="507" sheetId="8" r:id="rId8"/>
    <sheet name="GenInfo" sheetId="9" r:id="rId9"/>
  </sheets>
  <definedNames>
    <definedName name="_xlnm.Print_Area" localSheetId="7">'507'!$A$1:$L$35</definedName>
    <definedName name="_xlnm.Print_Area" localSheetId="5">Frontage!$A$1:$AZ$97</definedName>
    <definedName name="_xlnm.Print_Area" localSheetId="6">Grade!$A$1:$Y$27</definedName>
    <definedName name="_xlnm.Print_Area" localSheetId="3">Height!$A$1:$L$31</definedName>
    <definedName name="Z_02979AA6_E421_4F39_B9A0_7166087A5EF9_.wvu.Cols" localSheetId="7" hidden="1">'507'!$M:$AL</definedName>
    <definedName name="Z_02979AA6_E421_4F39_B9A0_7166087A5EF9_.wvu.Cols" localSheetId="0" hidden="1">ChaCha!$B:$B,ChaCha!$F:$G,ChaCha!$M:$M,ChaCha!$R:$S,ChaCha!$X:$Y,ChaCha!$AG:$AR</definedName>
    <definedName name="Z_02979AA6_E421_4F39_B9A0_7166087A5EF9_.wvu.Cols" localSheetId="5" hidden="1">Frontage!$C:$C,Frontage!$E:$E,Frontage!$G:$G,Frontage!$I:$I,Frontage!$K:$K,Frontage!$M:$M,Frontage!$O:$O,Frontage!$Q:$Q,Frontage!$S:$S,Frontage!$U:$U,Frontage!$W:$W,Frontage!$Y:$Y,Frontage!$AA:$AA,Frontage!$AC:$AC,Frontage!$AE:$AE,Frontage!$AG:$AG,Frontage!$AI:$AI,Frontage!$AK:$AK,Frontage!$AM:$AM,Frontage!$AO:$AO,Frontage!$AQ:$AQ,Frontage!$AS:$AS,Frontage!$AU:$AU,Frontage!$AW:$AW,Frontage!$AY:$AY</definedName>
    <definedName name="Z_02979AA6_E421_4F39_B9A0_7166087A5EF9_.wvu.PrintArea" localSheetId="7" hidden="1">'507'!$A$1:$L$35</definedName>
    <definedName name="Z_02979AA6_E421_4F39_B9A0_7166087A5EF9_.wvu.PrintArea" localSheetId="5" hidden="1">Frontage!$A$1:$AZ$97</definedName>
    <definedName name="Z_02979AA6_E421_4F39_B9A0_7166087A5EF9_.wvu.PrintArea" localSheetId="6" hidden="1">Grade!$A$1:$Y$27</definedName>
    <definedName name="Z_02979AA6_E421_4F39_B9A0_7166087A5EF9_.wvu.PrintArea" localSheetId="3" hidden="1">Height!$A$1:$L$31</definedName>
    <definedName name="Z_02979AA6_E421_4F39_B9A0_7166087A5EF9_.wvu.Rows" localSheetId="5" hidden="1">Frontage!$7:$7,Frontage!$12:$50,Frontage!$55:$93,Frontage!$98:$136</definedName>
    <definedName name="Z_02979AA6_E421_4F39_B9A0_7166087A5EF9_.wvu.Rows" localSheetId="6" hidden="1">Grade!$4:$4,Grade!$8:$8,Grade!$12:$12,Grade!$16:$16,Grade!$20:$20</definedName>
    <definedName name="Z_09F76BC5_26ED_495D_B8F5_83F6B4183195_.wvu.Cols" localSheetId="7" hidden="1">'507'!$M:$AL</definedName>
    <definedName name="Z_09F76BC5_26ED_495D_B8F5_83F6B4183195_.wvu.Cols" localSheetId="0" hidden="1">ChaCha!$B:$B,ChaCha!$F:$G,ChaCha!$M:$M,ChaCha!$R:$S,ChaCha!$X:$Y,ChaCha!$AG:$AR</definedName>
    <definedName name="Z_09F76BC5_26ED_495D_B8F5_83F6B4183195_.wvu.Cols" localSheetId="5" hidden="1">Frontage!$C:$C,Frontage!$E:$E,Frontage!$G:$G,Frontage!$I:$I,Frontage!$K:$K,Frontage!$M:$M,Frontage!$O:$O,Frontage!$Q:$Q,Frontage!$S:$S,Frontage!$U:$U,Frontage!$W:$W,Frontage!$Y:$Y,Frontage!$AA:$AA,Frontage!$AC:$AC,Frontage!$AE:$AE,Frontage!$AG:$AG,Frontage!$AI:$AI,Frontage!$AK:$AK,Frontage!$AM:$AM,Frontage!$AO:$AO,Frontage!$AQ:$AQ,Frontage!$AS:$AS,Frontage!$AU:$AU,Frontage!$AW:$AW,Frontage!$AY:$AY</definedName>
    <definedName name="Z_09F76BC5_26ED_495D_B8F5_83F6B4183195_.wvu.PrintArea" localSheetId="7" hidden="1">'507'!$A$1:$L$35</definedName>
    <definedName name="Z_09F76BC5_26ED_495D_B8F5_83F6B4183195_.wvu.PrintArea" localSheetId="5" hidden="1">Frontage!$A$1:$AZ$97</definedName>
    <definedName name="Z_09F76BC5_26ED_495D_B8F5_83F6B4183195_.wvu.PrintArea" localSheetId="6" hidden="1">Grade!$A$1:$Y$27</definedName>
    <definedName name="Z_09F76BC5_26ED_495D_B8F5_83F6B4183195_.wvu.PrintArea" localSheetId="3" hidden="1">Height!$A$1:$L$31</definedName>
    <definedName name="Z_09F76BC5_26ED_495D_B8F5_83F6B4183195_.wvu.Rows" localSheetId="5" hidden="1">Frontage!$7:$7,Frontage!$12:$50,Frontage!$55:$93,Frontage!$98:$136</definedName>
    <definedName name="Z_09F76BC5_26ED_495D_B8F5_83F6B4183195_.wvu.Rows" localSheetId="6" hidden="1">Grade!$4:$4,Grade!$8:$8,Grade!$12:$12,Grade!$16:$16,Grade!$20:$20</definedName>
    <definedName name="Z_356F0F3B_80AF_47CC_8087_F17A73F87B6E_.wvu.Cols" localSheetId="7" hidden="1">'507'!$M:$AL</definedName>
    <definedName name="Z_356F0F3B_80AF_47CC_8087_F17A73F87B6E_.wvu.Cols" localSheetId="0" hidden="1">ChaCha!$B:$B,ChaCha!$F:$G,ChaCha!$L:$M,ChaCha!$R:$S,ChaCha!$X:$Y,ChaCha!$AG:$AR</definedName>
    <definedName name="Z_356F0F3B_80AF_47CC_8087_F17A73F87B6E_.wvu.Cols" localSheetId="5" hidden="1">Frontage!$C:$C,Frontage!$E:$E,Frontage!$G:$G,Frontage!$I:$I,Frontage!$K:$K,Frontage!$M:$M,Frontage!$O:$O,Frontage!$Q:$Q,Frontage!$S:$S,Frontage!$U:$U,Frontage!$W:$W,Frontage!$Y:$Y,Frontage!$AA:$AA,Frontage!$AC:$AC,Frontage!$AE:$AE,Frontage!$AG:$AG,Frontage!$AI:$AI,Frontage!$AK:$AK,Frontage!$AM:$AM,Frontage!$AO:$AO,Frontage!$AQ:$AQ,Frontage!$AS:$AS,Frontage!$AU:$AU,Frontage!$AW:$AW,Frontage!$AY:$AY</definedName>
    <definedName name="Z_356F0F3B_80AF_47CC_8087_F17A73F87B6E_.wvu.PrintArea" localSheetId="7" hidden="1">'507'!$A$1:$L$35</definedName>
    <definedName name="Z_356F0F3B_80AF_47CC_8087_F17A73F87B6E_.wvu.PrintArea" localSheetId="5" hidden="1">Frontage!$A$1:$AZ$97</definedName>
    <definedName name="Z_356F0F3B_80AF_47CC_8087_F17A73F87B6E_.wvu.PrintArea" localSheetId="6" hidden="1">Grade!$A$1:$Y$27</definedName>
    <definedName name="Z_356F0F3B_80AF_47CC_8087_F17A73F87B6E_.wvu.PrintArea" localSheetId="3" hidden="1">Height!$A$1:$L$31</definedName>
    <definedName name="Z_356F0F3B_80AF_47CC_8087_F17A73F87B6E_.wvu.Rows" localSheetId="5" hidden="1">Frontage!$7:$7,Frontage!$12:$50,Frontage!$55:$93,Frontage!$98:$136</definedName>
    <definedName name="Z_356F0F3B_80AF_47CC_8087_F17A73F87B6E_.wvu.Rows" localSheetId="6" hidden="1">Grade!$4:$4,Grade!$8:$8,Grade!$12:$12,Grade!$16:$16,Grade!$20:$20</definedName>
    <definedName name="Z_3F9818B9_F253_4053_A33A_0CFC1B854133_.wvu.Cols" localSheetId="7" hidden="1">'507'!$M:$AL</definedName>
    <definedName name="Z_3F9818B9_F253_4053_A33A_0CFC1B854133_.wvu.Cols" localSheetId="0" hidden="1">ChaCha!$B:$B,ChaCha!$F:$G,ChaCha!$M:$M,ChaCha!$R:$S,ChaCha!$X:$Y,ChaCha!$AG:$AR</definedName>
    <definedName name="Z_3F9818B9_F253_4053_A33A_0CFC1B854133_.wvu.Cols" localSheetId="5" hidden="1">Frontage!$C:$C,Frontage!$E:$E,Frontage!$G:$G,Frontage!$I:$I,Frontage!$K:$K,Frontage!$M:$M,Frontage!$O:$O,Frontage!$Q:$Q,Frontage!$S:$S,Frontage!$U:$U,Frontage!$W:$W,Frontage!$Y:$Y,Frontage!$AA:$AA,Frontage!$AC:$AC,Frontage!$AE:$AE,Frontage!$AG:$AG,Frontage!$AI:$AI,Frontage!$AK:$AK,Frontage!$AM:$AM,Frontage!$AO:$AO,Frontage!$AQ:$AQ,Frontage!$AS:$AS,Frontage!$AU:$AU,Frontage!$AW:$AW,Frontage!$AY:$AY</definedName>
    <definedName name="Z_3F9818B9_F253_4053_A33A_0CFC1B854133_.wvu.PrintArea" localSheetId="7" hidden="1">'507'!$A$1:$L$35</definedName>
    <definedName name="Z_3F9818B9_F253_4053_A33A_0CFC1B854133_.wvu.PrintArea" localSheetId="5" hidden="1">Frontage!$A$1:$AZ$97</definedName>
    <definedName name="Z_3F9818B9_F253_4053_A33A_0CFC1B854133_.wvu.PrintArea" localSheetId="6" hidden="1">Grade!$A$1:$Y$27</definedName>
    <definedName name="Z_3F9818B9_F253_4053_A33A_0CFC1B854133_.wvu.PrintArea" localSheetId="3" hidden="1">Height!$A$1:$L$31</definedName>
    <definedName name="Z_3F9818B9_F253_4053_A33A_0CFC1B854133_.wvu.Rows" localSheetId="5" hidden="1">Frontage!$7:$7,Frontage!$12:$50,Frontage!$55:$93,Frontage!$98:$136</definedName>
    <definedName name="Z_3F9818B9_F253_4053_A33A_0CFC1B854133_.wvu.Rows" localSheetId="6" hidden="1">Grade!$4:$4,Grade!$8:$8,Grade!$12:$12,Grade!$16:$16,Grade!$20:$20</definedName>
    <definedName name="Z_C99C1093_CC5A_409C_96B5_E63635B6002F_.wvu.Cols" localSheetId="7" hidden="1">'507'!$M:$AL</definedName>
    <definedName name="Z_C99C1093_CC5A_409C_96B5_E63635B6002F_.wvu.Cols" localSheetId="0" hidden="1">ChaCha!$B:$B,ChaCha!$F:$G,ChaCha!$M:$M,ChaCha!$R:$S,ChaCha!$X:$Y,ChaCha!$AG:$AR</definedName>
    <definedName name="Z_C99C1093_CC5A_409C_96B5_E63635B6002F_.wvu.Cols" localSheetId="5" hidden="1">Frontage!$C:$C,Frontage!$E:$E,Frontage!$G:$G,Frontage!$I:$I,Frontage!$K:$K,Frontage!$M:$M,Frontage!$O:$O,Frontage!$Q:$Q,Frontage!$S:$S,Frontage!$U:$U,Frontage!$W:$W,Frontage!$Y:$Y,Frontage!$AA:$AA,Frontage!$AC:$AC,Frontage!$AE:$AE,Frontage!$AG:$AG,Frontage!$AI:$AI,Frontage!$AK:$AK,Frontage!$AM:$AM,Frontage!$AO:$AO,Frontage!$AQ:$AQ,Frontage!$AS:$AS,Frontage!$AU:$AU,Frontage!$AW:$AW,Frontage!$AY:$AY</definedName>
    <definedName name="Z_C99C1093_CC5A_409C_96B5_E63635B6002F_.wvu.PrintArea" localSheetId="7" hidden="1">'507'!$A$1:$L$35</definedName>
    <definedName name="Z_C99C1093_CC5A_409C_96B5_E63635B6002F_.wvu.PrintArea" localSheetId="5" hidden="1">Frontage!$A$1:$AZ$97</definedName>
    <definedName name="Z_C99C1093_CC5A_409C_96B5_E63635B6002F_.wvu.PrintArea" localSheetId="6" hidden="1">Grade!$A$1:$Y$27</definedName>
    <definedName name="Z_C99C1093_CC5A_409C_96B5_E63635B6002F_.wvu.PrintArea" localSheetId="3" hidden="1">Height!$A$1:$L$31</definedName>
    <definedName name="Z_C99C1093_CC5A_409C_96B5_E63635B6002F_.wvu.Rows" localSheetId="5" hidden="1">Frontage!$7:$7,Frontage!$12:$50,Frontage!$55:$93,Frontage!$98:$136</definedName>
    <definedName name="Z_C99C1093_CC5A_409C_96B5_E63635B6002F_.wvu.Rows" localSheetId="6" hidden="1">Grade!$4:$4,Grade!$8:$8,Grade!$12:$12,Grade!$16:$16,Grade!$20:$20</definedName>
  </definedNames>
  <calcPr calcId="181029"/>
  <customWorkbookViews>
    <customWorkbookView name="Ara Sargsyan - Personal View" guid="{C99C1093-CC5A-409C-96B5-E63635B6002F}" mergeInterval="0" personalView="1" maximized="1" xWindow="-8" yWindow="-8" windowWidth="2576" windowHeight="1576" activeSheetId="1"/>
    <customWorkbookView name="Dell - Personal View" guid="{3F9818B9-F253-4053-A33A-0CFC1B854133}" mergeInterval="0" personalView="1" maximized="1" windowWidth="1808" windowHeight="836" activeSheetId="1"/>
    <customWorkbookView name="Windows User - Personal View" guid="{356F0F3B-80AF-47CC-8087-F17A73F87B6E}" mergeInterval="0" personalView="1" maximized="1" windowWidth="1269" windowHeight="675" activeSheetId="1" showComments="commIndAndComment"/>
    <customWorkbookView name="Sargsyan - Personal View" guid="{09F76BC5-26ED-495D-B8F5-83F6B4183195}" mergeInterval="0" personalView="1" maximized="1" xWindow="-8" yWindow="-8" windowWidth="1936" windowHeight="1056" activeSheetId="1"/>
    <customWorkbookView name="Ara - Personal View" guid="{02979AA6-E421-4F39-B9A0-7166087A5EF9}" mergeInterval="0" personalView="1" maximized="1" windowWidth="1516" windowHeight="676" activeSheetId="1"/>
  </customWorkbookViews>
</workbook>
</file>

<file path=xl/calcChain.xml><?xml version="1.0" encoding="utf-8"?>
<calcChain xmlns="http://schemas.openxmlformats.org/spreadsheetml/2006/main">
  <c r="T2" i="8" l="1"/>
  <c r="AA11" i="8" s="1"/>
  <c r="U2" i="8"/>
  <c r="X10" i="8" s="1"/>
  <c r="V2" i="8"/>
  <c r="W2" i="8"/>
  <c r="Z7" i="8" s="1"/>
  <c r="N3" i="8"/>
  <c r="T3" i="8"/>
  <c r="AA7" i="8" s="1"/>
  <c r="U3" i="8"/>
  <c r="V3" i="8"/>
  <c r="AC30" i="8" s="1"/>
  <c r="W3" i="8"/>
  <c r="N4" i="8"/>
  <c r="N5" i="8" s="1"/>
  <c r="N6" i="8" s="1"/>
  <c r="R4" i="8"/>
  <c r="R5" i="8" s="1"/>
  <c r="R6" i="8" s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AD7" i="8"/>
  <c r="Z10" i="8"/>
  <c r="AB11" i="8"/>
  <c r="N13" i="8"/>
  <c r="AA14" i="8"/>
  <c r="N15" i="8"/>
  <c r="N17" i="8"/>
  <c r="X17" i="8"/>
  <c r="W20" i="8"/>
  <c r="V23" i="8"/>
  <c r="X23" i="8"/>
  <c r="U26" i="8"/>
  <c r="V26" i="8"/>
  <c r="W26" i="8"/>
  <c r="Z26" i="8"/>
  <c r="X29" i="8"/>
  <c r="Z29" i="8"/>
  <c r="X30" i="8"/>
  <c r="AD30" i="8"/>
  <c r="D1" i="7"/>
  <c r="F1" i="7" s="1"/>
  <c r="H1" i="7" s="1"/>
  <c r="J1" i="7" s="1"/>
  <c r="L1" i="7" s="1"/>
  <c r="N1" i="7" s="1"/>
  <c r="P1" i="7" s="1"/>
  <c r="R1" i="7" s="1"/>
  <c r="T1" i="7" s="1"/>
  <c r="V1" i="7" s="1"/>
  <c r="X1" i="7" s="1"/>
  <c r="B5" i="7" s="1"/>
  <c r="D5" i="7" s="1"/>
  <c r="F5" i="7" s="1"/>
  <c r="H5" i="7" s="1"/>
  <c r="J5" i="7" s="1"/>
  <c r="L5" i="7" s="1"/>
  <c r="N5" i="7" s="1"/>
  <c r="P5" i="7" s="1"/>
  <c r="R5" i="7" s="1"/>
  <c r="T5" i="7" s="1"/>
  <c r="V5" i="7" s="1"/>
  <c r="X5" i="7" s="1"/>
  <c r="B9" i="7" s="1"/>
  <c r="D9" i="7" s="1"/>
  <c r="F9" i="7" s="1"/>
  <c r="H9" i="7" s="1"/>
  <c r="J9" i="7" s="1"/>
  <c r="L9" i="7" s="1"/>
  <c r="N9" i="7" s="1"/>
  <c r="P9" i="7" s="1"/>
  <c r="R9" i="7" s="1"/>
  <c r="T9" i="7" s="1"/>
  <c r="V9" i="7" s="1"/>
  <c r="X9" i="7" s="1"/>
  <c r="B13" i="7" s="1"/>
  <c r="D13" i="7" s="1"/>
  <c r="F13" i="7" s="1"/>
  <c r="H13" i="7" s="1"/>
  <c r="J13" i="7" s="1"/>
  <c r="L13" i="7" s="1"/>
  <c r="N13" i="7" s="1"/>
  <c r="P13" i="7" s="1"/>
  <c r="R13" i="7" s="1"/>
  <c r="T13" i="7" s="1"/>
  <c r="V13" i="7" s="1"/>
  <c r="X13" i="7" s="1"/>
  <c r="B17" i="7" s="1"/>
  <c r="D17" i="7" s="1"/>
  <c r="F17" i="7" s="1"/>
  <c r="H17" i="7" s="1"/>
  <c r="J17" i="7" s="1"/>
  <c r="L17" i="7" s="1"/>
  <c r="N17" i="7" s="1"/>
  <c r="P17" i="7" s="1"/>
  <c r="R17" i="7" s="1"/>
  <c r="T17" i="7" s="1"/>
  <c r="V17" i="7" s="1"/>
  <c r="X17" i="7" s="1"/>
  <c r="C4" i="7"/>
  <c r="E4" i="7"/>
  <c r="G4" i="7"/>
  <c r="I4" i="7"/>
  <c r="K4" i="7"/>
  <c r="M4" i="7"/>
  <c r="O4" i="7"/>
  <c r="Q4" i="7"/>
  <c r="S4" i="7"/>
  <c r="U4" i="7"/>
  <c r="W4" i="7"/>
  <c r="B6" i="7"/>
  <c r="C8" i="7" s="1"/>
  <c r="E8" i="7"/>
  <c r="G8" i="7"/>
  <c r="I8" i="7"/>
  <c r="K8" i="7"/>
  <c r="M8" i="7"/>
  <c r="O8" i="7"/>
  <c r="Q8" i="7"/>
  <c r="S8" i="7"/>
  <c r="U8" i="7"/>
  <c r="W8" i="7"/>
  <c r="B10" i="7"/>
  <c r="C12" i="7" s="1"/>
  <c r="E12" i="7"/>
  <c r="G12" i="7"/>
  <c r="I12" i="7"/>
  <c r="K12" i="7"/>
  <c r="M12" i="7"/>
  <c r="O12" i="7"/>
  <c r="Q12" i="7"/>
  <c r="S12" i="7"/>
  <c r="U12" i="7"/>
  <c r="W12" i="7"/>
  <c r="B14" i="7"/>
  <c r="C16" i="7" s="1"/>
  <c r="E16" i="7"/>
  <c r="G16" i="7"/>
  <c r="I16" i="7"/>
  <c r="K16" i="7"/>
  <c r="M16" i="7"/>
  <c r="O16" i="7"/>
  <c r="Q16" i="7"/>
  <c r="S16" i="7"/>
  <c r="U16" i="7"/>
  <c r="W16" i="7"/>
  <c r="B18" i="7"/>
  <c r="C20" i="7" s="1"/>
  <c r="E20" i="7"/>
  <c r="G20" i="7"/>
  <c r="I20" i="7"/>
  <c r="K20" i="7"/>
  <c r="M20" i="7"/>
  <c r="O20" i="7"/>
  <c r="Q20" i="7"/>
  <c r="S20" i="7"/>
  <c r="U20" i="7"/>
  <c r="W20" i="7"/>
  <c r="W22" i="7"/>
  <c r="F9" i="6"/>
  <c r="J9" i="6"/>
  <c r="N9" i="6"/>
  <c r="R9" i="6" s="1"/>
  <c r="V9" i="6" s="1"/>
  <c r="Z9" i="6" s="1"/>
  <c r="AD9" i="6" s="1"/>
  <c r="AH9" i="6" s="1"/>
  <c r="AL9" i="6" s="1"/>
  <c r="AP9" i="6" s="1"/>
  <c r="AT9" i="6" s="1"/>
  <c r="AX9" i="6" s="1"/>
  <c r="B52" i="6" s="1"/>
  <c r="F52" i="6" s="1"/>
  <c r="J52" i="6" s="1"/>
  <c r="N52" i="6" s="1"/>
  <c r="R52" i="6" s="1"/>
  <c r="V52" i="6" s="1"/>
  <c r="Z52" i="6" s="1"/>
  <c r="AD52" i="6" s="1"/>
  <c r="AH52" i="6" s="1"/>
  <c r="AL52" i="6" s="1"/>
  <c r="AP52" i="6" s="1"/>
  <c r="AT52" i="6" s="1"/>
  <c r="AX52" i="6" s="1"/>
  <c r="B95" i="6" s="1"/>
  <c r="F95" i="6" s="1"/>
  <c r="J95" i="6" s="1"/>
  <c r="N95" i="6" s="1"/>
  <c r="R95" i="6" s="1"/>
  <c r="V95" i="6" s="1"/>
  <c r="Z95" i="6" s="1"/>
  <c r="AD95" i="6" s="1"/>
  <c r="AH95" i="6" s="1"/>
  <c r="AL95" i="6" s="1"/>
  <c r="AP95" i="6" s="1"/>
  <c r="AT95" i="6" s="1"/>
  <c r="AX95" i="6" s="1"/>
  <c r="D13" i="6"/>
  <c r="F13" i="6"/>
  <c r="H13" i="6"/>
  <c r="J13" i="6"/>
  <c r="L13" i="6"/>
  <c r="N13" i="6"/>
  <c r="P13" i="6"/>
  <c r="R13" i="6"/>
  <c r="T13" i="6"/>
  <c r="V13" i="6"/>
  <c r="X13" i="6"/>
  <c r="Z13" i="6"/>
  <c r="AA13" i="6"/>
  <c r="AB13" i="6"/>
  <c r="AD13" i="6"/>
  <c r="AF13" i="6"/>
  <c r="AH13" i="6"/>
  <c r="AJ13" i="6"/>
  <c r="AL13" i="6"/>
  <c r="AN13" i="6"/>
  <c r="AP13" i="6"/>
  <c r="AR13" i="6"/>
  <c r="AT13" i="6"/>
  <c r="AV13" i="6"/>
  <c r="AX13" i="6"/>
  <c r="C14" i="6"/>
  <c r="D14" i="6"/>
  <c r="F14" i="6"/>
  <c r="H14" i="6"/>
  <c r="I14" i="6"/>
  <c r="J14" i="6"/>
  <c r="L14" i="6"/>
  <c r="N14" i="6"/>
  <c r="P14" i="6"/>
  <c r="R14" i="6"/>
  <c r="T14" i="6"/>
  <c r="V14" i="6"/>
  <c r="X14" i="6"/>
  <c r="Z14" i="6"/>
  <c r="AB14" i="6"/>
  <c r="AD14" i="6"/>
  <c r="AF14" i="6"/>
  <c r="AH14" i="6"/>
  <c r="AJ14" i="6"/>
  <c r="AL14" i="6"/>
  <c r="AN14" i="6"/>
  <c r="AP14" i="6"/>
  <c r="AR14" i="6"/>
  <c r="AS14" i="6"/>
  <c r="AT14" i="6"/>
  <c r="AV14" i="6"/>
  <c r="AX14" i="6"/>
  <c r="E15" i="6"/>
  <c r="F16" i="6" s="1"/>
  <c r="G15" i="6"/>
  <c r="I15" i="6"/>
  <c r="K15" i="6"/>
  <c r="M15" i="6"/>
  <c r="M16" i="6" s="1"/>
  <c r="O15" i="6"/>
  <c r="N16" i="6" s="1"/>
  <c r="Q15" i="6"/>
  <c r="S15" i="6"/>
  <c r="U15" i="6"/>
  <c r="W15" i="6"/>
  <c r="Y15" i="6"/>
  <c r="AA15" i="6"/>
  <c r="AC15" i="6"/>
  <c r="AD16" i="6" s="1"/>
  <c r="AE15" i="6"/>
  <c r="AG15" i="6"/>
  <c r="AI15" i="6"/>
  <c r="AK15" i="6"/>
  <c r="AK16" i="6" s="1"/>
  <c r="AM15" i="6"/>
  <c r="AO15" i="6"/>
  <c r="AQ15" i="6"/>
  <c r="AS15" i="6"/>
  <c r="AS16" i="6" s="1"/>
  <c r="AU15" i="6"/>
  <c r="AT16" i="6" s="1"/>
  <c r="AW15" i="6"/>
  <c r="AX16" i="6" s="1"/>
  <c r="AY15" i="6"/>
  <c r="E16" i="6"/>
  <c r="I16" i="6"/>
  <c r="U16" i="6"/>
  <c r="AC16" i="6"/>
  <c r="AL16" i="6"/>
  <c r="AW16" i="6"/>
  <c r="E18" i="6"/>
  <c r="E13" i="6" s="1"/>
  <c r="F18" i="6"/>
  <c r="G13" i="6" s="1"/>
  <c r="I18" i="6"/>
  <c r="I13" i="6" s="1"/>
  <c r="J18" i="6"/>
  <c r="K13" i="6" s="1"/>
  <c r="M18" i="6"/>
  <c r="M13" i="6" s="1"/>
  <c r="N18" i="6"/>
  <c r="O13" i="6" s="1"/>
  <c r="Q18" i="6"/>
  <c r="Q13" i="6" s="1"/>
  <c r="R18" i="6"/>
  <c r="S13" i="6" s="1"/>
  <c r="U18" i="6"/>
  <c r="U13" i="6" s="1"/>
  <c r="V18" i="6"/>
  <c r="W13" i="6" s="1"/>
  <c r="Y18" i="6"/>
  <c r="Y13" i="6" s="1"/>
  <c r="Z18" i="6"/>
  <c r="AC18" i="6"/>
  <c r="AC13" i="6" s="1"/>
  <c r="AD18" i="6"/>
  <c r="AE13" i="6" s="1"/>
  <c r="AG18" i="6"/>
  <c r="AG13" i="6" s="1"/>
  <c r="AH18" i="6"/>
  <c r="AI13" i="6" s="1"/>
  <c r="AK18" i="6"/>
  <c r="AK13" i="6" s="1"/>
  <c r="AL18" i="6"/>
  <c r="AM13" i="6" s="1"/>
  <c r="AO18" i="6"/>
  <c r="AO13" i="6" s="1"/>
  <c r="AP18" i="6"/>
  <c r="AQ13" i="6" s="1"/>
  <c r="AS18" i="6"/>
  <c r="AS13" i="6" s="1"/>
  <c r="AT18" i="6"/>
  <c r="AU13" i="6" s="1"/>
  <c r="AW18" i="6"/>
  <c r="AW13" i="6" s="1"/>
  <c r="AX18" i="6"/>
  <c r="AY13" i="6" s="1"/>
  <c r="E19" i="6"/>
  <c r="E20" i="6" s="1"/>
  <c r="I19" i="6"/>
  <c r="M19" i="6"/>
  <c r="M20" i="6" s="1"/>
  <c r="Q19" i="6"/>
  <c r="R20" i="6" s="1"/>
  <c r="U19" i="6"/>
  <c r="Y19" i="6"/>
  <c r="AC19" i="6"/>
  <c r="AD20" i="6" s="1"/>
  <c r="AG19" i="6"/>
  <c r="AG20" i="6" s="1"/>
  <c r="AK19" i="6"/>
  <c r="AK20" i="6" s="1"/>
  <c r="AO19" i="6"/>
  <c r="AS19" i="6"/>
  <c r="AS20" i="6" s="1"/>
  <c r="AW19" i="6"/>
  <c r="Q20" i="6"/>
  <c r="U20" i="6"/>
  <c r="V20" i="6"/>
  <c r="AC20" i="6"/>
  <c r="D21" i="6"/>
  <c r="E21" i="6"/>
  <c r="H21" i="6"/>
  <c r="I21" i="6"/>
  <c r="I22" i="6" s="1"/>
  <c r="L21" i="6"/>
  <c r="M21" i="6"/>
  <c r="P21" i="6"/>
  <c r="Q21" i="6"/>
  <c r="T21" i="6"/>
  <c r="U21" i="6"/>
  <c r="X21" i="6"/>
  <c r="Y21" i="6"/>
  <c r="Y22" i="6" s="1"/>
  <c r="AB21" i="6"/>
  <c r="AC21" i="6"/>
  <c r="AF21" i="6"/>
  <c r="AG21" i="6"/>
  <c r="AJ21" i="6"/>
  <c r="AK21" i="6"/>
  <c r="AN21" i="6"/>
  <c r="AO21" i="6"/>
  <c r="AO22" i="6" s="1"/>
  <c r="AR21" i="6"/>
  <c r="AS21" i="6"/>
  <c r="AV21" i="6"/>
  <c r="AW21" i="6"/>
  <c r="AW22" i="6" s="1"/>
  <c r="Q22" i="6"/>
  <c r="AG22" i="6"/>
  <c r="AP22" i="6"/>
  <c r="D23" i="6"/>
  <c r="E23" i="6"/>
  <c r="H23" i="6"/>
  <c r="I23" i="6"/>
  <c r="L23" i="6"/>
  <c r="M23" i="6"/>
  <c r="P23" i="6"/>
  <c r="Q23" i="6"/>
  <c r="T23" i="6"/>
  <c r="U23" i="6"/>
  <c r="U24" i="6" s="1"/>
  <c r="X23" i="6"/>
  <c r="Y23" i="6"/>
  <c r="AB23" i="6"/>
  <c r="AC23" i="6"/>
  <c r="AF23" i="6"/>
  <c r="AG23" i="6"/>
  <c r="AJ23" i="6"/>
  <c r="AK23" i="6"/>
  <c r="AN23" i="6"/>
  <c r="AO23" i="6"/>
  <c r="AP24" i="6" s="1"/>
  <c r="AR23" i="6"/>
  <c r="AS23" i="6"/>
  <c r="AV23" i="6"/>
  <c r="AW23" i="6"/>
  <c r="Q24" i="6"/>
  <c r="V24" i="6"/>
  <c r="E25" i="6"/>
  <c r="F26" i="6" s="1"/>
  <c r="G25" i="6"/>
  <c r="I25" i="6"/>
  <c r="K25" i="6"/>
  <c r="M25" i="6"/>
  <c r="O25" i="6"/>
  <c r="Q25" i="6"/>
  <c r="S25" i="6"/>
  <c r="U25" i="6"/>
  <c r="U26" i="6" s="1"/>
  <c r="W25" i="6"/>
  <c r="Y25" i="6"/>
  <c r="Y26" i="6" s="1"/>
  <c r="AA25" i="6"/>
  <c r="Z26" i="6" s="1"/>
  <c r="AC25" i="6"/>
  <c r="AC26" i="6" s="1"/>
  <c r="AE25" i="6"/>
  <c r="AD26" i="6" s="1"/>
  <c r="AG25" i="6"/>
  <c r="AI25" i="6"/>
  <c r="AK25" i="6"/>
  <c r="AK26" i="6" s="1"/>
  <c r="AM25" i="6"/>
  <c r="AO25" i="6"/>
  <c r="AQ25" i="6"/>
  <c r="AS25" i="6"/>
  <c r="AS26" i="6" s="1"/>
  <c r="AU25" i="6"/>
  <c r="AT26" i="6" s="1"/>
  <c r="AW25" i="6"/>
  <c r="AY25" i="6"/>
  <c r="E26" i="6"/>
  <c r="I26" i="6"/>
  <c r="J26" i="6"/>
  <c r="M26" i="6"/>
  <c r="N26" i="6"/>
  <c r="Q26" i="6"/>
  <c r="AW26" i="6"/>
  <c r="E27" i="6"/>
  <c r="G27" i="6"/>
  <c r="I27" i="6"/>
  <c r="K27" i="6"/>
  <c r="M27" i="6"/>
  <c r="N28" i="6" s="1"/>
  <c r="O27" i="6"/>
  <c r="Q27" i="6"/>
  <c r="S27" i="6"/>
  <c r="U27" i="6"/>
  <c r="U28" i="6" s="1"/>
  <c r="W27" i="6"/>
  <c r="Y27" i="6"/>
  <c r="AA27" i="6"/>
  <c r="AC27" i="6"/>
  <c r="AE27" i="6"/>
  <c r="AG27" i="6"/>
  <c r="AG28" i="6" s="1"/>
  <c r="AI27" i="6"/>
  <c r="AK27" i="6"/>
  <c r="AM27" i="6"/>
  <c r="AO27" i="6"/>
  <c r="AQ27" i="6"/>
  <c r="AS27" i="6"/>
  <c r="AS28" i="6" s="1"/>
  <c r="AU27" i="6"/>
  <c r="AW27" i="6"/>
  <c r="AY27" i="6"/>
  <c r="E28" i="6"/>
  <c r="F28" i="6"/>
  <c r="I28" i="6"/>
  <c r="J28" i="6"/>
  <c r="M28" i="6"/>
  <c r="Q28" i="6"/>
  <c r="Y28" i="6"/>
  <c r="AC28" i="6"/>
  <c r="AD28" i="6"/>
  <c r="AT28" i="6"/>
  <c r="E29" i="6"/>
  <c r="D29" i="6" s="1"/>
  <c r="G29" i="6"/>
  <c r="I29" i="6"/>
  <c r="H29" i="6" s="1"/>
  <c r="I30" i="6" s="1"/>
  <c r="K29" i="6"/>
  <c r="M29" i="6"/>
  <c r="O29" i="6"/>
  <c r="Q29" i="6"/>
  <c r="P29" i="6" s="1"/>
  <c r="Q30" i="6" s="1"/>
  <c r="S29" i="6"/>
  <c r="U29" i="6"/>
  <c r="T29" i="6" s="1"/>
  <c r="U30" i="6" s="1"/>
  <c r="W29" i="6"/>
  <c r="Y29" i="6"/>
  <c r="AA29" i="6"/>
  <c r="AC29" i="6"/>
  <c r="AB29" i="6" s="1"/>
  <c r="AE29" i="6"/>
  <c r="AG29" i="6"/>
  <c r="AF29" i="6" s="1"/>
  <c r="AI29" i="6"/>
  <c r="AK29" i="6"/>
  <c r="AJ29" i="6" s="1"/>
  <c r="AK30" i="6" s="1"/>
  <c r="AM29" i="6"/>
  <c r="AO29" i="6"/>
  <c r="AN29" i="6" s="1"/>
  <c r="AO30" i="6" s="1"/>
  <c r="AQ29" i="6"/>
  <c r="AR29" i="6"/>
  <c r="AS29" i="6"/>
  <c r="AU29" i="6"/>
  <c r="AW29" i="6"/>
  <c r="AV29" i="6" s="1"/>
  <c r="AY29" i="6"/>
  <c r="R30" i="6"/>
  <c r="V30" i="6"/>
  <c r="AC30" i="6"/>
  <c r="AD30" i="6"/>
  <c r="AS30" i="6"/>
  <c r="E31" i="6"/>
  <c r="D31" i="6" s="1"/>
  <c r="E32" i="6" s="1"/>
  <c r="G31" i="6"/>
  <c r="I31" i="6"/>
  <c r="K31" i="6"/>
  <c r="M31" i="6"/>
  <c r="L31" i="6" s="1"/>
  <c r="M32" i="6" s="1"/>
  <c r="O31" i="6"/>
  <c r="Q31" i="6"/>
  <c r="P31" i="6" s="1"/>
  <c r="Q32" i="6" s="1"/>
  <c r="S31" i="6"/>
  <c r="U31" i="6"/>
  <c r="W31" i="6"/>
  <c r="Y31" i="6"/>
  <c r="X31" i="6" s="1"/>
  <c r="Y32" i="6" s="1"/>
  <c r="AA31" i="6"/>
  <c r="AC31" i="6"/>
  <c r="AE31" i="6"/>
  <c r="AG31" i="6"/>
  <c r="AF31" i="6" s="1"/>
  <c r="AG32" i="6" s="1"/>
  <c r="AI31" i="6"/>
  <c r="AK31" i="6"/>
  <c r="AJ31" i="6" s="1"/>
  <c r="AM31" i="6"/>
  <c r="AO31" i="6"/>
  <c r="AN31" i="6" s="1"/>
  <c r="AO32" i="6" s="1"/>
  <c r="AQ31" i="6"/>
  <c r="AP32" i="6" s="1"/>
  <c r="AS31" i="6"/>
  <c r="AR31" i="6" s="1"/>
  <c r="AS32" i="6" s="1"/>
  <c r="AU31" i="6"/>
  <c r="AW31" i="6"/>
  <c r="AY31" i="6"/>
  <c r="AK32" i="6"/>
  <c r="AL32" i="6"/>
  <c r="E33" i="6"/>
  <c r="G33" i="6"/>
  <c r="I33" i="6"/>
  <c r="K33" i="6"/>
  <c r="M33" i="6"/>
  <c r="M34" i="6" s="1"/>
  <c r="O33" i="6"/>
  <c r="N34" i="6" s="1"/>
  <c r="Q33" i="6"/>
  <c r="S33" i="6"/>
  <c r="U33" i="6"/>
  <c r="W33" i="6"/>
  <c r="Y33" i="6"/>
  <c r="AA33" i="6"/>
  <c r="AC33" i="6"/>
  <c r="AE33" i="6"/>
  <c r="AD34" i="6" s="1"/>
  <c r="AG33" i="6"/>
  <c r="AI33" i="6"/>
  <c r="AK33" i="6"/>
  <c r="AK34" i="6" s="1"/>
  <c r="AM33" i="6"/>
  <c r="AO33" i="6"/>
  <c r="AQ33" i="6"/>
  <c r="AS33" i="6"/>
  <c r="AS34" i="6" s="1"/>
  <c r="AU33" i="6"/>
  <c r="AT34" i="6" s="1"/>
  <c r="AW33" i="6"/>
  <c r="AY33" i="6"/>
  <c r="E34" i="6"/>
  <c r="I34" i="6"/>
  <c r="Y34" i="6"/>
  <c r="AC34" i="6"/>
  <c r="AO34" i="6"/>
  <c r="AW34" i="6"/>
  <c r="E36" i="6"/>
  <c r="E14" i="6" s="1"/>
  <c r="E12" i="6" s="1"/>
  <c r="F36" i="6"/>
  <c r="G14" i="6" s="1"/>
  <c r="I36" i="6"/>
  <c r="J36" i="6"/>
  <c r="K14" i="6" s="1"/>
  <c r="M36" i="6"/>
  <c r="M14" i="6" s="1"/>
  <c r="N36" i="6"/>
  <c r="O14" i="6" s="1"/>
  <c r="O12" i="6" s="1"/>
  <c r="Q36" i="6"/>
  <c r="Q14" i="6" s="1"/>
  <c r="R36" i="6"/>
  <c r="S14" i="6" s="1"/>
  <c r="U36" i="6"/>
  <c r="U14" i="6" s="1"/>
  <c r="V36" i="6"/>
  <c r="W14" i="6" s="1"/>
  <c r="Y36" i="6"/>
  <c r="Y14" i="6" s="1"/>
  <c r="Z36" i="6"/>
  <c r="AA14" i="6" s="1"/>
  <c r="AA12" i="6" s="1"/>
  <c r="AC36" i="6"/>
  <c r="AC14" i="6" s="1"/>
  <c r="AD36" i="6"/>
  <c r="AE14" i="6" s="1"/>
  <c r="AE12" i="6" s="1"/>
  <c r="AG36" i="6"/>
  <c r="AG14" i="6" s="1"/>
  <c r="AH36" i="6"/>
  <c r="AI14" i="6" s="1"/>
  <c r="AK36" i="6"/>
  <c r="AK14" i="6" s="1"/>
  <c r="AL36" i="6"/>
  <c r="AM14" i="6" s="1"/>
  <c r="AO36" i="6"/>
  <c r="AO14" i="6" s="1"/>
  <c r="AP36" i="6"/>
  <c r="AQ14" i="6" s="1"/>
  <c r="AQ12" i="6" s="1"/>
  <c r="AS36" i="6"/>
  <c r="AT36" i="6"/>
  <c r="AU14" i="6" s="1"/>
  <c r="AW36" i="6"/>
  <c r="AW14" i="6" s="1"/>
  <c r="AX36" i="6"/>
  <c r="AY14" i="6" s="1"/>
  <c r="E37" i="6"/>
  <c r="I37" i="6"/>
  <c r="M37" i="6"/>
  <c r="M38" i="6" s="1"/>
  <c r="Q37" i="6"/>
  <c r="U37" i="6"/>
  <c r="Y37" i="6"/>
  <c r="AC37" i="6"/>
  <c r="AG37" i="6"/>
  <c r="AG38" i="6" s="1"/>
  <c r="AK37" i="6"/>
  <c r="AK38" i="6" s="1"/>
  <c r="AO37" i="6"/>
  <c r="AS37" i="6"/>
  <c r="AS38" i="6" s="1"/>
  <c r="AW37" i="6"/>
  <c r="N38" i="6"/>
  <c r="AC38" i="6"/>
  <c r="AD38" i="6"/>
  <c r="D39" i="6"/>
  <c r="E39" i="6"/>
  <c r="H39" i="6"/>
  <c r="I39" i="6"/>
  <c r="I40" i="6" s="1"/>
  <c r="L39" i="6"/>
  <c r="M39" i="6"/>
  <c r="P39" i="6"/>
  <c r="Q39" i="6"/>
  <c r="T39" i="6"/>
  <c r="U39" i="6"/>
  <c r="X39" i="6"/>
  <c r="Y39" i="6"/>
  <c r="AB39" i="6"/>
  <c r="AC39" i="6"/>
  <c r="AF39" i="6"/>
  <c r="AG39" i="6"/>
  <c r="AJ39" i="6"/>
  <c r="AL40" i="6" s="1"/>
  <c r="AK39" i="6"/>
  <c r="AN39" i="6"/>
  <c r="AO39" i="6"/>
  <c r="AR39" i="6"/>
  <c r="AS39" i="6"/>
  <c r="AV39" i="6"/>
  <c r="AW39" i="6"/>
  <c r="AW40" i="6" s="1"/>
  <c r="D41" i="6"/>
  <c r="E41" i="6"/>
  <c r="H41" i="6"/>
  <c r="I41" i="6"/>
  <c r="L41" i="6"/>
  <c r="M41" i="6"/>
  <c r="P41" i="6"/>
  <c r="Q41" i="6"/>
  <c r="T41" i="6"/>
  <c r="U41" i="6"/>
  <c r="U42" i="6" s="1"/>
  <c r="X41" i="6"/>
  <c r="Y41" i="6"/>
  <c r="AB41" i="6"/>
  <c r="AC42" i="6" s="1"/>
  <c r="AC41" i="6"/>
  <c r="AF41" i="6"/>
  <c r="AG41" i="6"/>
  <c r="AG42" i="6" s="1"/>
  <c r="AJ41" i="6"/>
  <c r="AK41" i="6"/>
  <c r="AK42" i="6" s="1"/>
  <c r="AN41" i="6"/>
  <c r="AO41" i="6"/>
  <c r="AR41" i="6"/>
  <c r="AS41" i="6"/>
  <c r="AV41" i="6"/>
  <c r="AW41" i="6"/>
  <c r="E43" i="6"/>
  <c r="G43" i="6"/>
  <c r="I43" i="6"/>
  <c r="J44" i="6" s="1"/>
  <c r="K43" i="6"/>
  <c r="M43" i="6"/>
  <c r="M44" i="6" s="1"/>
  <c r="O43" i="6"/>
  <c r="Q43" i="6"/>
  <c r="Q44" i="6" s="1"/>
  <c r="S43" i="6"/>
  <c r="U43" i="6"/>
  <c r="U44" i="6" s="1"/>
  <c r="W43" i="6"/>
  <c r="Y43" i="6"/>
  <c r="AA43" i="6"/>
  <c r="AC43" i="6"/>
  <c r="AE43" i="6"/>
  <c r="AG43" i="6"/>
  <c r="AG44" i="6" s="1"/>
  <c r="AI43" i="6"/>
  <c r="AK43" i="6"/>
  <c r="AK44" i="6" s="1"/>
  <c r="AM43" i="6"/>
  <c r="AO43" i="6"/>
  <c r="AQ43" i="6"/>
  <c r="AS43" i="6"/>
  <c r="AU43" i="6"/>
  <c r="AW43" i="6"/>
  <c r="AW44" i="6" s="1"/>
  <c r="AY43" i="6"/>
  <c r="E44" i="6"/>
  <c r="F44" i="6"/>
  <c r="I44" i="6"/>
  <c r="AS44" i="6"/>
  <c r="AT44" i="6"/>
  <c r="E45" i="6"/>
  <c r="E46" i="6" s="1"/>
  <c r="G45" i="6"/>
  <c r="I45" i="6"/>
  <c r="J46" i="6" s="1"/>
  <c r="K45" i="6"/>
  <c r="M45" i="6"/>
  <c r="M46" i="6" s="1"/>
  <c r="O45" i="6"/>
  <c r="Q45" i="6"/>
  <c r="S45" i="6"/>
  <c r="U45" i="6"/>
  <c r="U46" i="6" s="1"/>
  <c r="W45" i="6"/>
  <c r="V46" i="6" s="1"/>
  <c r="Y45" i="6"/>
  <c r="Z46" i="6" s="1"/>
  <c r="AA45" i="6"/>
  <c r="AC45" i="6"/>
  <c r="AC46" i="6" s="1"/>
  <c r="AE45" i="6"/>
  <c r="AG45" i="6"/>
  <c r="AG46" i="6" s="1"/>
  <c r="AI45" i="6"/>
  <c r="AK45" i="6"/>
  <c r="AK46" i="6" s="1"/>
  <c r="AM45" i="6"/>
  <c r="AL46" i="6" s="1"/>
  <c r="AO45" i="6"/>
  <c r="AQ45" i="6"/>
  <c r="AS45" i="6"/>
  <c r="AS46" i="6" s="1"/>
  <c r="AU45" i="6"/>
  <c r="AW45" i="6"/>
  <c r="AW46" i="6" s="1"/>
  <c r="AY45" i="6"/>
  <c r="F46" i="6"/>
  <c r="I46" i="6"/>
  <c r="AT46" i="6"/>
  <c r="E47" i="6"/>
  <c r="D47" i="6" s="1"/>
  <c r="E48" i="6" s="1"/>
  <c r="G47" i="6"/>
  <c r="I47" i="6"/>
  <c r="H47" i="6" s="1"/>
  <c r="I48" i="6" s="1"/>
  <c r="K47" i="6"/>
  <c r="M47" i="6"/>
  <c r="L47" i="6" s="1"/>
  <c r="M48" i="6" s="1"/>
  <c r="O47" i="6"/>
  <c r="Q47" i="6"/>
  <c r="S47" i="6"/>
  <c r="U47" i="6"/>
  <c r="T47" i="6" s="1"/>
  <c r="W47" i="6"/>
  <c r="Y47" i="6"/>
  <c r="X47" i="6" s="1"/>
  <c r="Y48" i="6" s="1"/>
  <c r="AA47" i="6"/>
  <c r="AC47" i="6"/>
  <c r="AB47" i="6" s="1"/>
  <c r="AC48" i="6" s="1"/>
  <c r="AE47" i="6"/>
  <c r="AG47" i="6"/>
  <c r="AF47" i="6" s="1"/>
  <c r="AI47" i="6"/>
  <c r="AK47" i="6"/>
  <c r="AM47" i="6"/>
  <c r="AO47" i="6"/>
  <c r="AQ47" i="6"/>
  <c r="AS47" i="6"/>
  <c r="AR47" i="6" s="1"/>
  <c r="AS48" i="6" s="1"/>
  <c r="AU47" i="6"/>
  <c r="AW47" i="6"/>
  <c r="AV47" i="6" s="1"/>
  <c r="AW48" i="6" s="1"/>
  <c r="AY47" i="6"/>
  <c r="N48" i="6"/>
  <c r="E49" i="6"/>
  <c r="D49" i="6" s="1"/>
  <c r="G49" i="6"/>
  <c r="I49" i="6"/>
  <c r="H49" i="6" s="1"/>
  <c r="I50" i="6" s="1"/>
  <c r="K49" i="6"/>
  <c r="M49" i="6"/>
  <c r="L49" i="6" s="1"/>
  <c r="M50" i="6" s="1"/>
  <c r="O49" i="6"/>
  <c r="Q49" i="6"/>
  <c r="P49" i="6" s="1"/>
  <c r="Q50" i="6" s="1"/>
  <c r="S49" i="6"/>
  <c r="U49" i="6"/>
  <c r="T49" i="6" s="1"/>
  <c r="W49" i="6"/>
  <c r="Y49" i="6"/>
  <c r="X49" i="6" s="1"/>
  <c r="Y50" i="6" s="1"/>
  <c r="AA49" i="6"/>
  <c r="AC49" i="6"/>
  <c r="AB49" i="6" s="1"/>
  <c r="AC50" i="6" s="1"/>
  <c r="AE49" i="6"/>
  <c r="AF49" i="6"/>
  <c r="AG50" i="6" s="1"/>
  <c r="AG49" i="6"/>
  <c r="AI49" i="6"/>
  <c r="AK49" i="6"/>
  <c r="AJ49" i="6" s="1"/>
  <c r="AK50" i="6" s="1"/>
  <c r="AM49" i="6"/>
  <c r="AO49" i="6"/>
  <c r="AN49" i="6" s="1"/>
  <c r="AO50" i="6" s="1"/>
  <c r="AQ49" i="6"/>
  <c r="AS49" i="6"/>
  <c r="AR49" i="6" s="1"/>
  <c r="AS50" i="6" s="1"/>
  <c r="AU49" i="6"/>
  <c r="AW49" i="6"/>
  <c r="AY49" i="6"/>
  <c r="E50" i="6"/>
  <c r="N50" i="6"/>
  <c r="U50" i="6"/>
  <c r="B54" i="6"/>
  <c r="G70" i="6" s="1"/>
  <c r="H56" i="6"/>
  <c r="J56" i="6"/>
  <c r="L56" i="6"/>
  <c r="N56" i="6"/>
  <c r="P56" i="6"/>
  <c r="R56" i="6"/>
  <c r="T56" i="6"/>
  <c r="V56" i="6"/>
  <c r="X56" i="6"/>
  <c r="Z56" i="6"/>
  <c r="AB56" i="6"/>
  <c r="AD56" i="6"/>
  <c r="AF56" i="6"/>
  <c r="AH56" i="6"/>
  <c r="AJ56" i="6"/>
  <c r="AL56" i="6"/>
  <c r="AN56" i="6"/>
  <c r="AP56" i="6"/>
  <c r="AR56" i="6"/>
  <c r="AT56" i="6"/>
  <c r="AV56" i="6"/>
  <c r="AX56" i="6"/>
  <c r="C57" i="6"/>
  <c r="H57" i="6"/>
  <c r="J57" i="6"/>
  <c r="L57" i="6"/>
  <c r="N57" i="6"/>
  <c r="P57" i="6"/>
  <c r="R57" i="6"/>
  <c r="T57" i="6"/>
  <c r="U55" i="6" s="1"/>
  <c r="V57" i="6"/>
  <c r="X57" i="6"/>
  <c r="Z57" i="6"/>
  <c r="AB57" i="6"/>
  <c r="AD57" i="6"/>
  <c r="AF57" i="6"/>
  <c r="AH57" i="6"/>
  <c r="AJ57" i="6"/>
  <c r="AK55" i="6" s="1"/>
  <c r="AL57" i="6"/>
  <c r="AN57" i="6"/>
  <c r="AP57" i="6"/>
  <c r="AR57" i="6"/>
  <c r="AT57" i="6"/>
  <c r="AV57" i="6"/>
  <c r="AX57" i="6"/>
  <c r="E58" i="6"/>
  <c r="E59" i="6" s="1"/>
  <c r="I58" i="6"/>
  <c r="K58" i="6"/>
  <c r="M58" i="6"/>
  <c r="M59" i="6" s="1"/>
  <c r="O58" i="6"/>
  <c r="Q58" i="6"/>
  <c r="Q59" i="6" s="1"/>
  <c r="S58" i="6"/>
  <c r="U58" i="6"/>
  <c r="U59" i="6" s="1"/>
  <c r="W58" i="6"/>
  <c r="Y58" i="6"/>
  <c r="Y59" i="6" s="1"/>
  <c r="AA58" i="6"/>
  <c r="AC58" i="6"/>
  <c r="AC59" i="6" s="1"/>
  <c r="AE58" i="6"/>
  <c r="AD59" i="6" s="1"/>
  <c r="AG58" i="6"/>
  <c r="AI58" i="6"/>
  <c r="AK58" i="6"/>
  <c r="AM58" i="6"/>
  <c r="AO58" i="6"/>
  <c r="AO59" i="6" s="1"/>
  <c r="AQ58" i="6"/>
  <c r="AS58" i="6"/>
  <c r="AU58" i="6"/>
  <c r="AT59" i="6" s="1"/>
  <c r="AW58" i="6"/>
  <c r="AW59" i="6" s="1"/>
  <c r="AY58" i="6"/>
  <c r="AS59" i="6"/>
  <c r="E61" i="6"/>
  <c r="F61" i="6"/>
  <c r="I61" i="6"/>
  <c r="I56" i="6" s="1"/>
  <c r="J61" i="6"/>
  <c r="K56" i="6" s="1"/>
  <c r="M61" i="6"/>
  <c r="M56" i="6" s="1"/>
  <c r="N61" i="6"/>
  <c r="O56" i="6" s="1"/>
  <c r="Q61" i="6"/>
  <c r="Q56" i="6" s="1"/>
  <c r="R61" i="6"/>
  <c r="S56" i="6" s="1"/>
  <c r="U61" i="6"/>
  <c r="U56" i="6" s="1"/>
  <c r="V61" i="6"/>
  <c r="W56" i="6" s="1"/>
  <c r="Y61" i="6"/>
  <c r="Y56" i="6" s="1"/>
  <c r="Z61" i="6"/>
  <c r="AA56" i="6" s="1"/>
  <c r="AC61" i="6"/>
  <c r="AC56" i="6" s="1"/>
  <c r="AD61" i="6"/>
  <c r="AE56" i="6" s="1"/>
  <c r="AG61" i="6"/>
  <c r="AG56" i="6" s="1"/>
  <c r="AH61" i="6"/>
  <c r="AI56" i="6" s="1"/>
  <c r="AK61" i="6"/>
  <c r="AK56" i="6" s="1"/>
  <c r="AL61" i="6"/>
  <c r="AM56" i="6" s="1"/>
  <c r="AO61" i="6"/>
  <c r="AO56" i="6" s="1"/>
  <c r="AP61" i="6"/>
  <c r="AQ56" i="6" s="1"/>
  <c r="AS61" i="6"/>
  <c r="AS56" i="6" s="1"/>
  <c r="AT61" i="6"/>
  <c r="AU56" i="6" s="1"/>
  <c r="AW61" i="6"/>
  <c r="AW56" i="6" s="1"/>
  <c r="AX61" i="6"/>
  <c r="AY56" i="6" s="1"/>
  <c r="E62" i="6"/>
  <c r="E63" i="6" s="1"/>
  <c r="I62" i="6"/>
  <c r="M62" i="6"/>
  <c r="Q62" i="6"/>
  <c r="U62" i="6"/>
  <c r="V63" i="6" s="1"/>
  <c r="Y62" i="6"/>
  <c r="AC62" i="6"/>
  <c r="AG62" i="6"/>
  <c r="AG63" i="6" s="1"/>
  <c r="AK62" i="6"/>
  <c r="AK63" i="6" s="1"/>
  <c r="AO62" i="6"/>
  <c r="AO63" i="6" s="1"/>
  <c r="AS62" i="6"/>
  <c r="AT63" i="6" s="1"/>
  <c r="AW62" i="6"/>
  <c r="Q63" i="6"/>
  <c r="R63" i="6"/>
  <c r="AH63" i="6"/>
  <c r="AP63" i="6"/>
  <c r="H64" i="6"/>
  <c r="I64" i="6"/>
  <c r="L64" i="6"/>
  <c r="M65" i="6" s="1"/>
  <c r="M64" i="6"/>
  <c r="P64" i="6"/>
  <c r="Q64" i="6"/>
  <c r="Q65" i="6" s="1"/>
  <c r="T64" i="6"/>
  <c r="U64" i="6"/>
  <c r="X64" i="6"/>
  <c r="Y64" i="6"/>
  <c r="Z65" i="6" s="1"/>
  <c r="AB64" i="6"/>
  <c r="AC64" i="6"/>
  <c r="AC65" i="6" s="1"/>
  <c r="AF64" i="6"/>
  <c r="AG64" i="6"/>
  <c r="AJ64" i="6"/>
  <c r="AK64" i="6"/>
  <c r="AN64" i="6"/>
  <c r="AO64" i="6"/>
  <c r="AP65" i="6" s="1"/>
  <c r="AR64" i="6"/>
  <c r="AS64" i="6"/>
  <c r="AV64" i="6"/>
  <c r="AW64" i="6"/>
  <c r="AX65" i="6" s="1"/>
  <c r="AO65" i="6"/>
  <c r="AW65" i="6"/>
  <c r="H66" i="6"/>
  <c r="I66" i="6"/>
  <c r="L66" i="6"/>
  <c r="M66" i="6"/>
  <c r="P66" i="6"/>
  <c r="Q66" i="6"/>
  <c r="T66" i="6"/>
  <c r="U66" i="6"/>
  <c r="X66" i="6"/>
  <c r="Y66" i="6"/>
  <c r="AB66" i="6"/>
  <c r="AC66" i="6"/>
  <c r="AF66" i="6"/>
  <c r="AG66" i="6"/>
  <c r="AJ66" i="6"/>
  <c r="AK66" i="6"/>
  <c r="AL67" i="6" s="1"/>
  <c r="AN66" i="6"/>
  <c r="AO66" i="6"/>
  <c r="AR66" i="6"/>
  <c r="AS66" i="6"/>
  <c r="AV66" i="6"/>
  <c r="AW66" i="6"/>
  <c r="E68" i="6"/>
  <c r="G68" i="6"/>
  <c r="I68" i="6"/>
  <c r="K68" i="6"/>
  <c r="M68" i="6"/>
  <c r="O68" i="6"/>
  <c r="Q68" i="6"/>
  <c r="Q69" i="6" s="1"/>
  <c r="S68" i="6"/>
  <c r="R69" i="6" s="1"/>
  <c r="U68" i="6"/>
  <c r="W68" i="6"/>
  <c r="Y68" i="6"/>
  <c r="Y69" i="6" s="1"/>
  <c r="AA68" i="6"/>
  <c r="Z69" i="6" s="1"/>
  <c r="AC68" i="6"/>
  <c r="AE68" i="6"/>
  <c r="AG68" i="6"/>
  <c r="AI68" i="6"/>
  <c r="AK68" i="6"/>
  <c r="AK69" i="6" s="1"/>
  <c r="AM68" i="6"/>
  <c r="AO68" i="6"/>
  <c r="AQ68" i="6"/>
  <c r="AS68" i="6"/>
  <c r="AU68" i="6"/>
  <c r="AW68" i="6"/>
  <c r="AY68" i="6"/>
  <c r="E69" i="6"/>
  <c r="F69" i="6"/>
  <c r="I69" i="6"/>
  <c r="J69" i="6"/>
  <c r="M69" i="6"/>
  <c r="AO69" i="6"/>
  <c r="AW69" i="6"/>
  <c r="I70" i="6"/>
  <c r="J71" i="6" s="1"/>
  <c r="K70" i="6"/>
  <c r="M70" i="6"/>
  <c r="O70" i="6"/>
  <c r="Q70" i="6"/>
  <c r="Q71" i="6" s="1"/>
  <c r="S70" i="6"/>
  <c r="U70" i="6"/>
  <c r="U71" i="6" s="1"/>
  <c r="W70" i="6"/>
  <c r="Y70" i="6"/>
  <c r="Y71" i="6" s="1"/>
  <c r="AA70" i="6"/>
  <c r="AC70" i="6"/>
  <c r="AE70" i="6"/>
  <c r="AG70" i="6"/>
  <c r="AG71" i="6" s="1"/>
  <c r="AI70" i="6"/>
  <c r="AH71" i="6" s="1"/>
  <c r="AK70" i="6"/>
  <c r="AK71" i="6" s="1"/>
  <c r="AM70" i="6"/>
  <c r="AO70" i="6"/>
  <c r="AO71" i="6" s="1"/>
  <c r="AQ70" i="6"/>
  <c r="AP71" i="6" s="1"/>
  <c r="AS70" i="6"/>
  <c r="AU70" i="6"/>
  <c r="AW70" i="6"/>
  <c r="AY70" i="6"/>
  <c r="I71" i="6"/>
  <c r="AW71" i="6"/>
  <c r="AX71" i="6"/>
  <c r="I72" i="6"/>
  <c r="H72" i="6" s="1"/>
  <c r="I73" i="6" s="1"/>
  <c r="K72" i="6"/>
  <c r="J73" i="6" s="1"/>
  <c r="L72" i="6"/>
  <c r="M73" i="6" s="1"/>
  <c r="M72" i="6"/>
  <c r="O72" i="6"/>
  <c r="Q72" i="6"/>
  <c r="P72" i="6" s="1"/>
  <c r="S72" i="6"/>
  <c r="U72" i="6"/>
  <c r="T72" i="6" s="1"/>
  <c r="U73" i="6" s="1"/>
  <c r="W72" i="6"/>
  <c r="Y72" i="6"/>
  <c r="X72" i="6" s="1"/>
  <c r="AA72" i="6"/>
  <c r="AC72" i="6"/>
  <c r="AB72" i="6" s="1"/>
  <c r="AC73" i="6" s="1"/>
  <c r="AE72" i="6"/>
  <c r="AG72" i="6"/>
  <c r="AF72" i="6" s="1"/>
  <c r="AG73" i="6" s="1"/>
  <c r="AI72" i="6"/>
  <c r="AH73" i="6" s="1"/>
  <c r="AK72" i="6"/>
  <c r="AJ72" i="6" s="1"/>
  <c r="AK73" i="6" s="1"/>
  <c r="AM72" i="6"/>
  <c r="AO72" i="6"/>
  <c r="AN72" i="6" s="1"/>
  <c r="AQ72" i="6"/>
  <c r="AS72" i="6"/>
  <c r="AU72" i="6"/>
  <c r="AW72" i="6"/>
  <c r="AV72" i="6" s="1"/>
  <c r="AY72" i="6"/>
  <c r="N73" i="6"/>
  <c r="G74" i="6"/>
  <c r="I74" i="6"/>
  <c r="H74" i="6" s="1"/>
  <c r="K74" i="6"/>
  <c r="M74" i="6"/>
  <c r="O74" i="6"/>
  <c r="Q74" i="6"/>
  <c r="P74" i="6" s="1"/>
  <c r="Q75" i="6" s="1"/>
  <c r="S74" i="6"/>
  <c r="U74" i="6"/>
  <c r="T74" i="6" s="1"/>
  <c r="U75" i="6" s="1"/>
  <c r="W74" i="6"/>
  <c r="Y74" i="6"/>
  <c r="AA74" i="6"/>
  <c r="AC74" i="6"/>
  <c r="AE74" i="6"/>
  <c r="AG74" i="6"/>
  <c r="AF74" i="6" s="1"/>
  <c r="AG75" i="6" s="1"/>
  <c r="AI74" i="6"/>
  <c r="AK74" i="6"/>
  <c r="AJ74" i="6" s="1"/>
  <c r="AK75" i="6" s="1"/>
  <c r="AM74" i="6"/>
  <c r="AO74" i="6"/>
  <c r="AN74" i="6" s="1"/>
  <c r="AP75" i="6" s="1"/>
  <c r="AQ74" i="6"/>
  <c r="AS74" i="6"/>
  <c r="AR74" i="6" s="1"/>
  <c r="AS75" i="6" s="1"/>
  <c r="AU74" i="6"/>
  <c r="AW74" i="6"/>
  <c r="AV74" i="6" s="1"/>
  <c r="AW75" i="6" s="1"/>
  <c r="AY74" i="6"/>
  <c r="AX75" i="6"/>
  <c r="E76" i="6"/>
  <c r="E77" i="6" s="1"/>
  <c r="I76" i="6"/>
  <c r="I77" i="6" s="1"/>
  <c r="K76" i="6"/>
  <c r="M76" i="6"/>
  <c r="O76" i="6"/>
  <c r="Q76" i="6"/>
  <c r="Q77" i="6" s="1"/>
  <c r="S76" i="6"/>
  <c r="U76" i="6"/>
  <c r="U77" i="6" s="1"/>
  <c r="W76" i="6"/>
  <c r="Y76" i="6"/>
  <c r="Y77" i="6" s="1"/>
  <c r="AA76" i="6"/>
  <c r="AC76" i="6"/>
  <c r="AE76" i="6"/>
  <c r="AG76" i="6"/>
  <c r="AI76" i="6"/>
  <c r="AK76" i="6"/>
  <c r="AM76" i="6"/>
  <c r="AO76" i="6"/>
  <c r="AQ76" i="6"/>
  <c r="AS76" i="6"/>
  <c r="AS77" i="6" s="1"/>
  <c r="AU76" i="6"/>
  <c r="AW76" i="6"/>
  <c r="AW77" i="6" s="1"/>
  <c r="AY76" i="6"/>
  <c r="M77" i="6"/>
  <c r="AC77" i="6"/>
  <c r="AG77" i="6"/>
  <c r="E79" i="6"/>
  <c r="F79" i="6"/>
  <c r="I79" i="6"/>
  <c r="I57" i="6" s="1"/>
  <c r="J79" i="6"/>
  <c r="K57" i="6" s="1"/>
  <c r="M79" i="6"/>
  <c r="M57" i="6" s="1"/>
  <c r="N79" i="6"/>
  <c r="O57" i="6" s="1"/>
  <c r="Q79" i="6"/>
  <c r="Q57" i="6" s="1"/>
  <c r="R79" i="6"/>
  <c r="S57" i="6" s="1"/>
  <c r="U79" i="6"/>
  <c r="U57" i="6" s="1"/>
  <c r="V79" i="6"/>
  <c r="W57" i="6" s="1"/>
  <c r="Y79" i="6"/>
  <c r="Y57" i="6" s="1"/>
  <c r="Z79" i="6"/>
  <c r="AA57" i="6" s="1"/>
  <c r="AA55" i="6" s="1"/>
  <c r="AC79" i="6"/>
  <c r="AC57" i="6" s="1"/>
  <c r="AD79" i="6"/>
  <c r="AE57" i="6" s="1"/>
  <c r="AG79" i="6"/>
  <c r="AG57" i="6" s="1"/>
  <c r="AH79" i="6"/>
  <c r="AI57" i="6" s="1"/>
  <c r="AK79" i="6"/>
  <c r="AK57" i="6" s="1"/>
  <c r="AL79" i="6"/>
  <c r="AM57" i="6" s="1"/>
  <c r="AO79" i="6"/>
  <c r="AO57" i="6" s="1"/>
  <c r="AP79" i="6"/>
  <c r="AQ57" i="6" s="1"/>
  <c r="AS79" i="6"/>
  <c r="AS57" i="6" s="1"/>
  <c r="AT79" i="6"/>
  <c r="AU57" i="6" s="1"/>
  <c r="AW79" i="6"/>
  <c r="AW57" i="6" s="1"/>
  <c r="AW55" i="6" s="1"/>
  <c r="AX79" i="6"/>
  <c r="AY57" i="6" s="1"/>
  <c r="E80" i="6"/>
  <c r="F81" i="6" s="1"/>
  <c r="I80" i="6"/>
  <c r="I81" i="6" s="1"/>
  <c r="M80" i="6"/>
  <c r="N81" i="6" s="1"/>
  <c r="Q80" i="6"/>
  <c r="U80" i="6"/>
  <c r="V81" i="6" s="1"/>
  <c r="Y80" i="6"/>
  <c r="Y81" i="6" s="1"/>
  <c r="AC80" i="6"/>
  <c r="AC81" i="6" s="1"/>
  <c r="AG80" i="6"/>
  <c r="AK80" i="6"/>
  <c r="AL81" i="6" s="1"/>
  <c r="AO80" i="6"/>
  <c r="AO81" i="6" s="1"/>
  <c r="AS80" i="6"/>
  <c r="AW80" i="6"/>
  <c r="AX81" i="6" s="1"/>
  <c r="Z81" i="6"/>
  <c r="AD81" i="6"/>
  <c r="AK81" i="6"/>
  <c r="D82" i="6"/>
  <c r="H82" i="6"/>
  <c r="I82" i="6"/>
  <c r="J83" i="6" s="1"/>
  <c r="L82" i="6"/>
  <c r="M82" i="6"/>
  <c r="M83" i="6" s="1"/>
  <c r="P82" i="6"/>
  <c r="Q82" i="6"/>
  <c r="T82" i="6"/>
  <c r="U82" i="6"/>
  <c r="X82" i="6"/>
  <c r="Y82" i="6"/>
  <c r="AB82" i="6"/>
  <c r="AC82" i="6"/>
  <c r="AD83" i="6" s="1"/>
  <c r="AF82" i="6"/>
  <c r="AG82" i="6"/>
  <c r="AJ82" i="6"/>
  <c r="AK82" i="6"/>
  <c r="AN82" i="6"/>
  <c r="AO82" i="6"/>
  <c r="AR82" i="6"/>
  <c r="AS82" i="6"/>
  <c r="AT83" i="6" s="1"/>
  <c r="AV82" i="6"/>
  <c r="AW82" i="6"/>
  <c r="Z83" i="6"/>
  <c r="H84" i="6"/>
  <c r="I85" i="6" s="1"/>
  <c r="I84" i="6"/>
  <c r="J85" i="6" s="1"/>
  <c r="L84" i="6"/>
  <c r="M84" i="6"/>
  <c r="P84" i="6"/>
  <c r="Q84" i="6"/>
  <c r="R85" i="6" s="1"/>
  <c r="T84" i="6"/>
  <c r="U84" i="6"/>
  <c r="X84" i="6"/>
  <c r="Y84" i="6"/>
  <c r="AB84" i="6"/>
  <c r="AC84" i="6"/>
  <c r="AF84" i="6"/>
  <c r="AG84" i="6"/>
  <c r="AH85" i="6" s="1"/>
  <c r="AJ84" i="6"/>
  <c r="AK84" i="6"/>
  <c r="AN84" i="6"/>
  <c r="AO84" i="6"/>
  <c r="AP85" i="6" s="1"/>
  <c r="AR84" i="6"/>
  <c r="AS84" i="6"/>
  <c r="AV84" i="6"/>
  <c r="AW84" i="6"/>
  <c r="E86" i="6"/>
  <c r="G86" i="6"/>
  <c r="I86" i="6"/>
  <c r="I87" i="6" s="1"/>
  <c r="K86" i="6"/>
  <c r="J87" i="6" s="1"/>
  <c r="M86" i="6"/>
  <c r="M87" i="6" s="1"/>
  <c r="O86" i="6"/>
  <c r="Q86" i="6"/>
  <c r="Q87" i="6" s="1"/>
  <c r="S86" i="6"/>
  <c r="R87" i="6" s="1"/>
  <c r="U86" i="6"/>
  <c r="W86" i="6"/>
  <c r="Y86" i="6"/>
  <c r="AA86" i="6"/>
  <c r="AC86" i="6"/>
  <c r="AE86" i="6"/>
  <c r="AG86" i="6"/>
  <c r="AG87" i="6" s="1"/>
  <c r="AI86" i="6"/>
  <c r="AH87" i="6" s="1"/>
  <c r="AK86" i="6"/>
  <c r="AM86" i="6"/>
  <c r="AO86" i="6"/>
  <c r="AO87" i="6" s="1"/>
  <c r="AQ86" i="6"/>
  <c r="AP87" i="6" s="1"/>
  <c r="AS86" i="6"/>
  <c r="AS87" i="6" s="1"/>
  <c r="AU86" i="6"/>
  <c r="AW86" i="6"/>
  <c r="AW87" i="6" s="1"/>
  <c r="AY86" i="6"/>
  <c r="E87" i="6"/>
  <c r="N87" i="6"/>
  <c r="Y87" i="6"/>
  <c r="Z87" i="6"/>
  <c r="E88" i="6"/>
  <c r="I88" i="6"/>
  <c r="I89" i="6" s="1"/>
  <c r="K88" i="6"/>
  <c r="M88" i="6"/>
  <c r="M89" i="6" s="1"/>
  <c r="O88" i="6"/>
  <c r="N89" i="6" s="1"/>
  <c r="Q88" i="6"/>
  <c r="Q89" i="6" s="1"/>
  <c r="S88" i="6"/>
  <c r="U88" i="6"/>
  <c r="W88" i="6"/>
  <c r="Y88" i="6"/>
  <c r="Y89" i="6" s="1"/>
  <c r="AA88" i="6"/>
  <c r="AC88" i="6"/>
  <c r="AC89" i="6" s="1"/>
  <c r="AE88" i="6"/>
  <c r="AG88" i="6"/>
  <c r="AI88" i="6"/>
  <c r="AK88" i="6"/>
  <c r="AM88" i="6"/>
  <c r="AO88" i="6"/>
  <c r="AO89" i="6" s="1"/>
  <c r="AQ88" i="6"/>
  <c r="AS88" i="6"/>
  <c r="AU88" i="6"/>
  <c r="AW88" i="6"/>
  <c r="AX89" i="6" s="1"/>
  <c r="AY88" i="6"/>
  <c r="AS89" i="6"/>
  <c r="AW89" i="6"/>
  <c r="I90" i="6"/>
  <c r="H90" i="6" s="1"/>
  <c r="K90" i="6"/>
  <c r="M90" i="6"/>
  <c r="O90" i="6"/>
  <c r="Q90" i="6"/>
  <c r="P90" i="6" s="1"/>
  <c r="Q91" i="6" s="1"/>
  <c r="S90" i="6"/>
  <c r="U90" i="6"/>
  <c r="T90" i="6" s="1"/>
  <c r="U91" i="6" s="1"/>
  <c r="W90" i="6"/>
  <c r="Y90" i="6"/>
  <c r="AA90" i="6"/>
  <c r="AC90" i="6"/>
  <c r="AB90" i="6" s="1"/>
  <c r="AC91" i="6" s="1"/>
  <c r="AE90" i="6"/>
  <c r="AG90" i="6"/>
  <c r="AF90" i="6" s="1"/>
  <c r="AG91" i="6" s="1"/>
  <c r="AI90" i="6"/>
  <c r="AK90" i="6"/>
  <c r="AJ90" i="6" s="1"/>
  <c r="AK91" i="6" s="1"/>
  <c r="AM90" i="6"/>
  <c r="AO90" i="6"/>
  <c r="AN90" i="6" s="1"/>
  <c r="AO91" i="6" s="1"/>
  <c r="AQ90" i="6"/>
  <c r="AS90" i="6"/>
  <c r="AR90" i="6" s="1"/>
  <c r="AS91" i="6" s="1"/>
  <c r="AU90" i="6"/>
  <c r="AW90" i="6"/>
  <c r="AV90" i="6" s="1"/>
  <c r="AY90" i="6"/>
  <c r="AW91" i="6"/>
  <c r="E92" i="6"/>
  <c r="G92" i="6"/>
  <c r="I92" i="6"/>
  <c r="H92" i="6" s="1"/>
  <c r="K92" i="6"/>
  <c r="M92" i="6"/>
  <c r="L92" i="6" s="1"/>
  <c r="M93" i="6" s="1"/>
  <c r="O92" i="6"/>
  <c r="Q92" i="6"/>
  <c r="P92" i="6" s="1"/>
  <c r="S92" i="6"/>
  <c r="T92" i="6"/>
  <c r="U93" i="6" s="1"/>
  <c r="U92" i="6"/>
  <c r="W92" i="6"/>
  <c r="Y92" i="6"/>
  <c r="X92" i="6" s="1"/>
  <c r="AA92" i="6"/>
  <c r="AC92" i="6"/>
  <c r="AB92" i="6" s="1"/>
  <c r="AC93" i="6" s="1"/>
  <c r="AE92" i="6"/>
  <c r="AG92" i="6"/>
  <c r="AF92" i="6" s="1"/>
  <c r="AG93" i="6" s="1"/>
  <c r="AI92" i="6"/>
  <c r="AK92" i="6"/>
  <c r="AM92" i="6"/>
  <c r="AN92" i="6"/>
  <c r="AO93" i="6" s="1"/>
  <c r="AO92" i="6"/>
  <c r="AQ92" i="6"/>
  <c r="AS92" i="6"/>
  <c r="AR92" i="6" s="1"/>
  <c r="AS93" i="6" s="1"/>
  <c r="AU92" i="6"/>
  <c r="AW92" i="6"/>
  <c r="AV92" i="6" s="1"/>
  <c r="AY92" i="6"/>
  <c r="B97" i="6"/>
  <c r="D99" i="6" s="1"/>
  <c r="H99" i="6"/>
  <c r="J99" i="6"/>
  <c r="L99" i="6"/>
  <c r="N99" i="6"/>
  <c r="P99" i="6"/>
  <c r="R99" i="6"/>
  <c r="T99" i="6"/>
  <c r="V99" i="6"/>
  <c r="X99" i="6"/>
  <c r="Z99" i="6"/>
  <c r="AB99" i="6"/>
  <c r="AD99" i="6"/>
  <c r="AF99" i="6"/>
  <c r="AH99" i="6"/>
  <c r="AJ99" i="6"/>
  <c r="AL99" i="6"/>
  <c r="AN99" i="6"/>
  <c r="AO99" i="6"/>
  <c r="AP99" i="6"/>
  <c r="AR99" i="6"/>
  <c r="AT99" i="6"/>
  <c r="AV99" i="6"/>
  <c r="AX99" i="6"/>
  <c r="C100" i="6"/>
  <c r="F100" i="6"/>
  <c r="H100" i="6"/>
  <c r="J100" i="6"/>
  <c r="L100" i="6"/>
  <c r="N100" i="6"/>
  <c r="P100" i="6"/>
  <c r="R100" i="6"/>
  <c r="T100" i="6"/>
  <c r="V100" i="6"/>
  <c r="X100" i="6"/>
  <c r="Y100" i="6"/>
  <c r="Z100" i="6"/>
  <c r="AB100" i="6"/>
  <c r="AD100" i="6"/>
  <c r="AF100" i="6"/>
  <c r="AH100" i="6"/>
  <c r="AJ100" i="6"/>
  <c r="AL100" i="6"/>
  <c r="AN100" i="6"/>
  <c r="AP100" i="6"/>
  <c r="AR100" i="6"/>
  <c r="AT100" i="6"/>
  <c r="AV100" i="6"/>
  <c r="AX100" i="6"/>
  <c r="E101" i="6"/>
  <c r="G101" i="6"/>
  <c r="F102" i="6" s="1"/>
  <c r="I101" i="6"/>
  <c r="K101" i="6"/>
  <c r="M101" i="6"/>
  <c r="M102" i="6" s="1"/>
  <c r="O101" i="6"/>
  <c r="Q101" i="6"/>
  <c r="S101" i="6"/>
  <c r="U101" i="6"/>
  <c r="U102" i="6" s="1"/>
  <c r="W101" i="6"/>
  <c r="Y101" i="6"/>
  <c r="AA101" i="6"/>
  <c r="AC101" i="6"/>
  <c r="AC102" i="6" s="1"/>
  <c r="AE101" i="6"/>
  <c r="AG101" i="6"/>
  <c r="AI101" i="6"/>
  <c r="AK101" i="6"/>
  <c r="AL102" i="6" s="1"/>
  <c r="AM101" i="6"/>
  <c r="AO101" i="6"/>
  <c r="AQ101" i="6"/>
  <c r="AS101" i="6"/>
  <c r="AU101" i="6"/>
  <c r="AW101" i="6"/>
  <c r="AY101" i="6"/>
  <c r="E102" i="6"/>
  <c r="I102" i="6"/>
  <c r="AD102" i="6"/>
  <c r="AG102" i="6"/>
  <c r="AK102" i="6"/>
  <c r="AO102" i="6"/>
  <c r="AS102" i="6"/>
  <c r="E104" i="6"/>
  <c r="F104" i="6"/>
  <c r="I104" i="6"/>
  <c r="I99" i="6" s="1"/>
  <c r="J104" i="6"/>
  <c r="K99" i="6" s="1"/>
  <c r="M104" i="6"/>
  <c r="M99" i="6" s="1"/>
  <c r="N104" i="6"/>
  <c r="O99" i="6" s="1"/>
  <c r="Q104" i="6"/>
  <c r="Q99" i="6" s="1"/>
  <c r="R104" i="6"/>
  <c r="S99" i="6" s="1"/>
  <c r="U104" i="6"/>
  <c r="U99" i="6" s="1"/>
  <c r="V104" i="6"/>
  <c r="W99" i="6" s="1"/>
  <c r="Y104" i="6"/>
  <c r="Y99" i="6" s="1"/>
  <c r="Z104" i="6"/>
  <c r="AA99" i="6" s="1"/>
  <c r="AC104" i="6"/>
  <c r="AC99" i="6" s="1"/>
  <c r="AD104" i="6"/>
  <c r="AE99" i="6" s="1"/>
  <c r="AG104" i="6"/>
  <c r="AG99" i="6" s="1"/>
  <c r="AH104" i="6"/>
  <c r="AI99" i="6" s="1"/>
  <c r="AK104" i="6"/>
  <c r="AK99" i="6" s="1"/>
  <c r="AL104" i="6"/>
  <c r="AM99" i="6" s="1"/>
  <c r="AO104" i="6"/>
  <c r="AP104" i="6"/>
  <c r="AQ99" i="6" s="1"/>
  <c r="AS104" i="6"/>
  <c r="AS99" i="6" s="1"/>
  <c r="AT104" i="6"/>
  <c r="AU99" i="6" s="1"/>
  <c r="AW104" i="6"/>
  <c r="AW99" i="6" s="1"/>
  <c r="AX104" i="6"/>
  <c r="AY99" i="6" s="1"/>
  <c r="E105" i="6"/>
  <c r="I105" i="6"/>
  <c r="J106" i="6" s="1"/>
  <c r="M105" i="6"/>
  <c r="M106" i="6" s="1"/>
  <c r="Q105" i="6"/>
  <c r="Q106" i="6" s="1"/>
  <c r="U105" i="6"/>
  <c r="U106" i="6" s="1"/>
  <c r="Y105" i="6"/>
  <c r="Z106" i="6" s="1"/>
  <c r="AC105" i="6"/>
  <c r="AD106" i="6" s="1"/>
  <c r="AG105" i="6"/>
  <c r="AK105" i="6"/>
  <c r="AL106" i="6" s="1"/>
  <c r="AO105" i="6"/>
  <c r="AP106" i="6" s="1"/>
  <c r="AS105" i="6"/>
  <c r="AW105" i="6"/>
  <c r="AW106" i="6" s="1"/>
  <c r="E106" i="6"/>
  <c r="F106" i="6"/>
  <c r="AC106" i="6"/>
  <c r="AG106" i="6"/>
  <c r="AH106" i="6"/>
  <c r="AK106" i="6"/>
  <c r="D107" i="6"/>
  <c r="H107" i="6"/>
  <c r="I107" i="6"/>
  <c r="L107" i="6"/>
  <c r="M107" i="6"/>
  <c r="N108" i="6" s="1"/>
  <c r="P107" i="6"/>
  <c r="Q107" i="6"/>
  <c r="Q108" i="6" s="1"/>
  <c r="T107" i="6"/>
  <c r="U107" i="6"/>
  <c r="X107" i="6"/>
  <c r="Y107" i="6"/>
  <c r="Y108" i="6" s="1"/>
  <c r="AB107" i="6"/>
  <c r="AC107" i="6"/>
  <c r="AD108" i="6" s="1"/>
  <c r="AF107" i="6"/>
  <c r="AG107" i="6"/>
  <c r="AJ107" i="6"/>
  <c r="AK108" i="6" s="1"/>
  <c r="AK107" i="6"/>
  <c r="AN107" i="6"/>
  <c r="AO107" i="6"/>
  <c r="AO108" i="6" s="1"/>
  <c r="AR107" i="6"/>
  <c r="AS107" i="6"/>
  <c r="AV107" i="6"/>
  <c r="AW107" i="6"/>
  <c r="Z108" i="6"/>
  <c r="AL108" i="6"/>
  <c r="E109" i="6"/>
  <c r="H109" i="6"/>
  <c r="I109" i="6"/>
  <c r="I110" i="6" s="1"/>
  <c r="L109" i="6"/>
  <c r="M109" i="6"/>
  <c r="P109" i="6"/>
  <c r="R110" i="6" s="1"/>
  <c r="Q109" i="6"/>
  <c r="T109" i="6"/>
  <c r="U109" i="6"/>
  <c r="V110" i="6" s="1"/>
  <c r="X109" i="6"/>
  <c r="Y109" i="6"/>
  <c r="Y110" i="6" s="1"/>
  <c r="AB109" i="6"/>
  <c r="AC109" i="6"/>
  <c r="AF109" i="6"/>
  <c r="AH110" i="6" s="1"/>
  <c r="AG109" i="6"/>
  <c r="AJ109" i="6"/>
  <c r="AK109" i="6"/>
  <c r="AN109" i="6"/>
  <c r="AO109" i="6"/>
  <c r="AO110" i="6" s="1"/>
  <c r="AR109" i="6"/>
  <c r="AS109" i="6"/>
  <c r="AV109" i="6"/>
  <c r="AX110" i="6" s="1"/>
  <c r="AW109" i="6"/>
  <c r="J110" i="6"/>
  <c r="Z110" i="6"/>
  <c r="AK110" i="6"/>
  <c r="AP110" i="6"/>
  <c r="G111" i="6"/>
  <c r="I111" i="6"/>
  <c r="K111" i="6"/>
  <c r="M111" i="6"/>
  <c r="O111" i="6"/>
  <c r="N112" i="6" s="1"/>
  <c r="Q111" i="6"/>
  <c r="R112" i="6" s="1"/>
  <c r="S111" i="6"/>
  <c r="U111" i="6"/>
  <c r="W111" i="6"/>
  <c r="Y111" i="6"/>
  <c r="AA111" i="6"/>
  <c r="AC111" i="6"/>
  <c r="AE111" i="6"/>
  <c r="AG111" i="6"/>
  <c r="AH112" i="6" s="1"/>
  <c r="AI111" i="6"/>
  <c r="AK111" i="6"/>
  <c r="AM111" i="6"/>
  <c r="AL112" i="6" s="1"/>
  <c r="AO111" i="6"/>
  <c r="AQ111" i="6"/>
  <c r="AP112" i="6" s="1"/>
  <c r="AS111" i="6"/>
  <c r="AS112" i="6" s="1"/>
  <c r="AU111" i="6"/>
  <c r="AT112" i="6" s="1"/>
  <c r="AW111" i="6"/>
  <c r="AW112" i="6" s="1"/>
  <c r="AY111" i="6"/>
  <c r="I112" i="6"/>
  <c r="J112" i="6"/>
  <c r="M112" i="6"/>
  <c r="Q112" i="6"/>
  <c r="U112" i="6"/>
  <c r="V112" i="6"/>
  <c r="Y112" i="6"/>
  <c r="Z112" i="6"/>
  <c r="AC112" i="6"/>
  <c r="AD112" i="6"/>
  <c r="AK112" i="6"/>
  <c r="AO112" i="6"/>
  <c r="I113" i="6"/>
  <c r="J114" i="6" s="1"/>
  <c r="K113" i="6"/>
  <c r="M113" i="6"/>
  <c r="O113" i="6"/>
  <c r="Q113" i="6"/>
  <c r="Q114" i="6" s="1"/>
  <c r="S113" i="6"/>
  <c r="U113" i="6"/>
  <c r="W113" i="6"/>
  <c r="Y113" i="6"/>
  <c r="Z114" i="6" s="1"/>
  <c r="AA113" i="6"/>
  <c r="AC113" i="6"/>
  <c r="AE113" i="6"/>
  <c r="AG113" i="6"/>
  <c r="AI113" i="6"/>
  <c r="AK113" i="6"/>
  <c r="AM113" i="6"/>
  <c r="AO113" i="6"/>
  <c r="AP114" i="6" s="1"/>
  <c r="AQ113" i="6"/>
  <c r="AS113" i="6"/>
  <c r="AU113" i="6"/>
  <c r="AW113" i="6"/>
  <c r="AY113" i="6"/>
  <c r="I114" i="6"/>
  <c r="M114" i="6"/>
  <c r="N114" i="6"/>
  <c r="R114" i="6"/>
  <c r="U114" i="6"/>
  <c r="V114" i="6"/>
  <c r="Y114" i="6"/>
  <c r="AC114" i="6"/>
  <c r="AD114" i="6"/>
  <c r="AG114" i="6"/>
  <c r="AH114" i="6"/>
  <c r="AK114" i="6"/>
  <c r="AL114" i="6"/>
  <c r="AO114" i="6"/>
  <c r="AS114" i="6"/>
  <c r="AT114" i="6"/>
  <c r="AW114" i="6"/>
  <c r="AX114" i="6"/>
  <c r="I115" i="6"/>
  <c r="H115" i="6" s="1"/>
  <c r="I116" i="6" s="1"/>
  <c r="K115" i="6"/>
  <c r="M115" i="6"/>
  <c r="L115" i="6" s="1"/>
  <c r="M116" i="6" s="1"/>
  <c r="O115" i="6"/>
  <c r="Q115" i="6"/>
  <c r="P115" i="6" s="1"/>
  <c r="S115" i="6"/>
  <c r="U115" i="6"/>
  <c r="T115" i="6" s="1"/>
  <c r="U116" i="6" s="1"/>
  <c r="W115" i="6"/>
  <c r="Y115" i="6"/>
  <c r="X115" i="6" s="1"/>
  <c r="Y116" i="6" s="1"/>
  <c r="AA115" i="6"/>
  <c r="AC115" i="6"/>
  <c r="AE115" i="6"/>
  <c r="AG115" i="6"/>
  <c r="AI115" i="6"/>
  <c r="AK115" i="6"/>
  <c r="AJ115" i="6" s="1"/>
  <c r="AK116" i="6" s="1"/>
  <c r="AM115" i="6"/>
  <c r="AO115" i="6"/>
  <c r="AN115" i="6" s="1"/>
  <c r="AO116" i="6" s="1"/>
  <c r="AQ115" i="6"/>
  <c r="AS115" i="6"/>
  <c r="AR115" i="6" s="1"/>
  <c r="AS116" i="6" s="1"/>
  <c r="AU115" i="6"/>
  <c r="AW115" i="6"/>
  <c r="AV115" i="6" s="1"/>
  <c r="AY115" i="6"/>
  <c r="N116" i="6"/>
  <c r="Z116" i="6"/>
  <c r="G117" i="6"/>
  <c r="I117" i="6"/>
  <c r="H117" i="6" s="1"/>
  <c r="I118" i="6" s="1"/>
  <c r="K117" i="6"/>
  <c r="M117" i="6"/>
  <c r="L117" i="6" s="1"/>
  <c r="M118" i="6" s="1"/>
  <c r="O117" i="6"/>
  <c r="Q117" i="6"/>
  <c r="S117" i="6"/>
  <c r="U117" i="6"/>
  <c r="T117" i="6" s="1"/>
  <c r="W117" i="6"/>
  <c r="Y117" i="6"/>
  <c r="X117" i="6" s="1"/>
  <c r="Y118" i="6" s="1"/>
  <c r="AA117" i="6"/>
  <c r="AC117" i="6"/>
  <c r="AE117" i="6"/>
  <c r="AG117" i="6"/>
  <c r="AF117" i="6" s="1"/>
  <c r="AI117" i="6"/>
  <c r="AK117" i="6"/>
  <c r="AM117" i="6"/>
  <c r="AO117" i="6"/>
  <c r="AN117" i="6" s="1"/>
  <c r="AO118" i="6" s="1"/>
  <c r="AQ117" i="6"/>
  <c r="AS117" i="6"/>
  <c r="AR117" i="6" s="1"/>
  <c r="AS118" i="6" s="1"/>
  <c r="AU117" i="6"/>
  <c r="AW117" i="6"/>
  <c r="AV117" i="6" s="1"/>
  <c r="AW118" i="6" s="1"/>
  <c r="AY117" i="6"/>
  <c r="E119" i="6"/>
  <c r="G119" i="6"/>
  <c r="I119" i="6"/>
  <c r="K119" i="6"/>
  <c r="M119" i="6"/>
  <c r="N120" i="6" s="1"/>
  <c r="O119" i="6"/>
  <c r="Q119" i="6"/>
  <c r="S119" i="6"/>
  <c r="U119" i="6"/>
  <c r="W119" i="6"/>
  <c r="Y119" i="6"/>
  <c r="AA119" i="6"/>
  <c r="AC119" i="6"/>
  <c r="AD120" i="6" s="1"/>
  <c r="AE119" i="6"/>
  <c r="AG119" i="6"/>
  <c r="AI119" i="6"/>
  <c r="AK119" i="6"/>
  <c r="AM119" i="6"/>
  <c r="AO119" i="6"/>
  <c r="AQ119" i="6"/>
  <c r="AS119" i="6"/>
  <c r="AT120" i="6" s="1"/>
  <c r="AU119" i="6"/>
  <c r="AW119" i="6"/>
  <c r="AY119" i="6"/>
  <c r="E120" i="6"/>
  <c r="F120" i="6"/>
  <c r="I120" i="6"/>
  <c r="J120" i="6"/>
  <c r="M120" i="6"/>
  <c r="Q120" i="6"/>
  <c r="R120" i="6"/>
  <c r="U120" i="6"/>
  <c r="V120" i="6"/>
  <c r="Y120" i="6"/>
  <c r="Z120" i="6"/>
  <c r="AC120" i="6"/>
  <c r="AG120" i="6"/>
  <c r="AH120" i="6"/>
  <c r="AK120" i="6"/>
  <c r="AL120" i="6"/>
  <c r="AO120" i="6"/>
  <c r="AP120" i="6"/>
  <c r="AS120" i="6"/>
  <c r="AW120" i="6"/>
  <c r="AX120" i="6"/>
  <c r="E122" i="6"/>
  <c r="E100" i="6" s="1"/>
  <c r="F122" i="6"/>
  <c r="G100" i="6" s="1"/>
  <c r="I122" i="6"/>
  <c r="I100" i="6" s="1"/>
  <c r="J122" i="6"/>
  <c r="K100" i="6" s="1"/>
  <c r="M122" i="6"/>
  <c r="M100" i="6" s="1"/>
  <c r="N122" i="6"/>
  <c r="O100" i="6" s="1"/>
  <c r="Q122" i="6"/>
  <c r="Q100" i="6" s="1"/>
  <c r="R122" i="6"/>
  <c r="S100" i="6" s="1"/>
  <c r="U122" i="6"/>
  <c r="U100" i="6" s="1"/>
  <c r="V122" i="6"/>
  <c r="W100" i="6" s="1"/>
  <c r="Y122" i="6"/>
  <c r="Z122" i="6"/>
  <c r="AA100" i="6" s="1"/>
  <c r="AC122" i="6"/>
  <c r="AC100" i="6" s="1"/>
  <c r="AD122" i="6"/>
  <c r="AE100" i="6" s="1"/>
  <c r="AG122" i="6"/>
  <c r="AG100" i="6" s="1"/>
  <c r="AH122" i="6"/>
  <c r="AI100" i="6" s="1"/>
  <c r="AK122" i="6"/>
  <c r="AK100" i="6" s="1"/>
  <c r="AL122" i="6"/>
  <c r="AM100" i="6" s="1"/>
  <c r="AO122" i="6"/>
  <c r="AO100" i="6" s="1"/>
  <c r="AP122" i="6"/>
  <c r="AQ100" i="6" s="1"/>
  <c r="AS122" i="6"/>
  <c r="AS100" i="6" s="1"/>
  <c r="AS98" i="6" s="1"/>
  <c r="AT122" i="6"/>
  <c r="AU100" i="6" s="1"/>
  <c r="AW122" i="6"/>
  <c r="AW100" i="6" s="1"/>
  <c r="AX122" i="6"/>
  <c r="AY100" i="6" s="1"/>
  <c r="E123" i="6"/>
  <c r="E124" i="6" s="1"/>
  <c r="I123" i="6"/>
  <c r="I124" i="6" s="1"/>
  <c r="M123" i="6"/>
  <c r="N124" i="6" s="1"/>
  <c r="Q123" i="6"/>
  <c r="U123" i="6"/>
  <c r="U124" i="6" s="1"/>
  <c r="Y123" i="6"/>
  <c r="Y124" i="6" s="1"/>
  <c r="AC123" i="6"/>
  <c r="AG123" i="6"/>
  <c r="AK123" i="6"/>
  <c r="AK124" i="6" s="1"/>
  <c r="AO123" i="6"/>
  <c r="AO124" i="6" s="1"/>
  <c r="AS123" i="6"/>
  <c r="AW123" i="6"/>
  <c r="M124" i="6"/>
  <c r="V124" i="6"/>
  <c r="AC124" i="6"/>
  <c r="AD124" i="6"/>
  <c r="AS124" i="6"/>
  <c r="AT124" i="6"/>
  <c r="D125" i="6"/>
  <c r="H125" i="6"/>
  <c r="I125" i="6"/>
  <c r="L125" i="6"/>
  <c r="M125" i="6"/>
  <c r="N126" i="6" s="1"/>
  <c r="P125" i="6"/>
  <c r="Q125" i="6"/>
  <c r="T125" i="6"/>
  <c r="U125" i="6"/>
  <c r="X125" i="6"/>
  <c r="Y125" i="6"/>
  <c r="AB125" i="6"/>
  <c r="AC125" i="6"/>
  <c r="AF125" i="6"/>
  <c r="AG125" i="6"/>
  <c r="AJ125" i="6"/>
  <c r="AK125" i="6"/>
  <c r="AN125" i="6"/>
  <c r="AO125" i="6"/>
  <c r="AP126" i="6" s="1"/>
  <c r="AR125" i="6"/>
  <c r="AS125" i="6"/>
  <c r="AV125" i="6"/>
  <c r="AW125" i="6"/>
  <c r="E127" i="6"/>
  <c r="H127" i="6"/>
  <c r="I127" i="6"/>
  <c r="L127" i="6"/>
  <c r="M127" i="6"/>
  <c r="P127" i="6"/>
  <c r="R128" i="6" s="1"/>
  <c r="Q127" i="6"/>
  <c r="T127" i="6"/>
  <c r="U127" i="6"/>
  <c r="V128" i="6" s="1"/>
  <c r="X127" i="6"/>
  <c r="Y127" i="6"/>
  <c r="AB127" i="6"/>
  <c r="AC127" i="6"/>
  <c r="AF127" i="6"/>
  <c r="AH128" i="6" s="1"/>
  <c r="AG127" i="6"/>
  <c r="AJ127" i="6"/>
  <c r="AK127" i="6"/>
  <c r="AN127" i="6"/>
  <c r="AO127" i="6"/>
  <c r="AP128" i="6" s="1"/>
  <c r="AR127" i="6"/>
  <c r="AS127" i="6"/>
  <c r="AV127" i="6"/>
  <c r="AW127" i="6"/>
  <c r="AL128" i="6"/>
  <c r="E129" i="6"/>
  <c r="G129" i="6"/>
  <c r="I129" i="6"/>
  <c r="K129" i="6"/>
  <c r="M129" i="6"/>
  <c r="O129" i="6"/>
  <c r="N130" i="6" s="1"/>
  <c r="Q129" i="6"/>
  <c r="Q130" i="6" s="1"/>
  <c r="S129" i="6"/>
  <c r="U129" i="6"/>
  <c r="U130" i="6" s="1"/>
  <c r="W129" i="6"/>
  <c r="Y129" i="6"/>
  <c r="AA129" i="6"/>
  <c r="AC129" i="6"/>
  <c r="AC130" i="6" s="1"/>
  <c r="AE129" i="6"/>
  <c r="AG129" i="6"/>
  <c r="AG130" i="6" s="1"/>
  <c r="AI129" i="6"/>
  <c r="AK129" i="6"/>
  <c r="AK130" i="6" s="1"/>
  <c r="AM129" i="6"/>
  <c r="AO129" i="6"/>
  <c r="AO130" i="6" s="1"/>
  <c r="AQ129" i="6"/>
  <c r="AS129" i="6"/>
  <c r="AU129" i="6"/>
  <c r="AW129" i="6"/>
  <c r="AY129" i="6"/>
  <c r="E130" i="6"/>
  <c r="M130" i="6"/>
  <c r="AD130" i="6"/>
  <c r="E131" i="6"/>
  <c r="G131" i="6"/>
  <c r="I131" i="6"/>
  <c r="J132" i="6" s="1"/>
  <c r="K131" i="6"/>
  <c r="M131" i="6"/>
  <c r="O131" i="6"/>
  <c r="N132" i="6" s="1"/>
  <c r="Q131" i="6"/>
  <c r="Q132" i="6" s="1"/>
  <c r="S131" i="6"/>
  <c r="U131" i="6"/>
  <c r="U132" i="6" s="1"/>
  <c r="W131" i="6"/>
  <c r="V132" i="6" s="1"/>
  <c r="Y131" i="6"/>
  <c r="Z132" i="6" s="1"/>
  <c r="AA131" i="6"/>
  <c r="AC131" i="6"/>
  <c r="AE131" i="6"/>
  <c r="AG131" i="6"/>
  <c r="AH132" i="6" s="1"/>
  <c r="AI131" i="6"/>
  <c r="AK131" i="6"/>
  <c r="AK132" i="6" s="1"/>
  <c r="AM131" i="6"/>
  <c r="AO131" i="6"/>
  <c r="AQ131" i="6"/>
  <c r="AS131" i="6"/>
  <c r="AT132" i="6" s="1"/>
  <c r="AU131" i="6"/>
  <c r="AW131" i="6"/>
  <c r="AX132" i="6" s="1"/>
  <c r="AY131" i="6"/>
  <c r="E132" i="6"/>
  <c r="M132" i="6"/>
  <c r="AC132" i="6"/>
  <c r="AS132" i="6"/>
  <c r="G133" i="6"/>
  <c r="I133" i="6"/>
  <c r="K133" i="6"/>
  <c r="M133" i="6"/>
  <c r="L133" i="6" s="1"/>
  <c r="M134" i="6" s="1"/>
  <c r="O133" i="6"/>
  <c r="N134" i="6" s="1"/>
  <c r="Q133" i="6"/>
  <c r="P133" i="6" s="1"/>
  <c r="Q134" i="6" s="1"/>
  <c r="S133" i="6"/>
  <c r="U133" i="6"/>
  <c r="T133" i="6" s="1"/>
  <c r="U134" i="6" s="1"/>
  <c r="W133" i="6"/>
  <c r="Y133" i="6"/>
  <c r="AA133" i="6"/>
  <c r="AC133" i="6"/>
  <c r="AB133" i="6" s="1"/>
  <c r="AC134" i="6" s="1"/>
  <c r="AE133" i="6"/>
  <c r="AG133" i="6"/>
  <c r="AF133" i="6" s="1"/>
  <c r="AI133" i="6"/>
  <c r="AK133" i="6"/>
  <c r="AJ133" i="6" s="1"/>
  <c r="AM133" i="6"/>
  <c r="AO133" i="6"/>
  <c r="AN133" i="6" s="1"/>
  <c r="AO134" i="6" s="1"/>
  <c r="AQ133" i="6"/>
  <c r="AS133" i="6"/>
  <c r="AR133" i="6" s="1"/>
  <c r="AS134" i="6" s="1"/>
  <c r="AU133" i="6"/>
  <c r="AW133" i="6"/>
  <c r="AV133" i="6" s="1"/>
  <c r="AW134" i="6" s="1"/>
  <c r="AY133" i="6"/>
  <c r="AG134" i="6"/>
  <c r="E135" i="6"/>
  <c r="D135" i="6" s="1"/>
  <c r="G135" i="6"/>
  <c r="I135" i="6"/>
  <c r="K135" i="6"/>
  <c r="M135" i="6"/>
  <c r="L135" i="6" s="1"/>
  <c r="M136" i="6" s="1"/>
  <c r="O135" i="6"/>
  <c r="Q135" i="6"/>
  <c r="P135" i="6" s="1"/>
  <c r="S135" i="6"/>
  <c r="U135" i="6"/>
  <c r="W135" i="6"/>
  <c r="Y135" i="6"/>
  <c r="AA135" i="6"/>
  <c r="AC135" i="6"/>
  <c r="AB135" i="6" s="1"/>
  <c r="AE135" i="6"/>
  <c r="AG135" i="6"/>
  <c r="AI135" i="6"/>
  <c r="AK135" i="6"/>
  <c r="AM135" i="6"/>
  <c r="AO135" i="6"/>
  <c r="AQ135" i="6"/>
  <c r="AS135" i="6"/>
  <c r="AR135" i="6" s="1"/>
  <c r="AS136" i="6" s="1"/>
  <c r="AU135" i="6"/>
  <c r="AW135" i="6"/>
  <c r="AV135" i="6" s="1"/>
  <c r="AY135" i="6"/>
  <c r="E136" i="6"/>
  <c r="AC136" i="6"/>
  <c r="L2" i="5"/>
  <c r="L3" i="5" s="1"/>
  <c r="L4" i="5" s="1"/>
  <c r="L5" i="5" s="1"/>
  <c r="L6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N2" i="4"/>
  <c r="N3" i="4" s="1"/>
  <c r="N4" i="4" s="1"/>
  <c r="N5" i="4" s="1"/>
  <c r="P11" i="4" s="1"/>
  <c r="T2" i="4"/>
  <c r="U2" i="4"/>
  <c r="V2" i="4"/>
  <c r="W2" i="4"/>
  <c r="X2" i="4"/>
  <c r="Y2" i="4"/>
  <c r="Z2" i="4"/>
  <c r="AA2" i="4"/>
  <c r="AB2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S3" i="4"/>
  <c r="S4" i="4" s="1"/>
  <c r="S5" i="4" s="1"/>
  <c r="S6" i="4" s="1"/>
  <c r="S7" i="4" s="1"/>
  <c r="S8" i="4" s="1"/>
  <c r="S9" i="4" s="1"/>
  <c r="S10" i="4" s="1"/>
  <c r="S11" i="4" s="1"/>
  <c r="S12" i="4" s="1"/>
  <c r="S13" i="4" s="1"/>
  <c r="S14" i="4" s="1"/>
  <c r="S15" i="4" s="1"/>
  <c r="S16" i="4" s="1"/>
  <c r="S17" i="4" s="1"/>
  <c r="S18" i="4" s="1"/>
  <c r="S19" i="4" s="1"/>
  <c r="S20" i="4" s="1"/>
  <c r="S21" i="4" s="1"/>
  <c r="S22" i="4" s="1"/>
  <c r="S23" i="4" s="1"/>
  <c r="S24" i="4" s="1"/>
  <c r="S25" i="4" s="1"/>
  <c r="S26" i="4" s="1"/>
  <c r="S27" i="4" s="1"/>
  <c r="T3" i="4"/>
  <c r="U3" i="4"/>
  <c r="V3" i="4"/>
  <c r="W3" i="4"/>
  <c r="X3" i="4"/>
  <c r="Y3" i="4"/>
  <c r="Z3" i="4"/>
  <c r="AA3" i="4"/>
  <c r="AB3" i="4"/>
  <c r="AE3" i="4"/>
  <c r="AE4" i="4" s="1"/>
  <c r="AE5" i="4" s="1"/>
  <c r="AE6" i="4" s="1"/>
  <c r="AE7" i="4" s="1"/>
  <c r="AE8" i="4" s="1"/>
  <c r="AE9" i="4" s="1"/>
  <c r="AE10" i="4" s="1"/>
  <c r="AE11" i="4" s="1"/>
  <c r="AE12" i="4" s="1"/>
  <c r="AE13" i="4" s="1"/>
  <c r="AE14" i="4" s="1"/>
  <c r="AE15" i="4" s="1"/>
  <c r="AE16" i="4" s="1"/>
  <c r="AE17" i="4" s="1"/>
  <c r="AQ3" i="4"/>
  <c r="AQ4" i="4" s="1"/>
  <c r="AQ5" i="4" s="1"/>
  <c r="AQ6" i="4" s="1"/>
  <c r="AQ7" i="4" s="1"/>
  <c r="T4" i="4"/>
  <c r="U4" i="4"/>
  <c r="V4" i="4"/>
  <c r="W4" i="4"/>
  <c r="X4" i="4"/>
  <c r="Y4" i="4"/>
  <c r="Z4" i="4"/>
  <c r="AA4" i="4"/>
  <c r="AB4" i="4"/>
  <c r="T5" i="4"/>
  <c r="U5" i="4"/>
  <c r="V5" i="4"/>
  <c r="W5" i="4"/>
  <c r="X5" i="4"/>
  <c r="Y5" i="4"/>
  <c r="Z5" i="4"/>
  <c r="AA5" i="4"/>
  <c r="AB5" i="4"/>
  <c r="N6" i="4"/>
  <c r="N7" i="4" s="1"/>
  <c r="N8" i="4" s="1"/>
  <c r="N9" i="4" s="1"/>
  <c r="N10" i="4" s="1"/>
  <c r="T6" i="4"/>
  <c r="U6" i="4"/>
  <c r="V6" i="4"/>
  <c r="W6" i="4"/>
  <c r="X6" i="4"/>
  <c r="Y6" i="4"/>
  <c r="Z6" i="4"/>
  <c r="AA6" i="4"/>
  <c r="AB6" i="4"/>
  <c r="T7" i="4"/>
  <c r="U7" i="4"/>
  <c r="V7" i="4"/>
  <c r="X7" i="4"/>
  <c r="Z7" i="4"/>
  <c r="AA7" i="4"/>
  <c r="AB7" i="4"/>
  <c r="T8" i="4"/>
  <c r="U8" i="4"/>
  <c r="V8" i="4"/>
  <c r="W8" i="4"/>
  <c r="X8" i="4"/>
  <c r="Y8" i="4"/>
  <c r="Z8" i="4"/>
  <c r="AA8" i="4"/>
  <c r="AB8" i="4"/>
  <c r="AQ8" i="4"/>
  <c r="AQ9" i="4" s="1"/>
  <c r="AQ10" i="4" s="1"/>
  <c r="AQ11" i="4" s="1"/>
  <c r="AQ12" i="4" s="1"/>
  <c r="AQ13" i="4" s="1"/>
  <c r="AQ14" i="4" s="1"/>
  <c r="AQ15" i="4" s="1"/>
  <c r="AQ16" i="4" s="1"/>
  <c r="AQ17" i="4" s="1"/>
  <c r="AQ18" i="4" s="1"/>
  <c r="AQ19" i="4" s="1"/>
  <c r="AQ20" i="4" s="1"/>
  <c r="AQ21" i="4" s="1"/>
  <c r="AQ22" i="4" s="1"/>
  <c r="AQ23" i="4" s="1"/>
  <c r="AQ24" i="4" s="1"/>
  <c r="AQ25" i="4" s="1"/>
  <c r="AQ26" i="4" s="1"/>
  <c r="AQ27" i="4" s="1"/>
  <c r="T9" i="4"/>
  <c r="U9" i="4"/>
  <c r="V9" i="4"/>
  <c r="W9" i="4"/>
  <c r="X9" i="4"/>
  <c r="Y9" i="4"/>
  <c r="Z9" i="4"/>
  <c r="AA9" i="4"/>
  <c r="AB9" i="4"/>
  <c r="T10" i="4"/>
  <c r="U10" i="4"/>
  <c r="V10" i="4"/>
  <c r="W10" i="4"/>
  <c r="X10" i="4"/>
  <c r="Y10" i="4"/>
  <c r="Z10" i="4"/>
  <c r="AA10" i="4"/>
  <c r="AB10" i="4"/>
  <c r="T14" i="4"/>
  <c r="U14" i="4"/>
  <c r="V14" i="4"/>
  <c r="W14" i="4"/>
  <c r="X14" i="4"/>
  <c r="Y14" i="4"/>
  <c r="Z14" i="4"/>
  <c r="AA14" i="4"/>
  <c r="AB14" i="4"/>
  <c r="Q16" i="4"/>
  <c r="Z16" i="4" s="1"/>
  <c r="T16" i="4"/>
  <c r="U16" i="4"/>
  <c r="V16" i="4"/>
  <c r="T17" i="4"/>
  <c r="U17" i="4"/>
  <c r="V17" i="4"/>
  <c r="T18" i="4"/>
  <c r="U18" i="4"/>
  <c r="V18" i="4"/>
  <c r="W18" i="4"/>
  <c r="X18" i="4"/>
  <c r="Y18" i="4"/>
  <c r="Z18" i="4"/>
  <c r="AA18" i="4"/>
  <c r="AB18" i="4"/>
  <c r="AE18" i="4"/>
  <c r="AE19" i="4" s="1"/>
  <c r="AE20" i="4" s="1"/>
  <c r="AE21" i="4" s="1"/>
  <c r="T19" i="4"/>
  <c r="U19" i="4"/>
  <c r="V19" i="4"/>
  <c r="W19" i="4"/>
  <c r="X19" i="4"/>
  <c r="Y19" i="4"/>
  <c r="Z19" i="4"/>
  <c r="AA19" i="4"/>
  <c r="AB19" i="4"/>
  <c r="T20" i="4"/>
  <c r="U20" i="4"/>
  <c r="V20" i="4"/>
  <c r="X20" i="4"/>
  <c r="Z20" i="4"/>
  <c r="AA20" i="4"/>
  <c r="AB20" i="4"/>
  <c r="V21" i="4"/>
  <c r="W21" i="4"/>
  <c r="X21" i="4"/>
  <c r="Y21" i="4"/>
  <c r="Z21" i="4"/>
  <c r="V22" i="4"/>
  <c r="W22" i="4"/>
  <c r="X22" i="4"/>
  <c r="Y22" i="4"/>
  <c r="Z22" i="4"/>
  <c r="AE22" i="4"/>
  <c r="AE23" i="4" s="1"/>
  <c r="AE24" i="4" s="1"/>
  <c r="AE25" i="4" s="1"/>
  <c r="AE26" i="4" s="1"/>
  <c r="AE27" i="4" s="1"/>
  <c r="V23" i="4"/>
  <c r="W23" i="4"/>
  <c r="X23" i="4"/>
  <c r="Y23" i="4"/>
  <c r="Z23" i="4"/>
  <c r="V24" i="4"/>
  <c r="W24" i="4"/>
  <c r="X24" i="4"/>
  <c r="Y24" i="4"/>
  <c r="Z24" i="4"/>
  <c r="T25" i="4"/>
  <c r="U25" i="4"/>
  <c r="V25" i="4"/>
  <c r="X25" i="4"/>
  <c r="Z25" i="4"/>
  <c r="AA25" i="4"/>
  <c r="AB25" i="4"/>
  <c r="T26" i="4"/>
  <c r="U26" i="4"/>
  <c r="V26" i="4"/>
  <c r="X26" i="4"/>
  <c r="Z26" i="4"/>
  <c r="AA26" i="4"/>
  <c r="AB26" i="4"/>
  <c r="T27" i="4"/>
  <c r="U27" i="4"/>
  <c r="V27" i="4"/>
  <c r="W27" i="4"/>
  <c r="X27" i="4"/>
  <c r="Y27" i="4"/>
  <c r="Z27" i="4"/>
  <c r="AA27" i="4"/>
  <c r="AB27" i="4"/>
  <c r="C1" i="2"/>
  <c r="A1" i="2" s="1"/>
  <c r="A31" i="4" s="1"/>
  <c r="D7" i="2"/>
  <c r="L25" i="2" s="1"/>
  <c r="D9" i="2"/>
  <c r="P52" i="2" s="1"/>
  <c r="D10" i="2"/>
  <c r="B74" i="2" s="1"/>
  <c r="C28" i="1" s="1"/>
  <c r="D11" i="2"/>
  <c r="AA75" i="2" s="1"/>
  <c r="X11" i="2"/>
  <c r="A12" i="2"/>
  <c r="AR14" i="2"/>
  <c r="AR15" i="2"/>
  <c r="G17" i="2"/>
  <c r="Q46" i="2" s="1"/>
  <c r="E77" i="2" s="1"/>
  <c r="H31" i="1" s="1"/>
  <c r="H17" i="2"/>
  <c r="J46" i="2" s="1"/>
  <c r="Q17" i="2"/>
  <c r="AC39" i="2" s="1"/>
  <c r="R17" i="2"/>
  <c r="J52" i="2" s="1"/>
  <c r="AA17" i="2"/>
  <c r="AB17" i="2"/>
  <c r="AK17" i="2"/>
  <c r="I64" i="2" s="1"/>
  <c r="AL17" i="2"/>
  <c r="J64" i="2" s="1"/>
  <c r="G20" i="2"/>
  <c r="H20" i="2"/>
  <c r="Q20" i="2"/>
  <c r="R20" i="2"/>
  <c r="J53" i="2" s="1"/>
  <c r="AA20" i="2"/>
  <c r="AB20" i="2"/>
  <c r="J59" i="2" s="1"/>
  <c r="AK20" i="2"/>
  <c r="AL20" i="2"/>
  <c r="N79" i="2" s="1"/>
  <c r="Z33" i="1" s="1"/>
  <c r="H22" i="2"/>
  <c r="D79" i="2" s="1"/>
  <c r="D33" i="1" s="1"/>
  <c r="G23" i="2"/>
  <c r="H23" i="2"/>
  <c r="J48" i="2" s="1"/>
  <c r="Q23" i="2"/>
  <c r="I54" i="2" s="1"/>
  <c r="R23" i="2"/>
  <c r="AA23" i="2"/>
  <c r="AB23" i="2"/>
  <c r="J60" i="2" s="1"/>
  <c r="AK23" i="2"/>
  <c r="P41" i="2" s="1"/>
  <c r="AL23" i="2"/>
  <c r="G26" i="2"/>
  <c r="H26" i="2"/>
  <c r="J49" i="2" s="1"/>
  <c r="Q26" i="2"/>
  <c r="I55" i="2" s="1"/>
  <c r="R26" i="2"/>
  <c r="H87" i="2" s="1"/>
  <c r="N41" i="1" s="1"/>
  <c r="AA26" i="2"/>
  <c r="Q61" i="2" s="1"/>
  <c r="K89" i="2" s="1"/>
  <c r="T43" i="1" s="1"/>
  <c r="AB26" i="2"/>
  <c r="J61" i="2" s="1"/>
  <c r="AK26" i="2"/>
  <c r="I67" i="2" s="1"/>
  <c r="AL26" i="2"/>
  <c r="J67" i="2" s="1"/>
  <c r="G29" i="2"/>
  <c r="I50" i="2" s="1"/>
  <c r="H29" i="2"/>
  <c r="J50" i="2" s="1"/>
  <c r="Q29" i="2"/>
  <c r="R29" i="2"/>
  <c r="J56" i="2" s="1"/>
  <c r="AA29" i="2"/>
  <c r="AB29" i="2"/>
  <c r="K91" i="2" s="1"/>
  <c r="T45" i="1" s="1"/>
  <c r="AK29" i="2"/>
  <c r="AL29" i="2"/>
  <c r="G32" i="2"/>
  <c r="M44" i="2" s="1"/>
  <c r="H32" i="2"/>
  <c r="J51" i="2" s="1"/>
  <c r="Q32" i="2"/>
  <c r="R32" i="2"/>
  <c r="AA32" i="2"/>
  <c r="L94" i="2" s="1"/>
  <c r="AB32" i="2"/>
  <c r="J63" i="2" s="1"/>
  <c r="AK32" i="2"/>
  <c r="AL32" i="2"/>
  <c r="AH38" i="2"/>
  <c r="AL38" i="2" s="1"/>
  <c r="AP38" i="2" s="1"/>
  <c r="AT38" i="2" s="1"/>
  <c r="AX38" i="2" s="1"/>
  <c r="D39" i="2"/>
  <c r="D40" i="2" s="1"/>
  <c r="F39" i="2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N39" i="2"/>
  <c r="Y39" i="2"/>
  <c r="AJ39" i="2" s="1"/>
  <c r="AB39" i="2"/>
  <c r="AU39" i="2"/>
  <c r="BE39" i="2"/>
  <c r="N40" i="2"/>
  <c r="BE40" i="2"/>
  <c r="BE41" i="2" s="1"/>
  <c r="BE42" i="2" s="1"/>
  <c r="BE43" i="2" s="1"/>
  <c r="BE44" i="2" s="1"/>
  <c r="BE45" i="2" s="1"/>
  <c r="BE46" i="2" s="1"/>
  <c r="BE47" i="2" s="1"/>
  <c r="BE48" i="2" s="1"/>
  <c r="BE49" i="2" s="1"/>
  <c r="BE50" i="2" s="1"/>
  <c r="BE51" i="2" s="1"/>
  <c r="BE52" i="2" s="1"/>
  <c r="BE53" i="2" s="1"/>
  <c r="BE54" i="2" s="1"/>
  <c r="BE55" i="2" s="1"/>
  <c r="BE56" i="2" s="1"/>
  <c r="BE57" i="2" s="1"/>
  <c r="BE58" i="2" s="1"/>
  <c r="BE59" i="2" s="1"/>
  <c r="BE60" i="2" s="1"/>
  <c r="BE61" i="2" s="1"/>
  <c r="BE62" i="2" s="1"/>
  <c r="BE63" i="2" s="1"/>
  <c r="BE64" i="2" s="1"/>
  <c r="D41" i="2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M41" i="2"/>
  <c r="O41" i="2"/>
  <c r="N42" i="2"/>
  <c r="N43" i="2"/>
  <c r="N44" i="2"/>
  <c r="P44" i="2"/>
  <c r="J47" i="2"/>
  <c r="I48" i="2"/>
  <c r="Q48" i="2"/>
  <c r="E85" i="2" s="1"/>
  <c r="Q52" i="2"/>
  <c r="H77" i="2" s="1"/>
  <c r="N31" i="1" s="1"/>
  <c r="J54" i="2"/>
  <c r="J55" i="2"/>
  <c r="Q55" i="2"/>
  <c r="H89" i="2" s="1"/>
  <c r="N43" i="1" s="1"/>
  <c r="Q56" i="2"/>
  <c r="I57" i="2"/>
  <c r="Q57" i="2"/>
  <c r="H97" i="2" s="1"/>
  <c r="N51" i="1" s="1"/>
  <c r="J58" i="2"/>
  <c r="I60" i="2"/>
  <c r="Q60" i="2"/>
  <c r="J66" i="2"/>
  <c r="Q67" i="2"/>
  <c r="N89" i="2" s="1"/>
  <c r="Z43" i="1" s="1"/>
  <c r="I68" i="2"/>
  <c r="Q68" i="2"/>
  <c r="N93" i="2" s="1"/>
  <c r="I69" i="2"/>
  <c r="AH71" i="2"/>
  <c r="AL71" i="2"/>
  <c r="AP71" i="2" s="1"/>
  <c r="AT71" i="2" s="1"/>
  <c r="AX71" i="2"/>
  <c r="Y72" i="2"/>
  <c r="Y73" i="2" s="1"/>
  <c r="Y74" i="2" s="1"/>
  <c r="Y75" i="2" s="1"/>
  <c r="Y76" i="2" s="1"/>
  <c r="Y77" i="2" s="1"/>
  <c r="Y78" i="2" s="1"/>
  <c r="Y79" i="2" s="1"/>
  <c r="AA73" i="2"/>
  <c r="A75" i="2"/>
  <c r="E75" i="2"/>
  <c r="K75" i="2"/>
  <c r="T29" i="1" s="1"/>
  <c r="N75" i="2"/>
  <c r="Z29" i="1" s="1"/>
  <c r="A79" i="2"/>
  <c r="E79" i="2"/>
  <c r="H33" i="1" s="1"/>
  <c r="H79" i="2"/>
  <c r="N33" i="1" s="1"/>
  <c r="K79" i="2"/>
  <c r="T33" i="1" s="1"/>
  <c r="A80" i="2"/>
  <c r="A81" i="2"/>
  <c r="A35" i="1" s="1"/>
  <c r="A83" i="2"/>
  <c r="A37" i="1" s="1"/>
  <c r="E83" i="2"/>
  <c r="H83" i="2"/>
  <c r="N37" i="1" s="1"/>
  <c r="N83" i="2"/>
  <c r="AA84" i="2"/>
  <c r="K85" i="2"/>
  <c r="T39" i="1" s="1"/>
  <c r="B86" i="2"/>
  <c r="F86" i="2"/>
  <c r="Z86" i="2"/>
  <c r="A87" i="2"/>
  <c r="A41" i="1" s="1"/>
  <c r="E87" i="2"/>
  <c r="H41" i="1" s="1"/>
  <c r="N87" i="2"/>
  <c r="Z41" i="1" s="1"/>
  <c r="AA87" i="2"/>
  <c r="A88" i="2"/>
  <c r="A42" i="1" s="1"/>
  <c r="AA88" i="2"/>
  <c r="B90" i="2"/>
  <c r="C44" i="1" s="1"/>
  <c r="A91" i="2"/>
  <c r="A45" i="1" s="1"/>
  <c r="E91" i="2"/>
  <c r="H45" i="1" s="1"/>
  <c r="H91" i="2"/>
  <c r="Z91" i="2"/>
  <c r="A92" i="2"/>
  <c r="A46" i="1" s="1"/>
  <c r="Z92" i="2"/>
  <c r="A93" i="2"/>
  <c r="A47" i="1" s="1"/>
  <c r="H93" i="2"/>
  <c r="N47" i="1" s="1"/>
  <c r="Z93" i="2"/>
  <c r="B94" i="2"/>
  <c r="C48" i="1" s="1"/>
  <c r="Z94" i="2"/>
  <c r="AA94" i="2"/>
  <c r="E95" i="2"/>
  <c r="AA95" i="2"/>
  <c r="A96" i="2"/>
  <c r="A50" i="1" s="1"/>
  <c r="A97" i="2"/>
  <c r="G112" i="2"/>
  <c r="G113" i="2"/>
  <c r="L129" i="2"/>
  <c r="AH1" i="1"/>
  <c r="AI1" i="1" s="1"/>
  <c r="H2" i="1"/>
  <c r="AH2" i="1"/>
  <c r="AI2" i="1" s="1"/>
  <c r="H4" i="1"/>
  <c r="H5" i="1"/>
  <c r="Q5" i="1"/>
  <c r="T6" i="1"/>
  <c r="I7" i="1"/>
  <c r="I8" i="1"/>
  <c r="AB11" i="1"/>
  <c r="G105" i="2" s="1"/>
  <c r="I105" i="2" s="1"/>
  <c r="AB13" i="1"/>
  <c r="G106" i="2" s="1"/>
  <c r="I106" i="2" s="1"/>
  <c r="AB15" i="1"/>
  <c r="AB17" i="1"/>
  <c r="G108" i="2" s="1"/>
  <c r="I108" i="2" s="1"/>
  <c r="AB19" i="1"/>
  <c r="G109" i="2" s="1"/>
  <c r="I109" i="2" s="1"/>
  <c r="AB21" i="1"/>
  <c r="G110" i="2" s="1"/>
  <c r="I110" i="2" s="1"/>
  <c r="C27" i="1"/>
  <c r="D27" i="1"/>
  <c r="E27" i="1"/>
  <c r="H27" i="1"/>
  <c r="J27" i="1"/>
  <c r="K27" i="1"/>
  <c r="N27" i="1"/>
  <c r="P27" i="1"/>
  <c r="Q27" i="1"/>
  <c r="T27" i="1"/>
  <c r="V27" i="1"/>
  <c r="W27" i="1"/>
  <c r="Z27" i="1"/>
  <c r="D28" i="1"/>
  <c r="J28" i="1"/>
  <c r="P28" i="1"/>
  <c r="V28" i="1"/>
  <c r="A29" i="1"/>
  <c r="H29" i="1"/>
  <c r="D32" i="1"/>
  <c r="J32" i="1"/>
  <c r="P32" i="1"/>
  <c r="V32" i="1"/>
  <c r="A33" i="1"/>
  <c r="A34" i="1"/>
  <c r="D36" i="1"/>
  <c r="J36" i="1"/>
  <c r="P36" i="1"/>
  <c r="V36" i="1"/>
  <c r="H37" i="1"/>
  <c r="Z37" i="1"/>
  <c r="H39" i="1"/>
  <c r="C40" i="1"/>
  <c r="D40" i="1"/>
  <c r="J40" i="1"/>
  <c r="P40" i="1"/>
  <c r="V40" i="1"/>
  <c r="D44" i="1"/>
  <c r="J44" i="1"/>
  <c r="P44" i="1"/>
  <c r="V44" i="1"/>
  <c r="N45" i="1"/>
  <c r="Z47" i="1"/>
  <c r="D48" i="1"/>
  <c r="J48" i="1"/>
  <c r="P48" i="1"/>
  <c r="V48" i="1"/>
  <c r="H49" i="1"/>
  <c r="AC49" i="1"/>
  <c r="AD49" i="1"/>
  <c r="AE49" i="1"/>
  <c r="AF49" i="1"/>
  <c r="AO49" i="1" s="1"/>
  <c r="AN49" i="1"/>
  <c r="AC50" i="1"/>
  <c r="AD50" i="1"/>
  <c r="AE50" i="1"/>
  <c r="AN50" i="1" s="1"/>
  <c r="AF50" i="1"/>
  <c r="A51" i="1"/>
  <c r="AC51" i="1"/>
  <c r="AD51" i="1"/>
  <c r="AE51" i="1"/>
  <c r="AN51" i="1" s="1"/>
  <c r="AF51" i="1"/>
  <c r="AO51" i="1" s="1"/>
  <c r="AI12" i="6" l="1"/>
  <c r="AG118" i="6"/>
  <c r="AH118" i="6"/>
  <c r="AX112" i="6"/>
  <c r="AG112" i="6"/>
  <c r="I128" i="6"/>
  <c r="AS40" i="6"/>
  <c r="M40" i="6"/>
  <c r="K95" i="2"/>
  <c r="T49" i="1" s="1"/>
  <c r="AO39" i="2"/>
  <c r="AI39" i="2"/>
  <c r="AX130" i="6"/>
  <c r="AC83" i="6"/>
  <c r="R73" i="6"/>
  <c r="AL69" i="6"/>
  <c r="AH48" i="6"/>
  <c r="AU12" i="6"/>
  <c r="AL34" i="6"/>
  <c r="AX34" i="6"/>
  <c r="AH34" i="6"/>
  <c r="R34" i="6"/>
  <c r="AA90" i="2"/>
  <c r="AA82" i="2"/>
  <c r="AA78" i="2"/>
  <c r="H75" i="2"/>
  <c r="N29" i="1" s="1"/>
  <c r="I66" i="2"/>
  <c r="Q51" i="2"/>
  <c r="E97" i="2" s="1"/>
  <c r="H51" i="1" s="1"/>
  <c r="P42" i="2"/>
  <c r="AM39" i="2"/>
  <c r="AD136" i="6"/>
  <c r="E133" i="6"/>
  <c r="D133" i="6" s="1"/>
  <c r="E134" i="6" s="1"/>
  <c r="D127" i="6"/>
  <c r="F128" i="6" s="1"/>
  <c r="AO126" i="6"/>
  <c r="Z126" i="6"/>
  <c r="I126" i="6"/>
  <c r="N118" i="6"/>
  <c r="R108" i="6"/>
  <c r="V106" i="6"/>
  <c r="AX102" i="6"/>
  <c r="AH102" i="6"/>
  <c r="R102" i="6"/>
  <c r="D84" i="6"/>
  <c r="AX67" i="6"/>
  <c r="AH67" i="6"/>
  <c r="R67" i="6"/>
  <c r="F63" i="6"/>
  <c r="V50" i="6"/>
  <c r="AD46" i="6"/>
  <c r="AG34" i="6"/>
  <c r="N32" i="6"/>
  <c r="AX24" i="6"/>
  <c r="R24" i="6"/>
  <c r="J16" i="6"/>
  <c r="X26" i="8"/>
  <c r="W17" i="8"/>
  <c r="W7" i="8"/>
  <c r="Q66" i="2"/>
  <c r="N85" i="2" s="1"/>
  <c r="Z39" i="1" s="1"/>
  <c r="AC23" i="2"/>
  <c r="K60" i="2" s="1"/>
  <c r="Y128" i="6"/>
  <c r="AA97" i="2"/>
  <c r="A95" i="2"/>
  <c r="A49" i="1" s="1"/>
  <c r="F90" i="2"/>
  <c r="K87" i="2"/>
  <c r="T41" i="1" s="1"/>
  <c r="A85" i="2"/>
  <c r="A39" i="1" s="1"/>
  <c r="AA81" i="2"/>
  <c r="B78" i="2"/>
  <c r="C32" i="1" s="1"/>
  <c r="Q64" i="2"/>
  <c r="N77" i="2" s="1"/>
  <c r="Z31" i="1" s="1"/>
  <c r="Y40" i="2"/>
  <c r="AS40" i="2" s="1"/>
  <c r="AL39" i="2"/>
  <c r="AZ16" i="4"/>
  <c r="AH134" i="6"/>
  <c r="AH130" i="6"/>
  <c r="AK126" i="6"/>
  <c r="U126" i="6"/>
  <c r="E125" i="6"/>
  <c r="E126" i="6" s="1"/>
  <c r="AE98" i="6"/>
  <c r="E117" i="6"/>
  <c r="D117" i="6" s="1"/>
  <c r="E118" i="6" s="1"/>
  <c r="E107" i="6"/>
  <c r="E108" i="6" s="1"/>
  <c r="V102" i="6"/>
  <c r="AT102" i="6"/>
  <c r="N102" i="6"/>
  <c r="AG98" i="6"/>
  <c r="F99" i="6"/>
  <c r="M81" i="6"/>
  <c r="V75" i="6"/>
  <c r="R65" i="6"/>
  <c r="AL65" i="6"/>
  <c r="V65" i="6"/>
  <c r="AS63" i="6"/>
  <c r="AM55" i="6"/>
  <c r="N46" i="6"/>
  <c r="AL44" i="6"/>
  <c r="V42" i="6"/>
  <c r="AS24" i="6"/>
  <c r="M24" i="6"/>
  <c r="N20" i="6"/>
  <c r="V16" i="6"/>
  <c r="AT108" i="6"/>
  <c r="AK39" i="2"/>
  <c r="E110" i="6"/>
  <c r="R106" i="6"/>
  <c r="J81" i="6"/>
  <c r="R71" i="6"/>
  <c r="N59" i="6"/>
  <c r="J22" i="6"/>
  <c r="F20" i="6"/>
  <c r="AQ39" i="2"/>
  <c r="J77" i="6"/>
  <c r="AA89" i="2"/>
  <c r="AA76" i="2"/>
  <c r="J62" i="2"/>
  <c r="M27" i="2"/>
  <c r="R130" i="6"/>
  <c r="AP130" i="6"/>
  <c r="Z130" i="6"/>
  <c r="J130" i="6"/>
  <c r="K98" i="6"/>
  <c r="G113" i="6"/>
  <c r="E111" i="6"/>
  <c r="D109" i="6"/>
  <c r="AX106" i="6"/>
  <c r="N106" i="6"/>
  <c r="AP93" i="6"/>
  <c r="N83" i="6"/>
  <c r="AP81" i="6"/>
  <c r="AL63" i="6"/>
  <c r="AT50" i="6"/>
  <c r="V44" i="6"/>
  <c r="AT38" i="6"/>
  <c r="Q34" i="6"/>
  <c r="V26" i="6"/>
  <c r="AW24" i="6"/>
  <c r="AL20" i="6"/>
  <c r="AA30" i="8"/>
  <c r="AA96" i="2"/>
  <c r="A89" i="2"/>
  <c r="A43" i="1" s="1"/>
  <c r="AA86" i="2"/>
  <c r="K83" i="2"/>
  <c r="T37" i="1" s="1"/>
  <c r="N41" i="2"/>
  <c r="AV39" i="2"/>
  <c r="AG132" i="6"/>
  <c r="V130" i="6"/>
  <c r="AS128" i="6"/>
  <c r="AC128" i="6"/>
  <c r="AX126" i="6"/>
  <c r="AH126" i="6"/>
  <c r="R126" i="6"/>
  <c r="E115" i="6"/>
  <c r="E113" i="6"/>
  <c r="AW110" i="6"/>
  <c r="AG110" i="6"/>
  <c r="Q110" i="6"/>
  <c r="AP108" i="6"/>
  <c r="AP102" i="6"/>
  <c r="Z102" i="6"/>
  <c r="J102" i="6"/>
  <c r="AT85" i="6"/>
  <c r="AD85" i="6"/>
  <c r="N85" i="6"/>
  <c r="AW83" i="6"/>
  <c r="AG83" i="6"/>
  <c r="R83" i="6"/>
  <c r="E81" i="6"/>
  <c r="V77" i="6"/>
  <c r="AH75" i="6"/>
  <c r="V73" i="6"/>
  <c r="AL71" i="6"/>
  <c r="V71" i="6"/>
  <c r="I67" i="6"/>
  <c r="AT48" i="6"/>
  <c r="AS42" i="6"/>
  <c r="AD42" i="6"/>
  <c r="M42" i="6"/>
  <c r="AK12" i="6"/>
  <c r="AY12" i="6"/>
  <c r="P60" i="2"/>
  <c r="E88" i="2"/>
  <c r="H42" i="1" s="1"/>
  <c r="E40" i="1"/>
  <c r="F94" i="2"/>
  <c r="E94" i="2" s="1"/>
  <c r="H48" i="1" s="1"/>
  <c r="I94" i="2"/>
  <c r="Q62" i="2"/>
  <c r="K93" i="2" s="1"/>
  <c r="T47" i="1" s="1"/>
  <c r="L90" i="2"/>
  <c r="K90" i="2" s="1"/>
  <c r="T44" i="1" s="1"/>
  <c r="I62" i="2"/>
  <c r="AT39" i="2"/>
  <c r="O43" i="2"/>
  <c r="AR39" i="2"/>
  <c r="M43" i="2"/>
  <c r="Q50" i="2"/>
  <c r="E93" i="2" s="1"/>
  <c r="H47" i="1" s="1"/>
  <c r="E90" i="2"/>
  <c r="H44" i="1" s="1"/>
  <c r="E44" i="1"/>
  <c r="E92" i="2"/>
  <c r="H46" i="1" s="1"/>
  <c r="P58" i="2"/>
  <c r="P48" i="2"/>
  <c r="P50" i="2"/>
  <c r="P61" i="2"/>
  <c r="P59" i="2"/>
  <c r="P66" i="2"/>
  <c r="P69" i="2"/>
  <c r="P55" i="2"/>
  <c r="P67" i="2"/>
  <c r="P51" i="2"/>
  <c r="P53" i="2"/>
  <c r="P56" i="2"/>
  <c r="P57" i="2"/>
  <c r="P63" i="2"/>
  <c r="P65" i="2"/>
  <c r="P68" i="2"/>
  <c r="P49" i="2"/>
  <c r="B80" i="2"/>
  <c r="C34" i="1" s="1"/>
  <c r="AR40" i="2"/>
  <c r="AW40" i="2"/>
  <c r="AK40" i="2"/>
  <c r="AJ40" i="2"/>
  <c r="P54" i="2"/>
  <c r="P47" i="2"/>
  <c r="J69" i="2"/>
  <c r="N95" i="2"/>
  <c r="Z49" i="1" s="1"/>
  <c r="J57" i="2"/>
  <c r="H95" i="2"/>
  <c r="N49" i="1" s="1"/>
  <c r="T93" i="2"/>
  <c r="T86" i="2" s="1"/>
  <c r="AD14" i="1" s="1"/>
  <c r="J68" i="2"/>
  <c r="N91" i="2"/>
  <c r="Z45" i="1" s="1"/>
  <c r="Q46" i="6"/>
  <c r="R46" i="6"/>
  <c r="Q58" i="2"/>
  <c r="K77" i="2" s="1"/>
  <c r="T31" i="1" s="1"/>
  <c r="AD40" i="2"/>
  <c r="I58" i="2"/>
  <c r="H135" i="6"/>
  <c r="I136" i="6" s="1"/>
  <c r="AF115" i="6"/>
  <c r="AG116" i="6" s="1"/>
  <c r="AP73" i="6"/>
  <c r="AO73" i="6"/>
  <c r="AC40" i="6"/>
  <c r="AD40" i="6"/>
  <c r="I132" i="6"/>
  <c r="P117" i="6"/>
  <c r="Q118" i="6" s="1"/>
  <c r="AL87" i="6"/>
  <c r="AS85" i="6"/>
  <c r="AC85" i="6"/>
  <c r="AG81" i="6"/>
  <c r="AH81" i="6"/>
  <c r="K55" i="6"/>
  <c r="AX77" i="6"/>
  <c r="AG40" i="6"/>
  <c r="AH40" i="6"/>
  <c r="Q40" i="6"/>
  <c r="R40" i="6"/>
  <c r="AT20" i="6"/>
  <c r="Y29" i="8"/>
  <c r="AC14" i="8"/>
  <c r="AA20" i="8"/>
  <c r="Y23" i="8"/>
  <c r="V10" i="8"/>
  <c r="W14" i="8"/>
  <c r="AA23" i="8"/>
  <c r="Y10" i="8"/>
  <c r="AA29" i="8"/>
  <c r="Y7" i="8"/>
  <c r="Y14" i="8"/>
  <c r="Y20" i="8"/>
  <c r="AA26" i="8"/>
  <c r="S93" i="2"/>
  <c r="AF72" i="2"/>
  <c r="P46" i="2"/>
  <c r="M40" i="2"/>
  <c r="AF39" i="2"/>
  <c r="O39" i="2"/>
  <c r="AS39" i="2"/>
  <c r="I56" i="2"/>
  <c r="O11" i="4"/>
  <c r="AL132" i="6"/>
  <c r="AD132" i="6"/>
  <c r="F132" i="6"/>
  <c r="I130" i="6"/>
  <c r="M128" i="6"/>
  <c r="N128" i="6"/>
  <c r="F126" i="6"/>
  <c r="AS126" i="6"/>
  <c r="AC126" i="6"/>
  <c r="M126" i="6"/>
  <c r="O98" i="6"/>
  <c r="AJ117" i="6"/>
  <c r="AK118" i="6" s="1"/>
  <c r="AL118" i="6"/>
  <c r="AB115" i="6"/>
  <c r="AC116" i="6" s="1"/>
  <c r="AS110" i="6"/>
  <c r="AT110" i="6"/>
  <c r="AC110" i="6"/>
  <c r="AD110" i="6"/>
  <c r="M110" i="6"/>
  <c r="N110" i="6"/>
  <c r="U108" i="6"/>
  <c r="V108" i="6"/>
  <c r="AW102" i="6"/>
  <c r="Q102" i="6"/>
  <c r="Z89" i="6"/>
  <c r="AS83" i="6"/>
  <c r="AL83" i="6"/>
  <c r="AK83" i="6"/>
  <c r="V83" i="6"/>
  <c r="U83" i="6"/>
  <c r="AW81" i="6"/>
  <c r="AS81" i="6"/>
  <c r="AT81" i="6"/>
  <c r="Q55" i="6"/>
  <c r="AT71" i="6"/>
  <c r="AD71" i="6"/>
  <c r="AC71" i="6"/>
  <c r="N71" i="6"/>
  <c r="M71" i="6"/>
  <c r="AG67" i="6"/>
  <c r="G56" i="6"/>
  <c r="F56" i="6"/>
  <c r="D66" i="6"/>
  <c r="E72" i="6"/>
  <c r="D72" i="6" s="1"/>
  <c r="E73" i="6" s="1"/>
  <c r="D57" i="6"/>
  <c r="E64" i="6"/>
  <c r="G76" i="6"/>
  <c r="F77" i="6" s="1"/>
  <c r="AH46" i="6"/>
  <c r="AW42" i="6"/>
  <c r="AX42" i="6"/>
  <c r="AT40" i="6"/>
  <c r="L29" i="6"/>
  <c r="M30" i="6" s="1"/>
  <c r="AX28" i="6"/>
  <c r="AW28" i="6"/>
  <c r="AO28" i="6"/>
  <c r="AP28" i="6"/>
  <c r="AH28" i="6"/>
  <c r="Z28" i="6"/>
  <c r="R28" i="6"/>
  <c r="AC11" i="8"/>
  <c r="AC7" i="8"/>
  <c r="AD134" i="6"/>
  <c r="AP132" i="6"/>
  <c r="AO132" i="6"/>
  <c r="AW124" i="6"/>
  <c r="AX124" i="6"/>
  <c r="Q124" i="6"/>
  <c r="R124" i="6"/>
  <c r="AO77" i="6"/>
  <c r="AP77" i="6"/>
  <c r="AP67" i="6"/>
  <c r="AO67" i="6"/>
  <c r="AV31" i="6"/>
  <c r="AW32" i="6" s="1"/>
  <c r="AH18" i="2"/>
  <c r="AH28" i="2"/>
  <c r="AG89" i="6"/>
  <c r="AH89" i="6"/>
  <c r="AD87" i="6"/>
  <c r="F87" i="6"/>
  <c r="AL85" i="6"/>
  <c r="V85" i="6"/>
  <c r="U85" i="6"/>
  <c r="R81" i="6"/>
  <c r="Q81" i="6"/>
  <c r="Q67" i="6"/>
  <c r="AV49" i="6"/>
  <c r="AW50" i="6" s="1"/>
  <c r="Y46" i="6"/>
  <c r="B84" i="2"/>
  <c r="C38" i="1" s="1"/>
  <c r="S76" i="2"/>
  <c r="AC29" i="2"/>
  <c r="AC30" i="2" s="1"/>
  <c r="AC31" i="2" s="1"/>
  <c r="I23" i="2"/>
  <c r="E23" i="2" s="1"/>
  <c r="E24" i="2" s="1"/>
  <c r="AA72" i="2"/>
  <c r="AA74" i="2"/>
  <c r="AA77" i="2"/>
  <c r="AA80" i="2"/>
  <c r="AO50" i="1"/>
  <c r="AM50" i="1" s="1"/>
  <c r="AA93" i="2"/>
  <c r="AA92" i="2"/>
  <c r="AA91" i="2"/>
  <c r="AA83" i="2"/>
  <c r="B81" i="2"/>
  <c r="C35" i="1" s="1"/>
  <c r="AA79" i="2"/>
  <c r="B76" i="2"/>
  <c r="C30" i="1" s="1"/>
  <c r="J65" i="2"/>
  <c r="Q54" i="2"/>
  <c r="H85" i="2" s="1"/>
  <c r="N39" i="1" s="1"/>
  <c r="AH33" i="2"/>
  <c r="Q63" i="2"/>
  <c r="K97" i="2" s="1"/>
  <c r="T51" i="1" s="1"/>
  <c r="AX40" i="2"/>
  <c r="AL40" i="2"/>
  <c r="A76" i="2"/>
  <c r="A30" i="1" s="1"/>
  <c r="A77" i="2"/>
  <c r="A31" i="1" s="1"/>
  <c r="B82" i="2"/>
  <c r="C36" i="1" s="1"/>
  <c r="A84" i="2"/>
  <c r="A38" i="1" s="1"/>
  <c r="AV16" i="4"/>
  <c r="AA16" i="4"/>
  <c r="F136" i="6"/>
  <c r="AW132" i="6"/>
  <c r="R132" i="6"/>
  <c r="AW130" i="6"/>
  <c r="AT130" i="6"/>
  <c r="F130" i="6"/>
  <c r="AW128" i="6"/>
  <c r="AX128" i="6"/>
  <c r="AG128" i="6"/>
  <c r="Z128" i="6"/>
  <c r="Q128" i="6"/>
  <c r="J128" i="6"/>
  <c r="V126" i="6"/>
  <c r="Z124" i="6"/>
  <c r="AC98" i="6"/>
  <c r="M98" i="6"/>
  <c r="AX118" i="6"/>
  <c r="V118" i="6"/>
  <c r="U118" i="6"/>
  <c r="AL110" i="6"/>
  <c r="U110" i="6"/>
  <c r="F110" i="6"/>
  <c r="AW108" i="6"/>
  <c r="AX108" i="6"/>
  <c r="AG108" i="6"/>
  <c r="AH108" i="6"/>
  <c r="I108" i="6"/>
  <c r="J108" i="6"/>
  <c r="AS106" i="6"/>
  <c r="AT106" i="6"/>
  <c r="Y102" i="6"/>
  <c r="I98" i="6"/>
  <c r="I75" i="6"/>
  <c r="J75" i="6"/>
  <c r="AT69" i="6"/>
  <c r="AS69" i="6"/>
  <c r="AD69" i="6"/>
  <c r="AC69" i="6"/>
  <c r="V69" i="6"/>
  <c r="N69" i="6"/>
  <c r="J67" i="6"/>
  <c r="AG65" i="6"/>
  <c r="AH65" i="6"/>
  <c r="I65" i="6"/>
  <c r="J65" i="6"/>
  <c r="AX46" i="6"/>
  <c r="AP42" i="6"/>
  <c r="Z42" i="6"/>
  <c r="Y42" i="6"/>
  <c r="J42" i="6"/>
  <c r="I42" i="6"/>
  <c r="AB31" i="6"/>
  <c r="AC32" i="6" s="1"/>
  <c r="H31" i="6"/>
  <c r="I32" i="6" s="1"/>
  <c r="AP16" i="6"/>
  <c r="AO16" i="6"/>
  <c r="AG16" i="6"/>
  <c r="AH16" i="6"/>
  <c r="Z16" i="6"/>
  <c r="Y16" i="6"/>
  <c r="Q16" i="6"/>
  <c r="R16" i="6"/>
  <c r="Y30" i="8"/>
  <c r="Y17" i="8"/>
  <c r="AQ98" i="6"/>
  <c r="AA98" i="6"/>
  <c r="AO98" i="6"/>
  <c r="V93" i="6"/>
  <c r="AT89" i="6"/>
  <c r="AL89" i="6"/>
  <c r="V89" i="6"/>
  <c r="AL75" i="6"/>
  <c r="AW67" i="6"/>
  <c r="Y63" i="6"/>
  <c r="Z63" i="6"/>
  <c r="I63" i="6"/>
  <c r="J63" i="6"/>
  <c r="AP44" i="6"/>
  <c r="AO44" i="6"/>
  <c r="Z44" i="6"/>
  <c r="Y44" i="6"/>
  <c r="U38" i="6"/>
  <c r="V38" i="6"/>
  <c r="U12" i="6"/>
  <c r="AX26" i="6"/>
  <c r="AO26" i="6"/>
  <c r="AP26" i="6"/>
  <c r="AH26" i="6"/>
  <c r="R26" i="6"/>
  <c r="AH24" i="6"/>
  <c r="AG24" i="6"/>
  <c r="N136" i="6"/>
  <c r="AT134" i="6"/>
  <c r="R134" i="6"/>
  <c r="AK128" i="6"/>
  <c r="U128" i="6"/>
  <c r="E128" i="6"/>
  <c r="AW126" i="6"/>
  <c r="AG126" i="6"/>
  <c r="Q126" i="6"/>
  <c r="J126" i="6"/>
  <c r="AP116" i="6"/>
  <c r="J116" i="6"/>
  <c r="AS108" i="6"/>
  <c r="AC108" i="6"/>
  <c r="M108" i="6"/>
  <c r="Y98" i="6"/>
  <c r="Q98" i="6"/>
  <c r="AH93" i="6"/>
  <c r="AL91" i="6"/>
  <c r="AP91" i="6"/>
  <c r="R89" i="6"/>
  <c r="J89" i="6"/>
  <c r="AW85" i="6"/>
  <c r="AO85" i="6"/>
  <c r="AG85" i="6"/>
  <c r="Y85" i="6"/>
  <c r="Q85" i="6"/>
  <c r="AO83" i="6"/>
  <c r="Y83" i="6"/>
  <c r="Q83" i="6"/>
  <c r="I83" i="6"/>
  <c r="AC55" i="6"/>
  <c r="AT77" i="6"/>
  <c r="AL77" i="6"/>
  <c r="AD77" i="6"/>
  <c r="N77" i="6"/>
  <c r="AD73" i="6"/>
  <c r="AP69" i="6"/>
  <c r="AT65" i="6"/>
  <c r="AD65" i="6"/>
  <c r="N65" i="6"/>
  <c r="I59" i="6"/>
  <c r="J59" i="6"/>
  <c r="M55" i="6"/>
  <c r="AL50" i="6"/>
  <c r="AJ47" i="6"/>
  <c r="AK48" i="6" s="1"/>
  <c r="V34" i="6"/>
  <c r="F34" i="6"/>
  <c r="AG26" i="6"/>
  <c r="AK24" i="6"/>
  <c r="AL24" i="6"/>
  <c r="E24" i="6"/>
  <c r="F24" i="6"/>
  <c r="AC22" i="6"/>
  <c r="AD22" i="6"/>
  <c r="AW20" i="6"/>
  <c r="AX20" i="6"/>
  <c r="S12" i="6"/>
  <c r="U10" i="8"/>
  <c r="U14" i="8"/>
  <c r="U29" i="8"/>
  <c r="U30" i="8"/>
  <c r="U23" i="8"/>
  <c r="V14" i="8"/>
  <c r="V11" i="8"/>
  <c r="V20" i="8"/>
  <c r="AU55" i="6"/>
  <c r="AO55" i="6"/>
  <c r="W55" i="6"/>
  <c r="AH50" i="6"/>
  <c r="J50" i="6"/>
  <c r="J40" i="6"/>
  <c r="K12" i="6"/>
  <c r="AP34" i="6"/>
  <c r="Z34" i="6"/>
  <c r="J34" i="6"/>
  <c r="Z32" i="6"/>
  <c r="AT30" i="6"/>
  <c r="J30" i="6"/>
  <c r="AC12" i="6"/>
  <c r="I12" i="6"/>
  <c r="AD14" i="8"/>
  <c r="AK67" i="6"/>
  <c r="AD67" i="6"/>
  <c r="V67" i="6"/>
  <c r="N67" i="6"/>
  <c r="Y65" i="6"/>
  <c r="AL59" i="6"/>
  <c r="V59" i="6"/>
  <c r="I55" i="6"/>
  <c r="AX48" i="6"/>
  <c r="Z48" i="6"/>
  <c r="N44" i="6"/>
  <c r="AX44" i="6"/>
  <c r="AH44" i="6"/>
  <c r="R44" i="6"/>
  <c r="AK40" i="6"/>
  <c r="AH38" i="6"/>
  <c r="AL26" i="6"/>
  <c r="AO24" i="6"/>
  <c r="Y24" i="6"/>
  <c r="I24" i="6"/>
  <c r="Z22" i="6"/>
  <c r="AX22" i="6"/>
  <c r="AH22" i="6"/>
  <c r="R22" i="6"/>
  <c r="AW12" i="6"/>
  <c r="Z17" i="8"/>
  <c r="G107" i="2"/>
  <c r="I107" i="2" s="1"/>
  <c r="W23" i="1"/>
  <c r="K94" i="2"/>
  <c r="T48" i="1" s="1"/>
  <c r="K96" i="2"/>
  <c r="T50" i="1" s="1"/>
  <c r="Q48" i="1"/>
  <c r="E86" i="2"/>
  <c r="H40" i="1" s="1"/>
  <c r="H94" i="2"/>
  <c r="N48" i="1" s="1"/>
  <c r="AM51" i="1"/>
  <c r="Y80" i="2"/>
  <c r="AF79" i="2"/>
  <c r="AM49" i="1"/>
  <c r="H25" i="4"/>
  <c r="Y25" i="4" s="1"/>
  <c r="H26" i="4"/>
  <c r="Y26" i="4" s="1"/>
  <c r="H7" i="4"/>
  <c r="Y7" i="4" s="1"/>
  <c r="F20" i="4"/>
  <c r="W20" i="4" s="1"/>
  <c r="F25" i="4"/>
  <c r="W25" i="4" s="1"/>
  <c r="H20" i="4"/>
  <c r="Y20" i="4" s="1"/>
  <c r="F26" i="4"/>
  <c r="W26" i="4" s="1"/>
  <c r="F7" i="4"/>
  <c r="W7" i="4" s="1"/>
  <c r="I51" i="2"/>
  <c r="O82" i="2"/>
  <c r="I52" i="2"/>
  <c r="I74" i="2"/>
  <c r="F82" i="2"/>
  <c r="F74" i="2"/>
  <c r="I78" i="2"/>
  <c r="I90" i="2"/>
  <c r="O94" i="2"/>
  <c r="O86" i="2"/>
  <c r="I82" i="2"/>
  <c r="L74" i="2"/>
  <c r="F78" i="2"/>
  <c r="L82" i="2"/>
  <c r="D53" i="2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I86" i="2"/>
  <c r="O90" i="2"/>
  <c r="B85" i="2"/>
  <c r="C39" i="1" s="1"/>
  <c r="C31" i="2"/>
  <c r="J31" i="2" s="1"/>
  <c r="O50" i="2" s="1"/>
  <c r="F93" i="2" s="1"/>
  <c r="E47" i="1" s="1"/>
  <c r="W27" i="2"/>
  <c r="AD27" i="2" s="1"/>
  <c r="AP39" i="2"/>
  <c r="AP40" i="2"/>
  <c r="O42" i="2"/>
  <c r="I61" i="2"/>
  <c r="L86" i="2"/>
  <c r="T44" i="2"/>
  <c r="T67" i="2" s="1"/>
  <c r="G85" i="2"/>
  <c r="J39" i="1" s="1"/>
  <c r="AF73" i="2"/>
  <c r="AF74" i="2"/>
  <c r="AF75" i="2"/>
  <c r="AF76" i="2"/>
  <c r="AF77" i="2"/>
  <c r="AF78" i="2"/>
  <c r="AR17" i="2"/>
  <c r="D19" i="2"/>
  <c r="AB19" i="2"/>
  <c r="I20" i="2"/>
  <c r="S20" i="2"/>
  <c r="AC20" i="2"/>
  <c r="AM20" i="2"/>
  <c r="X21" i="2"/>
  <c r="AG21" i="2"/>
  <c r="AN21" i="2" s="1"/>
  <c r="B22" i="2"/>
  <c r="M22" i="2"/>
  <c r="T22" i="2" s="1"/>
  <c r="O53" i="2" s="1"/>
  <c r="I81" i="2" s="1"/>
  <c r="K35" i="1" s="1"/>
  <c r="X22" i="2"/>
  <c r="D24" i="2"/>
  <c r="M24" i="2"/>
  <c r="T24" i="2" s="1"/>
  <c r="V24" i="2"/>
  <c r="V25" i="2"/>
  <c r="AG25" i="2"/>
  <c r="B27" i="2"/>
  <c r="H28" i="2"/>
  <c r="D31" i="2"/>
  <c r="AB31" i="2"/>
  <c r="I32" i="2"/>
  <c r="S32" i="2"/>
  <c r="AC32" i="2"/>
  <c r="AM32" i="2"/>
  <c r="X33" i="2"/>
  <c r="AG33" i="2"/>
  <c r="AN33" i="2" s="1"/>
  <c r="B34" i="2"/>
  <c r="M34" i="2"/>
  <c r="T34" i="2" s="1"/>
  <c r="O57" i="2" s="1"/>
  <c r="I97" i="2" s="1"/>
  <c r="K51" i="1" s="1"/>
  <c r="X34" i="2"/>
  <c r="C18" i="2"/>
  <c r="J18" i="2" s="1"/>
  <c r="M18" i="2"/>
  <c r="T18" i="2" s="1"/>
  <c r="W18" i="2"/>
  <c r="AD18" i="2" s="1"/>
  <c r="AG18" i="2"/>
  <c r="AN18" i="2" s="1"/>
  <c r="B19" i="2"/>
  <c r="N19" i="2"/>
  <c r="D21" i="2"/>
  <c r="N21" i="2"/>
  <c r="AF22" i="2"/>
  <c r="B24" i="2"/>
  <c r="L24" i="2"/>
  <c r="W24" i="2"/>
  <c r="AD24" i="2" s="1"/>
  <c r="AG24" i="2"/>
  <c r="AN24" i="2" s="1"/>
  <c r="C25" i="2"/>
  <c r="J25" i="2" s="1"/>
  <c r="O48" i="2" s="1"/>
  <c r="F85" i="2" s="1"/>
  <c r="E39" i="1" s="1"/>
  <c r="AG28" i="2"/>
  <c r="AN28" i="2" s="1"/>
  <c r="O67" i="2" s="1"/>
  <c r="O89" i="2" s="1"/>
  <c r="W43" i="1" s="1"/>
  <c r="AM29" i="2"/>
  <c r="W31" i="2"/>
  <c r="AD31" i="2" s="1"/>
  <c r="O62" i="2" s="1"/>
  <c r="L93" i="2" s="1"/>
  <c r="Q47" i="1" s="1"/>
  <c r="AR32" i="2"/>
  <c r="N34" i="2"/>
  <c r="AB34" i="2"/>
  <c r="AM17" i="2"/>
  <c r="I17" i="2"/>
  <c r="B18" i="2"/>
  <c r="L18" i="2"/>
  <c r="V18" i="2"/>
  <c r="AF18" i="2"/>
  <c r="M19" i="2"/>
  <c r="T19" i="2" s="1"/>
  <c r="O52" i="2" s="1"/>
  <c r="I77" i="2" s="1"/>
  <c r="K31" i="1" s="1"/>
  <c r="C21" i="2"/>
  <c r="J21" i="2" s="1"/>
  <c r="M21" i="2"/>
  <c r="T21" i="2" s="1"/>
  <c r="W21" i="2"/>
  <c r="AD21" i="2" s="1"/>
  <c r="AH21" i="2"/>
  <c r="D22" i="2"/>
  <c r="R22" i="2"/>
  <c r="AR23" i="2"/>
  <c r="AF24" i="2"/>
  <c r="B25" i="2"/>
  <c r="N25" i="2"/>
  <c r="AB25" i="2"/>
  <c r="D27" i="2"/>
  <c r="N27" i="2"/>
  <c r="X27" i="2"/>
  <c r="AH27" i="2"/>
  <c r="D28" i="2"/>
  <c r="R28" i="2"/>
  <c r="AF28" i="2"/>
  <c r="V31" i="2"/>
  <c r="AH31" i="2"/>
  <c r="L34" i="2"/>
  <c r="N18" i="2"/>
  <c r="R19" i="2"/>
  <c r="AG19" i="2"/>
  <c r="N22" i="2"/>
  <c r="AG22" i="2"/>
  <c r="AN22" i="2" s="1"/>
  <c r="O65" i="2" s="1"/>
  <c r="O81" i="2" s="1"/>
  <c r="W35" i="1" s="1"/>
  <c r="AH24" i="2"/>
  <c r="H25" i="2"/>
  <c r="X25" i="2"/>
  <c r="C27" i="2"/>
  <c r="J27" i="2" s="1"/>
  <c r="C28" i="2"/>
  <c r="J28" i="2" s="1"/>
  <c r="O49" i="2" s="1"/>
  <c r="F89" i="2" s="1"/>
  <c r="E43" i="1" s="1"/>
  <c r="W28" i="2"/>
  <c r="W30" i="2"/>
  <c r="AD30" i="2" s="1"/>
  <c r="M31" i="2"/>
  <c r="T31" i="2" s="1"/>
  <c r="O56" i="2" s="1"/>
  <c r="I93" i="2" s="1"/>
  <c r="K47" i="1" s="1"/>
  <c r="D33" i="2"/>
  <c r="AF33" i="2"/>
  <c r="V34" i="2"/>
  <c r="X9" i="2"/>
  <c r="AC17" i="2"/>
  <c r="V19" i="2"/>
  <c r="AL19" i="2"/>
  <c r="B21" i="2"/>
  <c r="C22" i="2"/>
  <c r="J22" i="2" s="1"/>
  <c r="O47" i="2" s="1"/>
  <c r="F81" i="2" s="1"/>
  <c r="E35" i="1" s="1"/>
  <c r="V22" i="2"/>
  <c r="AM23" i="2"/>
  <c r="M25" i="2"/>
  <c r="T25" i="2" s="1"/>
  <c r="O54" i="2" s="1"/>
  <c r="I85" i="2" s="1"/>
  <c r="K39" i="1" s="1"/>
  <c r="AF25" i="2"/>
  <c r="V27" i="2"/>
  <c r="L28" i="2"/>
  <c r="AB28" i="2"/>
  <c r="S29" i="2"/>
  <c r="B30" i="2"/>
  <c r="N30" i="2"/>
  <c r="B31" i="2"/>
  <c r="AL31" i="2"/>
  <c r="W33" i="2"/>
  <c r="L19" i="2"/>
  <c r="AF19" i="2"/>
  <c r="V21" i="2"/>
  <c r="L22" i="2"/>
  <c r="S23" i="2"/>
  <c r="W25" i="2"/>
  <c r="AD25" i="2" s="1"/>
  <c r="O60" i="2" s="1"/>
  <c r="L85" i="2" s="1"/>
  <c r="Q39" i="1" s="1"/>
  <c r="AR26" i="2"/>
  <c r="B28" i="2"/>
  <c r="V28" i="2"/>
  <c r="AL28" i="2"/>
  <c r="V30" i="2"/>
  <c r="AH30" i="2"/>
  <c r="L31" i="2"/>
  <c r="C33" i="2"/>
  <c r="J33" i="2" s="1"/>
  <c r="D34" i="2"/>
  <c r="AL34" i="2"/>
  <c r="C19" i="2"/>
  <c r="J19" i="2" s="1"/>
  <c r="O46" i="2" s="1"/>
  <c r="F77" i="2" s="1"/>
  <c r="E31" i="1" s="1"/>
  <c r="L21" i="2"/>
  <c r="AF21" i="2"/>
  <c r="AC26" i="2"/>
  <c r="M28" i="2"/>
  <c r="T28" i="2" s="1"/>
  <c r="O55" i="2" s="1"/>
  <c r="I89" i="2" s="1"/>
  <c r="K43" i="1" s="1"/>
  <c r="L30" i="2"/>
  <c r="AF30" i="2"/>
  <c r="R31" i="2"/>
  <c r="S17" i="2"/>
  <c r="D18" i="2"/>
  <c r="X18" i="2"/>
  <c r="H19" i="2"/>
  <c r="AH19" i="2"/>
  <c r="W22" i="2"/>
  <c r="X24" i="2"/>
  <c r="D25" i="2"/>
  <c r="AH25" i="2"/>
  <c r="AF27" i="2"/>
  <c r="N28" i="2"/>
  <c r="M30" i="2"/>
  <c r="T30" i="2" s="1"/>
  <c r="AG30" i="2"/>
  <c r="AN30" i="2" s="1"/>
  <c r="V33" i="2"/>
  <c r="C34" i="2"/>
  <c r="J34" i="2" s="1"/>
  <c r="O51" i="2" s="1"/>
  <c r="F97" i="2" s="1"/>
  <c r="E51" i="1" s="1"/>
  <c r="AF34" i="2"/>
  <c r="C24" i="2"/>
  <c r="J24" i="2" s="1"/>
  <c r="L27" i="2"/>
  <c r="AG27" i="2"/>
  <c r="AN27" i="2" s="1"/>
  <c r="X31" i="2"/>
  <c r="B33" i="2"/>
  <c r="H34" i="2"/>
  <c r="AG34" i="2"/>
  <c r="AN34" i="2" s="1"/>
  <c r="O69" i="2" s="1"/>
  <c r="O97" i="2" s="1"/>
  <c r="W51" i="1" s="1"/>
  <c r="X19" i="2"/>
  <c r="I26" i="2"/>
  <c r="N31" i="2"/>
  <c r="N33" i="2"/>
  <c r="W34" i="2"/>
  <c r="AD34" i="2" s="1"/>
  <c r="O63" i="2" s="1"/>
  <c r="L97" i="2" s="1"/>
  <c r="Q51" i="1" s="1"/>
  <c r="B89" i="2"/>
  <c r="C43" i="1" s="1"/>
  <c r="B92" i="2"/>
  <c r="C46" i="1" s="1"/>
  <c r="B96" i="2"/>
  <c r="C50" i="1" s="1"/>
  <c r="N24" i="2"/>
  <c r="S26" i="2"/>
  <c r="AL22" i="2"/>
  <c r="R25" i="2"/>
  <c r="I29" i="2"/>
  <c r="X30" i="2"/>
  <c r="AG31" i="2"/>
  <c r="AN31" i="2" s="1"/>
  <c r="O68" i="2" s="1"/>
  <c r="O93" i="2" s="1"/>
  <c r="W47" i="1" s="1"/>
  <c r="B93" i="2"/>
  <c r="C47" i="1" s="1"/>
  <c r="L33" i="2"/>
  <c r="R34" i="2"/>
  <c r="B88" i="2"/>
  <c r="C42" i="1" s="1"/>
  <c r="B97" i="2"/>
  <c r="C51" i="1" s="1"/>
  <c r="Y29" i="2"/>
  <c r="Y30" i="2" s="1"/>
  <c r="Y23" i="2"/>
  <c r="Y24" i="2" s="1"/>
  <c r="AK134" i="6"/>
  <c r="AL134" i="6"/>
  <c r="AF31" i="2"/>
  <c r="D30" i="2"/>
  <c r="AM26" i="2"/>
  <c r="AC24" i="2"/>
  <c r="AC25" i="2" s="1"/>
  <c r="AH39" i="2"/>
  <c r="AH40" i="2"/>
  <c r="Q59" i="2"/>
  <c r="K81" i="2" s="1"/>
  <c r="T35" i="1" s="1"/>
  <c r="L78" i="2"/>
  <c r="O40" i="2"/>
  <c r="I59" i="2"/>
  <c r="W19" i="2"/>
  <c r="AD19" i="2" s="1"/>
  <c r="O58" i="2" s="1"/>
  <c r="L77" i="2" s="1"/>
  <c r="Q31" i="1" s="1"/>
  <c r="M33" i="2"/>
  <c r="T33" i="2" s="1"/>
  <c r="C30" i="2"/>
  <c r="J30" i="2" s="1"/>
  <c r="X28" i="2"/>
  <c r="M42" i="2"/>
  <c r="AN39" i="2"/>
  <c r="AN40" i="2"/>
  <c r="I49" i="2"/>
  <c r="Q49" i="2"/>
  <c r="E89" i="2" s="1"/>
  <c r="H43" i="1" s="1"/>
  <c r="AH22" i="2"/>
  <c r="AH34" i="2"/>
  <c r="H31" i="2"/>
  <c r="AR29" i="2"/>
  <c r="AB22" i="2"/>
  <c r="B77" i="2"/>
  <c r="C31" i="1" s="1"/>
  <c r="AL25" i="2"/>
  <c r="AR20" i="2"/>
  <c r="AE40" i="2"/>
  <c r="AE39" i="2"/>
  <c r="O74" i="2"/>
  <c r="P39" i="2"/>
  <c r="AX39" i="2"/>
  <c r="O44" i="2"/>
  <c r="I63" i="2"/>
  <c r="AA85" i="2"/>
  <c r="AG40" i="2"/>
  <c r="I53" i="2"/>
  <c r="Q53" i="2"/>
  <c r="H81" i="2" s="1"/>
  <c r="N35" i="1" s="1"/>
  <c r="AG39" i="2"/>
  <c r="AD39" i="2"/>
  <c r="I65" i="2"/>
  <c r="O78" i="2"/>
  <c r="P40" i="2"/>
  <c r="AI40" i="2"/>
  <c r="Q65" i="2"/>
  <c r="N81" i="2" s="1"/>
  <c r="Z35" i="1" s="1"/>
  <c r="AM40" i="2"/>
  <c r="AQ40" i="2"/>
  <c r="Y41" i="2"/>
  <c r="AE41" i="2" s="1"/>
  <c r="AC40" i="2"/>
  <c r="AO40" i="2"/>
  <c r="AT40" i="2"/>
  <c r="AB40" i="2"/>
  <c r="W16" i="4"/>
  <c r="AU16" i="4"/>
  <c r="Y16" i="4"/>
  <c r="AX16" i="4"/>
  <c r="X16" i="4"/>
  <c r="AY16" i="4"/>
  <c r="AW16" i="4"/>
  <c r="AB16" i="4"/>
  <c r="AU40" i="2"/>
  <c r="P43" i="2"/>
  <c r="I47" i="2"/>
  <c r="Q47" i="2"/>
  <c r="E81" i="2" s="1"/>
  <c r="H35" i="1" s="1"/>
  <c r="M39" i="2"/>
  <c r="I46" i="2"/>
  <c r="E12" i="2"/>
  <c r="T27" i="2"/>
  <c r="AD28" i="2"/>
  <c r="O61" i="2" s="1"/>
  <c r="L89" i="2" s="1"/>
  <c r="Q43" i="1" s="1"/>
  <c r="AN19" i="2"/>
  <c r="O64" i="2" s="1"/>
  <c r="O77" i="2" s="1"/>
  <c r="W31" i="1" s="1"/>
  <c r="AD22" i="2"/>
  <c r="O59" i="2" s="1"/>
  <c r="L81" i="2" s="1"/>
  <c r="Q35" i="1" s="1"/>
  <c r="AN25" i="2"/>
  <c r="O66" i="2" s="1"/>
  <c r="O85" i="2" s="1"/>
  <c r="W39" i="1" s="1"/>
  <c r="AD33" i="2"/>
  <c r="AY40" i="2"/>
  <c r="Q69" i="2"/>
  <c r="N97" i="2" s="1"/>
  <c r="Z51" i="1" s="1"/>
  <c r="AY39" i="2"/>
  <c r="AW39" i="2"/>
  <c r="E13" i="2"/>
  <c r="P64" i="2"/>
  <c r="P62" i="2"/>
  <c r="AT136" i="6"/>
  <c r="AX134" i="6"/>
  <c r="AS130" i="6"/>
  <c r="Y130" i="6"/>
  <c r="AD128" i="6"/>
  <c r="AO128" i="6"/>
  <c r="Y126" i="6"/>
  <c r="J124" i="6"/>
  <c r="AD126" i="6"/>
  <c r="F124" i="6"/>
  <c r="AL116" i="6"/>
  <c r="S98" i="6"/>
  <c r="I91" i="6"/>
  <c r="J91" i="6"/>
  <c r="AI55" i="6"/>
  <c r="AX136" i="6"/>
  <c r="AW136" i="6"/>
  <c r="AJ135" i="6"/>
  <c r="AK136" i="6" s="1"/>
  <c r="X135" i="6"/>
  <c r="Y136" i="6" s="1"/>
  <c r="V134" i="6"/>
  <c r="AL130" i="6"/>
  <c r="AW93" i="6"/>
  <c r="AX93" i="6"/>
  <c r="I93" i="6"/>
  <c r="J93" i="6"/>
  <c r="AG55" i="6"/>
  <c r="X133" i="6"/>
  <c r="Y134" i="6" s="1"/>
  <c r="Y132" i="6"/>
  <c r="AT128" i="6"/>
  <c r="J118" i="6"/>
  <c r="AX116" i="6"/>
  <c r="AW116" i="6"/>
  <c r="H133" i="6"/>
  <c r="I134" i="6" s="1"/>
  <c r="AT126" i="6"/>
  <c r="AF135" i="6"/>
  <c r="AG136" i="6" s="1"/>
  <c r="T135" i="6"/>
  <c r="U136" i="6" s="1"/>
  <c r="V116" i="6"/>
  <c r="D115" i="6"/>
  <c r="E116" i="6" s="1"/>
  <c r="Q93" i="6"/>
  <c r="R93" i="6"/>
  <c r="AP124" i="6"/>
  <c r="AH124" i="6"/>
  <c r="AG124" i="6"/>
  <c r="AY98" i="6"/>
  <c r="AM98" i="6"/>
  <c r="Y73" i="6"/>
  <c r="Z73" i="6"/>
  <c r="AN135" i="6"/>
  <c r="AO136" i="6" s="1"/>
  <c r="AP134" i="6"/>
  <c r="AL126" i="6"/>
  <c r="AL124" i="6"/>
  <c r="AT118" i="6"/>
  <c r="F118" i="6"/>
  <c r="AP118" i="6"/>
  <c r="AB117" i="6"/>
  <c r="AC118" i="6" s="1"/>
  <c r="AT116" i="6"/>
  <c r="R116" i="6"/>
  <c r="Q116" i="6"/>
  <c r="AW98" i="6"/>
  <c r="AK98" i="6"/>
  <c r="W98" i="6"/>
  <c r="R136" i="6"/>
  <c r="Q136" i="6"/>
  <c r="AU98" i="6"/>
  <c r="AI98" i="6"/>
  <c r="U98" i="6"/>
  <c r="G98" i="6"/>
  <c r="Y93" i="6"/>
  <c r="Z93" i="6"/>
  <c r="AW73" i="6"/>
  <c r="AX73" i="6"/>
  <c r="AY55" i="6"/>
  <c r="U48" i="6"/>
  <c r="V48" i="6"/>
  <c r="G115" i="6"/>
  <c r="AO106" i="6"/>
  <c r="Y106" i="6"/>
  <c r="I106" i="6"/>
  <c r="V91" i="6"/>
  <c r="AD91" i="6"/>
  <c r="G90" i="6"/>
  <c r="AK89" i="6"/>
  <c r="AT87" i="6"/>
  <c r="AC87" i="6"/>
  <c r="M85" i="6"/>
  <c r="AK77" i="6"/>
  <c r="Q73" i="6"/>
  <c r="AS71" i="6"/>
  <c r="U69" i="6"/>
  <c r="AX69" i="6"/>
  <c r="AH69" i="6"/>
  <c r="AG69" i="6"/>
  <c r="U67" i="6"/>
  <c r="U63" i="6"/>
  <c r="N63" i="6"/>
  <c r="M63" i="6"/>
  <c r="AK59" i="6"/>
  <c r="F57" i="6"/>
  <c r="AD50" i="6"/>
  <c r="F50" i="6"/>
  <c r="AG48" i="6"/>
  <c r="AD44" i="6"/>
  <c r="AC44" i="6"/>
  <c r="AL42" i="6"/>
  <c r="AG12" i="6"/>
  <c r="M12" i="6"/>
  <c r="V87" i="6"/>
  <c r="U87" i="6"/>
  <c r="AH83" i="6"/>
  <c r="AP83" i="6"/>
  <c r="AT67" i="6"/>
  <c r="AS67" i="6"/>
  <c r="AS55" i="6"/>
  <c r="E56" i="6"/>
  <c r="E57" i="6"/>
  <c r="G58" i="6"/>
  <c r="F59" i="6" s="1"/>
  <c r="E74" i="6"/>
  <c r="E82" i="6"/>
  <c r="F83" i="6" s="1"/>
  <c r="E84" i="6"/>
  <c r="F85" i="6" s="1"/>
  <c r="E70" i="6"/>
  <c r="G88" i="6"/>
  <c r="E90" i="6"/>
  <c r="E66" i="6"/>
  <c r="G72" i="6"/>
  <c r="F73" i="6" s="1"/>
  <c r="AW38" i="6"/>
  <c r="AX38" i="6"/>
  <c r="Q38" i="6"/>
  <c r="R38" i="6"/>
  <c r="AK22" i="6"/>
  <c r="AL22" i="6"/>
  <c r="U22" i="6"/>
  <c r="V22" i="6"/>
  <c r="E22" i="6"/>
  <c r="F22" i="6"/>
  <c r="R91" i="6"/>
  <c r="AR72" i="6"/>
  <c r="AS73" i="6" s="1"/>
  <c r="Z67" i="6"/>
  <c r="Y67" i="6"/>
  <c r="Y55" i="6"/>
  <c r="O55" i="6"/>
  <c r="D56" i="6"/>
  <c r="AD48" i="6"/>
  <c r="AP46" i="6"/>
  <c r="AO46" i="6"/>
  <c r="AT93" i="6"/>
  <c r="AD93" i="6"/>
  <c r="N93" i="6"/>
  <c r="D92" i="6"/>
  <c r="E93" i="6" s="1"/>
  <c r="AH91" i="6"/>
  <c r="AD89" i="6"/>
  <c r="Z85" i="6"/>
  <c r="AX83" i="6"/>
  <c r="Z77" i="6"/>
  <c r="AB74" i="6"/>
  <c r="AC75" i="6" s="1"/>
  <c r="M67" i="6"/>
  <c r="Z59" i="6"/>
  <c r="AQ55" i="6"/>
  <c r="AO38" i="6"/>
  <c r="AP38" i="6"/>
  <c r="I38" i="6"/>
  <c r="J38" i="6"/>
  <c r="G99" i="6"/>
  <c r="AJ92" i="6"/>
  <c r="AK93" i="6" s="1"/>
  <c r="AX91" i="6"/>
  <c r="AT91" i="6"/>
  <c r="X90" i="6"/>
  <c r="Y91" i="6" s="1"/>
  <c r="L90" i="6"/>
  <c r="M91" i="6" s="1"/>
  <c r="AK87" i="6"/>
  <c r="AX85" i="6"/>
  <c r="AD63" i="6"/>
  <c r="AC63" i="6"/>
  <c r="R50" i="6"/>
  <c r="J48" i="6"/>
  <c r="AN47" i="6"/>
  <c r="AO48" i="6" s="1"/>
  <c r="N42" i="6"/>
  <c r="AK28" i="6"/>
  <c r="AL28" i="6"/>
  <c r="F89" i="6"/>
  <c r="AX59" i="6"/>
  <c r="AH59" i="6"/>
  <c r="AG59" i="6"/>
  <c r="F48" i="6"/>
  <c r="P47" i="6"/>
  <c r="Q48" i="6" s="1"/>
  <c r="E42" i="6"/>
  <c r="F42" i="6"/>
  <c r="AP40" i="6"/>
  <c r="AO40" i="6"/>
  <c r="Z40" i="6"/>
  <c r="Y40" i="6"/>
  <c r="AW30" i="6"/>
  <c r="AX30" i="6"/>
  <c r="AL30" i="6"/>
  <c r="X29" i="6"/>
  <c r="Y30" i="6" s="1"/>
  <c r="Z30" i="6"/>
  <c r="V28" i="6"/>
  <c r="D100" i="6"/>
  <c r="E98" i="6" s="1"/>
  <c r="B98" i="6" s="1"/>
  <c r="E99" i="6"/>
  <c r="AP89" i="6"/>
  <c r="E89" i="6"/>
  <c r="AX87" i="6"/>
  <c r="AH77" i="6"/>
  <c r="X74" i="6"/>
  <c r="Y75" i="6" s="1"/>
  <c r="L74" i="6"/>
  <c r="M75" i="6" s="1"/>
  <c r="Z71" i="6"/>
  <c r="AC67" i="6"/>
  <c r="AK65" i="6"/>
  <c r="U65" i="6"/>
  <c r="D64" i="6"/>
  <c r="AP59" i="6"/>
  <c r="R59" i="6"/>
  <c r="S55" i="6"/>
  <c r="AT42" i="6"/>
  <c r="U40" i="6"/>
  <c r="V40" i="6"/>
  <c r="E40" i="6"/>
  <c r="F40" i="6"/>
  <c r="Z118" i="6"/>
  <c r="U89" i="6"/>
  <c r="AK85" i="6"/>
  <c r="U81" i="6"/>
  <c r="R77" i="6"/>
  <c r="AO75" i="6"/>
  <c r="R75" i="6"/>
  <c r="AT75" i="6"/>
  <c r="AL73" i="6"/>
  <c r="AS65" i="6"/>
  <c r="AX63" i="6"/>
  <c r="AW63" i="6"/>
  <c r="G57" i="6"/>
  <c r="AP50" i="6"/>
  <c r="AO42" i="6"/>
  <c r="W12" i="6"/>
  <c r="Z50" i="6"/>
  <c r="Q42" i="6"/>
  <c r="R42" i="6"/>
  <c r="AX40" i="6"/>
  <c r="AL38" i="6"/>
  <c r="U34" i="6"/>
  <c r="AT24" i="6"/>
  <c r="J24" i="6"/>
  <c r="B14" i="6"/>
  <c r="A5" i="6" s="1"/>
  <c r="X11" i="8"/>
  <c r="S30" i="8"/>
  <c r="AB30" i="8"/>
  <c r="AB7" i="8"/>
  <c r="V7" i="8"/>
  <c r="AO12" i="6"/>
  <c r="E38" i="6"/>
  <c r="F38" i="6"/>
  <c r="Z24" i="6"/>
  <c r="AC24" i="6"/>
  <c r="AD24" i="6"/>
  <c r="AP20" i="6"/>
  <c r="AO20" i="6"/>
  <c r="J20" i="6"/>
  <c r="I20" i="6"/>
  <c r="AM12" i="6"/>
  <c r="T31" i="6"/>
  <c r="U32" i="6" s="1"/>
  <c r="AG30" i="6"/>
  <c r="AH30" i="6"/>
  <c r="AS22" i="6"/>
  <c r="AT22" i="6"/>
  <c r="M22" i="6"/>
  <c r="N22" i="6"/>
  <c r="G12" i="6"/>
  <c r="AE55" i="6"/>
  <c r="AH42" i="6"/>
  <c r="N40" i="6"/>
  <c r="Y38" i="6"/>
  <c r="Z38" i="6"/>
  <c r="AT32" i="6"/>
  <c r="F32" i="6"/>
  <c r="R32" i="6"/>
  <c r="E30" i="6"/>
  <c r="F30" i="6"/>
  <c r="N24" i="6"/>
  <c r="T10" i="8"/>
  <c r="T23" i="8"/>
  <c r="T30" i="8"/>
  <c r="T7" i="8"/>
  <c r="T20" i="8"/>
  <c r="T11" i="8"/>
  <c r="T29" i="8"/>
  <c r="T14" i="8"/>
  <c r="T17" i="8"/>
  <c r="T26" i="8"/>
  <c r="AS12" i="6"/>
  <c r="Y12" i="6"/>
  <c r="N7" i="8"/>
  <c r="N8" i="8" s="1"/>
  <c r="N9" i="8" s="1"/>
  <c r="N10" i="8" s="1"/>
  <c r="N11" i="8" s="1"/>
  <c r="O13" i="8"/>
  <c r="AH32" i="6"/>
  <c r="AP30" i="6"/>
  <c r="Z20" i="6"/>
  <c r="Y20" i="6"/>
  <c r="Q12" i="6"/>
  <c r="W23" i="7"/>
  <c r="N33" i="8"/>
  <c r="Z30" i="8"/>
  <c r="W29" i="8"/>
  <c r="Z23" i="8"/>
  <c r="X20" i="8"/>
  <c r="W11" i="8"/>
  <c r="X7" i="8"/>
  <c r="U11" i="8"/>
  <c r="AH20" i="6"/>
  <c r="W30" i="8"/>
  <c r="AB29" i="8"/>
  <c r="Y26" i="8"/>
  <c r="W23" i="8"/>
  <c r="U20" i="8"/>
  <c r="AA17" i="8"/>
  <c r="AB14" i="8"/>
  <c r="AD11" i="8"/>
  <c r="U7" i="8"/>
  <c r="W10" i="8"/>
  <c r="V29" i="8" s="1"/>
  <c r="Z20" i="8"/>
  <c r="X14" i="8"/>
  <c r="E114" i="6" l="1"/>
  <c r="F114" i="6"/>
  <c r="J32" i="6"/>
  <c r="AV40" i="2"/>
  <c r="F108" i="6"/>
  <c r="E55" i="6"/>
  <c r="B55" i="6" s="1"/>
  <c r="AX50" i="6"/>
  <c r="E112" i="6"/>
  <c r="F112" i="6"/>
  <c r="AD118" i="6"/>
  <c r="F134" i="6"/>
  <c r="Q44" i="1"/>
  <c r="AX41" i="2"/>
  <c r="I24" i="2"/>
  <c r="I25" i="2" s="1"/>
  <c r="AL48" i="6"/>
  <c r="AD116" i="6"/>
  <c r="J136" i="6"/>
  <c r="AF40" i="2"/>
  <c r="AZ40" i="2" s="1"/>
  <c r="V30" i="8"/>
  <c r="B12" i="6"/>
  <c r="Z91" i="6"/>
  <c r="AZ39" i="2"/>
  <c r="BA39" i="2" s="1"/>
  <c r="K48" i="2"/>
  <c r="T85" i="2"/>
  <c r="AD13" i="1" s="1"/>
  <c r="E96" i="2"/>
  <c r="H50" i="1" s="1"/>
  <c r="AH116" i="6"/>
  <c r="N30" i="6"/>
  <c r="AE26" i="8"/>
  <c r="AE11" i="8"/>
  <c r="AL11" i="8" s="1"/>
  <c r="N75" i="6"/>
  <c r="J134" i="6"/>
  <c r="K62" i="2"/>
  <c r="K92" i="2"/>
  <c r="T46" i="1" s="1"/>
  <c r="T87" i="2"/>
  <c r="AD15" i="1" s="1"/>
  <c r="E48" i="1"/>
  <c r="AD32" i="6"/>
  <c r="R118" i="6"/>
  <c r="AE20" i="8"/>
  <c r="AK20" i="8" s="1"/>
  <c r="C12" i="6"/>
  <c r="R48" i="6"/>
  <c r="V136" i="6"/>
  <c r="AX32" i="6"/>
  <c r="R9" i="2"/>
  <c r="N4" i="1"/>
  <c r="H96" i="2"/>
  <c r="N50" i="1" s="1"/>
  <c r="K48" i="1"/>
  <c r="K33" i="2"/>
  <c r="N51" i="2"/>
  <c r="F96" i="2"/>
  <c r="E50" i="1" s="1"/>
  <c r="K18" i="2"/>
  <c r="F76" i="2"/>
  <c r="E30" i="1" s="1"/>
  <c r="N46" i="2"/>
  <c r="C23" i="2"/>
  <c r="J23" i="2"/>
  <c r="U33" i="2"/>
  <c r="I96" i="2"/>
  <c r="K50" i="1" s="1"/>
  <c r="N57" i="2"/>
  <c r="AE17" i="8"/>
  <c r="E65" i="6"/>
  <c r="F65" i="6"/>
  <c r="AE14" i="8"/>
  <c r="N91" i="6"/>
  <c r="AD75" i="6"/>
  <c r="E71" i="6"/>
  <c r="F71" i="6"/>
  <c r="AR41" i="2"/>
  <c r="AL136" i="6"/>
  <c r="AR72" i="2"/>
  <c r="AR78" i="2"/>
  <c r="AR79" i="2"/>
  <c r="AR80" i="2"/>
  <c r="AR74" i="2"/>
  <c r="D91" i="2"/>
  <c r="D45" i="1" s="1"/>
  <c r="AR76" i="2"/>
  <c r="AR73" i="2"/>
  <c r="AR77" i="2"/>
  <c r="AR75" i="2"/>
  <c r="S79" i="2"/>
  <c r="V48" i="2"/>
  <c r="V69" i="2" s="1"/>
  <c r="M93" i="2"/>
  <c r="V47" i="1" s="1"/>
  <c r="V50" i="2"/>
  <c r="V70" i="2" s="1"/>
  <c r="M97" i="2"/>
  <c r="V51" i="1" s="1"/>
  <c r="AS72" i="2"/>
  <c r="AS78" i="2"/>
  <c r="AS79" i="2"/>
  <c r="AS80" i="2"/>
  <c r="AS75" i="2"/>
  <c r="AS76" i="2"/>
  <c r="AS73" i="2"/>
  <c r="AS77" i="2"/>
  <c r="AS74" i="2"/>
  <c r="T79" i="2"/>
  <c r="G91" i="2"/>
  <c r="J45" i="1" s="1"/>
  <c r="AY73" i="2"/>
  <c r="AY78" i="2"/>
  <c r="AY77" i="2"/>
  <c r="AY74" i="2"/>
  <c r="V80" i="2"/>
  <c r="AY75" i="2"/>
  <c r="AY76" i="2"/>
  <c r="AY72" i="2"/>
  <c r="AY79" i="2"/>
  <c r="AY80" i="2"/>
  <c r="M95" i="2"/>
  <c r="V49" i="1" s="1"/>
  <c r="S46" i="2"/>
  <c r="S68" i="2" s="1"/>
  <c r="D89" i="2"/>
  <c r="D43" i="1" s="1"/>
  <c r="U45" i="2"/>
  <c r="U58" i="2" s="1"/>
  <c r="J88" i="2"/>
  <c r="P42" i="1" s="1"/>
  <c r="U40" i="2"/>
  <c r="U65" i="2" s="1"/>
  <c r="J77" i="2"/>
  <c r="P31" i="1" s="1"/>
  <c r="V43" i="2"/>
  <c r="V57" i="2" s="1"/>
  <c r="M84" i="2"/>
  <c r="V38" i="1" s="1"/>
  <c r="T43" i="2"/>
  <c r="T57" i="2" s="1"/>
  <c r="G84" i="2"/>
  <c r="J38" i="1" s="1"/>
  <c r="AE18" i="2"/>
  <c r="L76" i="2"/>
  <c r="Q30" i="1" s="1"/>
  <c r="N58" i="2"/>
  <c r="AM33" i="2"/>
  <c r="AM34" i="2" s="1"/>
  <c r="K69" i="2"/>
  <c r="AI32" i="2"/>
  <c r="N65" i="2"/>
  <c r="O80" i="2"/>
  <c r="W34" i="1" s="1"/>
  <c r="AO21" i="2"/>
  <c r="AR35" i="2"/>
  <c r="AR36" i="2"/>
  <c r="L105" i="2"/>
  <c r="K86" i="2"/>
  <c r="T40" i="1" s="1"/>
  <c r="K88" i="2"/>
  <c r="T42" i="1" s="1"/>
  <c r="Q40" i="1"/>
  <c r="N86" i="2"/>
  <c r="Z40" i="1" s="1"/>
  <c r="N88" i="2"/>
  <c r="Z42" i="1" s="1"/>
  <c r="W40" i="1"/>
  <c r="N84" i="2"/>
  <c r="Z38" i="1" s="1"/>
  <c r="N82" i="2"/>
  <c r="Z36" i="1" s="1"/>
  <c r="W36" i="1"/>
  <c r="K30" i="2"/>
  <c r="N50" i="2"/>
  <c r="F92" i="2"/>
  <c r="E46" i="1" s="1"/>
  <c r="K78" i="2"/>
  <c r="T32" i="1" s="1"/>
  <c r="K80" i="2"/>
  <c r="T34" i="1" s="1"/>
  <c r="Q32" i="1"/>
  <c r="V47" i="2"/>
  <c r="V59" i="2" s="1"/>
  <c r="M92" i="2"/>
  <c r="V46" i="1" s="1"/>
  <c r="L108" i="2"/>
  <c r="AU73" i="2"/>
  <c r="AU74" i="2"/>
  <c r="AU75" i="2"/>
  <c r="AU76" i="2"/>
  <c r="AU77" i="2"/>
  <c r="V79" i="2"/>
  <c r="AU78" i="2"/>
  <c r="AU79" i="2"/>
  <c r="AU72" i="2"/>
  <c r="AU80" i="2"/>
  <c r="M91" i="2"/>
  <c r="V45" i="1" s="1"/>
  <c r="V44" i="2"/>
  <c r="V67" i="2" s="1"/>
  <c r="M85" i="2"/>
  <c r="V39" i="1" s="1"/>
  <c r="K58" i="2"/>
  <c r="Y17" i="2"/>
  <c r="AC18" i="2"/>
  <c r="AC19" i="2" s="1"/>
  <c r="AC78" i="2"/>
  <c r="AC79" i="2"/>
  <c r="AC80" i="2"/>
  <c r="T75" i="2"/>
  <c r="AC73" i="2"/>
  <c r="G75" i="2"/>
  <c r="J29" i="1" s="1"/>
  <c r="AC74" i="2"/>
  <c r="AC75" i="2"/>
  <c r="AC76" i="2"/>
  <c r="AC72" i="2"/>
  <c r="AC77" i="2"/>
  <c r="L107" i="2"/>
  <c r="V39" i="2"/>
  <c r="V55" i="2" s="1"/>
  <c r="M76" i="2"/>
  <c r="V30" i="1" s="1"/>
  <c r="L110" i="2"/>
  <c r="S43" i="2"/>
  <c r="S57" i="2" s="1"/>
  <c r="D84" i="2"/>
  <c r="D38" i="1" s="1"/>
  <c r="N52" i="2"/>
  <c r="I76" i="2"/>
  <c r="K30" i="1" s="1"/>
  <c r="U18" i="2"/>
  <c r="AC33" i="2"/>
  <c r="AC34" i="2" s="1"/>
  <c r="K63" i="2"/>
  <c r="Y32" i="2"/>
  <c r="Y33" i="2" s="1"/>
  <c r="J85" i="2"/>
  <c r="P39" i="1" s="1"/>
  <c r="U44" i="2"/>
  <c r="U67" i="2" s="1"/>
  <c r="N90" i="2"/>
  <c r="Z44" i="1" s="1"/>
  <c r="W44" i="1"/>
  <c r="N92" i="2"/>
  <c r="Z46" i="1" s="1"/>
  <c r="W48" i="1"/>
  <c r="N94" i="2"/>
  <c r="Z48" i="1" s="1"/>
  <c r="N96" i="2"/>
  <c r="Z50" i="1" s="1"/>
  <c r="AF80" i="2"/>
  <c r="Y81" i="2"/>
  <c r="AS81" i="2" s="1"/>
  <c r="E85" i="6"/>
  <c r="Z134" i="6"/>
  <c r="AV73" i="2"/>
  <c r="AV74" i="2"/>
  <c r="AV75" i="2"/>
  <c r="AV76" i="2"/>
  <c r="AV77" i="2"/>
  <c r="AV81" i="2"/>
  <c r="AV78" i="2"/>
  <c r="AV79" i="2"/>
  <c r="AV72" i="2"/>
  <c r="AV80" i="2"/>
  <c r="S80" i="2"/>
  <c r="D95" i="2"/>
  <c r="D49" i="1" s="1"/>
  <c r="J96" i="2"/>
  <c r="P50" i="1" s="1"/>
  <c r="U49" i="2"/>
  <c r="U60" i="2" s="1"/>
  <c r="T47" i="2"/>
  <c r="T59" i="2" s="1"/>
  <c r="G92" i="2"/>
  <c r="J46" i="1" s="1"/>
  <c r="S48" i="2"/>
  <c r="S69" i="2" s="1"/>
  <c r="D93" i="2"/>
  <c r="D47" i="1" s="1"/>
  <c r="K27" i="2"/>
  <c r="N49" i="2"/>
  <c r="F88" i="2"/>
  <c r="E42" i="1" s="1"/>
  <c r="G79" i="2"/>
  <c r="J33" i="1" s="1"/>
  <c r="AG81" i="2"/>
  <c r="T76" i="2"/>
  <c r="AG77" i="2"/>
  <c r="AG74" i="2"/>
  <c r="AG75" i="2"/>
  <c r="AG76" i="2"/>
  <c r="AG78" i="2"/>
  <c r="AG73" i="2"/>
  <c r="AG79" i="2"/>
  <c r="AG80" i="2"/>
  <c r="AG72" i="2"/>
  <c r="J76" i="2"/>
  <c r="P30" i="1" s="1"/>
  <c r="U39" i="2"/>
  <c r="U55" i="2" s="1"/>
  <c r="V42" i="2"/>
  <c r="V66" i="2" s="1"/>
  <c r="M81" i="2"/>
  <c r="V35" i="1" s="1"/>
  <c r="K57" i="2"/>
  <c r="S33" i="2"/>
  <c r="S34" i="2" s="1"/>
  <c r="O32" i="2"/>
  <c r="O33" i="2" s="1"/>
  <c r="U43" i="2"/>
  <c r="U57" i="2" s="1"/>
  <c r="J84" i="2"/>
  <c r="P38" i="1" s="1"/>
  <c r="AI20" i="2"/>
  <c r="AI21" i="2" s="1"/>
  <c r="AM21" i="2"/>
  <c r="AM22" i="2" s="1"/>
  <c r="K65" i="2"/>
  <c r="H86" i="2"/>
  <c r="N40" i="1" s="1"/>
  <c r="K40" i="1"/>
  <c r="H88" i="2"/>
  <c r="N42" i="1" s="1"/>
  <c r="H90" i="2"/>
  <c r="N44" i="1" s="1"/>
  <c r="H92" i="2"/>
  <c r="N46" i="1" s="1"/>
  <c r="K44" i="1"/>
  <c r="V32" i="6"/>
  <c r="U27" i="2"/>
  <c r="I88" i="2" s="1"/>
  <c r="K42" i="1" s="1"/>
  <c r="N55" i="2"/>
  <c r="M9" i="2"/>
  <c r="M6" i="2"/>
  <c r="M5" i="2"/>
  <c r="M8" i="2"/>
  <c r="I42" i="2"/>
  <c r="M7" i="2"/>
  <c r="I40" i="2"/>
  <c r="K7" i="1" s="1"/>
  <c r="I43" i="2"/>
  <c r="M37" i="2"/>
  <c r="N78" i="2"/>
  <c r="Z32" i="1" s="1"/>
  <c r="N80" i="2"/>
  <c r="Z34" i="1" s="1"/>
  <c r="W32" i="1"/>
  <c r="I30" i="2"/>
  <c r="K50" i="2"/>
  <c r="E29" i="2"/>
  <c r="E30" i="2"/>
  <c r="S49" i="2"/>
  <c r="S60" i="2" s="1"/>
  <c r="D96" i="2"/>
  <c r="D50" i="1" s="1"/>
  <c r="N68" i="2"/>
  <c r="AO30" i="2"/>
  <c r="O92" i="2"/>
  <c r="W46" i="1" s="1"/>
  <c r="T48" i="2"/>
  <c r="T69" i="2" s="1"/>
  <c r="G93" i="2"/>
  <c r="J47" i="1" s="1"/>
  <c r="O23" i="2"/>
  <c r="S24" i="2"/>
  <c r="S25" i="2" s="1"/>
  <c r="K54" i="2"/>
  <c r="AI23" i="2"/>
  <c r="AI24" i="2" s="1"/>
  <c r="K66" i="2"/>
  <c r="AM24" i="2"/>
  <c r="AM25" i="2" s="1"/>
  <c r="U50" i="2"/>
  <c r="U70" i="2" s="1"/>
  <c r="J97" i="2"/>
  <c r="P51" i="1" s="1"/>
  <c r="T50" i="2"/>
  <c r="T70" i="2" s="1"/>
  <c r="G97" i="2"/>
  <c r="J51" i="1" s="1"/>
  <c r="T39" i="2"/>
  <c r="T55" i="2" s="1"/>
  <c r="G76" i="2"/>
  <c r="J30" i="1" s="1"/>
  <c r="AI30" i="2"/>
  <c r="AM30" i="2"/>
  <c r="AM31" i="2" s="1"/>
  <c r="AI29" i="2"/>
  <c r="K68" i="2"/>
  <c r="K51" i="2"/>
  <c r="I33" i="2"/>
  <c r="E32" i="2"/>
  <c r="E33" i="2" s="1"/>
  <c r="U24" i="2"/>
  <c r="I84" i="2"/>
  <c r="K38" i="1" s="1"/>
  <c r="N54" i="2"/>
  <c r="Y20" i="2"/>
  <c r="Y21" i="2" s="1"/>
  <c r="AC21" i="2"/>
  <c r="AC22" i="2" s="1"/>
  <c r="K59" i="2"/>
  <c r="AE27" i="2"/>
  <c r="N61" i="2"/>
  <c r="L88" i="2"/>
  <c r="Q42" i="1" s="1"/>
  <c r="H78" i="2"/>
  <c r="N32" i="1" s="1"/>
  <c r="H80" i="2"/>
  <c r="N34" i="1" s="1"/>
  <c r="K32" i="1"/>
  <c r="AE29" i="8"/>
  <c r="AE7" i="8"/>
  <c r="AE30" i="8"/>
  <c r="AP48" i="6"/>
  <c r="E83" i="6"/>
  <c r="AP136" i="6"/>
  <c r="AH136" i="6"/>
  <c r="AC41" i="2"/>
  <c r="AO33" i="2"/>
  <c r="N69" i="2"/>
  <c r="O96" i="2"/>
  <c r="W50" i="1" s="1"/>
  <c r="L106" i="2"/>
  <c r="AK78" i="2"/>
  <c r="AK79" i="2"/>
  <c r="AK80" i="2"/>
  <c r="T77" i="2"/>
  <c r="AK72" i="2"/>
  <c r="AK77" i="2"/>
  <c r="G83" i="2"/>
  <c r="J37" i="1" s="1"/>
  <c r="AK74" i="2"/>
  <c r="AK75" i="2"/>
  <c r="AK73" i="2"/>
  <c r="AK76" i="2"/>
  <c r="N56" i="2"/>
  <c r="I92" i="2"/>
  <c r="K46" i="1" s="1"/>
  <c r="U30" i="2"/>
  <c r="AB78" i="2"/>
  <c r="AB79" i="2"/>
  <c r="AB80" i="2"/>
  <c r="AB76" i="2"/>
  <c r="AB72" i="2"/>
  <c r="AB75" i="2"/>
  <c r="AB73" i="2"/>
  <c r="AB77" i="2"/>
  <c r="S75" i="2"/>
  <c r="D75" i="2"/>
  <c r="D29" i="1" s="1"/>
  <c r="AB74" i="2"/>
  <c r="Y26" i="2"/>
  <c r="AC27" i="2"/>
  <c r="AC28" i="2" s="1"/>
  <c r="Y27" i="2"/>
  <c r="K61" i="2"/>
  <c r="G81" i="2"/>
  <c r="J35" i="1" s="1"/>
  <c r="T42" i="2"/>
  <c r="T66" i="2" s="1"/>
  <c r="S47" i="2"/>
  <c r="S59" i="2" s="1"/>
  <c r="D92" i="2"/>
  <c r="D46" i="1" s="1"/>
  <c r="U42" i="2"/>
  <c r="U66" i="2" s="1"/>
  <c r="J81" i="2"/>
  <c r="P35" i="1" s="1"/>
  <c r="V49" i="2"/>
  <c r="V60" i="2" s="1"/>
  <c r="M96" i="2"/>
  <c r="V50" i="1" s="1"/>
  <c r="AJ72" i="2"/>
  <c r="D83" i="2"/>
  <c r="D37" i="1" s="1"/>
  <c r="AJ78" i="2"/>
  <c r="AJ79" i="2"/>
  <c r="AJ80" i="2"/>
  <c r="AJ73" i="2"/>
  <c r="AJ74" i="2"/>
  <c r="AJ75" i="2"/>
  <c r="AJ81" i="2"/>
  <c r="AJ76" i="2"/>
  <c r="S77" i="2"/>
  <c r="AJ77" i="2"/>
  <c r="S39" i="2"/>
  <c r="D76" i="2"/>
  <c r="D30" i="1" s="1"/>
  <c r="AT72" i="2"/>
  <c r="U79" i="2"/>
  <c r="AT79" i="2"/>
  <c r="AT73" i="2"/>
  <c r="AT81" i="2"/>
  <c r="AT75" i="2"/>
  <c r="AT78" i="2"/>
  <c r="AT76" i="2"/>
  <c r="J91" i="2"/>
  <c r="P45" i="1" s="1"/>
  <c r="AT80" i="2"/>
  <c r="AT77" i="2"/>
  <c r="AT74" i="2"/>
  <c r="O20" i="2"/>
  <c r="O21" i="2" s="1"/>
  <c r="S21" i="2"/>
  <c r="S22" i="2" s="1"/>
  <c r="K53" i="2"/>
  <c r="K82" i="2"/>
  <c r="T36" i="1" s="1"/>
  <c r="K84" i="2"/>
  <c r="T38" i="1" s="1"/>
  <c r="Q36" i="1"/>
  <c r="E76" i="2"/>
  <c r="H30" i="1" s="1"/>
  <c r="E74" i="2"/>
  <c r="H28" i="1" s="1"/>
  <c r="E28" i="1"/>
  <c r="F67" i="6"/>
  <c r="E67" i="6"/>
  <c r="AE33" i="2"/>
  <c r="L96" i="2"/>
  <c r="Q50" i="1" s="1"/>
  <c r="N63" i="2"/>
  <c r="AO24" i="2"/>
  <c r="O84" i="2"/>
  <c r="W38" i="1" s="1"/>
  <c r="N66" i="2"/>
  <c r="AK41" i="2"/>
  <c r="Y42" i="2"/>
  <c r="AJ41" i="2"/>
  <c r="AT41" i="2"/>
  <c r="AF41" i="2"/>
  <c r="AQ41" i="2"/>
  <c r="AL41" i="2"/>
  <c r="AW41" i="2"/>
  <c r="AD41" i="2"/>
  <c r="AG41" i="2"/>
  <c r="AY41" i="2"/>
  <c r="AB41" i="2"/>
  <c r="AV41" i="2"/>
  <c r="AO41" i="2"/>
  <c r="AU41" i="2"/>
  <c r="AM41" i="2"/>
  <c r="AN41" i="2"/>
  <c r="AI41" i="2"/>
  <c r="AM73" i="2"/>
  <c r="AM74" i="2"/>
  <c r="AM75" i="2"/>
  <c r="AM76" i="2"/>
  <c r="AM77" i="2"/>
  <c r="M83" i="2"/>
  <c r="V37" i="1" s="1"/>
  <c r="AM72" i="2"/>
  <c r="V77" i="2"/>
  <c r="AM80" i="2"/>
  <c r="AM78" i="2"/>
  <c r="AM81" i="2"/>
  <c r="AM79" i="2"/>
  <c r="W23" i="2"/>
  <c r="AD23" i="2"/>
  <c r="AI72" i="2"/>
  <c r="AI75" i="2"/>
  <c r="M79" i="2"/>
  <c r="V33" i="1" s="1"/>
  <c r="AI81" i="2"/>
  <c r="AI73" i="2"/>
  <c r="AI74" i="2"/>
  <c r="AI76" i="2"/>
  <c r="AI78" i="2"/>
  <c r="AI79" i="2"/>
  <c r="V76" i="2"/>
  <c r="AI77" i="2"/>
  <c r="AI80" i="2"/>
  <c r="O88" i="2"/>
  <c r="W42" i="1" s="1"/>
  <c r="AO27" i="2"/>
  <c r="N67" i="2"/>
  <c r="V41" i="2"/>
  <c r="V56" i="2" s="1"/>
  <c r="M80" i="2"/>
  <c r="V34" i="1" s="1"/>
  <c r="U47" i="2"/>
  <c r="U59" i="2" s="1"/>
  <c r="J92" i="2"/>
  <c r="P46" i="1" s="1"/>
  <c r="U41" i="2"/>
  <c r="U56" i="2" s="1"/>
  <c r="J80" i="2"/>
  <c r="P34" i="1" s="1"/>
  <c r="S30" i="2"/>
  <c r="S31" i="2" s="1"/>
  <c r="O29" i="2"/>
  <c r="O30" i="2"/>
  <c r="K56" i="2"/>
  <c r="U48" i="2"/>
  <c r="U69" i="2" s="1"/>
  <c r="J93" i="2"/>
  <c r="P47" i="1" s="1"/>
  <c r="AL72" i="2"/>
  <c r="U77" i="2"/>
  <c r="AL76" i="2"/>
  <c r="AL77" i="2"/>
  <c r="AL74" i="2"/>
  <c r="J83" i="2"/>
  <c r="P37" i="1" s="1"/>
  <c r="AL75" i="2"/>
  <c r="AL78" i="2"/>
  <c r="AL73" i="2"/>
  <c r="AL79" i="2"/>
  <c r="AL80" i="2"/>
  <c r="AE21" i="2"/>
  <c r="L80" i="2"/>
  <c r="Q34" i="1" s="1"/>
  <c r="N59" i="2"/>
  <c r="K46" i="2"/>
  <c r="E18" i="2"/>
  <c r="E17" i="2"/>
  <c r="I18" i="2"/>
  <c r="S50" i="2"/>
  <c r="S70" i="2" s="1"/>
  <c r="D97" i="2"/>
  <c r="D51" i="1" s="1"/>
  <c r="K47" i="2"/>
  <c r="I21" i="2"/>
  <c r="E20" i="2"/>
  <c r="E21" i="2" s="1"/>
  <c r="E32" i="1"/>
  <c r="E78" i="2"/>
  <c r="H32" i="1" s="1"/>
  <c r="E80" i="2"/>
  <c r="H34" i="1" s="1"/>
  <c r="E82" i="2"/>
  <c r="H36" i="1" s="1"/>
  <c r="E84" i="2"/>
  <c r="H38" i="1" s="1"/>
  <c r="E36" i="1"/>
  <c r="AK26" i="8"/>
  <c r="AL26" i="8"/>
  <c r="AE23" i="8"/>
  <c r="Z75" i="6"/>
  <c r="D90" i="6"/>
  <c r="E91" i="6" s="1"/>
  <c r="F93" i="6"/>
  <c r="AT73" i="6"/>
  <c r="AL93" i="6"/>
  <c r="Z136" i="6"/>
  <c r="N74" i="2"/>
  <c r="Z28" i="1" s="1"/>
  <c r="N76" i="2"/>
  <c r="Z30" i="1" s="1"/>
  <c r="W28" i="1"/>
  <c r="U76" i="2"/>
  <c r="AH79" i="2"/>
  <c r="AH72" i="2"/>
  <c r="AH74" i="2"/>
  <c r="AH75" i="2"/>
  <c r="AH76" i="2"/>
  <c r="AH78" i="2"/>
  <c r="J79" i="2"/>
  <c r="P33" i="1" s="1"/>
  <c r="AH73" i="2"/>
  <c r="AH77" i="2"/>
  <c r="AH80" i="2"/>
  <c r="AH41" i="2"/>
  <c r="AI26" i="2"/>
  <c r="AI27" i="2" s="1"/>
  <c r="AM27" i="2"/>
  <c r="AM28" i="2" s="1"/>
  <c r="K67" i="2"/>
  <c r="AW81" i="2"/>
  <c r="AW72" i="2"/>
  <c r="G95" i="2"/>
  <c r="J49" i="1" s="1"/>
  <c r="AW73" i="2"/>
  <c r="AW74" i="2"/>
  <c r="AW75" i="2"/>
  <c r="AW76" i="2"/>
  <c r="AW78" i="2"/>
  <c r="AW79" i="2"/>
  <c r="AW77" i="2"/>
  <c r="AW80" i="2"/>
  <c r="T80" i="2"/>
  <c r="G88" i="2"/>
  <c r="J42" i="1" s="1"/>
  <c r="T45" i="2"/>
  <c r="T58" i="2" s="1"/>
  <c r="V45" i="2"/>
  <c r="V58" i="2" s="1"/>
  <c r="M88" i="2"/>
  <c r="V42" i="1" s="1"/>
  <c r="G80" i="2"/>
  <c r="J34" i="1" s="1"/>
  <c r="T41" i="2"/>
  <c r="T56" i="2" s="1"/>
  <c r="AQ77" i="2"/>
  <c r="AQ74" i="2"/>
  <c r="AQ75" i="2"/>
  <c r="AQ78" i="2"/>
  <c r="AQ73" i="2"/>
  <c r="AQ81" i="2"/>
  <c r="AQ79" i="2"/>
  <c r="AQ72" i="2"/>
  <c r="AQ80" i="2"/>
  <c r="AQ76" i="2"/>
  <c r="V78" i="2"/>
  <c r="M87" i="2"/>
  <c r="V41" i="1" s="1"/>
  <c r="V40" i="2"/>
  <c r="V65" i="2" s="1"/>
  <c r="M77" i="2"/>
  <c r="V31" i="1" s="1"/>
  <c r="AP74" i="2"/>
  <c r="AP75" i="2"/>
  <c r="AP78" i="2"/>
  <c r="J87" i="2"/>
  <c r="P41" i="1" s="1"/>
  <c r="AP76" i="2"/>
  <c r="AP79" i="2"/>
  <c r="AP80" i="2"/>
  <c r="AP73" i="2"/>
  <c r="AP72" i="2"/>
  <c r="AP77" i="2"/>
  <c r="U78" i="2"/>
  <c r="AP81" i="2"/>
  <c r="S41" i="2"/>
  <c r="S56" i="2" s="1"/>
  <c r="D80" i="2"/>
  <c r="D34" i="1" s="1"/>
  <c r="V46" i="2"/>
  <c r="V68" i="2" s="1"/>
  <c r="M89" i="2"/>
  <c r="V43" i="1" s="1"/>
  <c r="N53" i="2"/>
  <c r="U21" i="2"/>
  <c r="I80" i="2"/>
  <c r="K34" i="1" s="1"/>
  <c r="AI17" i="2"/>
  <c r="AM18" i="2"/>
  <c r="AM19" i="2" s="1"/>
  <c r="K64" i="2"/>
  <c r="S40" i="2"/>
  <c r="S65" i="2" s="1"/>
  <c r="D77" i="2"/>
  <c r="D31" i="1" s="1"/>
  <c r="AN73" i="2"/>
  <c r="AN74" i="2"/>
  <c r="AN75" i="2"/>
  <c r="AN76" i="2"/>
  <c r="AN77" i="2"/>
  <c r="AN81" i="2"/>
  <c r="AN80" i="2"/>
  <c r="D87" i="2"/>
  <c r="D41" i="1" s="1"/>
  <c r="AN72" i="2"/>
  <c r="S78" i="2"/>
  <c r="AN78" i="2"/>
  <c r="AN79" i="2"/>
  <c r="AD72" i="2"/>
  <c r="J75" i="2"/>
  <c r="P29" i="1" s="1"/>
  <c r="U75" i="2"/>
  <c r="AD74" i="2"/>
  <c r="AD80" i="2"/>
  <c r="AD75" i="2"/>
  <c r="AD78" i="2"/>
  <c r="AD79" i="2"/>
  <c r="AD76" i="2"/>
  <c r="AD73" i="2"/>
  <c r="AD81" i="2"/>
  <c r="AD77" i="2"/>
  <c r="AP41" i="2"/>
  <c r="K76" i="2"/>
  <c r="T30" i="1" s="1"/>
  <c r="K74" i="2"/>
  <c r="T28" i="1" s="1"/>
  <c r="Q28" i="1"/>
  <c r="H74" i="2"/>
  <c r="N28" i="1" s="1"/>
  <c r="H76" i="2"/>
  <c r="N30" i="1" s="1"/>
  <c r="K28" i="1"/>
  <c r="D74" i="6"/>
  <c r="E75" i="6" s="1"/>
  <c r="AE10" i="8"/>
  <c r="G55" i="6"/>
  <c r="A98" i="6"/>
  <c r="C98" i="6"/>
  <c r="AS41" i="2"/>
  <c r="F116" i="6"/>
  <c r="L109" i="2"/>
  <c r="W29" i="2"/>
  <c r="AD29" i="2"/>
  <c r="T49" i="2"/>
  <c r="T60" i="2" s="1"/>
  <c r="G96" i="2"/>
  <c r="J50" i="1" s="1"/>
  <c r="O26" i="2"/>
  <c r="O27" i="2"/>
  <c r="K55" i="2"/>
  <c r="S27" i="2"/>
  <c r="S28" i="2" s="1"/>
  <c r="E26" i="2"/>
  <c r="E27" i="2"/>
  <c r="K49" i="2"/>
  <c r="I27" i="2"/>
  <c r="K24" i="2"/>
  <c r="F84" i="2"/>
  <c r="E38" i="1" s="1"/>
  <c r="N48" i="2"/>
  <c r="S18" i="2"/>
  <c r="S19" i="2" s="1"/>
  <c r="K52" i="2"/>
  <c r="O17" i="2"/>
  <c r="O18" i="2" s="1"/>
  <c r="U46" i="2"/>
  <c r="U68" i="2" s="1"/>
  <c r="J89" i="2"/>
  <c r="P43" i="1" s="1"/>
  <c r="T40" i="2"/>
  <c r="T65" i="2" s="1"/>
  <c r="G77" i="2"/>
  <c r="J31" i="1" s="1"/>
  <c r="T46" i="2"/>
  <c r="T68" i="2" s="1"/>
  <c r="G89" i="2"/>
  <c r="J43" i="1" s="1"/>
  <c r="AE73" i="2"/>
  <c r="AE74" i="2"/>
  <c r="AE75" i="2"/>
  <c r="AE76" i="2"/>
  <c r="AE77" i="2"/>
  <c r="V75" i="2"/>
  <c r="AE78" i="2"/>
  <c r="AE80" i="2"/>
  <c r="M75" i="2"/>
  <c r="V29" i="1" s="1"/>
  <c r="AE79" i="2"/>
  <c r="AE72" i="2"/>
  <c r="AE30" i="2"/>
  <c r="L92" i="2"/>
  <c r="Q46" i="1" s="1"/>
  <c r="N62" i="2"/>
  <c r="AO81" i="2"/>
  <c r="AO73" i="2"/>
  <c r="AO78" i="2"/>
  <c r="AO72" i="2"/>
  <c r="AO76" i="2"/>
  <c r="AO79" i="2"/>
  <c r="AO80" i="2"/>
  <c r="AO77" i="2"/>
  <c r="G87" i="2"/>
  <c r="J41" i="1" s="1"/>
  <c r="AO74" i="2"/>
  <c r="AO75" i="2"/>
  <c r="T78" i="2"/>
  <c r="S44" i="2"/>
  <c r="S67" i="2" s="1"/>
  <c r="D85" i="2"/>
  <c r="D39" i="1" s="1"/>
  <c r="K21" i="2"/>
  <c r="N47" i="2"/>
  <c r="F80" i="2"/>
  <c r="E34" i="1" s="1"/>
  <c r="AX76" i="2"/>
  <c r="AX80" i="2"/>
  <c r="AX77" i="2"/>
  <c r="U80" i="2"/>
  <c r="AX74" i="2"/>
  <c r="AX75" i="2"/>
  <c r="AX73" i="2"/>
  <c r="AX78" i="2"/>
  <c r="AX72" i="2"/>
  <c r="AX79" i="2"/>
  <c r="J95" i="2"/>
  <c r="P49" i="1" s="1"/>
  <c r="AE24" i="2"/>
  <c r="N60" i="2"/>
  <c r="L84" i="2"/>
  <c r="Q38" i="1" s="1"/>
  <c r="N64" i="2"/>
  <c r="AO18" i="2"/>
  <c r="O76" i="2"/>
  <c r="W30" i="1" s="1"/>
  <c r="S45" i="2"/>
  <c r="S58" i="2" s="1"/>
  <c r="D88" i="2"/>
  <c r="D42" i="1" s="1"/>
  <c r="S42" i="2"/>
  <c r="S66" i="2" s="1"/>
  <c r="D81" i="2"/>
  <c r="D35" i="1" s="1"/>
  <c r="H84" i="2"/>
  <c r="N38" i="1" s="1"/>
  <c r="H82" i="2"/>
  <c r="N36" i="1" s="1"/>
  <c r="K36" i="1"/>
  <c r="AX81" i="2" l="1"/>
  <c r="AE81" i="2"/>
  <c r="AH81" i="2"/>
  <c r="AK11" i="8"/>
  <c r="AL81" i="2"/>
  <c r="AL20" i="8"/>
  <c r="AK81" i="2"/>
  <c r="AF23" i="1"/>
  <c r="F91" i="6"/>
  <c r="M10" i="2"/>
  <c r="B13" i="6"/>
  <c r="A4" i="6" s="1"/>
  <c r="AP23" i="2"/>
  <c r="B91" i="2"/>
  <c r="C45" i="1" s="1"/>
  <c r="AP18" i="2"/>
  <c r="M20" i="2"/>
  <c r="T20" i="2"/>
  <c r="C20" i="2"/>
  <c r="J20" i="2"/>
  <c r="W32" i="2"/>
  <c r="AD32" i="2"/>
  <c r="AD20" i="2"/>
  <c r="W20" i="2"/>
  <c r="AP26" i="2"/>
  <c r="I28" i="2"/>
  <c r="C26" i="2"/>
  <c r="J26" i="2"/>
  <c r="S64" i="2"/>
  <c r="S63" i="2"/>
  <c r="S62" i="2"/>
  <c r="L91" i="2"/>
  <c r="Q45" i="1" s="1"/>
  <c r="AK45" i="1" s="1"/>
  <c r="L62" i="2"/>
  <c r="AM42" i="2"/>
  <c r="AV42" i="2"/>
  <c r="AL42" i="2"/>
  <c r="AJ42" i="2"/>
  <c r="AW42" i="2"/>
  <c r="AB42" i="2"/>
  <c r="AO42" i="2"/>
  <c r="AT42" i="2"/>
  <c r="AR42" i="2"/>
  <c r="AS42" i="2"/>
  <c r="AY42" i="2"/>
  <c r="AQ42" i="2"/>
  <c r="AK42" i="2"/>
  <c r="AF42" i="2"/>
  <c r="AG42" i="2"/>
  <c r="Y43" i="2"/>
  <c r="AI42" i="2"/>
  <c r="AN42" i="2"/>
  <c r="AU42" i="2"/>
  <c r="AX42" i="2"/>
  <c r="AH42" i="2"/>
  <c r="AC42" i="2"/>
  <c r="AD42" i="2"/>
  <c r="AP42" i="2"/>
  <c r="AE42" i="2"/>
  <c r="AZ76" i="2"/>
  <c r="BA76" i="2"/>
  <c r="BB76" i="2"/>
  <c r="BC76" i="2" s="1"/>
  <c r="AC81" i="2"/>
  <c r="B87" i="2"/>
  <c r="C41" i="1" s="1"/>
  <c r="M17" i="2"/>
  <c r="T17" i="2"/>
  <c r="A55" i="6"/>
  <c r="C55" i="6"/>
  <c r="C13" i="6" s="1"/>
  <c r="A12" i="6" s="1"/>
  <c r="AI18" i="2"/>
  <c r="AP20" i="2"/>
  <c r="I22" i="2"/>
  <c r="C17" i="2"/>
  <c r="J17" i="2"/>
  <c r="BA77" i="2"/>
  <c r="BB77" i="2"/>
  <c r="AZ77" i="2"/>
  <c r="BA80" i="2"/>
  <c r="AZ80" i="2"/>
  <c r="BB80" i="2"/>
  <c r="AP32" i="2"/>
  <c r="I34" i="2"/>
  <c r="O24" i="2"/>
  <c r="AP29" i="2"/>
  <c r="I31" i="2"/>
  <c r="B95" i="2"/>
  <c r="C49" i="1" s="1"/>
  <c r="BA40" i="2"/>
  <c r="AF24" i="1"/>
  <c r="AR81" i="2"/>
  <c r="AK10" i="8"/>
  <c r="AL10" i="8"/>
  <c r="L83" i="2"/>
  <c r="Q37" i="1" s="1"/>
  <c r="AK37" i="1" s="1"/>
  <c r="L60" i="2"/>
  <c r="BA79" i="2"/>
  <c r="AZ79" i="2"/>
  <c r="BB79" i="2"/>
  <c r="AG29" i="2"/>
  <c r="AN29" i="2"/>
  <c r="AG23" i="2"/>
  <c r="AN23" i="2"/>
  <c r="AI33" i="2"/>
  <c r="M26" i="2"/>
  <c r="T26" i="2"/>
  <c r="AZ74" i="2"/>
  <c r="BB74" i="2"/>
  <c r="BA74" i="2"/>
  <c r="AZ73" i="2"/>
  <c r="BA73" i="2"/>
  <c r="BB73" i="2"/>
  <c r="BA78" i="2"/>
  <c r="AZ78" i="2"/>
  <c r="BB78" i="2"/>
  <c r="AN20" i="2"/>
  <c r="AG20" i="2"/>
  <c r="BB39" i="2"/>
  <c r="AC23" i="1" s="1"/>
  <c r="AA39" i="2"/>
  <c r="BC39" i="2"/>
  <c r="BD39" i="2"/>
  <c r="AE23" i="1" s="1"/>
  <c r="AN23" i="1" s="1"/>
  <c r="AD23" i="1"/>
  <c r="F75" i="6"/>
  <c r="AG26" i="2"/>
  <c r="AN26" i="2"/>
  <c r="W26" i="2"/>
  <c r="AD26" i="2"/>
  <c r="B79" i="2"/>
  <c r="C33" i="1" s="1"/>
  <c r="C29" i="2"/>
  <c r="J29" i="2"/>
  <c r="M32" i="2"/>
  <c r="T32" i="2"/>
  <c r="Y82" i="2"/>
  <c r="AF81" i="2"/>
  <c r="Y18" i="2"/>
  <c r="B75" i="2"/>
  <c r="C29" i="1" s="1"/>
  <c r="AK14" i="8"/>
  <c r="AL14" i="8"/>
  <c r="AL23" i="8"/>
  <c r="AK23" i="8"/>
  <c r="S38" i="2"/>
  <c r="S37" i="2"/>
  <c r="S55" i="2"/>
  <c r="S72" i="2"/>
  <c r="S73" i="2"/>
  <c r="S74" i="2"/>
  <c r="BB72" i="2"/>
  <c r="BA72" i="2"/>
  <c r="AZ72" i="2"/>
  <c r="AK30" i="8"/>
  <c r="AL30" i="8"/>
  <c r="AB30" i="2"/>
  <c r="AA31" i="2" s="1"/>
  <c r="Z29" i="2" s="1"/>
  <c r="Z30" i="2" s="1"/>
  <c r="X29" i="2" s="1"/>
  <c r="M62" i="2" s="1"/>
  <c r="R27" i="2"/>
  <c r="Q28" i="2" s="1"/>
  <c r="P26" i="2" s="1"/>
  <c r="P27" i="2" s="1"/>
  <c r="N26" i="2" s="1"/>
  <c r="M55" i="2" s="1"/>
  <c r="R33" i="2"/>
  <c r="Q34" i="2" s="1"/>
  <c r="P32" i="2" s="1"/>
  <c r="P33" i="2" s="1"/>
  <c r="N32" i="2" s="1"/>
  <c r="M57" i="2" s="1"/>
  <c r="R18" i="2"/>
  <c r="Q19" i="2" s="1"/>
  <c r="P17" i="2" s="1"/>
  <c r="P18" i="2" s="1"/>
  <c r="N17" i="2" s="1"/>
  <c r="M52" i="2" s="1"/>
  <c r="AL24" i="2"/>
  <c r="AK25" i="2" s="1"/>
  <c r="AJ23" i="2" s="1"/>
  <c r="AJ24" i="2" s="1"/>
  <c r="AH23" i="2" s="1"/>
  <c r="M66" i="2" s="1"/>
  <c r="R24" i="2"/>
  <c r="Q25" i="2" s="1"/>
  <c r="P23" i="2" s="1"/>
  <c r="P24" i="2" s="1"/>
  <c r="N23" i="2" s="1"/>
  <c r="M54" i="2" s="1"/>
  <c r="AL33" i="2"/>
  <c r="AK34" i="2" s="1"/>
  <c r="AJ32" i="2" s="1"/>
  <c r="AJ33" i="2" s="1"/>
  <c r="AH32" i="2" s="1"/>
  <c r="M69" i="2" s="1"/>
  <c r="AL18" i="2"/>
  <c r="AK19" i="2" s="1"/>
  <c r="AJ17" i="2" s="1"/>
  <c r="AJ18" i="2" s="1"/>
  <c r="AH17" i="2" s="1"/>
  <c r="M64" i="2" s="1"/>
  <c r="H33" i="2"/>
  <c r="G34" i="2" s="1"/>
  <c r="F32" i="2" s="1"/>
  <c r="F33" i="2" s="1"/>
  <c r="D32" i="2" s="1"/>
  <c r="M51" i="2" s="1"/>
  <c r="H24" i="2"/>
  <c r="G25" i="2" s="1"/>
  <c r="F23" i="2" s="1"/>
  <c r="F24" i="2" s="1"/>
  <c r="D23" i="2" s="1"/>
  <c r="M48" i="2" s="1"/>
  <c r="H18" i="2"/>
  <c r="G19" i="2" s="1"/>
  <c r="F17" i="2" s="1"/>
  <c r="F18" i="2" s="1"/>
  <c r="D17" i="2" s="1"/>
  <c r="M46" i="2" s="1"/>
  <c r="H21" i="2"/>
  <c r="G22" i="2" s="1"/>
  <c r="F20" i="2" s="1"/>
  <c r="F21" i="2" s="1"/>
  <c r="D20" i="2" s="1"/>
  <c r="M47" i="2" s="1"/>
  <c r="AB24" i="2"/>
  <c r="AA25" i="2" s="1"/>
  <c r="Z23" i="2" s="1"/>
  <c r="Z24" i="2" s="1"/>
  <c r="X23" i="2" s="1"/>
  <c r="M60" i="2" s="1"/>
  <c r="AB33" i="2"/>
  <c r="AA34" i="2" s="1"/>
  <c r="Z32" i="2" s="1"/>
  <c r="Z33" i="2" s="1"/>
  <c r="X32" i="2" s="1"/>
  <c r="M63" i="2" s="1"/>
  <c r="AL30" i="2"/>
  <c r="AK31" i="2" s="1"/>
  <c r="AJ29" i="2" s="1"/>
  <c r="AJ30" i="2" s="1"/>
  <c r="AH29" i="2" s="1"/>
  <c r="M68" i="2" s="1"/>
  <c r="AL27" i="2"/>
  <c r="AK28" i="2" s="1"/>
  <c r="AJ26" i="2" s="1"/>
  <c r="AJ27" i="2" s="1"/>
  <c r="AH26" i="2" s="1"/>
  <c r="M67" i="2" s="1"/>
  <c r="AB18" i="2"/>
  <c r="AA19" i="2" s="1"/>
  <c r="Z17" i="2" s="1"/>
  <c r="Z18" i="2" s="1"/>
  <c r="X17" i="2" s="1"/>
  <c r="M58" i="2" s="1"/>
  <c r="H27" i="2"/>
  <c r="G28" i="2" s="1"/>
  <c r="F26" i="2" s="1"/>
  <c r="F27" i="2" s="1"/>
  <c r="D26" i="2" s="1"/>
  <c r="M49" i="2" s="1"/>
  <c r="AB27" i="2"/>
  <c r="AA28" i="2" s="1"/>
  <c r="Z26" i="2" s="1"/>
  <c r="Z27" i="2" s="1"/>
  <c r="X26" i="2" s="1"/>
  <c r="M61" i="2" s="1"/>
  <c r="R21" i="2"/>
  <c r="Q22" i="2" s="1"/>
  <c r="P20" i="2" s="1"/>
  <c r="P21" i="2" s="1"/>
  <c r="N20" i="2" s="1"/>
  <c r="M53" i="2" s="1"/>
  <c r="H30" i="2"/>
  <c r="G31" i="2" s="1"/>
  <c r="F29" i="2" s="1"/>
  <c r="F30" i="2" s="1"/>
  <c r="D29" i="2" s="1"/>
  <c r="M50" i="2" s="1"/>
  <c r="AB21" i="2"/>
  <c r="AA22" i="2" s="1"/>
  <c r="Z20" i="2" s="1"/>
  <c r="Z21" i="2" s="1"/>
  <c r="X20" i="2" s="1"/>
  <c r="M59" i="2" s="1"/>
  <c r="AL21" i="2"/>
  <c r="AK22" i="2" s="1"/>
  <c r="AJ20" i="2" s="1"/>
  <c r="AJ21" i="2" s="1"/>
  <c r="AH20" i="2" s="1"/>
  <c r="M65" i="2" s="1"/>
  <c r="R30" i="2"/>
  <c r="Q31" i="2" s="1"/>
  <c r="P29" i="2" s="1"/>
  <c r="P30" i="2" s="1"/>
  <c r="N29" i="2" s="1"/>
  <c r="M56" i="2" s="1"/>
  <c r="AY81" i="2"/>
  <c r="AP17" i="2"/>
  <c r="I19" i="2"/>
  <c r="M29" i="2"/>
  <c r="T29" i="2"/>
  <c r="AZ41" i="2"/>
  <c r="BB75" i="2"/>
  <c r="BA75" i="2"/>
  <c r="AZ75" i="2"/>
  <c r="AL7" i="8"/>
  <c r="AK7" i="8"/>
  <c r="J43" i="2"/>
  <c r="B83" i="2"/>
  <c r="C37" i="1" s="1"/>
  <c r="AU81" i="2"/>
  <c r="AB81" i="2"/>
  <c r="AL29" i="8"/>
  <c r="AK29" i="8"/>
  <c r="J32" i="2"/>
  <c r="C32" i="2"/>
  <c r="AL17" i="8"/>
  <c r="AK17" i="8"/>
  <c r="L48" i="2"/>
  <c r="F83" i="2"/>
  <c r="E37" i="1" s="1"/>
  <c r="AI37" i="1" s="1"/>
  <c r="AO23" i="1" l="1"/>
  <c r="BC78" i="2"/>
  <c r="H13" i="2"/>
  <c r="H12" i="2"/>
  <c r="BC75" i="2"/>
  <c r="O87" i="2"/>
  <c r="W41" i="1" s="1"/>
  <c r="AL41" i="1" s="1"/>
  <c r="L67" i="2"/>
  <c r="L51" i="2"/>
  <c r="F95" i="2"/>
  <c r="E49" i="1" s="1"/>
  <c r="AI49" i="1" s="1"/>
  <c r="L50" i="2"/>
  <c r="F91" i="2"/>
  <c r="E45" i="1" s="1"/>
  <c r="AI45" i="1" s="1"/>
  <c r="O79" i="2"/>
  <c r="W33" i="1" s="1"/>
  <c r="AL33" i="1" s="1"/>
  <c r="L65" i="2"/>
  <c r="I75" i="2"/>
  <c r="K29" i="1" s="1"/>
  <c r="AJ29" i="1" s="1"/>
  <c r="L52" i="2"/>
  <c r="L53" i="2"/>
  <c r="I79" i="2"/>
  <c r="K33" i="1" s="1"/>
  <c r="AJ33" i="1" s="1"/>
  <c r="AM23" i="1"/>
  <c r="L55" i="2"/>
  <c r="I87" i="2"/>
  <c r="K41" i="1" s="1"/>
  <c r="AJ41" i="1" s="1"/>
  <c r="AZ81" i="2"/>
  <c r="BA81" i="2"/>
  <c r="BB81" i="2"/>
  <c r="S54" i="2"/>
  <c r="S53" i="2"/>
  <c r="S52" i="2"/>
  <c r="W17" i="2"/>
  <c r="AD17" i="2"/>
  <c r="L87" i="2"/>
  <c r="Q41" i="1" s="1"/>
  <c r="AK41" i="1" s="1"/>
  <c r="L61" i="2"/>
  <c r="BC79" i="2"/>
  <c r="BC80" i="2"/>
  <c r="AZ42" i="2"/>
  <c r="L47" i="2"/>
  <c r="F79" i="2"/>
  <c r="E33" i="1" s="1"/>
  <c r="AI33" i="1" s="1"/>
  <c r="L66" i="2"/>
  <c r="O83" i="2"/>
  <c r="W37" i="1" s="1"/>
  <c r="AL37" i="1" s="1"/>
  <c r="BC73" i="2"/>
  <c r="BC40" i="2"/>
  <c r="BB40" i="2"/>
  <c r="AC24" i="1" s="1"/>
  <c r="AA40" i="2"/>
  <c r="BD40" i="2"/>
  <c r="AE24" i="1" s="1"/>
  <c r="AN24" i="1" s="1"/>
  <c r="AD24" i="1"/>
  <c r="AG17" i="2"/>
  <c r="AN17" i="2"/>
  <c r="L79" i="2"/>
  <c r="Q33" i="1" s="1"/>
  <c r="AK33" i="1" s="1"/>
  <c r="L59" i="2"/>
  <c r="L56" i="2"/>
  <c r="I91" i="2"/>
  <c r="K45" i="1" s="1"/>
  <c r="AJ45" i="1" s="1"/>
  <c r="L57" i="2"/>
  <c r="I95" i="2"/>
  <c r="K49" i="1" s="1"/>
  <c r="AJ49" i="1" s="1"/>
  <c r="AG32" i="2"/>
  <c r="AN32" i="2"/>
  <c r="A13" i="6"/>
  <c r="A6" i="6" s="1"/>
  <c r="A14" i="6"/>
  <c r="L49" i="2"/>
  <c r="F87" i="2"/>
  <c r="E41" i="1" s="1"/>
  <c r="AI41" i="1" s="1"/>
  <c r="BC77" i="2"/>
  <c r="BA41" i="2"/>
  <c r="AF25" i="1"/>
  <c r="Y83" i="2"/>
  <c r="AF82" i="2"/>
  <c r="AL82" i="2"/>
  <c r="AT82" i="2"/>
  <c r="AI82" i="2"/>
  <c r="AY82" i="2"/>
  <c r="AC82" i="2"/>
  <c r="AJ82" i="2"/>
  <c r="AV82" i="2"/>
  <c r="AX82" i="2"/>
  <c r="AB82" i="2"/>
  <c r="AM82" i="2"/>
  <c r="AQ82" i="2"/>
  <c r="AD82" i="2"/>
  <c r="AU82" i="2"/>
  <c r="AH82" i="2"/>
  <c r="AR82" i="2"/>
  <c r="AS82" i="2"/>
  <c r="AG82" i="2"/>
  <c r="AK82" i="2"/>
  <c r="AW82" i="2"/>
  <c r="AN82" i="2"/>
  <c r="AP82" i="2"/>
  <c r="AO82" i="2"/>
  <c r="AE82" i="2"/>
  <c r="V7" i="1"/>
  <c r="V6" i="1"/>
  <c r="L113" i="2"/>
  <c r="V8" i="1"/>
  <c r="BC72" i="2"/>
  <c r="AE36" i="8"/>
  <c r="BC74" i="2"/>
  <c r="T23" i="2"/>
  <c r="M23" i="2"/>
  <c r="L68" i="2"/>
  <c r="O91" i="2"/>
  <c r="W45" i="1" s="1"/>
  <c r="AL45" i="1" s="1"/>
  <c r="L46" i="2"/>
  <c r="F75" i="2"/>
  <c r="E29" i="1" s="1"/>
  <c r="AI29" i="1" s="1"/>
  <c r="AL43" i="2"/>
  <c r="Y44" i="2"/>
  <c r="AB43" i="2"/>
  <c r="AS43" i="2"/>
  <c r="AM43" i="2"/>
  <c r="AJ43" i="2"/>
  <c r="AK43" i="2"/>
  <c r="AQ43" i="2"/>
  <c r="AY43" i="2"/>
  <c r="AC43" i="2"/>
  <c r="AG43" i="2"/>
  <c r="AR43" i="2"/>
  <c r="AU43" i="2"/>
  <c r="AV43" i="2"/>
  <c r="AN43" i="2"/>
  <c r="AD43" i="2"/>
  <c r="AT43" i="2"/>
  <c r="AH43" i="2"/>
  <c r="AE43" i="2"/>
  <c r="AP43" i="2"/>
  <c r="AI43" i="2"/>
  <c r="AX43" i="2"/>
  <c r="AO43" i="2"/>
  <c r="AF43" i="2"/>
  <c r="AW43" i="2"/>
  <c r="L63" i="2"/>
  <c r="L95" i="2"/>
  <c r="Q49" i="1" s="1"/>
  <c r="AK49" i="1" s="1"/>
  <c r="AS15" i="2"/>
  <c r="L104" i="2" s="1"/>
  <c r="O10" i="4" l="1"/>
  <c r="AM23" i="4"/>
  <c r="AL23" i="4"/>
  <c r="AN22" i="4"/>
  <c r="AF21" i="4"/>
  <c r="AF24" i="4"/>
  <c r="AG23" i="4"/>
  <c r="AG21" i="4"/>
  <c r="AN21" i="4"/>
  <c r="AH24" i="4"/>
  <c r="AK23" i="4"/>
  <c r="D22" i="4"/>
  <c r="U22" i="4" s="1"/>
  <c r="AL21" i="4"/>
  <c r="C22" i="4"/>
  <c r="T22" i="4" s="1"/>
  <c r="AH22" i="4"/>
  <c r="AJ21" i="4"/>
  <c r="AN23" i="4"/>
  <c r="K21" i="4"/>
  <c r="AB21" i="4" s="1"/>
  <c r="K23" i="4"/>
  <c r="AB23" i="4" s="1"/>
  <c r="J24" i="4"/>
  <c r="AA24" i="4" s="1"/>
  <c r="O7" i="4"/>
  <c r="AK21" i="4"/>
  <c r="AJ24" i="4"/>
  <c r="AL24" i="4"/>
  <c r="AH23" i="4"/>
  <c r="AI22" i="4"/>
  <c r="AI21" i="4"/>
  <c r="C24" i="4"/>
  <c r="T24" i="4" s="1"/>
  <c r="AG22" i="4"/>
  <c r="J21" i="4"/>
  <c r="AA21" i="4" s="1"/>
  <c r="D23" i="4"/>
  <c r="U23" i="4" s="1"/>
  <c r="AH21" i="4"/>
  <c r="AK22" i="4"/>
  <c r="K24" i="4"/>
  <c r="AB24" i="4" s="1"/>
  <c r="O9" i="4"/>
  <c r="AK24" i="4"/>
  <c r="AM24" i="4"/>
  <c r="AN24" i="4"/>
  <c r="O5" i="4"/>
  <c r="J22" i="4"/>
  <c r="AA22" i="4" s="1"/>
  <c r="AM21" i="4"/>
  <c r="C21" i="4"/>
  <c r="T21" i="4" s="1"/>
  <c r="D24" i="4"/>
  <c r="U24" i="4" s="1"/>
  <c r="J23" i="4"/>
  <c r="AA23" i="4" s="1"/>
  <c r="K22" i="4"/>
  <c r="AB22" i="4" s="1"/>
  <c r="AI24" i="4"/>
  <c r="AJ23" i="4"/>
  <c r="AF22" i="4"/>
  <c r="AF23" i="4"/>
  <c r="C23" i="4"/>
  <c r="T23" i="4" s="1"/>
  <c r="AG24" i="4"/>
  <c r="D21" i="4"/>
  <c r="U21" i="4" s="1"/>
  <c r="AL22" i="4"/>
  <c r="AM22" i="4"/>
  <c r="AI23" i="4"/>
  <c r="AJ22" i="4"/>
  <c r="AH45" i="1"/>
  <c r="AB45" i="1" s="1"/>
  <c r="L54" i="2"/>
  <c r="I83" i="2"/>
  <c r="K37" i="1" s="1"/>
  <c r="AJ37" i="1" s="1"/>
  <c r="AH37" i="1" s="1"/>
  <c r="AB37" i="1" s="1"/>
  <c r="B7" i="8"/>
  <c r="B8" i="8"/>
  <c r="B6" i="8"/>
  <c r="AA41" i="2"/>
  <c r="BC41" i="2"/>
  <c r="BB41" i="2"/>
  <c r="AC25" i="1" s="1"/>
  <c r="BD41" i="2"/>
  <c r="AE25" i="1" s="1"/>
  <c r="AN25" i="1" s="1"/>
  <c r="AD25" i="1"/>
  <c r="AH33" i="1"/>
  <c r="AB33" i="1" s="1"/>
  <c r="L75" i="2"/>
  <c r="Q29" i="1" s="1"/>
  <c r="AK29" i="1" s="1"/>
  <c r="AH3" i="1" s="1"/>
  <c r="L58" i="2"/>
  <c r="AH41" i="1"/>
  <c r="AB41" i="1" s="1"/>
  <c r="BA42" i="2"/>
  <c r="AF26" i="1"/>
  <c r="AZ82" i="2"/>
  <c r="BA82" i="2"/>
  <c r="BB82" i="2"/>
  <c r="AO24" i="1"/>
  <c r="AM24" i="1" s="1"/>
  <c r="BC81" i="2"/>
  <c r="AZ43" i="2"/>
  <c r="Y84" i="2"/>
  <c r="AF83" i="2"/>
  <c r="AC83" i="2"/>
  <c r="AJ83" i="2"/>
  <c r="AK83" i="2"/>
  <c r="AW83" i="2"/>
  <c r="AR83" i="2"/>
  <c r="AD83" i="2"/>
  <c r="AS83" i="2"/>
  <c r="AU83" i="2"/>
  <c r="AT83" i="2"/>
  <c r="AQ83" i="2"/>
  <c r="AP83" i="2"/>
  <c r="AE83" i="2"/>
  <c r="AY83" i="2"/>
  <c r="AV83" i="2"/>
  <c r="AG83" i="2"/>
  <c r="AB83" i="2"/>
  <c r="AM83" i="2"/>
  <c r="AI83" i="2"/>
  <c r="AL83" i="2"/>
  <c r="AH83" i="2"/>
  <c r="AN83" i="2"/>
  <c r="AO83" i="2"/>
  <c r="AX83" i="2"/>
  <c r="O95" i="2"/>
  <c r="W49" i="1" s="1"/>
  <c r="AL49" i="1" s="1"/>
  <c r="AH49" i="1" s="1"/>
  <c r="AB49" i="1" s="1"/>
  <c r="L69" i="2"/>
  <c r="O75" i="2"/>
  <c r="W29" i="1" s="1"/>
  <c r="AL29" i="1" s="1"/>
  <c r="L64" i="2"/>
  <c r="AJ44" i="2"/>
  <c r="AS44" i="2"/>
  <c r="AK44" i="2"/>
  <c r="AV44" i="2"/>
  <c r="AC44" i="2"/>
  <c r="AY44" i="2"/>
  <c r="AU44" i="2"/>
  <c r="AF44" i="2"/>
  <c r="AL44" i="2"/>
  <c r="AM44" i="2"/>
  <c r="AT44" i="2"/>
  <c r="Y45" i="2"/>
  <c r="AD44" i="2"/>
  <c r="AO44" i="2"/>
  <c r="AW44" i="2"/>
  <c r="AP44" i="2"/>
  <c r="AG44" i="2"/>
  <c r="AI44" i="2"/>
  <c r="AB44" i="2"/>
  <c r="AR44" i="2"/>
  <c r="AN44" i="2"/>
  <c r="AH44" i="2"/>
  <c r="AE44" i="2"/>
  <c r="AX44" i="2"/>
  <c r="AQ44" i="2"/>
  <c r="AO25" i="1" l="1"/>
  <c r="BD42" i="2"/>
  <c r="AE26" i="1" s="1"/>
  <c r="AN26" i="1" s="1"/>
  <c r="AA42" i="2"/>
  <c r="AD26" i="1"/>
  <c r="BB42" i="2"/>
  <c r="AC26" i="1" s="1"/>
  <c r="BC42" i="2"/>
  <c r="P3" i="1"/>
  <c r="AI3" i="1"/>
  <c r="P4" i="1" s="1"/>
  <c r="C6" i="1" s="1"/>
  <c r="BC82" i="2"/>
  <c r="AH29" i="1"/>
  <c r="BB83" i="2"/>
  <c r="AZ83" i="2"/>
  <c r="BA83" i="2"/>
  <c r="AM25" i="1"/>
  <c r="AL45" i="2"/>
  <c r="AQ45" i="2"/>
  <c r="AU45" i="2"/>
  <c r="AM45" i="2"/>
  <c r="AF45" i="2"/>
  <c r="AS45" i="2"/>
  <c r="AJ45" i="2"/>
  <c r="Y46" i="2"/>
  <c r="AK45" i="2"/>
  <c r="AR45" i="2"/>
  <c r="AV45" i="2"/>
  <c r="AB45" i="2"/>
  <c r="AC45" i="2"/>
  <c r="AO45" i="2"/>
  <c r="AW45" i="2"/>
  <c r="AE45" i="2"/>
  <c r="AI45" i="2"/>
  <c r="AP45" i="2"/>
  <c r="AG45" i="2"/>
  <c r="AX45" i="2"/>
  <c r="AD45" i="2"/>
  <c r="AT45" i="2"/>
  <c r="AH45" i="2"/>
  <c r="AY45" i="2"/>
  <c r="AN45" i="2"/>
  <c r="Y85" i="2"/>
  <c r="AF84" i="2"/>
  <c r="AT84" i="2"/>
  <c r="AY84" i="2"/>
  <c r="AN84" i="2"/>
  <c r="AR84" i="2"/>
  <c r="AH84" i="2"/>
  <c r="AE84" i="2"/>
  <c r="AX84" i="2"/>
  <c r="AS84" i="2"/>
  <c r="AU84" i="2"/>
  <c r="AG84" i="2"/>
  <c r="AL84" i="2"/>
  <c r="AP84" i="2"/>
  <c r="AK84" i="2"/>
  <c r="AJ84" i="2"/>
  <c r="AC84" i="2"/>
  <c r="AV84" i="2"/>
  <c r="AI84" i="2"/>
  <c r="AQ84" i="2"/>
  <c r="AM84" i="2"/>
  <c r="AO84" i="2"/>
  <c r="AB84" i="2"/>
  <c r="AD84" i="2"/>
  <c r="AW84" i="2"/>
  <c r="AZ44" i="2"/>
  <c r="BA43" i="2"/>
  <c r="AF27" i="1"/>
  <c r="AO26" i="1"/>
  <c r="BC83" i="2" l="1"/>
  <c r="AZ45" i="2"/>
  <c r="BA44" i="2"/>
  <c r="AF28" i="1"/>
  <c r="AH25" i="1"/>
  <c r="AB29" i="1"/>
  <c r="Y86" i="2"/>
  <c r="AF85" i="2"/>
  <c r="AR85" i="2"/>
  <c r="AO85" i="2"/>
  <c r="AY85" i="2"/>
  <c r="AC85" i="2"/>
  <c r="AE85" i="2"/>
  <c r="AN85" i="2"/>
  <c r="AB85" i="2"/>
  <c r="AI85" i="2"/>
  <c r="AU85" i="2"/>
  <c r="AK85" i="2"/>
  <c r="AM85" i="2"/>
  <c r="AQ85" i="2"/>
  <c r="AS85" i="2"/>
  <c r="AG85" i="2"/>
  <c r="AH85" i="2"/>
  <c r="AW85" i="2"/>
  <c r="AT85" i="2"/>
  <c r="AD85" i="2"/>
  <c r="AV85" i="2"/>
  <c r="AL85" i="2"/>
  <c r="AP85" i="2"/>
  <c r="AJ85" i="2"/>
  <c r="AX85" i="2"/>
  <c r="AM26" i="1"/>
  <c r="AZ84" i="2"/>
  <c r="BA84" i="2"/>
  <c r="BB84" i="2"/>
  <c r="AM46" i="2"/>
  <c r="AJ46" i="2"/>
  <c r="AV46" i="2"/>
  <c r="AB46" i="2"/>
  <c r="AT46" i="2"/>
  <c r="AR46" i="2"/>
  <c r="AS46" i="2"/>
  <c r="AC46" i="2"/>
  <c r="AW46" i="2"/>
  <c r="AQ46" i="2"/>
  <c r="AD46" i="2"/>
  <c r="AK46" i="2"/>
  <c r="AL46" i="2"/>
  <c r="Y47" i="2"/>
  <c r="AG46" i="2"/>
  <c r="AI46" i="2"/>
  <c r="AF46" i="2"/>
  <c r="AH46" i="2"/>
  <c r="AU46" i="2"/>
  <c r="AY46" i="2"/>
  <c r="AX46" i="2"/>
  <c r="AO46" i="2"/>
  <c r="AP46" i="2"/>
  <c r="AN46" i="2"/>
  <c r="AE46" i="2"/>
  <c r="A22" i="4"/>
  <c r="A12" i="4"/>
  <c r="L22" i="7"/>
  <c r="R27" i="7" s="1"/>
  <c r="A21" i="4"/>
  <c r="A2" i="4"/>
  <c r="A27" i="4"/>
  <c r="A5" i="4"/>
  <c r="O8" i="8"/>
  <c r="A24" i="4"/>
  <c r="O4" i="8"/>
  <c r="M4" i="4"/>
  <c r="A18" i="4"/>
  <c r="A19" i="4"/>
  <c r="M6" i="4"/>
  <c r="A32" i="1"/>
  <c r="A26" i="4"/>
  <c r="M10" i="4"/>
  <c r="A10" i="4"/>
  <c r="M2" i="4"/>
  <c r="O9" i="8"/>
  <c r="A37" i="2"/>
  <c r="M7" i="4"/>
  <c r="A7" i="4"/>
  <c r="A3" i="4"/>
  <c r="A48" i="1"/>
  <c r="O11" i="8"/>
  <c r="M8" i="4"/>
  <c r="O3" i="8"/>
  <c r="A23" i="4"/>
  <c r="A16" i="4"/>
  <c r="O6" i="8"/>
  <c r="A28" i="1"/>
  <c r="A36" i="1"/>
  <c r="A40" i="1"/>
  <c r="A25" i="4"/>
  <c r="A4" i="4"/>
  <c r="M3" i="4"/>
  <c r="M5" i="4"/>
  <c r="A8" i="4"/>
  <c r="A15" i="4"/>
  <c r="A9" i="4"/>
  <c r="O7" i="8"/>
  <c r="O5" i="8"/>
  <c r="M9" i="4"/>
  <c r="O10" i="8"/>
  <c r="A14" i="4"/>
  <c r="A2" i="6"/>
  <c r="A17" i="4"/>
  <c r="A11" i="4"/>
  <c r="A6" i="4"/>
  <c r="A13" i="4"/>
  <c r="A20" i="4"/>
  <c r="A44" i="1"/>
  <c r="BB43" i="2"/>
  <c r="AC27" i="1" s="1"/>
  <c r="AA43" i="2"/>
  <c r="BD43" i="2"/>
  <c r="AE27" i="1" s="1"/>
  <c r="AN27" i="1" s="1"/>
  <c r="BC43" i="2"/>
  <c r="AD27" i="1"/>
  <c r="BA45" i="2"/>
  <c r="AF29" i="1"/>
  <c r="AB25" i="1" l="1"/>
  <c r="A27" i="1"/>
  <c r="BC84" i="2"/>
  <c r="BB44" i="2"/>
  <c r="AC28" i="1" s="1"/>
  <c r="BC44" i="2"/>
  <c r="BD44" i="2"/>
  <c r="AE28" i="1" s="1"/>
  <c r="AN28" i="1" s="1"/>
  <c r="AD28" i="1"/>
  <c r="AA44" i="2"/>
  <c r="AO27" i="1"/>
  <c r="AM27" i="1" s="1"/>
  <c r="AL47" i="2"/>
  <c r="AT47" i="2"/>
  <c r="AK47" i="2"/>
  <c r="AU47" i="2"/>
  <c r="AQ47" i="2"/>
  <c r="AF47" i="2"/>
  <c r="AV47" i="2"/>
  <c r="Y48" i="2"/>
  <c r="AG47" i="2"/>
  <c r="AW47" i="2"/>
  <c r="AB47" i="2"/>
  <c r="AO47" i="2"/>
  <c r="AX47" i="2"/>
  <c r="AY47" i="2"/>
  <c r="AJ47" i="2"/>
  <c r="AM47" i="2"/>
  <c r="AN47" i="2"/>
  <c r="AS47" i="2"/>
  <c r="AI47" i="2"/>
  <c r="AC47" i="2"/>
  <c r="AH47" i="2"/>
  <c r="AE47" i="2"/>
  <c r="AP47" i="2"/>
  <c r="AR47" i="2"/>
  <c r="AD47" i="2"/>
  <c r="BB45" i="2"/>
  <c r="AC29" i="1" s="1"/>
  <c r="AA45" i="2"/>
  <c r="BC45" i="2"/>
  <c r="BD45" i="2"/>
  <c r="AE29" i="1" s="1"/>
  <c r="AN29" i="1" s="1"/>
  <c r="AD29" i="1"/>
  <c r="A39" i="2"/>
  <c r="A40" i="2" s="1"/>
  <c r="A41" i="2" s="1"/>
  <c r="A42" i="2" s="1"/>
  <c r="A43" i="2" s="1"/>
  <c r="A44" i="2" s="1"/>
  <c r="A45" i="2" s="1"/>
  <c r="A46" i="2" s="1"/>
  <c r="A47" i="2" s="1"/>
  <c r="C39" i="2"/>
  <c r="C40" i="2" s="1"/>
  <c r="C41" i="2" s="1"/>
  <c r="C42" i="2" s="1"/>
  <c r="C43" i="2" s="1"/>
  <c r="C44" i="2" s="1"/>
  <c r="C45" i="2" s="1"/>
  <c r="C46" i="2" s="1"/>
  <c r="C47" i="2" s="1"/>
  <c r="AZ46" i="2"/>
  <c r="AZ85" i="2"/>
  <c r="BA85" i="2"/>
  <c r="BB85" i="2"/>
  <c r="BC85" i="2" s="1"/>
  <c r="Y87" i="2"/>
  <c r="AF86" i="2"/>
  <c r="AC86" i="2"/>
  <c r="AV86" i="2"/>
  <c r="AG86" i="2"/>
  <c r="AH86" i="2"/>
  <c r="AW86" i="2"/>
  <c r="AR86" i="2"/>
  <c r="AS86" i="2"/>
  <c r="AD86" i="2"/>
  <c r="AP86" i="2"/>
  <c r="AX86" i="2"/>
  <c r="AE86" i="2"/>
  <c r="AU86" i="2"/>
  <c r="AK86" i="2"/>
  <c r="AT86" i="2"/>
  <c r="AI86" i="2"/>
  <c r="AY86" i="2"/>
  <c r="AB86" i="2"/>
  <c r="AL86" i="2"/>
  <c r="AJ86" i="2"/>
  <c r="AN86" i="2"/>
  <c r="AQ86" i="2"/>
  <c r="AM86" i="2"/>
  <c r="AO86" i="2"/>
  <c r="AO29" i="1" l="1"/>
  <c r="BB86" i="2"/>
  <c r="AZ86" i="2"/>
  <c r="BA86" i="2"/>
  <c r="AO28" i="1"/>
  <c r="AM28" i="1" s="1"/>
  <c r="AM29" i="1"/>
  <c r="AZ47" i="2"/>
  <c r="BA46" i="2"/>
  <c r="AF30" i="1"/>
  <c r="AM48" i="2"/>
  <c r="AL48" i="2"/>
  <c r="AT48" i="2"/>
  <c r="AF48" i="2"/>
  <c r="Y49" i="2"/>
  <c r="AC48" i="2"/>
  <c r="AO48" i="2"/>
  <c r="AK48" i="2"/>
  <c r="AQ48" i="2"/>
  <c r="AJ48" i="2"/>
  <c r="AV48" i="2"/>
  <c r="AW48" i="2"/>
  <c r="AB48" i="2"/>
  <c r="AG48" i="2"/>
  <c r="AH48" i="2"/>
  <c r="AI48" i="2"/>
  <c r="AR48" i="2"/>
  <c r="AS48" i="2"/>
  <c r="AX48" i="2"/>
  <c r="AD48" i="2"/>
  <c r="AE48" i="2"/>
  <c r="AY48" i="2"/>
  <c r="AN48" i="2"/>
  <c r="AU48" i="2"/>
  <c r="AP48" i="2"/>
  <c r="Y88" i="2"/>
  <c r="AF87" i="2"/>
  <c r="AS87" i="2"/>
  <c r="AH87" i="2"/>
  <c r="AR87" i="2"/>
  <c r="AK87" i="2"/>
  <c r="AC87" i="2"/>
  <c r="AI87" i="2"/>
  <c r="AY87" i="2"/>
  <c r="AV87" i="2"/>
  <c r="AB87" i="2"/>
  <c r="AL87" i="2"/>
  <c r="AJ87" i="2"/>
  <c r="AM87" i="2"/>
  <c r="AN87" i="2"/>
  <c r="AU87" i="2"/>
  <c r="AG87" i="2"/>
  <c r="AT87" i="2"/>
  <c r="AW87" i="2"/>
  <c r="AD87" i="2"/>
  <c r="AQ87" i="2"/>
  <c r="AE87" i="2"/>
  <c r="AP87" i="2"/>
  <c r="AO87" i="2"/>
  <c r="AX87" i="2"/>
  <c r="BC86" i="2" l="1"/>
  <c r="BC46" i="2"/>
  <c r="AA46" i="2"/>
  <c r="BB46" i="2"/>
  <c r="AC30" i="1" s="1"/>
  <c r="BD46" i="2"/>
  <c r="AE30" i="1" s="1"/>
  <c r="AN30" i="1" s="1"/>
  <c r="AD30" i="1"/>
  <c r="BA47" i="2"/>
  <c r="AF31" i="1"/>
  <c r="Y89" i="2"/>
  <c r="AF88" i="2"/>
  <c r="AV88" i="2"/>
  <c r="AB88" i="2"/>
  <c r="AP88" i="2"/>
  <c r="AW88" i="2"/>
  <c r="AE88" i="2"/>
  <c r="AT88" i="2"/>
  <c r="AM88" i="2"/>
  <c r="AI88" i="2"/>
  <c r="AH88" i="2"/>
  <c r="AX88" i="2"/>
  <c r="AR88" i="2"/>
  <c r="AQ88" i="2"/>
  <c r="AD88" i="2"/>
  <c r="AS88" i="2"/>
  <c r="AL88" i="2"/>
  <c r="AN88" i="2"/>
  <c r="AY88" i="2"/>
  <c r="AK88" i="2"/>
  <c r="AC88" i="2"/>
  <c r="AJ88" i="2"/>
  <c r="AU88" i="2"/>
  <c r="AG88" i="2"/>
  <c r="AO88" i="2"/>
  <c r="AZ48" i="2"/>
  <c r="AM49" i="2"/>
  <c r="AL49" i="2"/>
  <c r="AT49" i="2"/>
  <c r="AJ49" i="2"/>
  <c r="AV49" i="2"/>
  <c r="AS49" i="2"/>
  <c r="AG49" i="2"/>
  <c r="AW49" i="2"/>
  <c r="Y50" i="2"/>
  <c r="AK49" i="2"/>
  <c r="AY49" i="2"/>
  <c r="AF49" i="2"/>
  <c r="AR49" i="2"/>
  <c r="AB49" i="2"/>
  <c r="AP49" i="2"/>
  <c r="AQ49" i="2"/>
  <c r="AC49" i="2"/>
  <c r="AN49" i="2"/>
  <c r="AO49" i="2"/>
  <c r="AD49" i="2"/>
  <c r="AE49" i="2"/>
  <c r="AI49" i="2"/>
  <c r="AX49" i="2"/>
  <c r="AU49" i="2"/>
  <c r="AH49" i="2"/>
  <c r="BA87" i="2"/>
  <c r="AZ87" i="2"/>
  <c r="BB87" i="2"/>
  <c r="AM50" i="2" l="1"/>
  <c r="AL50" i="2"/>
  <c r="AT50" i="2"/>
  <c r="Y51" i="2"/>
  <c r="AF50" i="2"/>
  <c r="AC50" i="2"/>
  <c r="AO50" i="2"/>
  <c r="AQ50" i="2"/>
  <c r="AB50" i="2"/>
  <c r="AR50" i="2"/>
  <c r="AK50" i="2"/>
  <c r="AG50" i="2"/>
  <c r="AI50" i="2"/>
  <c r="AJ50" i="2"/>
  <c r="AS50" i="2"/>
  <c r="AV50" i="2"/>
  <c r="AW50" i="2"/>
  <c r="AX50" i="2"/>
  <c r="AD50" i="2"/>
  <c r="AY50" i="2"/>
  <c r="AH50" i="2"/>
  <c r="AE50" i="2"/>
  <c r="AN50" i="2"/>
  <c r="AP50" i="2"/>
  <c r="AU50" i="2"/>
  <c r="BA48" i="2"/>
  <c r="AF32" i="1"/>
  <c r="AZ49" i="2"/>
  <c r="BB47" i="2"/>
  <c r="AC31" i="1" s="1"/>
  <c r="BD47" i="2"/>
  <c r="AE31" i="1" s="1"/>
  <c r="AN31" i="1" s="1"/>
  <c r="BC47" i="2"/>
  <c r="AA47" i="2"/>
  <c r="AD31" i="1"/>
  <c r="AZ88" i="2"/>
  <c r="BA88" i="2"/>
  <c r="BB88" i="2"/>
  <c r="BC88" i="2" s="1"/>
  <c r="Y90" i="2"/>
  <c r="AF89" i="2"/>
  <c r="AJ89" i="2"/>
  <c r="AI89" i="2"/>
  <c r="AX89" i="2"/>
  <c r="AS89" i="2"/>
  <c r="AV89" i="2"/>
  <c r="AO89" i="2"/>
  <c r="AY89" i="2"/>
  <c r="AU89" i="2"/>
  <c r="AE89" i="2"/>
  <c r="AR89" i="2"/>
  <c r="AG89" i="2"/>
  <c r="AK89" i="2"/>
  <c r="AB89" i="2"/>
  <c r="AM89" i="2"/>
  <c r="AP89" i="2"/>
  <c r="AC89" i="2"/>
  <c r="AL89" i="2"/>
  <c r="AT89" i="2"/>
  <c r="AH89" i="2"/>
  <c r="AW89" i="2"/>
  <c r="AQ89" i="2"/>
  <c r="AN89" i="2"/>
  <c r="AD89" i="2"/>
  <c r="BC87" i="2"/>
  <c r="AO30" i="1"/>
  <c r="AM30" i="1" s="1"/>
  <c r="AO31" i="1" l="1"/>
  <c r="AM31" i="1" s="1"/>
  <c r="BA49" i="2"/>
  <c r="AF33" i="1"/>
  <c r="AM51" i="2"/>
  <c r="AV51" i="2"/>
  <c r="AC51" i="2"/>
  <c r="AL51" i="2"/>
  <c r="AU51" i="2"/>
  <c r="AK51" i="2"/>
  <c r="AY51" i="2"/>
  <c r="AB51" i="2"/>
  <c r="AO51" i="2"/>
  <c r="AJ51" i="2"/>
  <c r="AW51" i="2"/>
  <c r="AG51" i="2"/>
  <c r="AI51" i="2"/>
  <c r="AT51" i="2"/>
  <c r="AE51" i="2"/>
  <c r="AF51" i="2"/>
  <c r="AQ51" i="2"/>
  <c r="AR51" i="2"/>
  <c r="AS51" i="2"/>
  <c r="Y52" i="2"/>
  <c r="AH51" i="2"/>
  <c r="AP51" i="2"/>
  <c r="AD51" i="2"/>
  <c r="AN51" i="2"/>
  <c r="AX51" i="2"/>
  <c r="BC48" i="2"/>
  <c r="BB48" i="2"/>
  <c r="BD48" i="2"/>
  <c r="AE32" i="1" s="1"/>
  <c r="AN32" i="1" s="1"/>
  <c r="AA48" i="2"/>
  <c r="AD32" i="1"/>
  <c r="AZ50" i="2"/>
  <c r="Y91" i="2"/>
  <c r="AF90" i="2"/>
  <c r="AT90" i="2"/>
  <c r="AV90" i="2"/>
  <c r="AB90" i="2"/>
  <c r="AM90" i="2"/>
  <c r="AL90" i="2"/>
  <c r="AI90" i="2"/>
  <c r="AO90" i="2"/>
  <c r="AR90" i="2"/>
  <c r="AY90" i="2"/>
  <c r="AC90" i="2"/>
  <c r="AH90" i="2"/>
  <c r="AQ90" i="2"/>
  <c r="AS90" i="2"/>
  <c r="AU90" i="2"/>
  <c r="AG90" i="2"/>
  <c r="AN90" i="2"/>
  <c r="AK90" i="2"/>
  <c r="AD90" i="2"/>
  <c r="AE90" i="2"/>
  <c r="AJ90" i="2"/>
  <c r="AW90" i="2"/>
  <c r="AP90" i="2"/>
  <c r="AX90" i="2"/>
  <c r="BA89" i="2"/>
  <c r="BB89" i="2"/>
  <c r="AZ89" i="2"/>
  <c r="AO32" i="1" l="1"/>
  <c r="AM32" i="1" s="1"/>
  <c r="BC89" i="2"/>
  <c r="BA50" i="2"/>
  <c r="AF34" i="1"/>
  <c r="AZ51" i="2"/>
  <c r="BC49" i="2"/>
  <c r="BB49" i="2"/>
  <c r="AA49" i="2"/>
  <c r="BD49" i="2"/>
  <c r="AE33" i="1" s="1"/>
  <c r="AN33" i="1" s="1"/>
  <c r="AD33" i="1"/>
  <c r="BB90" i="2"/>
  <c r="AZ90" i="2"/>
  <c r="BA90" i="2"/>
  <c r="BG48" i="2"/>
  <c r="AC32" i="1"/>
  <c r="AK52" i="2"/>
  <c r="AW52" i="2"/>
  <c r="AM52" i="2"/>
  <c r="AV52" i="2"/>
  <c r="AB52" i="2"/>
  <c r="AF52" i="2"/>
  <c r="AQ52" i="2"/>
  <c r="AG52" i="2"/>
  <c r="AR52" i="2"/>
  <c r="AO52" i="2"/>
  <c r="AI52" i="2"/>
  <c r="AJ52" i="2"/>
  <c r="AL52" i="2"/>
  <c r="Y53" i="2"/>
  <c r="AT52" i="2"/>
  <c r="AU52" i="2"/>
  <c r="AX52" i="2"/>
  <c r="AY52" i="2"/>
  <c r="AS52" i="2"/>
  <c r="AC52" i="2"/>
  <c r="AN52" i="2"/>
  <c r="AP52" i="2"/>
  <c r="AH52" i="2"/>
  <c r="AE52" i="2"/>
  <c r="AD52" i="2"/>
  <c r="AF91" i="2"/>
  <c r="Y92" i="2"/>
  <c r="AG91" i="2"/>
  <c r="AD91" i="2"/>
  <c r="AQ91" i="2"/>
  <c r="AJ91" i="2"/>
  <c r="AO91" i="2"/>
  <c r="AS91" i="2"/>
  <c r="AN91" i="2"/>
  <c r="AX91" i="2"/>
  <c r="AY91" i="2"/>
  <c r="AT91" i="2"/>
  <c r="AI91" i="2"/>
  <c r="AW91" i="2"/>
  <c r="AR91" i="2"/>
  <c r="AK91" i="2"/>
  <c r="AC91" i="2"/>
  <c r="AB91" i="2"/>
  <c r="AL91" i="2"/>
  <c r="AV91" i="2"/>
  <c r="AM91" i="2"/>
  <c r="AU91" i="2"/>
  <c r="AH91" i="2"/>
  <c r="AE91" i="2"/>
  <c r="AP91" i="2"/>
  <c r="AZ52" i="2" l="1"/>
  <c r="AO33" i="1"/>
  <c r="AM33" i="1" s="1"/>
  <c r="BA51" i="2"/>
  <c r="AF35" i="1"/>
  <c r="AZ91" i="2"/>
  <c r="BA91" i="2"/>
  <c r="BB91" i="2"/>
  <c r="AF92" i="2"/>
  <c r="Y93" i="2"/>
  <c r="AU92" i="2"/>
  <c r="AK92" i="2"/>
  <c r="AD92" i="2"/>
  <c r="AY92" i="2"/>
  <c r="AB92" i="2"/>
  <c r="AI92" i="2"/>
  <c r="AV92" i="2"/>
  <c r="AW92" i="2"/>
  <c r="AJ92" i="2"/>
  <c r="AM92" i="2"/>
  <c r="AL92" i="2"/>
  <c r="AH92" i="2"/>
  <c r="AO92" i="2"/>
  <c r="AX92" i="2"/>
  <c r="AR92" i="2"/>
  <c r="AS92" i="2"/>
  <c r="AG92" i="2"/>
  <c r="AC92" i="2"/>
  <c r="AT92" i="2"/>
  <c r="AQ92" i="2"/>
  <c r="AP92" i="2"/>
  <c r="AE92" i="2"/>
  <c r="AN92" i="2"/>
  <c r="BC90" i="2"/>
  <c r="BC50" i="2"/>
  <c r="BB50" i="2"/>
  <c r="BD50" i="2"/>
  <c r="AE34" i="1" s="1"/>
  <c r="AN34" i="1" s="1"/>
  <c r="AA50" i="2"/>
  <c r="AD34" i="1"/>
  <c r="BG49" i="2"/>
  <c r="AC33" i="1"/>
  <c r="AV53" i="2"/>
  <c r="AO53" i="2"/>
  <c r="AM53" i="2"/>
  <c r="AW53" i="2"/>
  <c r="AS53" i="2"/>
  <c r="AI53" i="2"/>
  <c r="AT53" i="2"/>
  <c r="AJ53" i="2"/>
  <c r="AU53" i="2"/>
  <c r="Y54" i="2"/>
  <c r="AR53" i="2"/>
  <c r="AK53" i="2"/>
  <c r="AL53" i="2"/>
  <c r="AB53" i="2"/>
  <c r="AC53" i="2"/>
  <c r="AP53" i="2"/>
  <c r="AQ53" i="2"/>
  <c r="AY53" i="2"/>
  <c r="AE53" i="2"/>
  <c r="AD53" i="2"/>
  <c r="AX53" i="2"/>
  <c r="AN53" i="2"/>
  <c r="AF53" i="2"/>
  <c r="AG53" i="2"/>
  <c r="AH53" i="2"/>
  <c r="BA52" i="2"/>
  <c r="AF36" i="1"/>
  <c r="BC91" i="2" l="1"/>
  <c r="AZ53" i="2"/>
  <c r="Y94" i="2"/>
  <c r="AF93" i="2"/>
  <c r="AU93" i="2"/>
  <c r="AM93" i="2"/>
  <c r="AJ93" i="2"/>
  <c r="AS93" i="2"/>
  <c r="AG93" i="2"/>
  <c r="AT93" i="2"/>
  <c r="AI93" i="2"/>
  <c r="AW93" i="2"/>
  <c r="AQ93" i="2"/>
  <c r="AK93" i="2"/>
  <c r="AC93" i="2"/>
  <c r="AV93" i="2"/>
  <c r="AB93" i="2"/>
  <c r="AE93" i="2"/>
  <c r="AL93" i="2"/>
  <c r="AH93" i="2"/>
  <c r="AP93" i="2"/>
  <c r="AN93" i="2"/>
  <c r="AR93" i="2"/>
  <c r="AY93" i="2"/>
  <c r="AD93" i="2"/>
  <c r="AX93" i="2"/>
  <c r="AO93" i="2"/>
  <c r="BB52" i="2"/>
  <c r="BC52" i="2"/>
  <c r="BD52" i="2"/>
  <c r="AE36" i="1" s="1"/>
  <c r="AN36" i="1" s="1"/>
  <c r="AA52" i="2"/>
  <c r="AD36" i="1"/>
  <c r="AF54" i="2"/>
  <c r="AO54" i="2"/>
  <c r="AW54" i="2"/>
  <c r="AJ54" i="2"/>
  <c r="AU54" i="2"/>
  <c r="AK54" i="2"/>
  <c r="AV54" i="2"/>
  <c r="AL54" i="2"/>
  <c r="AT54" i="2"/>
  <c r="AC54" i="2"/>
  <c r="AD54" i="2"/>
  <c r="AB54" i="2"/>
  <c r="Y55" i="2"/>
  <c r="AG54" i="2"/>
  <c r="AM54" i="2"/>
  <c r="AP54" i="2"/>
  <c r="AR54" i="2"/>
  <c r="AS54" i="2"/>
  <c r="AH54" i="2"/>
  <c r="AN54" i="2"/>
  <c r="AX54" i="2"/>
  <c r="AI54" i="2"/>
  <c r="AE54" i="2"/>
  <c r="AY54" i="2"/>
  <c r="AQ54" i="2"/>
  <c r="BG50" i="2"/>
  <c r="AC34" i="1"/>
  <c r="AA51" i="2"/>
  <c r="BD51" i="2"/>
  <c r="AE35" i="1" s="1"/>
  <c r="AN35" i="1" s="1"/>
  <c r="BB51" i="2"/>
  <c r="BC51" i="2"/>
  <c r="AD35" i="1"/>
  <c r="AO34" i="1"/>
  <c r="AM34" i="1" s="1"/>
  <c r="AF37" i="1"/>
  <c r="BA53" i="2"/>
  <c r="AZ92" i="2"/>
  <c r="BA92" i="2"/>
  <c r="BB92" i="2"/>
  <c r="BC92" i="2" l="1"/>
  <c r="AO35" i="1"/>
  <c r="AM55" i="2"/>
  <c r="AV55" i="2"/>
  <c r="AC55" i="2"/>
  <c r="AL55" i="2"/>
  <c r="AU55" i="2"/>
  <c r="Y56" i="2"/>
  <c r="AG55" i="2"/>
  <c r="AS55" i="2"/>
  <c r="AJ55" i="2"/>
  <c r="AW55" i="2"/>
  <c r="AF55" i="2"/>
  <c r="AR55" i="2"/>
  <c r="AO55" i="2"/>
  <c r="AX55" i="2"/>
  <c r="AB55" i="2"/>
  <c r="AE55" i="2"/>
  <c r="AK55" i="2"/>
  <c r="AN55" i="2"/>
  <c r="AT55" i="2"/>
  <c r="AH55" i="2"/>
  <c r="AY55" i="2"/>
  <c r="AP55" i="2"/>
  <c r="AD55" i="2"/>
  <c r="AI55" i="2"/>
  <c r="AQ55" i="2"/>
  <c r="AO36" i="1"/>
  <c r="AM36" i="1" s="1"/>
  <c r="AZ54" i="2"/>
  <c r="BG52" i="2"/>
  <c r="AC36" i="1"/>
  <c r="Y95" i="2"/>
  <c r="AF94" i="2"/>
  <c r="AY94" i="2"/>
  <c r="AD94" i="2"/>
  <c r="AR94" i="2"/>
  <c r="AW94" i="2"/>
  <c r="AX94" i="2"/>
  <c r="AL94" i="2"/>
  <c r="AS94" i="2"/>
  <c r="AH94" i="2"/>
  <c r="AN94" i="2"/>
  <c r="AG94" i="2"/>
  <c r="AT94" i="2"/>
  <c r="AK94" i="2"/>
  <c r="AJ94" i="2"/>
  <c r="AM94" i="2"/>
  <c r="AU94" i="2"/>
  <c r="AC94" i="2"/>
  <c r="AI94" i="2"/>
  <c r="AQ94" i="2"/>
  <c r="AV94" i="2"/>
  <c r="AB94" i="2"/>
  <c r="AO94" i="2"/>
  <c r="AP94" i="2"/>
  <c r="AE94" i="2"/>
  <c r="BA93" i="2"/>
  <c r="AZ93" i="2"/>
  <c r="BB93" i="2"/>
  <c r="BG51" i="2"/>
  <c r="AC35" i="1"/>
  <c r="BD53" i="2"/>
  <c r="AE37" i="1" s="1"/>
  <c r="AN37" i="1" s="1"/>
  <c r="BC53" i="2"/>
  <c r="AA53" i="2"/>
  <c r="BB53" i="2"/>
  <c r="AD37" i="1"/>
  <c r="AM35" i="1"/>
  <c r="BC93" i="2" l="1"/>
  <c r="AO37" i="1"/>
  <c r="BA94" i="2"/>
  <c r="BB94" i="2"/>
  <c r="AZ94" i="2"/>
  <c r="BA54" i="2"/>
  <c r="AF38" i="1"/>
  <c r="BG53" i="2"/>
  <c r="AC37" i="1"/>
  <c r="AF95" i="2"/>
  <c r="Y96" i="2"/>
  <c r="AV95" i="2"/>
  <c r="AB95" i="2"/>
  <c r="AM95" i="2"/>
  <c r="AE95" i="2"/>
  <c r="AG95" i="2"/>
  <c r="AL95" i="2"/>
  <c r="AP95" i="2"/>
  <c r="AN95" i="2"/>
  <c r="AO95" i="2"/>
  <c r="AC95" i="2"/>
  <c r="AK95" i="2"/>
  <c r="AH95" i="2"/>
  <c r="AU95" i="2"/>
  <c r="AT95" i="2"/>
  <c r="AI95" i="2"/>
  <c r="AQ95" i="2"/>
  <c r="AR95" i="2"/>
  <c r="AY95" i="2"/>
  <c r="AJ95" i="2"/>
  <c r="AW95" i="2"/>
  <c r="AS95" i="2"/>
  <c r="AD95" i="2"/>
  <c r="AX95" i="2"/>
  <c r="AZ55" i="2"/>
  <c r="AB56" i="2"/>
  <c r="AK56" i="2"/>
  <c r="AT56" i="2"/>
  <c r="AJ56" i="2"/>
  <c r="AS56" i="2"/>
  <c r="AG56" i="2"/>
  <c r="AU56" i="2"/>
  <c r="AL56" i="2"/>
  <c r="AW56" i="2"/>
  <c r="Y57" i="2"/>
  <c r="AF56" i="2"/>
  <c r="AR56" i="2"/>
  <c r="AD56" i="2"/>
  <c r="AC56" i="2"/>
  <c r="AV56" i="2"/>
  <c r="AX56" i="2"/>
  <c r="AO56" i="2"/>
  <c r="AP56" i="2"/>
  <c r="AE56" i="2"/>
  <c r="AH56" i="2"/>
  <c r="AM56" i="2"/>
  <c r="AY56" i="2"/>
  <c r="AI56" i="2"/>
  <c r="AQ56" i="2"/>
  <c r="AN56" i="2"/>
  <c r="AM37" i="1"/>
  <c r="AA54" i="2" l="1"/>
  <c r="BB54" i="2"/>
  <c r="AD38" i="1"/>
  <c r="BC54" i="2"/>
  <c r="BD54" i="2"/>
  <c r="AE38" i="1" s="1"/>
  <c r="AN38" i="1" s="1"/>
  <c r="AJ57" i="2"/>
  <c r="AU57" i="2"/>
  <c r="AL57" i="2"/>
  <c r="AW57" i="2"/>
  <c r="Y58" i="2"/>
  <c r="AF57" i="2"/>
  <c r="AT57" i="2"/>
  <c r="AE57" i="2"/>
  <c r="AK57" i="2"/>
  <c r="AO57" i="2"/>
  <c r="AS57" i="2"/>
  <c r="AV57" i="2"/>
  <c r="AB57" i="2"/>
  <c r="AX57" i="2"/>
  <c r="AC57" i="2"/>
  <c r="AD57" i="2"/>
  <c r="AM57" i="2"/>
  <c r="AG57" i="2"/>
  <c r="AP57" i="2"/>
  <c r="AH57" i="2"/>
  <c r="AY57" i="2"/>
  <c r="AR57" i="2"/>
  <c r="AQ57" i="2"/>
  <c r="AI57" i="2"/>
  <c r="AN57" i="2"/>
  <c r="BB95" i="2"/>
  <c r="AZ95" i="2"/>
  <c r="BA95" i="2"/>
  <c r="AZ56" i="2"/>
  <c r="BC94" i="2"/>
  <c r="AF39" i="1"/>
  <c r="BA55" i="2"/>
  <c r="AF96" i="2"/>
  <c r="Y97" i="2"/>
  <c r="AR96" i="2"/>
  <c r="AH96" i="2"/>
  <c r="AU96" i="2"/>
  <c r="AN96" i="2"/>
  <c r="AG96" i="2"/>
  <c r="AW96" i="2"/>
  <c r="AQ96" i="2"/>
  <c r="AS96" i="2"/>
  <c r="AP96" i="2"/>
  <c r="AO96" i="2"/>
  <c r="AY96" i="2"/>
  <c r="AV96" i="2"/>
  <c r="AK96" i="2"/>
  <c r="AB96" i="2"/>
  <c r="AJ96" i="2"/>
  <c r="AT96" i="2"/>
  <c r="AC96" i="2"/>
  <c r="AM96" i="2"/>
  <c r="AI96" i="2"/>
  <c r="AL96" i="2"/>
  <c r="AD96" i="2"/>
  <c r="AX96" i="2"/>
  <c r="AE96" i="2"/>
  <c r="BA56" i="2" l="1"/>
  <c r="AF40" i="1"/>
  <c r="AZ57" i="2"/>
  <c r="AJ58" i="2"/>
  <c r="AF58" i="2"/>
  <c r="AO58" i="2"/>
  <c r="AI58" i="2"/>
  <c r="AU58" i="2"/>
  <c r="AL58" i="2"/>
  <c r="AW58" i="2"/>
  <c r="AT58" i="2"/>
  <c r="AQ58" i="2"/>
  <c r="AM58" i="2"/>
  <c r="AV58" i="2"/>
  <c r="AC58" i="2"/>
  <c r="AD58" i="2"/>
  <c r="Y59" i="2"/>
  <c r="AE58" i="2"/>
  <c r="AK58" i="2"/>
  <c r="AS58" i="2"/>
  <c r="AP58" i="2"/>
  <c r="AR58" i="2"/>
  <c r="AH58" i="2"/>
  <c r="AN58" i="2"/>
  <c r="AY58" i="2"/>
  <c r="AX58" i="2"/>
  <c r="AG58" i="2"/>
  <c r="AB58" i="2"/>
  <c r="BG54" i="2"/>
  <c r="AC38" i="1"/>
  <c r="AO38" i="1"/>
  <c r="AM38" i="1" s="1"/>
  <c r="AF97" i="2"/>
  <c r="AR97" i="2"/>
  <c r="AC97" i="2"/>
  <c r="AL97" i="2"/>
  <c r="AE97" i="2"/>
  <c r="AN97" i="2"/>
  <c r="AO97" i="2"/>
  <c r="AJ97" i="2"/>
  <c r="AY97" i="2"/>
  <c r="AG97" i="2"/>
  <c r="AV97" i="2"/>
  <c r="AM97" i="2"/>
  <c r="AQ97" i="2"/>
  <c r="AD97" i="2"/>
  <c r="AB97" i="2"/>
  <c r="AI97" i="2"/>
  <c r="AW97" i="2"/>
  <c r="AS97" i="2"/>
  <c r="AU97" i="2"/>
  <c r="AK97" i="2"/>
  <c r="AT97" i="2"/>
  <c r="AH97" i="2"/>
  <c r="AX97" i="2"/>
  <c r="AP97" i="2"/>
  <c r="BC95" i="2"/>
  <c r="BA96" i="2"/>
  <c r="AZ96" i="2"/>
  <c r="BB96" i="2"/>
  <c r="AA55" i="2"/>
  <c r="BD55" i="2"/>
  <c r="AE39" i="1" s="1"/>
  <c r="AN39" i="1" s="1"/>
  <c r="BC55" i="2"/>
  <c r="BB55" i="2"/>
  <c r="AD39" i="1"/>
  <c r="BC96" i="2" l="1"/>
  <c r="AZ58" i="2"/>
  <c r="BA57" i="2"/>
  <c r="AF41" i="1"/>
  <c r="AO39" i="1"/>
  <c r="AM39" i="1" s="1"/>
  <c r="AQ59" i="2"/>
  <c r="Y60" i="2"/>
  <c r="AM59" i="2"/>
  <c r="AV59" i="2"/>
  <c r="AC59" i="2"/>
  <c r="AL59" i="2"/>
  <c r="AU59" i="2"/>
  <c r="AG59" i="2"/>
  <c r="AS59" i="2"/>
  <c r="AF59" i="2"/>
  <c r="AR59" i="2"/>
  <c r="AO59" i="2"/>
  <c r="AJ59" i="2"/>
  <c r="AK59" i="2"/>
  <c r="AP59" i="2"/>
  <c r="AT59" i="2"/>
  <c r="AW59" i="2"/>
  <c r="AB59" i="2"/>
  <c r="AX59" i="2"/>
  <c r="AE59" i="2"/>
  <c r="AY59" i="2"/>
  <c r="AN59" i="2"/>
  <c r="AH59" i="2"/>
  <c r="AD59" i="2"/>
  <c r="AI59" i="2"/>
  <c r="AA56" i="2"/>
  <c r="BC56" i="2"/>
  <c r="BB56" i="2"/>
  <c r="AD40" i="1"/>
  <c r="BD56" i="2"/>
  <c r="AE40" i="1" s="1"/>
  <c r="AN40" i="1" s="1"/>
  <c r="BG55" i="2"/>
  <c r="AC39" i="1"/>
  <c r="BB97" i="2"/>
  <c r="AZ97" i="2"/>
  <c r="BA97" i="2"/>
  <c r="AZ59" i="2" l="1"/>
  <c r="AF43" i="1" s="1"/>
  <c r="AO40" i="1"/>
  <c r="AJ60" i="2"/>
  <c r="AS60" i="2"/>
  <c r="Y61" i="2"/>
  <c r="AF60" i="2"/>
  <c r="AT60" i="2"/>
  <c r="AQ60" i="2"/>
  <c r="AL60" i="2"/>
  <c r="AK60" i="2"/>
  <c r="AY60" i="2"/>
  <c r="AO60" i="2"/>
  <c r="AU60" i="2"/>
  <c r="AB60" i="2"/>
  <c r="AV60" i="2"/>
  <c r="AC60" i="2"/>
  <c r="AW60" i="2"/>
  <c r="AD60" i="2"/>
  <c r="AG60" i="2"/>
  <c r="AM60" i="2"/>
  <c r="AX60" i="2"/>
  <c r="AN60" i="2"/>
  <c r="AH60" i="2"/>
  <c r="AE60" i="2"/>
  <c r="AR60" i="2"/>
  <c r="AI60" i="2"/>
  <c r="AP60" i="2"/>
  <c r="BC97" i="2"/>
  <c r="AM40" i="1"/>
  <c r="AA57" i="2"/>
  <c r="BB57" i="2"/>
  <c r="AC41" i="1" s="1"/>
  <c r="BC57" i="2"/>
  <c r="BD57" i="2"/>
  <c r="AE41" i="1" s="1"/>
  <c r="AN41" i="1" s="1"/>
  <c r="AD41" i="1"/>
  <c r="BG56" i="2"/>
  <c r="AC40" i="1"/>
  <c r="BA58" i="2"/>
  <c r="AF42" i="1"/>
  <c r="BA59" i="2" l="1"/>
  <c r="AA59" i="2" s="1"/>
  <c r="AO41" i="1"/>
  <c r="AD42" i="1"/>
  <c r="AA58" i="2"/>
  <c r="BB58" i="2"/>
  <c r="BC58" i="2"/>
  <c r="BD58" i="2"/>
  <c r="AE42" i="1" s="1"/>
  <c r="AN42" i="1" s="1"/>
  <c r="AZ60" i="2"/>
  <c r="AK61" i="2"/>
  <c r="AS61" i="2"/>
  <c r="AJ61" i="2"/>
  <c r="AT61" i="2"/>
  <c r="Y62" i="2"/>
  <c r="AV61" i="2"/>
  <c r="AX61" i="2"/>
  <c r="AG61" i="2"/>
  <c r="AW61" i="2"/>
  <c r="AL61" i="2"/>
  <c r="AM61" i="2"/>
  <c r="AN61" i="2"/>
  <c r="AO61" i="2"/>
  <c r="AP61" i="2"/>
  <c r="AB61" i="2"/>
  <c r="AQ61" i="2"/>
  <c r="AD61" i="2"/>
  <c r="AU61" i="2"/>
  <c r="AE61" i="2"/>
  <c r="AY61" i="2"/>
  <c r="AF61" i="2"/>
  <c r="AR61" i="2"/>
  <c r="AC61" i="2"/>
  <c r="AH61" i="2"/>
  <c r="AI61" i="2"/>
  <c r="AM41" i="1"/>
  <c r="AD43" i="1" l="1"/>
  <c r="BB59" i="2"/>
  <c r="BH59" i="2" s="1"/>
  <c r="BC59" i="2"/>
  <c r="BD59" i="2"/>
  <c r="AE43" i="1" s="1"/>
  <c r="AN43" i="1" s="1"/>
  <c r="AM43" i="1" s="1"/>
  <c r="AO43" i="1"/>
  <c r="BA60" i="2"/>
  <c r="AF44" i="1"/>
  <c r="AZ61" i="2"/>
  <c r="BG59" i="2"/>
  <c r="AC43" i="1"/>
  <c r="AM62" i="2"/>
  <c r="AJ62" i="2"/>
  <c r="AS62" i="2"/>
  <c r="AK62" i="2"/>
  <c r="AW62" i="2"/>
  <c r="AB62" i="2"/>
  <c r="AO62" i="2"/>
  <c r="AC62" i="2"/>
  <c r="AL62" i="2"/>
  <c r="AN62" i="2"/>
  <c r="AQ62" i="2"/>
  <c r="AT62" i="2"/>
  <c r="AD62" i="2"/>
  <c r="AV62" i="2"/>
  <c r="AF62" i="2"/>
  <c r="AX62" i="2"/>
  <c r="AG62" i="2"/>
  <c r="AY62" i="2"/>
  <c r="Y63" i="2"/>
  <c r="AH62" i="2"/>
  <c r="AP62" i="2"/>
  <c r="AU62" i="2"/>
  <c r="AE62" i="2"/>
  <c r="AI62" i="2"/>
  <c r="AR62" i="2"/>
  <c r="BH58" i="2"/>
  <c r="BG58" i="2"/>
  <c r="AC42" i="1"/>
  <c r="AO42" i="1"/>
  <c r="AM42" i="1" s="1"/>
  <c r="AZ62" i="2" l="1"/>
  <c r="BA61" i="2"/>
  <c r="AF45" i="1"/>
  <c r="AQ63" i="2"/>
  <c r="AC63" i="2"/>
  <c r="AL63" i="2"/>
  <c r="AU63" i="2"/>
  <c r="AB63" i="2"/>
  <c r="AK63" i="2"/>
  <c r="AT63" i="2"/>
  <c r="AO63" i="2"/>
  <c r="AM63" i="2"/>
  <c r="AF63" i="2"/>
  <c r="AW63" i="2"/>
  <c r="AG63" i="2"/>
  <c r="AX63" i="2"/>
  <c r="Y64" i="2"/>
  <c r="AH63" i="2"/>
  <c r="AJ63" i="2"/>
  <c r="AP63" i="2"/>
  <c r="AR63" i="2"/>
  <c r="AS63" i="2"/>
  <c r="AE63" i="2"/>
  <c r="AV63" i="2"/>
  <c r="AI63" i="2"/>
  <c r="AN63" i="2"/>
  <c r="AD63" i="2"/>
  <c r="AY63" i="2"/>
  <c r="AA60" i="2"/>
  <c r="BB60" i="2"/>
  <c r="BD60" i="2"/>
  <c r="AE44" i="1" s="1"/>
  <c r="AN44" i="1" s="1"/>
  <c r="BC60" i="2"/>
  <c r="AD44" i="1"/>
  <c r="AO44" i="1" l="1"/>
  <c r="AA61" i="2"/>
  <c r="BC61" i="2"/>
  <c r="BB61" i="2"/>
  <c r="AD45" i="1"/>
  <c r="BD61" i="2"/>
  <c r="AE45" i="1" s="1"/>
  <c r="AN45" i="1" s="1"/>
  <c r="AM44" i="1"/>
  <c r="AM64" i="2"/>
  <c r="AW64" i="2"/>
  <c r="AC64" i="2"/>
  <c r="AL64" i="2"/>
  <c r="AV64" i="2"/>
  <c r="AS64" i="2"/>
  <c r="AJ64" i="2"/>
  <c r="AY64" i="2"/>
  <c r="AK64" i="2"/>
  <c r="AP64" i="2"/>
  <c r="AQ64" i="2"/>
  <c r="AR64" i="2"/>
  <c r="AB64" i="2"/>
  <c r="AT64" i="2"/>
  <c r="AF64" i="2"/>
  <c r="AX64" i="2"/>
  <c r="AG64" i="2"/>
  <c r="AI64" i="2"/>
  <c r="AO64" i="2"/>
  <c r="AU64" i="2"/>
  <c r="AH64" i="2"/>
  <c r="AN64" i="2"/>
  <c r="AE64" i="2"/>
  <c r="AD64" i="2"/>
  <c r="BA62" i="2"/>
  <c r="AF46" i="1"/>
  <c r="BG60" i="2"/>
  <c r="BH60" i="2"/>
  <c r="AC44" i="1"/>
  <c r="AZ63" i="2"/>
  <c r="BA63" i="2" l="1"/>
  <c r="AF47" i="1"/>
  <c r="AZ64" i="2"/>
  <c r="BH61" i="2"/>
  <c r="BH65" i="2" s="1"/>
  <c r="G111" i="2" s="1"/>
  <c r="L111" i="2" s="1"/>
  <c r="L115" i="2" s="1"/>
  <c r="AC3" i="1" s="1"/>
  <c r="AC45" i="1"/>
  <c r="BG61" i="2"/>
  <c r="BG65" i="2" s="1"/>
  <c r="G114" i="2" s="1"/>
  <c r="L112" i="2" s="1"/>
  <c r="AO45" i="1"/>
  <c r="AM45" i="1" s="1"/>
  <c r="BC62" i="2"/>
  <c r="AA62" i="2"/>
  <c r="BB62" i="2"/>
  <c r="AC46" i="1" s="1"/>
  <c r="BD62" i="2"/>
  <c r="AE46" i="1" s="1"/>
  <c r="AN46" i="1" s="1"/>
  <c r="AD46" i="1"/>
  <c r="BA64" i="2" l="1"/>
  <c r="AF48" i="1"/>
  <c r="AA63" i="2"/>
  <c r="BD63" i="2"/>
  <c r="AE47" i="1" s="1"/>
  <c r="AN47" i="1" s="1"/>
  <c r="BC63" i="2"/>
  <c r="BB63" i="2"/>
  <c r="AC47" i="1" s="1"/>
  <c r="AD47" i="1"/>
  <c r="AO46" i="1"/>
  <c r="AM46" i="1" s="1"/>
  <c r="AO47" i="1" l="1"/>
  <c r="AM47" i="1" s="1"/>
  <c r="M102" i="2"/>
  <c r="I104" i="2" s="1"/>
  <c r="BC64" i="2"/>
  <c r="AA64" i="2"/>
  <c r="BB64" i="2"/>
  <c r="AC48" i="1" s="1"/>
  <c r="BD64" i="2"/>
  <c r="AE48" i="1" s="1"/>
  <c r="AN48" i="1" s="1"/>
  <c r="AD48" i="1"/>
  <c r="BA69" i="2"/>
  <c r="AA69" i="2" s="1"/>
  <c r="BA68" i="2"/>
  <c r="AA68" i="2" s="1"/>
  <c r="AO48" i="1" l="1"/>
  <c r="AM48" i="1"/>
  <c r="AN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</author>
  </authors>
  <commentList>
    <comment ref="E12" authorId="0" shapeId="0" xr:uid="{00000000-0006-0000-0500-000001000000}">
      <text>
        <r>
          <rPr>
            <sz val="9"/>
            <color indexed="81"/>
            <rFont val="Tahoma"/>
            <family val="2"/>
          </rPr>
          <t>f</t>
        </r>
      </text>
    </comment>
    <comment ref="I12" authorId="0" shapeId="0" xr:uid="{00000000-0006-0000-0500-000002000000}">
      <text>
        <r>
          <rPr>
            <sz val="9"/>
            <color indexed="81"/>
            <rFont val="Tahoma"/>
            <family val="2"/>
          </rPr>
          <t>f</t>
        </r>
      </text>
    </comment>
    <comment ref="M12" authorId="0" shapeId="0" xr:uid="{00000000-0006-0000-0500-000003000000}">
      <text>
        <r>
          <rPr>
            <sz val="9"/>
            <color indexed="81"/>
            <rFont val="Tahoma"/>
            <family val="2"/>
          </rPr>
          <t>f</t>
        </r>
      </text>
    </comment>
    <comment ref="Q12" authorId="0" shapeId="0" xr:uid="{00000000-0006-0000-0500-000004000000}">
      <text>
        <r>
          <rPr>
            <sz val="9"/>
            <color indexed="81"/>
            <rFont val="Tahoma"/>
            <family val="2"/>
          </rPr>
          <t>f</t>
        </r>
      </text>
    </comment>
    <comment ref="U12" authorId="0" shapeId="0" xr:uid="{00000000-0006-0000-0500-000005000000}">
      <text>
        <r>
          <rPr>
            <sz val="9"/>
            <color indexed="81"/>
            <rFont val="Tahoma"/>
            <family val="2"/>
          </rPr>
          <t>f</t>
        </r>
      </text>
    </comment>
    <comment ref="Y12" authorId="0" shapeId="0" xr:uid="{00000000-0006-0000-0500-000006000000}">
      <text>
        <r>
          <rPr>
            <sz val="9"/>
            <color indexed="81"/>
            <rFont val="Tahoma"/>
            <family val="2"/>
          </rPr>
          <t>f</t>
        </r>
      </text>
    </comment>
    <comment ref="AC12" authorId="0" shapeId="0" xr:uid="{00000000-0006-0000-0500-000007000000}">
      <text>
        <r>
          <rPr>
            <sz val="9"/>
            <color indexed="81"/>
            <rFont val="Tahoma"/>
            <family val="2"/>
          </rPr>
          <t>f</t>
        </r>
      </text>
    </comment>
    <comment ref="AG12" authorId="0" shapeId="0" xr:uid="{00000000-0006-0000-0500-000008000000}">
      <text>
        <r>
          <rPr>
            <sz val="9"/>
            <color indexed="81"/>
            <rFont val="Tahoma"/>
            <family val="2"/>
          </rPr>
          <t>f</t>
        </r>
      </text>
    </comment>
    <comment ref="AK12" authorId="0" shapeId="0" xr:uid="{00000000-0006-0000-0500-000009000000}">
      <text>
        <r>
          <rPr>
            <sz val="9"/>
            <color indexed="81"/>
            <rFont val="Tahoma"/>
            <family val="2"/>
          </rPr>
          <t>f</t>
        </r>
      </text>
    </comment>
    <comment ref="AO12" authorId="0" shapeId="0" xr:uid="{00000000-0006-0000-0500-00000A000000}">
      <text>
        <r>
          <rPr>
            <sz val="9"/>
            <color indexed="81"/>
            <rFont val="Tahoma"/>
            <family val="2"/>
          </rPr>
          <t>f</t>
        </r>
      </text>
    </comment>
    <comment ref="AS12" authorId="0" shapeId="0" xr:uid="{00000000-0006-0000-0500-00000B000000}">
      <text>
        <r>
          <rPr>
            <sz val="9"/>
            <color indexed="81"/>
            <rFont val="Tahoma"/>
            <family val="2"/>
          </rPr>
          <t>f</t>
        </r>
      </text>
    </comment>
    <comment ref="AW12" authorId="0" shapeId="0" xr:uid="{00000000-0006-0000-0500-00000C000000}">
      <text>
        <r>
          <rPr>
            <sz val="9"/>
            <color indexed="81"/>
            <rFont val="Tahoma"/>
            <family val="2"/>
          </rPr>
          <t>f</t>
        </r>
      </text>
    </comment>
    <comment ref="E55" authorId="0" shapeId="0" xr:uid="{00000000-0006-0000-0500-00000D000000}">
      <text>
        <r>
          <rPr>
            <sz val="9"/>
            <color indexed="81"/>
            <rFont val="Tahoma"/>
            <family val="2"/>
          </rPr>
          <t>f</t>
        </r>
      </text>
    </comment>
    <comment ref="I55" authorId="0" shapeId="0" xr:uid="{00000000-0006-0000-0500-00000E000000}">
      <text>
        <r>
          <rPr>
            <sz val="9"/>
            <color indexed="81"/>
            <rFont val="Tahoma"/>
            <family val="2"/>
          </rPr>
          <t>f</t>
        </r>
      </text>
    </comment>
    <comment ref="M55" authorId="0" shapeId="0" xr:uid="{00000000-0006-0000-0500-00000F000000}">
      <text>
        <r>
          <rPr>
            <sz val="9"/>
            <color indexed="81"/>
            <rFont val="Tahoma"/>
            <family val="2"/>
          </rPr>
          <t>f</t>
        </r>
      </text>
    </comment>
    <comment ref="Q55" authorId="0" shapeId="0" xr:uid="{00000000-0006-0000-0500-000010000000}">
      <text>
        <r>
          <rPr>
            <sz val="9"/>
            <color indexed="81"/>
            <rFont val="Tahoma"/>
            <family val="2"/>
          </rPr>
          <t>f</t>
        </r>
      </text>
    </comment>
    <comment ref="U55" authorId="0" shapeId="0" xr:uid="{00000000-0006-0000-0500-000011000000}">
      <text>
        <r>
          <rPr>
            <sz val="9"/>
            <color indexed="81"/>
            <rFont val="Tahoma"/>
            <family val="2"/>
          </rPr>
          <t>f</t>
        </r>
      </text>
    </comment>
    <comment ref="Y55" authorId="0" shapeId="0" xr:uid="{00000000-0006-0000-0500-000012000000}">
      <text>
        <r>
          <rPr>
            <sz val="9"/>
            <color indexed="81"/>
            <rFont val="Tahoma"/>
            <family val="2"/>
          </rPr>
          <t>f</t>
        </r>
      </text>
    </comment>
    <comment ref="AC55" authorId="0" shapeId="0" xr:uid="{00000000-0006-0000-0500-000013000000}">
      <text>
        <r>
          <rPr>
            <sz val="9"/>
            <color indexed="81"/>
            <rFont val="Tahoma"/>
            <family val="2"/>
          </rPr>
          <t>f</t>
        </r>
      </text>
    </comment>
    <comment ref="AG55" authorId="0" shapeId="0" xr:uid="{00000000-0006-0000-0500-000014000000}">
      <text>
        <r>
          <rPr>
            <sz val="9"/>
            <color indexed="81"/>
            <rFont val="Tahoma"/>
            <family val="2"/>
          </rPr>
          <t>f</t>
        </r>
      </text>
    </comment>
    <comment ref="AK55" authorId="0" shapeId="0" xr:uid="{00000000-0006-0000-0500-000015000000}">
      <text>
        <r>
          <rPr>
            <sz val="9"/>
            <color indexed="81"/>
            <rFont val="Tahoma"/>
            <family val="2"/>
          </rPr>
          <t>f</t>
        </r>
      </text>
    </comment>
    <comment ref="AO55" authorId="0" shapeId="0" xr:uid="{00000000-0006-0000-0500-000016000000}">
      <text>
        <r>
          <rPr>
            <sz val="9"/>
            <color indexed="81"/>
            <rFont val="Tahoma"/>
            <family val="2"/>
          </rPr>
          <t>f</t>
        </r>
      </text>
    </comment>
    <comment ref="AS55" authorId="0" shapeId="0" xr:uid="{00000000-0006-0000-0500-000017000000}">
      <text>
        <r>
          <rPr>
            <sz val="9"/>
            <color indexed="81"/>
            <rFont val="Tahoma"/>
            <family val="2"/>
          </rPr>
          <t>f</t>
        </r>
      </text>
    </comment>
    <comment ref="AW55" authorId="0" shapeId="0" xr:uid="{00000000-0006-0000-0500-000018000000}">
      <text>
        <r>
          <rPr>
            <sz val="9"/>
            <color indexed="81"/>
            <rFont val="Tahoma"/>
            <family val="2"/>
          </rPr>
          <t>f</t>
        </r>
      </text>
    </comment>
    <comment ref="E98" authorId="0" shapeId="0" xr:uid="{00000000-0006-0000-0500-000019000000}">
      <text>
        <r>
          <rPr>
            <sz val="9"/>
            <color indexed="81"/>
            <rFont val="Tahoma"/>
            <family val="2"/>
          </rPr>
          <t>f</t>
        </r>
      </text>
    </comment>
    <comment ref="I98" authorId="0" shapeId="0" xr:uid="{00000000-0006-0000-0500-00001A000000}">
      <text>
        <r>
          <rPr>
            <sz val="9"/>
            <color indexed="81"/>
            <rFont val="Tahoma"/>
            <family val="2"/>
          </rPr>
          <t>f</t>
        </r>
      </text>
    </comment>
    <comment ref="M98" authorId="0" shapeId="0" xr:uid="{00000000-0006-0000-0500-00001B000000}">
      <text>
        <r>
          <rPr>
            <sz val="9"/>
            <color indexed="81"/>
            <rFont val="Tahoma"/>
            <family val="2"/>
          </rPr>
          <t>f</t>
        </r>
      </text>
    </comment>
    <comment ref="Q98" authorId="0" shapeId="0" xr:uid="{00000000-0006-0000-0500-00001C000000}">
      <text>
        <r>
          <rPr>
            <sz val="9"/>
            <color indexed="81"/>
            <rFont val="Tahoma"/>
            <family val="2"/>
          </rPr>
          <t>f</t>
        </r>
      </text>
    </comment>
    <comment ref="U98" authorId="0" shapeId="0" xr:uid="{00000000-0006-0000-0500-00001D000000}">
      <text>
        <r>
          <rPr>
            <sz val="9"/>
            <color indexed="81"/>
            <rFont val="Tahoma"/>
            <family val="2"/>
          </rPr>
          <t>f</t>
        </r>
      </text>
    </comment>
    <comment ref="Y98" authorId="0" shapeId="0" xr:uid="{00000000-0006-0000-0500-00001E000000}">
      <text>
        <r>
          <rPr>
            <sz val="9"/>
            <color indexed="81"/>
            <rFont val="Tahoma"/>
            <family val="2"/>
          </rPr>
          <t>f</t>
        </r>
      </text>
    </comment>
    <comment ref="AC98" authorId="0" shapeId="0" xr:uid="{00000000-0006-0000-0500-00001F000000}">
      <text>
        <r>
          <rPr>
            <sz val="9"/>
            <color indexed="81"/>
            <rFont val="Tahoma"/>
            <family val="2"/>
          </rPr>
          <t>f</t>
        </r>
      </text>
    </comment>
    <comment ref="AG98" authorId="0" shapeId="0" xr:uid="{00000000-0006-0000-0500-000020000000}">
      <text>
        <r>
          <rPr>
            <sz val="9"/>
            <color indexed="81"/>
            <rFont val="Tahoma"/>
            <family val="2"/>
          </rPr>
          <t>f</t>
        </r>
      </text>
    </comment>
    <comment ref="AK98" authorId="0" shapeId="0" xr:uid="{00000000-0006-0000-0500-000021000000}">
      <text>
        <r>
          <rPr>
            <sz val="9"/>
            <color indexed="81"/>
            <rFont val="Tahoma"/>
            <family val="2"/>
          </rPr>
          <t>f</t>
        </r>
      </text>
    </comment>
    <comment ref="AO98" authorId="0" shapeId="0" xr:uid="{00000000-0006-0000-0500-000022000000}">
      <text>
        <r>
          <rPr>
            <sz val="9"/>
            <color indexed="81"/>
            <rFont val="Tahoma"/>
            <family val="2"/>
          </rPr>
          <t>f</t>
        </r>
      </text>
    </comment>
    <comment ref="AS98" authorId="0" shapeId="0" xr:uid="{00000000-0006-0000-0500-000023000000}">
      <text>
        <r>
          <rPr>
            <sz val="9"/>
            <color indexed="81"/>
            <rFont val="Tahoma"/>
            <family val="2"/>
          </rPr>
          <t>f</t>
        </r>
      </text>
    </comment>
    <comment ref="AW98" authorId="0" shapeId="0" xr:uid="{00000000-0006-0000-0500-000024000000}">
      <text>
        <r>
          <rPr>
            <sz val="9"/>
            <color indexed="81"/>
            <rFont val="Tahoma"/>
            <family val="2"/>
          </rPr>
          <t>f</t>
        </r>
      </text>
    </comment>
  </commentList>
</comments>
</file>

<file path=xl/sharedStrings.xml><?xml version="1.0" encoding="utf-8"?>
<sst xmlns="http://schemas.openxmlformats.org/spreadsheetml/2006/main" count="1420" uniqueCount="311">
  <si>
    <t>GROUP</t>
  </si>
  <si>
    <t>A- 1</t>
  </si>
  <si>
    <t>A- 2</t>
  </si>
  <si>
    <t>A- 3</t>
  </si>
  <si>
    <t>A- 4</t>
  </si>
  <si>
    <t>A- 5</t>
  </si>
  <si>
    <t>B</t>
  </si>
  <si>
    <t>E</t>
  </si>
  <si>
    <t>F- 1</t>
  </si>
  <si>
    <t>F- 2</t>
  </si>
  <si>
    <t>H- 1</t>
  </si>
  <si>
    <t>H- 4</t>
  </si>
  <si>
    <t>H- 5</t>
  </si>
  <si>
    <t>I- 1</t>
  </si>
  <si>
    <t>I-3</t>
  </si>
  <si>
    <t>I- 4</t>
  </si>
  <si>
    <t>M</t>
  </si>
  <si>
    <t>R- 1</t>
  </si>
  <si>
    <t>R- 2</t>
  </si>
  <si>
    <t>R- 4</t>
  </si>
  <si>
    <t>S-1</t>
  </si>
  <si>
    <t>TYPE OF CONSTRUCTION</t>
  </si>
  <si>
    <t>TYPE I</t>
  </si>
  <si>
    <t>TYPE II</t>
  </si>
  <si>
    <t>TYPE III</t>
  </si>
  <si>
    <t>TYPE IV</t>
  </si>
  <si>
    <t>TYPE V</t>
  </si>
  <si>
    <t>A</t>
  </si>
  <si>
    <t>HT</t>
  </si>
  <si>
    <t>UL</t>
  </si>
  <si>
    <t>HGT(feet) HGT(S)</t>
  </si>
  <si>
    <t>S</t>
  </si>
  <si>
    <t>U</t>
  </si>
  <si>
    <t>S-2</t>
  </si>
  <si>
    <t>H-2</t>
  </si>
  <si>
    <t>H-3</t>
  </si>
  <si>
    <t>NP</t>
  </si>
  <si>
    <t>I A</t>
  </si>
  <si>
    <t>I B</t>
  </si>
  <si>
    <t>V A</t>
  </si>
  <si>
    <t>V B</t>
  </si>
  <si>
    <t>IV HT</t>
  </si>
  <si>
    <t>II A</t>
  </si>
  <si>
    <t>III B</t>
  </si>
  <si>
    <t>III A</t>
  </si>
  <si>
    <t>Type of Construction:</t>
  </si>
  <si>
    <t>II B</t>
  </si>
  <si>
    <t>Area (sq.ft.)</t>
  </si>
  <si>
    <t>Floor #</t>
  </si>
  <si>
    <t>Building Height (ft):</t>
  </si>
  <si>
    <t>Maximum Allowed W/out Sprinklers:</t>
  </si>
  <si>
    <t>Point #</t>
  </si>
  <si>
    <t>20≤a&amp;b≤60</t>
  </si>
  <si>
    <t>a&amp;b&lt;20</t>
  </si>
  <si>
    <t>a&amp;b&gt;60</t>
  </si>
  <si>
    <t>a&lt;20&amp;b&gt;60</t>
  </si>
  <si>
    <t>b&lt;20&amp;a&gt;60</t>
  </si>
  <si>
    <t>a&lt;20&amp;20≤b≤60</t>
  </si>
  <si>
    <t>b&lt;20&amp;20≤a≤60</t>
  </si>
  <si>
    <t>b&gt;60&amp;20≤a≤60</t>
  </si>
  <si>
    <t>a&gt;60&amp;20≤b≤60</t>
  </si>
  <si>
    <t>20≤a&amp;b≤30</t>
  </si>
  <si>
    <t>a&amp;b&gt;30</t>
  </si>
  <si>
    <t>a&lt;20&amp;b&gt;30</t>
  </si>
  <si>
    <t>b&lt;20&amp;a&gt;30</t>
  </si>
  <si>
    <t>a&lt;20&amp;20≤b≤30</t>
  </si>
  <si>
    <t>b&lt;20&amp;20≤a≤30</t>
  </si>
  <si>
    <t>b&gt;30&amp;20≤a≤30</t>
  </si>
  <si>
    <t>a&gt;30&amp;20≤b≤30</t>
  </si>
  <si>
    <t>Yard (ft)</t>
  </si>
  <si>
    <t>LWall (ft)</t>
  </si>
  <si>
    <t>(F)</t>
  </si>
  <si>
    <t>(P)</t>
  </si>
  <si>
    <t>(W/30)</t>
  </si>
  <si>
    <t>I(f)</t>
  </si>
  <si>
    <t>Sprinklers Throughout</t>
  </si>
  <si>
    <t>I- 2</t>
  </si>
  <si>
    <t>R- 3</t>
  </si>
  <si>
    <t>Max Allowed stories W/out Sprinklers:</t>
  </si>
  <si>
    <t>W</t>
  </si>
  <si>
    <t>Sprinkler</t>
  </si>
  <si>
    <t>Basic</t>
  </si>
  <si>
    <t>SFM</t>
  </si>
  <si>
    <t>Occup.</t>
  </si>
  <si>
    <t>Type of Const:</t>
  </si>
  <si>
    <t>Area Basic</t>
  </si>
  <si>
    <t>Area Sprink</t>
  </si>
  <si>
    <t>Height Basic</t>
  </si>
  <si>
    <t>Height Sprink</t>
  </si>
  <si>
    <t>Floors Basic</t>
  </si>
  <si>
    <t>Floors Sprink</t>
  </si>
  <si>
    <t>H1 occupancy any floor</t>
  </si>
  <si>
    <t>"0" means none</t>
  </si>
  <si>
    <t>Sec 506.2.2 Excep. 1</t>
  </si>
  <si>
    <t>Is</t>
  </si>
  <si>
    <r>
      <t>H2,H3,L,</t>
    </r>
    <r>
      <rPr>
        <b/>
        <sz val="8"/>
        <color indexed="10"/>
        <rFont val="Arial"/>
        <family val="2"/>
      </rPr>
      <t xml:space="preserve"> H1</t>
    </r>
  </si>
  <si>
    <t>Area No Sprink</t>
  </si>
  <si>
    <t>Area Is</t>
  </si>
  <si>
    <t>Area If</t>
  </si>
  <si>
    <t>Ao/Floor (With Is)</t>
  </si>
  <si>
    <t>Ao/Floor(No Is)</t>
  </si>
  <si>
    <t>Build. Height (ft):</t>
  </si>
  <si>
    <t>Num. of stories:</t>
  </si>
  <si>
    <t>Overheight</t>
  </si>
  <si>
    <t>Height/Stories OK</t>
  </si>
  <si>
    <t>Heghit Control</t>
  </si>
  <si>
    <t>Stories Control</t>
  </si>
  <si>
    <t>Sprinklers used for Height +</t>
  </si>
  <si>
    <t>Oversize</t>
  </si>
  <si>
    <t>Sprinklers used to increase Aea</t>
  </si>
  <si>
    <t>Sprinklers used to increase Height/ Stories</t>
  </si>
  <si>
    <t>Area OK</t>
  </si>
  <si>
    <t>Area Control</t>
  </si>
  <si>
    <t>Apr/Aal</t>
  </si>
  <si>
    <t>Final</t>
  </si>
  <si>
    <t>&gt;1</t>
  </si>
  <si>
    <t>Oversize (others ok)</t>
  </si>
  <si>
    <t>Area/floor</t>
  </si>
  <si>
    <t>Height/floor</t>
  </si>
  <si>
    <t>Levels</t>
  </si>
  <si>
    <t>Level</t>
  </si>
  <si>
    <t>occ</t>
  </si>
  <si>
    <t>prop</t>
  </si>
  <si>
    <t>areabas</t>
  </si>
  <si>
    <t>final</t>
  </si>
  <si>
    <t>tot bldg</t>
  </si>
  <si>
    <t>Height</t>
  </si>
  <si>
    <t>levels</t>
  </si>
  <si>
    <t>Max</t>
  </si>
  <si>
    <t>506.4*Max</t>
  </si>
  <si>
    <t>Sum</t>
  </si>
  <si>
    <t>Check</t>
  </si>
  <si>
    <t>Area</t>
  </si>
  <si>
    <t>Stories</t>
  </si>
  <si>
    <t>Overall Builing:</t>
  </si>
  <si>
    <t>stories</t>
  </si>
  <si>
    <t>OL</t>
  </si>
  <si>
    <t>Overlimit</t>
  </si>
  <si>
    <t>Sprinklers used for Area +</t>
  </si>
  <si>
    <t>Check Per Level</t>
  </si>
  <si>
    <t>Per Occupancy Group @ entire building</t>
  </si>
  <si>
    <t>Result</t>
  </si>
  <si>
    <t>Permitted</t>
  </si>
  <si>
    <t>Comments</t>
  </si>
  <si>
    <t>Proposed</t>
  </si>
  <si>
    <t>Area (s.f.)</t>
  </si>
  <si>
    <t>UL -</t>
  </si>
  <si>
    <t>NP -</t>
  </si>
  <si>
    <t>OL -</t>
  </si>
  <si>
    <t>SPH -</t>
  </si>
  <si>
    <t>SPA -</t>
  </si>
  <si>
    <t>Not Permitted</t>
  </si>
  <si>
    <t>Over Permitted Limit</t>
  </si>
  <si>
    <t>Sprinklers used for Height increase</t>
  </si>
  <si>
    <t>SPS -</t>
  </si>
  <si>
    <t>Sprinklers used for Story increase</t>
  </si>
  <si>
    <t>Sprinklers used for Area increase</t>
  </si>
  <si>
    <t>Area:</t>
  </si>
  <si>
    <t>Height:</t>
  </si>
  <si>
    <t>Stories:</t>
  </si>
  <si>
    <t>CHA Per Each Occupancy</t>
  </si>
  <si>
    <t>(Sec. 506.4)</t>
  </si>
  <si>
    <t>Group @ Entire Building:</t>
  </si>
  <si>
    <t>CHA Per Occupancy Group @ Each Level:</t>
  </si>
  <si>
    <t>Area increase due to frontage</t>
  </si>
  <si>
    <r>
      <t>(I</t>
    </r>
    <r>
      <rPr>
        <i/>
        <vertAlign val="subscript"/>
        <sz val="12"/>
        <color indexed="12"/>
        <rFont val="Times New Roman"/>
        <family val="1"/>
      </rPr>
      <t>f</t>
    </r>
    <r>
      <rPr>
        <i/>
        <sz val="12"/>
        <color indexed="12"/>
        <rFont val="Times New Roman"/>
        <family val="1"/>
      </rPr>
      <t xml:space="preserve"> )</t>
    </r>
  </si>
  <si>
    <t>Above grade:</t>
  </si>
  <si>
    <t>506.4.1</t>
  </si>
  <si>
    <t>2=any SFM</t>
  </si>
  <si>
    <t>Special notes:</t>
  </si>
  <si>
    <t>Test</t>
  </si>
  <si>
    <t>Abbreviations:</t>
  </si>
  <si>
    <t>No input</t>
  </si>
  <si>
    <t>1=Occ.</t>
  </si>
  <si>
    <t>0=Area</t>
  </si>
  <si>
    <r>
      <t>I</t>
    </r>
    <r>
      <rPr>
        <i/>
        <sz val="8"/>
        <rFont val="Times New Roman"/>
        <family val="1"/>
      </rPr>
      <t>f</t>
    </r>
    <r>
      <rPr>
        <i/>
        <sz val="12"/>
        <rFont val="Times New Roman"/>
        <family val="1"/>
      </rPr>
      <t xml:space="preserve"> =</t>
    </r>
  </si>
  <si>
    <t>General Information</t>
  </si>
  <si>
    <t>503.1.1 (Special industrial occupancies)</t>
  </si>
  <si>
    <t>Select Occupancy Groups and input corresponding floor areas.</t>
  </si>
  <si>
    <t>Disclaimer</t>
  </si>
  <si>
    <t>a)                  Each Occupancy group at each floor</t>
  </si>
  <si>
    <t>b)                  Each floor</t>
  </si>
  <si>
    <t>c)                  Each Occupancy group throughout Entire building</t>
  </si>
  <si>
    <t>d)                  Overall building</t>
  </si>
  <si>
    <t>Unlimited</t>
  </si>
  <si>
    <t>Total Building Area (s.f.):</t>
  </si>
  <si>
    <t>DaysLeft</t>
  </si>
  <si>
    <t>CHA Overall Building:</t>
  </si>
  <si>
    <t>Input proposed Building Height (ft) and Number of stories (maximum 6)</t>
  </si>
  <si>
    <t>Number of stories:</t>
  </si>
  <si>
    <t>no</t>
  </si>
  <si>
    <t>Max Permitted Height (ft) Without</t>
  </si>
  <si>
    <t>903.3.1.1 Sprinklers</t>
  </si>
  <si>
    <t>Area per floor</t>
  </si>
  <si>
    <t>CHA-</t>
  </si>
  <si>
    <t>Check Height and Area</t>
  </si>
  <si>
    <t>ara4help.com</t>
  </si>
  <si>
    <t>Version:</t>
  </si>
  <si>
    <t>help is one click away</t>
  </si>
  <si>
    <t>SPA* -</t>
  </si>
  <si>
    <t>SPH* -</t>
  </si>
  <si>
    <t>SPS* -</t>
  </si>
  <si>
    <t>Code</t>
  </si>
  <si>
    <t>"Number of stories"- means Number of stories above the Grade Plane</t>
  </si>
  <si>
    <t xml:space="preserve"> E-mail:</t>
  </si>
  <si>
    <t>Expires:</t>
  </si>
  <si>
    <t>Elevation</t>
  </si>
  <si>
    <t>Length (ft)</t>
  </si>
  <si>
    <t xml:space="preserve"> Grade plane Elevation:</t>
  </si>
  <si>
    <t>=</t>
  </si>
  <si>
    <t>Example:</t>
  </si>
  <si>
    <r>
      <t>∑(E</t>
    </r>
    <r>
      <rPr>
        <vertAlign val="subscript"/>
        <sz val="14"/>
        <rFont val="Arial"/>
      </rPr>
      <t>n</t>
    </r>
    <r>
      <rPr>
        <sz val="14"/>
        <rFont val="Arial"/>
      </rPr>
      <t>+E</t>
    </r>
    <r>
      <rPr>
        <vertAlign val="subscript"/>
        <sz val="14"/>
        <rFont val="Arial"/>
      </rPr>
      <t>n+1</t>
    </r>
    <r>
      <rPr>
        <sz val="14"/>
        <rFont val="Arial"/>
      </rPr>
      <t>)xL</t>
    </r>
    <r>
      <rPr>
        <vertAlign val="subscript"/>
        <sz val="14"/>
        <rFont val="Arial"/>
      </rPr>
      <t>i</t>
    </r>
    <r>
      <rPr>
        <sz val="14"/>
        <rFont val="Arial"/>
      </rPr>
      <t>/2</t>
    </r>
  </si>
  <si>
    <r>
      <t>∑L</t>
    </r>
    <r>
      <rPr>
        <vertAlign val="subscript"/>
        <sz val="14"/>
        <rFont val="Arial"/>
      </rPr>
      <t>i</t>
    </r>
  </si>
  <si>
    <t>ara4help</t>
  </si>
  <si>
    <t>EXPIRED VERSION- Contact ara@ara4help.com for help</t>
  </si>
  <si>
    <t>UNAUTHORIZED COPY- Contact ara@ara4help.com for help</t>
  </si>
  <si>
    <t xml:space="preserve"> for buildings up to 6 stories, with up to 4 occupancy groups at each level. It also calculates the Frontage increase (If) and</t>
  </si>
  <si>
    <t>If applicable, input (If) value (go to Sheet "Frontage" to Calculate (If);</t>
  </si>
  <si>
    <t>of ratios</t>
  </si>
  <si>
    <t>per Level</t>
  </si>
  <si>
    <t>(prop/perm)</t>
  </si>
  <si>
    <t>for building</t>
  </si>
  <si>
    <t>[Project name]</t>
  </si>
  <si>
    <t>Created by Ara Sargsyan, PE, CBO, LEED AP.</t>
  </si>
  <si>
    <t xml:space="preserve"> About “Check Height &amp; Area” Calculator</t>
  </si>
  <si>
    <t>the Grade Plane. The Calculator mainly covers Chapter 5 with some exceptions and assumptions.</t>
  </si>
  <si>
    <t>The following are the Code sections that are disregarded by the Calculator:</t>
  </si>
  <si>
    <t>The following assumptions are taken by the Calculator:</t>
  </si>
  <si>
    <t>How to use the Calculator</t>
  </si>
  <si>
    <t>The Calculator will check the height, number of stories and the area for</t>
  </si>
  <si>
    <t>Grade plane Calculator</t>
  </si>
  <si>
    <t>Type</t>
  </si>
  <si>
    <t>St</t>
  </si>
  <si>
    <t>Sp</t>
  </si>
  <si>
    <t>1st floor</t>
  </si>
  <si>
    <t>1st floor (BFMS)</t>
  </si>
  <si>
    <t>2nd floor (BFMS)</t>
  </si>
  <si>
    <t>Incl A-4</t>
  </si>
  <si>
    <t>A-4 incl</t>
  </si>
  <si>
    <t>A-1, A-2 incl</t>
  </si>
  <si>
    <t>See Sec. 507.8 for limitations</t>
  </si>
  <si>
    <t>1st floor (FS)</t>
  </si>
  <si>
    <t>Mixed?</t>
  </si>
  <si>
    <t>Mix</t>
  </si>
  <si>
    <t>Any</t>
  </si>
  <si>
    <t>Unlimited Area Buildings (Section 507)</t>
  </si>
  <si>
    <t>Each classroom shall have not less than two means of egress being direct exit to the outside of the building.</t>
  </si>
  <si>
    <t>**Sec.507.4.</t>
  </si>
  <si>
    <t>**Sec.507.3.</t>
  </si>
  <si>
    <t>**Sec.507.6.</t>
  </si>
  <si>
    <t>**Sec.507.7.</t>
  </si>
  <si>
    <t>**Sec.507.8.</t>
  </si>
  <si>
    <t>The following Code sections are not covered by this calculator:</t>
  </si>
  <si>
    <t>**Sec.507.5.</t>
  </si>
  <si>
    <t xml:space="preserve"> For reduced open space refer to Sec. 507.2.1.</t>
  </si>
  <si>
    <t>505 (Mezzanines and Equipment Platforms)</t>
  </si>
  <si>
    <t>Sec. 504.3 Exception (for roof structures refer to Chapter 15)</t>
  </si>
  <si>
    <t>506.1.3 Basements</t>
  </si>
  <si>
    <t>507.10 (Unlimited Area - Aircraft paint hangar)</t>
  </si>
  <si>
    <t>507.12 (Unlimited Area - Motion picture theaters)</t>
  </si>
  <si>
    <t>507.13 (Unlimited Area - Covered and open mall buildings and anchor buildings)</t>
  </si>
  <si>
    <t>507.13 (Unlimited Area - Covered and open mall buildings and anchor buildings- refer to Sec.402)</t>
  </si>
  <si>
    <t>510 (Special provisions)</t>
  </si>
  <si>
    <t>Chapter 9 Requirements (e.g. type of sprinkler system used for the building, etc...)</t>
  </si>
  <si>
    <t>Sec. 508: All mixed occupancies are assumed separated (508.4). For non separated occupancies use most restrictive (508.3.2)</t>
  </si>
  <si>
    <t>Select proposed Type of construction (the Calculator will show max. permitted height for the building w/out sprinklers per T 504.3);</t>
  </si>
  <si>
    <t>See Sec. 507.4 for exceptions. For reduced open space refer to Sec. 507.2.1.</t>
  </si>
  <si>
    <t>**Sec.507.4.1.</t>
  </si>
  <si>
    <t>507.4.1</t>
  </si>
  <si>
    <t>For reduced open space refer to Sec. 507.2.1. See Sec.507.4.1 for conditions.</t>
  </si>
  <si>
    <t>See Sec 507.6 for assembly use limitations. Building shall not have a stage other than a platform.  For reduced open space refer to Sec. 507.2.1.</t>
  </si>
  <si>
    <t>See Sec 507.7 for assembly use limitations. Building shall not have a stage other than a platform. The assembly floor shall be within 21inches of street or grade level. For reduced open space refer to Sec. 507.2.1.</t>
  </si>
  <si>
    <t>507.11.</t>
  </si>
  <si>
    <t>**Sec.507.11.</t>
  </si>
  <si>
    <t>506.2.3</t>
  </si>
  <si>
    <t>Single</t>
  </si>
  <si>
    <t>Mixed</t>
  </si>
  <si>
    <t>506.2.4</t>
  </si>
  <si>
    <t>(single use = 28)</t>
  </si>
  <si>
    <t>508.4.2</t>
  </si>
  <si>
    <t>Single Occ</t>
  </si>
  <si>
    <t>NFPA13R</t>
  </si>
  <si>
    <t>Type I</t>
  </si>
  <si>
    <t>Non Sprink</t>
  </si>
  <si>
    <t>Ch9 ref</t>
  </si>
  <si>
    <t>If any I-1 occup. In Bldg</t>
  </si>
  <si>
    <t>Condition 2</t>
  </si>
  <si>
    <t>Only R</t>
  </si>
  <si>
    <t>If I-1 occupancy selected, check the box for Condition 2 (if applicable)</t>
  </si>
  <si>
    <t xml:space="preserve">*Building Area is Overlimit per Sec. 506.2.3 </t>
  </si>
  <si>
    <t xml:space="preserve">*Level 1 Area is Overlimit per Sec.508.4.2 </t>
  </si>
  <si>
    <t xml:space="preserve">*Level 2 Area is Overlimit per Sec.508.4.2 </t>
  </si>
  <si>
    <t xml:space="preserve">*Level 3 Area is Overlimit per Sec.508.4.2 </t>
  </si>
  <si>
    <t xml:space="preserve">*Level 4 Area is Overlimit per Sec.508.4.2 </t>
  </si>
  <si>
    <t xml:space="preserve">*Level 5 Area is Overlimit per Sec.508.4.2 </t>
  </si>
  <si>
    <t xml:space="preserve">*Level 6 Area is Overlimit per Sec.508.4.2 </t>
  </si>
  <si>
    <t xml:space="preserve">*Level 6 Area is Overlimit per Sec.508.r.2 </t>
  </si>
  <si>
    <t>13D Sprinklers</t>
  </si>
  <si>
    <t>13R Sprinklers</t>
  </si>
  <si>
    <t>Footnote b of Tables 503.3, 504.4 and 506.2; Footnote i of Table 506.2</t>
  </si>
  <si>
    <t>If applicable, check the box for sprinklers throughout per 903.3.1.1 (NFPA-13)</t>
  </si>
  <si>
    <t>For buildings with R occupancy only, select sprinklers per 903.3.1.2 (NFPA-13R) or 903.3.1.3(NFPA-13D), if applicable</t>
  </si>
  <si>
    <t xml:space="preserve">*-the indicator does not appear when NFPA 13 R or NFPA 13 D used </t>
  </si>
  <si>
    <t>educational tool and it is not an official document. Please contact the author for any errors or suggestions you may have.</t>
  </si>
  <si>
    <t>ara@ara4help.com</t>
  </si>
  <si>
    <t>On the main page “Check Height &amp; Area” (ChaCha) Select the applicable Code -2018 IBC (if not selected by default);</t>
  </si>
  <si>
    <t>www.ara4help.com</t>
  </si>
  <si>
    <t>24-IBC-1</t>
  </si>
  <si>
    <t>“Check Height &amp; Area” Calculator [Calculator] checks building Height and area compliance with the 2024 IBC</t>
  </si>
  <si>
    <t xml:space="preserve"> This application is created solely based on the author’s interpretation of the 2024 IBC. It is intended as an</t>
  </si>
  <si>
    <t>The calculator does not account for IV-A, IV-B, or IV-C Construction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</si>
</sst>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8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6"/>
      <name val="Arial"/>
      <family val="2"/>
    </font>
    <font>
      <sz val="8"/>
      <name val="Times New Roman"/>
      <family val="1"/>
    </font>
    <font>
      <sz val="8"/>
      <name val="Arial"/>
    </font>
    <font>
      <b/>
      <sz val="6"/>
      <color indexed="10"/>
      <name val="Arial"/>
      <family val="2"/>
    </font>
    <font>
      <sz val="10"/>
      <color indexed="10"/>
      <name val="Arial"/>
    </font>
    <font>
      <b/>
      <sz val="10"/>
      <name val="Arial"/>
      <family val="2"/>
    </font>
    <font>
      <sz val="8"/>
      <color indexed="10"/>
      <name val="Arial"/>
    </font>
    <font>
      <sz val="10"/>
      <color indexed="9"/>
      <name val="Arial"/>
    </font>
    <font>
      <sz val="8"/>
      <color indexed="11"/>
      <name val="Arial"/>
    </font>
    <font>
      <sz val="8"/>
      <color indexed="12"/>
      <name val="Arial"/>
    </font>
    <font>
      <sz val="8"/>
      <color indexed="20"/>
      <name val="Arial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8"/>
      <name val="Arial"/>
      <family val="2"/>
    </font>
    <font>
      <i/>
      <sz val="10"/>
      <name val="Times New Roman"/>
      <family val="1"/>
    </font>
    <font>
      <i/>
      <sz val="16"/>
      <color indexed="10"/>
      <name val="Times New Roman"/>
      <family val="1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i/>
      <sz val="8"/>
      <name val="Times New Roman"/>
      <family val="1"/>
    </font>
    <font>
      <b/>
      <sz val="6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Times New Roman"/>
      <family val="1"/>
    </font>
    <font>
      <b/>
      <sz val="10"/>
      <color indexed="10"/>
      <name val="Arial"/>
      <family val="2"/>
    </font>
    <font>
      <sz val="9"/>
      <name val="Arial"/>
      <family val="2"/>
    </font>
    <font>
      <sz val="9"/>
      <name val="Arial"/>
    </font>
    <font>
      <sz val="8"/>
      <color indexed="17"/>
      <name val="Arial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sz val="8"/>
      <color indexed="10"/>
      <name val="Times New Roman"/>
      <family val="1"/>
    </font>
    <font>
      <sz val="10"/>
      <color indexed="20"/>
      <name val="Arial"/>
    </font>
    <font>
      <b/>
      <sz val="8"/>
      <color indexed="20"/>
      <name val="Arial"/>
      <family val="2"/>
    </font>
    <font>
      <sz val="10"/>
      <color indexed="61"/>
      <name val="Arial"/>
    </font>
    <font>
      <sz val="10"/>
      <color indexed="19"/>
      <name val="Arial"/>
    </font>
    <font>
      <b/>
      <sz val="8"/>
      <color indexed="19"/>
      <name val="Arial"/>
      <family val="2"/>
    </font>
    <font>
      <sz val="8"/>
      <color indexed="19"/>
      <name val="Arial"/>
    </font>
    <font>
      <b/>
      <sz val="8"/>
      <color indexed="53"/>
      <name val="Arial"/>
      <family val="2"/>
    </font>
    <font>
      <sz val="8"/>
      <color indexed="53"/>
      <name val="Arial"/>
    </font>
    <font>
      <sz val="7"/>
      <name val="Arial"/>
    </font>
    <font>
      <sz val="7"/>
      <color indexed="10"/>
      <name val="Arial"/>
    </font>
    <font>
      <sz val="7"/>
      <name val="Times New Roman"/>
      <family val="1"/>
    </font>
    <font>
      <sz val="8"/>
      <name val="Arial"/>
      <family val="2"/>
    </font>
    <font>
      <b/>
      <sz val="7"/>
      <name val="Arial"/>
      <family val="2"/>
    </font>
    <font>
      <b/>
      <i/>
      <sz val="9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</font>
    <font>
      <sz val="8"/>
      <color indexed="23"/>
      <name val="Arial"/>
    </font>
    <font>
      <sz val="8"/>
      <color indexed="20"/>
      <name val="Times New Roman"/>
      <family val="1"/>
    </font>
    <font>
      <b/>
      <sz val="10"/>
      <color indexed="20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4"/>
      <color indexed="12"/>
      <name val="Arial"/>
      <family val="2"/>
    </font>
    <font>
      <i/>
      <sz val="12"/>
      <color indexed="12"/>
      <name val="Times New Roman"/>
      <family val="1"/>
    </font>
    <font>
      <i/>
      <vertAlign val="subscript"/>
      <sz val="12"/>
      <color indexed="12"/>
      <name val="Times New Roman"/>
      <family val="1"/>
    </font>
    <font>
      <sz val="10"/>
      <color indexed="12"/>
      <name val="Arial"/>
    </font>
    <font>
      <i/>
      <sz val="10"/>
      <color indexed="10"/>
      <name val="Arial"/>
      <family val="2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u/>
      <sz val="10"/>
      <color indexed="12"/>
      <name val="Arial"/>
    </font>
    <font>
      <b/>
      <sz val="10"/>
      <name val="Arial"/>
    </font>
    <font>
      <sz val="8"/>
      <color indexed="12"/>
      <name val="Times New Roman"/>
      <family val="1"/>
    </font>
    <font>
      <u/>
      <sz val="22"/>
      <color indexed="12"/>
      <name val="Arial"/>
    </font>
    <font>
      <sz val="22"/>
      <color indexed="12"/>
      <name val="Arial"/>
    </font>
    <font>
      <i/>
      <sz val="10"/>
      <color indexed="10"/>
      <name val="Times New Roman"/>
      <family val="1"/>
    </font>
    <font>
      <b/>
      <sz val="11"/>
      <color indexed="12"/>
      <name val="Arial"/>
      <family val="2"/>
    </font>
    <font>
      <b/>
      <sz val="12"/>
      <name val="Arial"/>
      <family val="2"/>
    </font>
    <font>
      <sz val="8"/>
      <color indexed="9"/>
      <name val="Arial"/>
    </font>
    <font>
      <sz val="1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4"/>
      <name val="Arial"/>
    </font>
    <font>
      <vertAlign val="subscript"/>
      <sz val="14"/>
      <name val="Arial"/>
    </font>
    <font>
      <sz val="18"/>
      <color indexed="10"/>
      <name val="Arial"/>
    </font>
    <font>
      <sz val="14"/>
      <color indexed="12"/>
      <name val="Arial"/>
    </font>
    <font>
      <sz val="26"/>
      <color indexed="12"/>
      <name val="Arial"/>
    </font>
    <font>
      <sz val="14"/>
      <color indexed="10"/>
      <name val="Arial"/>
    </font>
    <font>
      <sz val="10"/>
      <color indexed="60"/>
      <name val="UniversalMath1 BT"/>
      <family val="1"/>
      <charset val="2"/>
    </font>
    <font>
      <sz val="8"/>
      <color indexed="60"/>
      <name val="Arial"/>
    </font>
    <font>
      <sz val="10"/>
      <color indexed="60"/>
      <name val="Arial"/>
    </font>
    <font>
      <sz val="10"/>
      <color indexed="12"/>
      <name val="UniversalMath1 BT"/>
      <family val="1"/>
      <charset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i/>
      <sz val="10"/>
      <color indexed="20"/>
      <name val="Times New Roman"/>
      <family val="1"/>
    </font>
    <font>
      <b/>
      <u/>
      <sz val="18"/>
      <color indexed="12"/>
      <name val="Arial"/>
      <family val="2"/>
    </font>
    <font>
      <b/>
      <sz val="18"/>
      <name val="Arial"/>
      <family val="2"/>
    </font>
    <font>
      <sz val="8"/>
      <color rgb="FF0070C0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58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9" fillId="0" borderId="0" xfId="0" applyFont="1"/>
    <xf numFmtId="4" fontId="0" fillId="0" borderId="0" xfId="0" applyNumberFormat="1"/>
    <xf numFmtId="0" fontId="0" fillId="0" borderId="0" xfId="0" applyAlignment="1">
      <alignment vertical="center"/>
    </xf>
    <xf numFmtId="0" fontId="8" fillId="0" borderId="17" xfId="0" applyFont="1" applyBorder="1" applyAlignment="1">
      <alignment horizontal="center"/>
    </xf>
    <xf numFmtId="0" fontId="0" fillId="0" borderId="18" xfId="0" applyBorder="1"/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1" xfId="0" applyBorder="1"/>
    <xf numFmtId="0" fontId="5" fillId="0" borderId="21" xfId="0" applyFont="1" applyBorder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shrinkToFit="1"/>
    </xf>
    <xf numFmtId="0" fontId="12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1" fillId="0" borderId="0" xfId="0" applyNumberFormat="1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horizontal="right" vertical="center" shrinkToFit="1"/>
    </xf>
    <xf numFmtId="0" fontId="18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/>
    </xf>
    <xf numFmtId="2" fontId="8" fillId="0" borderId="0" xfId="0" applyNumberFormat="1" applyFont="1" applyAlignment="1">
      <alignment horizontal="center" vertical="center" shrinkToFit="1"/>
    </xf>
    <xf numFmtId="2" fontId="11" fillId="0" borderId="7" xfId="0" applyNumberFormat="1" applyFont="1" applyBorder="1" applyAlignment="1">
      <alignment horizontal="center" shrinkToFit="1"/>
    </xf>
    <xf numFmtId="2" fontId="5" fillId="0" borderId="7" xfId="0" applyNumberFormat="1" applyFont="1" applyBorder="1" applyAlignment="1">
      <alignment horizontal="center" shrinkToFit="1"/>
    </xf>
    <xf numFmtId="2" fontId="0" fillId="0" borderId="0" xfId="0" applyNumberFormat="1" applyAlignment="1">
      <alignment shrinkToFit="1"/>
    </xf>
    <xf numFmtId="2" fontId="7" fillId="0" borderId="7" xfId="0" applyNumberFormat="1" applyFont="1" applyBorder="1" applyAlignment="1">
      <alignment horizontal="center" vertical="center" shrinkToFit="1"/>
    </xf>
    <xf numFmtId="2" fontId="0" fillId="0" borderId="7" xfId="0" applyNumberFormat="1" applyBorder="1" applyAlignment="1">
      <alignment horizontal="center" vertical="center" shrinkToFit="1"/>
    </xf>
    <xf numFmtId="2" fontId="5" fillId="0" borderId="22" xfId="0" applyNumberFormat="1" applyFont="1" applyBorder="1" applyAlignment="1">
      <alignment shrinkToFit="1"/>
    </xf>
    <xf numFmtId="2" fontId="5" fillId="0" borderId="23" xfId="0" applyNumberFormat="1" applyFont="1" applyBorder="1" applyAlignment="1">
      <alignment shrinkToFit="1"/>
    </xf>
    <xf numFmtId="2" fontId="5" fillId="0" borderId="24" xfId="0" applyNumberFormat="1" applyFont="1" applyBorder="1" applyAlignment="1">
      <alignment shrinkToFit="1"/>
    </xf>
    <xf numFmtId="2" fontId="5" fillId="2" borderId="23" xfId="0" applyNumberFormat="1" applyFont="1" applyFill="1" applyBorder="1" applyAlignment="1">
      <alignment shrinkToFit="1"/>
    </xf>
    <xf numFmtId="2" fontId="5" fillId="0" borderId="7" xfId="0" applyNumberFormat="1" applyFont="1" applyBorder="1" applyAlignment="1" applyProtection="1">
      <alignment horizontal="center" shrinkToFit="1"/>
      <protection locked="0"/>
    </xf>
    <xf numFmtId="0" fontId="10" fillId="0" borderId="0" xfId="0" applyFont="1" applyProtection="1">
      <protection locked="0"/>
    </xf>
    <xf numFmtId="164" fontId="0" fillId="3" borderId="7" xfId="0" applyNumberFormat="1" applyFill="1" applyBorder="1" applyAlignment="1">
      <alignment shrinkToFi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2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/>
    </xf>
    <xf numFmtId="0" fontId="28" fillId="0" borderId="10" xfId="0" applyFont="1" applyBorder="1" applyAlignment="1">
      <alignment horizontal="center" wrapText="1"/>
    </xf>
    <xf numFmtId="0" fontId="28" fillId="0" borderId="7" xfId="0" applyFont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8" xfId="0" applyFill="1" applyBorder="1"/>
    <xf numFmtId="0" fontId="6" fillId="3" borderId="19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29" fillId="0" borderId="17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5" fillId="0" borderId="6" xfId="0" applyFont="1" applyBorder="1"/>
    <xf numFmtId="0" fontId="5" fillId="0" borderId="2" xfId="0" applyFont="1" applyBorder="1"/>
    <xf numFmtId="0" fontId="3" fillId="0" borderId="4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 wrapText="1" shrinkToFit="1"/>
    </xf>
    <xf numFmtId="0" fontId="33" fillId="0" borderId="27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34" fillId="0" borderId="27" xfId="0" applyFont="1" applyBorder="1" applyAlignment="1">
      <alignment horizontal="center" vertical="center" wrapText="1" shrinkToFit="1"/>
    </xf>
    <xf numFmtId="0" fontId="0" fillId="0" borderId="7" xfId="0" applyBorder="1"/>
    <xf numFmtId="0" fontId="34" fillId="0" borderId="7" xfId="0" applyFont="1" applyBorder="1" applyAlignment="1">
      <alignment horizontal="center" vertical="center" wrapText="1" shrinkToFit="1"/>
    </xf>
    <xf numFmtId="0" fontId="7" fillId="0" borderId="7" xfId="0" applyFont="1" applyBorder="1"/>
    <xf numFmtId="0" fontId="35" fillId="3" borderId="7" xfId="0" applyFont="1" applyFill="1" applyBorder="1" applyAlignment="1">
      <alignment horizontal="center" wrapText="1"/>
    </xf>
    <xf numFmtId="0" fontId="35" fillId="3" borderId="13" xfId="0" applyFont="1" applyFill="1" applyBorder="1" applyAlignment="1">
      <alignment horizontal="center" wrapText="1"/>
    </xf>
    <xf numFmtId="0" fontId="36" fillId="0" borderId="0" xfId="0" applyFont="1"/>
    <xf numFmtId="0" fontId="36" fillId="3" borderId="0" xfId="0" applyFont="1" applyFill="1"/>
    <xf numFmtId="0" fontId="37" fillId="0" borderId="27" xfId="0" applyFont="1" applyBorder="1" applyAlignment="1">
      <alignment horizontal="center" vertical="center" wrapText="1" shrinkToFit="1"/>
    </xf>
    <xf numFmtId="0" fontId="26" fillId="0" borderId="27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shrinkToFit="1"/>
    </xf>
    <xf numFmtId="0" fontId="5" fillId="0" borderId="0" xfId="0" applyFont="1" applyAlignment="1">
      <alignment shrinkToFit="1"/>
    </xf>
    <xf numFmtId="3" fontId="5" fillId="0" borderId="0" xfId="0" applyNumberFormat="1" applyFont="1" applyAlignment="1">
      <alignment shrinkToFit="1"/>
    </xf>
    <xf numFmtId="0" fontId="5" fillId="0" borderId="21" xfId="0" applyFont="1" applyBorder="1" applyAlignment="1">
      <alignment shrinkToFit="1"/>
    </xf>
    <xf numFmtId="3" fontId="5" fillId="0" borderId="21" xfId="0" applyNumberFormat="1" applyFont="1" applyBorder="1" applyAlignment="1">
      <alignment shrinkToFit="1"/>
    </xf>
    <xf numFmtId="0" fontId="32" fillId="0" borderId="21" xfId="0" applyFont="1" applyBorder="1" applyAlignment="1">
      <alignment shrinkToFit="1"/>
    </xf>
    <xf numFmtId="0" fontId="5" fillId="0" borderId="2" xfId="0" applyFont="1" applyBorder="1" applyAlignment="1">
      <alignment shrinkToFit="1"/>
    </xf>
    <xf numFmtId="4" fontId="5" fillId="0" borderId="0" xfId="0" applyNumberFormat="1" applyFont="1" applyAlignment="1">
      <alignment shrinkToFit="1"/>
    </xf>
    <xf numFmtId="4" fontId="5" fillId="0" borderId="6" xfId="0" applyNumberFormat="1" applyFont="1" applyBorder="1" applyAlignment="1">
      <alignment shrinkToFit="1"/>
    </xf>
    <xf numFmtId="0" fontId="38" fillId="0" borderId="7" xfId="0" applyFont="1" applyBorder="1"/>
    <xf numFmtId="0" fontId="39" fillId="0" borderId="0" xfId="0" applyFont="1" applyAlignment="1">
      <alignment horizontal="center"/>
    </xf>
    <xf numFmtId="0" fontId="39" fillId="0" borderId="0" xfId="0" applyFont="1"/>
    <xf numFmtId="0" fontId="39" fillId="0" borderId="8" xfId="0" applyFont="1" applyBorder="1" applyAlignment="1">
      <alignment horizontal="center" shrinkToFit="1"/>
    </xf>
    <xf numFmtId="0" fontId="39" fillId="0" borderId="28" xfId="0" applyFont="1" applyBorder="1" applyAlignment="1">
      <alignment horizontal="center" shrinkToFit="1"/>
    </xf>
    <xf numFmtId="0" fontId="40" fillId="0" borderId="17" xfId="0" applyFont="1" applyBorder="1" applyAlignment="1">
      <alignment horizontal="center" vertical="center" wrapText="1" shrinkToFit="1"/>
    </xf>
    <xf numFmtId="0" fontId="5" fillId="0" borderId="28" xfId="0" applyFont="1" applyBorder="1" applyAlignment="1">
      <alignment shrinkToFit="1"/>
    </xf>
    <xf numFmtId="0" fontId="40" fillId="0" borderId="27" xfId="0" applyFont="1" applyBorder="1" applyAlignment="1">
      <alignment horizontal="center" vertical="center" wrapText="1" shrinkToFit="1"/>
    </xf>
    <xf numFmtId="3" fontId="41" fillId="0" borderId="21" xfId="0" applyNumberFormat="1" applyFont="1" applyBorder="1" applyAlignment="1">
      <alignment horizontal="center" shrinkToFit="1"/>
    </xf>
    <xf numFmtId="3" fontId="0" fillId="0" borderId="0" xfId="0" applyNumberFormat="1"/>
    <xf numFmtId="0" fontId="4" fillId="3" borderId="13" xfId="0" applyFont="1" applyFill="1" applyBorder="1" applyAlignment="1">
      <alignment horizontal="center" wrapText="1"/>
    </xf>
    <xf numFmtId="0" fontId="35" fillId="0" borderId="13" xfId="0" applyFont="1" applyBorder="1" applyAlignment="1">
      <alignment horizontal="center" wrapText="1"/>
    </xf>
    <xf numFmtId="3" fontId="0" fillId="0" borderId="7" xfId="0" applyNumberFormat="1" applyBorder="1"/>
    <xf numFmtId="0" fontId="42" fillId="0" borderId="3" xfId="0" applyFont="1" applyBorder="1" applyAlignment="1">
      <alignment horizontal="center" vertical="center" wrapText="1" shrinkToFit="1"/>
    </xf>
    <xf numFmtId="2" fontId="43" fillId="0" borderId="6" xfId="0" applyNumberFormat="1" applyFont="1" applyBorder="1" applyAlignment="1">
      <alignment shrinkToFit="1"/>
    </xf>
    <xf numFmtId="3" fontId="9" fillId="3" borderId="0" xfId="0" applyNumberFormat="1" applyFont="1" applyFill="1" applyAlignment="1">
      <alignment shrinkToFit="1"/>
    </xf>
    <xf numFmtId="4" fontId="5" fillId="3" borderId="28" xfId="0" applyNumberFormat="1" applyFont="1" applyFill="1" applyBorder="1" applyAlignment="1">
      <alignment shrinkToFit="1"/>
    </xf>
    <xf numFmtId="0" fontId="9" fillId="3" borderId="0" xfId="0" applyFont="1" applyFill="1"/>
    <xf numFmtId="4" fontId="5" fillId="3" borderId="28" xfId="0" applyNumberFormat="1" applyFont="1" applyFill="1" applyBorder="1"/>
    <xf numFmtId="0" fontId="19" fillId="4" borderId="3" xfId="0" applyFont="1" applyFill="1" applyBorder="1" applyAlignment="1">
      <alignment horizontal="center" vertical="center" wrapText="1" shrinkToFit="1"/>
    </xf>
    <xf numFmtId="0" fontId="0" fillId="5" borderId="0" xfId="0" applyFill="1"/>
    <xf numFmtId="0" fontId="0" fillId="0" borderId="29" xfId="0" applyBorder="1"/>
    <xf numFmtId="0" fontId="1" fillId="0" borderId="27" xfId="0" applyFont="1" applyBorder="1"/>
    <xf numFmtId="0" fontId="0" fillId="0" borderId="27" xfId="0" applyBorder="1"/>
    <xf numFmtId="0" fontId="0" fillId="0" borderId="3" xfId="0" applyBorder="1"/>
    <xf numFmtId="0" fontId="0" fillId="0" borderId="30" xfId="0" applyBorder="1"/>
    <xf numFmtId="0" fontId="5" fillId="0" borderId="30" xfId="0" applyFont="1" applyBorder="1"/>
    <xf numFmtId="4" fontId="44" fillId="0" borderId="0" xfId="0" applyNumberFormat="1" applyFont="1"/>
    <xf numFmtId="0" fontId="44" fillId="0" borderId="0" xfId="0" applyFont="1"/>
    <xf numFmtId="0" fontId="44" fillId="0" borderId="30" xfId="0" applyFont="1" applyBorder="1"/>
    <xf numFmtId="4" fontId="44" fillId="0" borderId="30" xfId="0" applyNumberFormat="1" applyFont="1" applyBorder="1"/>
    <xf numFmtId="0" fontId="0" fillId="4" borderId="30" xfId="0" applyFill="1" applyBorder="1"/>
    <xf numFmtId="0" fontId="19" fillId="6" borderId="27" xfId="0" applyFont="1" applyFill="1" applyBorder="1" applyAlignment="1">
      <alignment horizontal="center" vertical="center" wrapText="1" shrinkToFit="1"/>
    </xf>
    <xf numFmtId="0" fontId="0" fillId="6" borderId="30" xfId="0" applyFill="1" applyBorder="1"/>
    <xf numFmtId="3" fontId="45" fillId="0" borderId="0" xfId="0" applyNumberFormat="1" applyFont="1"/>
    <xf numFmtId="0" fontId="45" fillId="0" borderId="0" xfId="0" applyFont="1"/>
    <xf numFmtId="0" fontId="0" fillId="3" borderId="30" xfId="0" applyFill="1" applyBorder="1"/>
    <xf numFmtId="0" fontId="7" fillId="0" borderId="17" xfId="0" applyFont="1" applyBorder="1" applyAlignment="1">
      <alignment horizontal="center"/>
    </xf>
    <xf numFmtId="2" fontId="44" fillId="0" borderId="31" xfId="0" applyNumberFormat="1" applyFont="1" applyBorder="1"/>
    <xf numFmtId="2" fontId="44" fillId="0" borderId="0" xfId="0" applyNumberFormat="1" applyFont="1"/>
    <xf numFmtId="0" fontId="0" fillId="7" borderId="0" xfId="0" applyFill="1"/>
    <xf numFmtId="0" fontId="14" fillId="0" borderId="0" xfId="0" applyFont="1"/>
    <xf numFmtId="3" fontId="44" fillId="0" borderId="0" xfId="0" applyNumberFormat="1" applyFont="1" applyAlignment="1">
      <alignment shrinkToFit="1"/>
    </xf>
    <xf numFmtId="0" fontId="45" fillId="5" borderId="0" xfId="0" applyFont="1" applyFill="1"/>
    <xf numFmtId="0" fontId="45" fillId="5" borderId="30" xfId="0" applyFont="1" applyFill="1" applyBorder="1"/>
    <xf numFmtId="0" fontId="45" fillId="0" borderId="30" xfId="0" applyFont="1" applyBorder="1"/>
    <xf numFmtId="0" fontId="1" fillId="8" borderId="0" xfId="0" applyFont="1" applyFill="1"/>
    <xf numFmtId="0" fontId="0" fillId="9" borderId="0" xfId="0" applyFill="1"/>
    <xf numFmtId="0" fontId="5" fillId="9" borderId="0" xfId="0" applyFont="1" applyFill="1"/>
    <xf numFmtId="0" fontId="0" fillId="10" borderId="0" xfId="0" applyFill="1"/>
    <xf numFmtId="0" fontId="5" fillId="10" borderId="0" xfId="0" applyFont="1" applyFill="1"/>
    <xf numFmtId="0" fontId="0" fillId="10" borderId="7" xfId="0" applyFill="1" applyBorder="1"/>
    <xf numFmtId="0" fontId="0" fillId="10" borderId="32" xfId="0" applyFill="1" applyBorder="1"/>
    <xf numFmtId="0" fontId="0" fillId="10" borderId="33" xfId="0" applyFill="1" applyBorder="1"/>
    <xf numFmtId="0" fontId="0" fillId="10" borderId="34" xfId="0" applyFill="1" applyBorder="1"/>
    <xf numFmtId="0" fontId="0" fillId="10" borderId="31" xfId="0" applyFill="1" applyBorder="1"/>
    <xf numFmtId="0" fontId="0" fillId="10" borderId="26" xfId="0" applyFill="1" applyBorder="1"/>
    <xf numFmtId="0" fontId="0" fillId="10" borderId="35" xfId="0" applyFill="1" applyBorder="1"/>
    <xf numFmtId="0" fontId="0" fillId="10" borderId="30" xfId="0" applyFill="1" applyBorder="1"/>
    <xf numFmtId="0" fontId="0" fillId="10" borderId="36" xfId="0" applyFill="1" applyBorder="1"/>
    <xf numFmtId="0" fontId="0" fillId="10" borderId="19" xfId="0" applyFill="1" applyBorder="1"/>
    <xf numFmtId="0" fontId="0" fillId="11" borderId="0" xfId="0" applyFill="1"/>
    <xf numFmtId="0" fontId="0" fillId="11" borderId="32" xfId="0" applyFill="1" applyBorder="1"/>
    <xf numFmtId="0" fontId="0" fillId="11" borderId="33" xfId="0" applyFill="1" applyBorder="1"/>
    <xf numFmtId="0" fontId="0" fillId="11" borderId="34" xfId="0" applyFill="1" applyBorder="1"/>
    <xf numFmtId="0" fontId="0" fillId="11" borderId="31" xfId="0" applyFill="1" applyBorder="1"/>
    <xf numFmtId="0" fontId="0" fillId="11" borderId="26" xfId="0" applyFill="1" applyBorder="1"/>
    <xf numFmtId="0" fontId="0" fillId="11" borderId="35" xfId="0" applyFill="1" applyBorder="1"/>
    <xf numFmtId="0" fontId="0" fillId="11" borderId="30" xfId="0" applyFill="1" applyBorder="1"/>
    <xf numFmtId="0" fontId="0" fillId="11" borderId="36" xfId="0" applyFill="1" applyBorder="1"/>
    <xf numFmtId="3" fontId="0" fillId="9" borderId="32" xfId="0" applyNumberFormat="1" applyFill="1" applyBorder="1"/>
    <xf numFmtId="3" fontId="0" fillId="9" borderId="31" xfId="0" applyNumberFormat="1" applyFill="1" applyBorder="1"/>
    <xf numFmtId="3" fontId="0" fillId="9" borderId="33" xfId="0" applyNumberFormat="1" applyFill="1" applyBorder="1"/>
    <xf numFmtId="3" fontId="0" fillId="9" borderId="0" xfId="0" applyNumberFormat="1" applyFill="1"/>
    <xf numFmtId="3" fontId="0" fillId="9" borderId="30" xfId="0" applyNumberFormat="1" applyFill="1" applyBorder="1"/>
    <xf numFmtId="3" fontId="0" fillId="9" borderId="35" xfId="0" applyNumberFormat="1" applyFill="1" applyBorder="1"/>
    <xf numFmtId="3" fontId="0" fillId="9" borderId="34" xfId="0" applyNumberFormat="1" applyFill="1" applyBorder="1"/>
    <xf numFmtId="3" fontId="0" fillId="9" borderId="26" xfId="0" applyNumberFormat="1" applyFill="1" applyBorder="1"/>
    <xf numFmtId="3" fontId="0" fillId="9" borderId="36" xfId="0" applyNumberFormat="1" applyFill="1" applyBorder="1"/>
    <xf numFmtId="0" fontId="0" fillId="0" borderId="19" xfId="0" applyBorder="1"/>
    <xf numFmtId="0" fontId="0" fillId="0" borderId="20" xfId="0" applyBorder="1"/>
    <xf numFmtId="0" fontId="46" fillId="0" borderId="7" xfId="0" applyFont="1" applyBorder="1" applyAlignment="1">
      <alignment horizontal="center" vertical="center" wrapText="1"/>
    </xf>
    <xf numFmtId="0" fontId="44" fillId="0" borderId="7" xfId="0" applyFont="1" applyBorder="1"/>
    <xf numFmtId="4" fontId="44" fillId="0" borderId="7" xfId="0" applyNumberFormat="1" applyFont="1" applyBorder="1"/>
    <xf numFmtId="0" fontId="0" fillId="3" borderId="0" xfId="0" applyFill="1"/>
    <xf numFmtId="3" fontId="44" fillId="0" borderId="26" xfId="0" applyNumberFormat="1" applyFont="1" applyBorder="1" applyAlignment="1">
      <alignment shrinkToFit="1"/>
    </xf>
    <xf numFmtId="3" fontId="44" fillId="0" borderId="31" xfId="0" applyNumberFormat="1" applyFont="1" applyBorder="1" applyAlignment="1">
      <alignment shrinkToFit="1"/>
    </xf>
    <xf numFmtId="0" fontId="44" fillId="0" borderId="23" xfId="0" applyFont="1" applyBorder="1" applyAlignment="1">
      <alignment shrinkToFit="1"/>
    </xf>
    <xf numFmtId="0" fontId="44" fillId="0" borderId="0" xfId="0" applyFont="1" applyAlignment="1">
      <alignment shrinkToFit="1"/>
    </xf>
    <xf numFmtId="0" fontId="44" fillId="0" borderId="30" xfId="0" applyFont="1" applyBorder="1" applyAlignment="1">
      <alignment shrinkToFit="1"/>
    </xf>
    <xf numFmtId="0" fontId="44" fillId="0" borderId="36" xfId="0" applyFont="1" applyBorder="1" applyAlignment="1">
      <alignment shrinkToFit="1"/>
    </xf>
    <xf numFmtId="0" fontId="44" fillId="0" borderId="35" xfId="0" applyFont="1" applyBorder="1" applyAlignment="1">
      <alignment shrinkToFit="1"/>
    </xf>
    <xf numFmtId="0" fontId="31" fillId="0" borderId="0" xfId="0" applyFont="1" applyAlignment="1">
      <alignment horizontal="right"/>
    </xf>
    <xf numFmtId="4" fontId="44" fillId="0" borderId="26" xfId="0" applyNumberFormat="1" applyFont="1" applyBorder="1" applyAlignment="1">
      <alignment shrinkToFit="1"/>
    </xf>
    <xf numFmtId="4" fontId="44" fillId="0" borderId="0" xfId="0" applyNumberFormat="1" applyFont="1" applyAlignment="1">
      <alignment shrinkToFit="1"/>
    </xf>
    <xf numFmtId="0" fontId="44" fillId="0" borderId="7" xfId="0" applyFont="1" applyBorder="1" applyAlignment="1">
      <alignment shrinkToFit="1"/>
    </xf>
    <xf numFmtId="3" fontId="44" fillId="0" borderId="7" xfId="0" applyNumberFormat="1" applyFont="1" applyBorder="1" applyAlignment="1">
      <alignment shrinkToFit="1"/>
    </xf>
    <xf numFmtId="4" fontId="48" fillId="0" borderId="22" xfId="0" applyNumberFormat="1" applyFont="1" applyBorder="1" applyAlignment="1">
      <alignment shrinkToFit="1"/>
    </xf>
    <xf numFmtId="4" fontId="44" fillId="0" borderId="24" xfId="0" applyNumberFormat="1" applyFont="1" applyBorder="1" applyAlignment="1">
      <alignment shrinkToFit="1"/>
    </xf>
    <xf numFmtId="4" fontId="44" fillId="0" borderId="22" xfId="0" applyNumberFormat="1" applyFont="1" applyBorder="1" applyAlignment="1">
      <alignment shrinkToFit="1"/>
    </xf>
    <xf numFmtId="4" fontId="44" fillId="0" borderId="23" xfId="0" applyNumberFormat="1" applyFont="1" applyBorder="1" applyAlignment="1">
      <alignment shrinkToFit="1"/>
    </xf>
    <xf numFmtId="4" fontId="44" fillId="0" borderId="31" xfId="0" applyNumberFormat="1" applyFont="1" applyBorder="1" applyAlignment="1">
      <alignment shrinkToFit="1"/>
    </xf>
    <xf numFmtId="0" fontId="0" fillId="12" borderId="18" xfId="0" applyFill="1" applyBorder="1"/>
    <xf numFmtId="0" fontId="0" fillId="12" borderId="19" xfId="0" applyFill="1" applyBorder="1"/>
    <xf numFmtId="3" fontId="44" fillId="0" borderId="35" xfId="0" applyNumberFormat="1" applyFont="1" applyBorder="1" applyAlignment="1">
      <alignment shrinkToFit="1"/>
    </xf>
    <xf numFmtId="0" fontId="44" fillId="5" borderId="0" xfId="0" applyFont="1" applyFill="1"/>
    <xf numFmtId="0" fontId="44" fillId="5" borderId="30" xfId="0" applyFont="1" applyFill="1" applyBorder="1"/>
    <xf numFmtId="0" fontId="8" fillId="0" borderId="3" xfId="0" applyFont="1" applyBorder="1" applyAlignment="1">
      <alignment vertical="center" shrinkToFit="1"/>
    </xf>
    <xf numFmtId="0" fontId="0" fillId="0" borderId="28" xfId="0" applyBorder="1" applyAlignment="1">
      <alignment horizontal="center"/>
    </xf>
    <xf numFmtId="4" fontId="0" fillId="0" borderId="21" xfId="0" applyNumberFormat="1" applyBorder="1"/>
    <xf numFmtId="0" fontId="5" fillId="0" borderId="0" xfId="0" applyFont="1" applyAlignment="1">
      <alignment horizontal="right"/>
    </xf>
    <xf numFmtId="0" fontId="49" fillId="0" borderId="0" xfId="0" applyFont="1"/>
    <xf numFmtId="0" fontId="50" fillId="0" borderId="17" xfId="0" applyFont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3" fontId="19" fillId="0" borderId="37" xfId="0" applyNumberFormat="1" applyFont="1" applyBorder="1" applyAlignment="1">
      <alignment shrinkToFit="1"/>
    </xf>
    <xf numFmtId="4" fontId="19" fillId="0" borderId="7" xfId="0" applyNumberFormat="1" applyFont="1" applyBorder="1" applyAlignment="1">
      <alignment shrinkToFit="1"/>
    </xf>
    <xf numFmtId="0" fontId="0" fillId="0" borderId="38" xfId="0" applyBorder="1"/>
    <xf numFmtId="4" fontId="47" fillId="0" borderId="39" xfId="0" applyNumberFormat="1" applyFont="1" applyBorder="1" applyAlignment="1">
      <alignment shrinkToFit="1"/>
    </xf>
    <xf numFmtId="0" fontId="0" fillId="0" borderId="40" xfId="0" applyBorder="1"/>
    <xf numFmtId="3" fontId="47" fillId="0" borderId="39" xfId="0" applyNumberFormat="1" applyFont="1" applyBorder="1" applyAlignment="1">
      <alignment shrinkToFit="1"/>
    </xf>
    <xf numFmtId="3" fontId="47" fillId="0" borderId="41" xfId="0" applyNumberFormat="1" applyFont="1" applyBorder="1" applyAlignment="1">
      <alignment shrinkToFit="1"/>
    </xf>
    <xf numFmtId="0" fontId="47" fillId="0" borderId="41" xfId="0" applyFont="1" applyBorder="1" applyAlignment="1">
      <alignment shrinkToFit="1"/>
    </xf>
    <xf numFmtId="0" fontId="47" fillId="0" borderId="42" xfId="0" applyFont="1" applyBorder="1" applyAlignment="1">
      <alignment shrinkToFit="1"/>
    </xf>
    <xf numFmtId="3" fontId="47" fillId="0" borderId="42" xfId="0" applyNumberFormat="1" applyFont="1" applyBorder="1" applyAlignment="1">
      <alignment shrinkToFit="1"/>
    </xf>
    <xf numFmtId="0" fontId="47" fillId="0" borderId="43" xfId="0" applyFont="1" applyBorder="1" applyAlignment="1">
      <alignment shrinkToFit="1"/>
    </xf>
    <xf numFmtId="0" fontId="0" fillId="0" borderId="44" xfId="0" applyBorder="1"/>
    <xf numFmtId="3" fontId="47" fillId="0" borderId="45" xfId="0" applyNumberFormat="1" applyFont="1" applyBorder="1" applyAlignment="1">
      <alignment shrinkToFit="1"/>
    </xf>
    <xf numFmtId="0" fontId="47" fillId="0" borderId="46" xfId="0" applyFont="1" applyBorder="1" applyAlignment="1">
      <alignment shrinkToFit="1"/>
    </xf>
    <xf numFmtId="3" fontId="47" fillId="0" borderId="46" xfId="0" applyNumberFormat="1" applyFont="1" applyBorder="1" applyAlignment="1">
      <alignment shrinkToFit="1"/>
    </xf>
    <xf numFmtId="3" fontId="47" fillId="0" borderId="47" xfId="0" applyNumberFormat="1" applyFont="1" applyBorder="1" applyAlignment="1">
      <alignment shrinkToFit="1"/>
    </xf>
    <xf numFmtId="3" fontId="47" fillId="0" borderId="48" xfId="0" applyNumberFormat="1" applyFont="1" applyBorder="1" applyAlignment="1">
      <alignment shrinkToFit="1"/>
    </xf>
    <xf numFmtId="0" fontId="47" fillId="0" borderId="49" xfId="0" applyFont="1" applyBorder="1" applyAlignment="1">
      <alignment shrinkToFit="1"/>
    </xf>
    <xf numFmtId="3" fontId="47" fillId="0" borderId="50" xfId="0" applyNumberFormat="1" applyFont="1" applyBorder="1" applyAlignment="1">
      <alignment shrinkToFit="1"/>
    </xf>
    <xf numFmtId="0" fontId="0" fillId="0" borderId="4" xfId="0" applyBorder="1"/>
    <xf numFmtId="4" fontId="47" fillId="0" borderId="51" xfId="0" applyNumberFormat="1" applyFont="1" applyBorder="1" applyAlignment="1">
      <alignment shrinkToFit="1"/>
    </xf>
    <xf numFmtId="4" fontId="47" fillId="0" borderId="52" xfId="0" applyNumberFormat="1" applyFont="1" applyBorder="1" applyAlignment="1">
      <alignment shrinkToFit="1"/>
    </xf>
    <xf numFmtId="4" fontId="47" fillId="0" borderId="53" xfId="0" applyNumberFormat="1" applyFont="1" applyBorder="1" applyAlignment="1">
      <alignment shrinkToFit="1"/>
    </xf>
    <xf numFmtId="4" fontId="47" fillId="0" borderId="54" xfId="0" applyNumberFormat="1" applyFont="1" applyBorder="1" applyAlignment="1">
      <alignment shrinkToFit="1"/>
    </xf>
    <xf numFmtId="4" fontId="47" fillId="0" borderId="55" xfId="0" applyNumberFormat="1" applyFont="1" applyBorder="1" applyAlignment="1">
      <alignment shrinkToFit="1"/>
    </xf>
    <xf numFmtId="0" fontId="0" fillId="0" borderId="56" xfId="0" applyBorder="1"/>
    <xf numFmtId="4" fontId="26" fillId="0" borderId="57" xfId="0" applyNumberFormat="1" applyFont="1" applyBorder="1" applyAlignment="1">
      <alignment shrinkToFit="1"/>
    </xf>
    <xf numFmtId="0" fontId="26" fillId="0" borderId="58" xfId="0" applyFont="1" applyBorder="1" applyAlignment="1">
      <alignment shrinkToFit="1"/>
    </xf>
    <xf numFmtId="0" fontId="26" fillId="0" borderId="59" xfId="0" applyFont="1" applyBorder="1" applyAlignment="1">
      <alignment shrinkToFit="1"/>
    </xf>
    <xf numFmtId="3" fontId="26" fillId="0" borderId="10" xfId="0" applyNumberFormat="1" applyFont="1" applyBorder="1" applyAlignment="1">
      <alignment shrinkToFit="1"/>
    </xf>
    <xf numFmtId="3" fontId="26" fillId="0" borderId="60" xfId="0" applyNumberFormat="1" applyFont="1" applyBorder="1" applyAlignment="1">
      <alignment shrinkToFit="1"/>
    </xf>
    <xf numFmtId="0" fontId="26" fillId="0" borderId="61" xfId="0" applyFont="1" applyBorder="1" applyAlignment="1">
      <alignment shrinkToFit="1"/>
    </xf>
    <xf numFmtId="3" fontId="26" fillId="0" borderId="61" xfId="0" applyNumberFormat="1" applyFont="1" applyBorder="1" applyAlignment="1">
      <alignment shrinkToFit="1"/>
    </xf>
    <xf numFmtId="3" fontId="26" fillId="0" borderId="62" xfId="0" applyNumberFormat="1" applyFont="1" applyBorder="1" applyAlignment="1">
      <alignment shrinkToFit="1"/>
    </xf>
    <xf numFmtId="3" fontId="26" fillId="0" borderId="63" xfId="0" applyNumberFormat="1" applyFont="1" applyBorder="1" applyAlignment="1">
      <alignment shrinkToFit="1"/>
    </xf>
    <xf numFmtId="0" fontId="26" fillId="0" borderId="63" xfId="0" applyFont="1" applyBorder="1" applyAlignment="1">
      <alignment shrinkToFit="1"/>
    </xf>
    <xf numFmtId="3" fontId="37" fillId="0" borderId="7" xfId="0" applyNumberFormat="1" applyFont="1" applyBorder="1" applyAlignment="1">
      <alignment shrinkToFit="1"/>
    </xf>
    <xf numFmtId="4" fontId="37" fillId="0" borderId="24" xfId="0" applyNumberFormat="1" applyFont="1" applyBorder="1" applyAlignment="1">
      <alignment shrinkToFit="1"/>
    </xf>
    <xf numFmtId="0" fontId="37" fillId="0" borderId="24" xfId="0" applyFont="1" applyBorder="1" applyAlignment="1">
      <alignment shrinkToFit="1"/>
    </xf>
    <xf numFmtId="3" fontId="37" fillId="0" borderId="22" xfId="0" applyNumberFormat="1" applyFont="1" applyBorder="1" applyAlignment="1">
      <alignment shrinkToFit="1"/>
    </xf>
    <xf numFmtId="0" fontId="37" fillId="0" borderId="23" xfId="0" applyFont="1" applyBorder="1" applyAlignment="1">
      <alignment horizontal="right" shrinkToFit="1"/>
    </xf>
    <xf numFmtId="4" fontId="37" fillId="0" borderId="23" xfId="0" applyNumberFormat="1" applyFont="1" applyBorder="1" applyAlignment="1">
      <alignment shrinkToFit="1"/>
    </xf>
    <xf numFmtId="3" fontId="37" fillId="0" borderId="23" xfId="0" applyNumberFormat="1" applyFont="1" applyBorder="1" applyAlignment="1">
      <alignment shrinkToFit="1"/>
    </xf>
    <xf numFmtId="0" fontId="7" fillId="0" borderId="0" xfId="0" applyFont="1" applyAlignment="1" applyProtection="1">
      <alignment horizontal="right"/>
      <protection locked="0" hidden="1"/>
    </xf>
    <xf numFmtId="0" fontId="9" fillId="0" borderId="0" xfId="0" applyFont="1" applyProtection="1">
      <protection locked="0" hidden="1"/>
    </xf>
    <xf numFmtId="0" fontId="53" fillId="3" borderId="9" xfId="0" applyFont="1" applyFill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shrinkToFit="1"/>
    </xf>
    <xf numFmtId="0" fontId="54" fillId="0" borderId="27" xfId="0" applyFont="1" applyBorder="1" applyAlignment="1">
      <alignment vertical="center" shrinkToFit="1"/>
    </xf>
    <xf numFmtId="0" fontId="54" fillId="0" borderId="27" xfId="0" applyFont="1" applyBorder="1" applyAlignment="1">
      <alignment horizontal="right" vertical="center" shrinkToFit="1"/>
    </xf>
    <xf numFmtId="0" fontId="37" fillId="0" borderId="27" xfId="0" applyFont="1" applyBorder="1" applyAlignment="1">
      <alignment vertical="center" shrinkToFit="1"/>
    </xf>
    <xf numFmtId="0" fontId="54" fillId="0" borderId="3" xfId="0" applyFont="1" applyBorder="1" applyAlignment="1">
      <alignment vertical="center" shrinkToFit="1"/>
    </xf>
    <xf numFmtId="0" fontId="27" fillId="0" borderId="27" xfId="0" applyFont="1" applyBorder="1" applyAlignment="1">
      <alignment horizontal="center" vertical="center" shrinkToFit="1"/>
    </xf>
    <xf numFmtId="0" fontId="14" fillId="0" borderId="7" xfId="0" applyFont="1" applyBorder="1"/>
    <xf numFmtId="0" fontId="3" fillId="0" borderId="2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28" xfId="0" applyNumberFormat="1" applyFont="1" applyBorder="1" applyAlignment="1">
      <alignment horizontal="center" wrapText="1"/>
    </xf>
    <xf numFmtId="0" fontId="4" fillId="11" borderId="6" xfId="0" applyFont="1" applyFill="1" applyBorder="1" applyAlignment="1">
      <alignment horizontal="center" wrapText="1"/>
    </xf>
    <xf numFmtId="0" fontId="4" fillId="11" borderId="64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 wrapText="1"/>
    </xf>
    <xf numFmtId="4" fontId="0" fillId="2" borderId="17" xfId="0" applyNumberFormat="1" applyFill="1" applyBorder="1" applyAlignment="1" applyProtection="1">
      <alignment shrinkToFit="1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4" fontId="19" fillId="0" borderId="20" xfId="0" applyNumberFormat="1" applyFont="1" applyBorder="1" applyAlignment="1">
      <alignment shrinkToFit="1"/>
    </xf>
    <xf numFmtId="3" fontId="37" fillId="0" borderId="20" xfId="0" applyNumberFormat="1" applyFont="1" applyBorder="1" applyAlignment="1">
      <alignment shrinkToFit="1"/>
    </xf>
    <xf numFmtId="3" fontId="37" fillId="0" borderId="65" xfId="0" applyNumberFormat="1" applyFont="1" applyBorder="1" applyAlignment="1">
      <alignment shrinkToFit="1"/>
    </xf>
    <xf numFmtId="0" fontId="37" fillId="0" borderId="66" xfId="0" applyFont="1" applyBorder="1" applyAlignment="1">
      <alignment horizontal="right" shrinkToFit="1"/>
    </xf>
    <xf numFmtId="4" fontId="37" fillId="0" borderId="66" xfId="0" applyNumberFormat="1" applyFont="1" applyBorder="1" applyAlignment="1">
      <alignment shrinkToFit="1"/>
    </xf>
    <xf numFmtId="3" fontId="37" fillId="0" borderId="67" xfId="0" applyNumberFormat="1" applyFont="1" applyBorder="1" applyAlignment="1">
      <alignment shrinkToFit="1"/>
    </xf>
    <xf numFmtId="4" fontId="37" fillId="0" borderId="36" xfId="0" applyNumberFormat="1" applyFont="1" applyBorder="1" applyAlignment="1">
      <alignment shrinkToFit="1"/>
    </xf>
    <xf numFmtId="0" fontId="37" fillId="0" borderId="36" xfId="0" applyFont="1" applyBorder="1" applyAlignment="1">
      <alignment shrinkToFit="1"/>
    </xf>
    <xf numFmtId="0" fontId="0" fillId="0" borderId="68" xfId="0" applyBorder="1"/>
    <xf numFmtId="3" fontId="47" fillId="0" borderId="49" xfId="0" applyNumberFormat="1" applyFont="1" applyBorder="1" applyAlignment="1">
      <alignment shrinkToFit="1"/>
    </xf>
    <xf numFmtId="3" fontId="47" fillId="0" borderId="43" xfId="0" applyNumberFormat="1" applyFont="1" applyBorder="1" applyAlignment="1">
      <alignment shrinkToFit="1"/>
    </xf>
    <xf numFmtId="0" fontId="37" fillId="0" borderId="66" xfId="0" applyFont="1" applyBorder="1" applyAlignment="1">
      <alignment shrinkToFit="1"/>
    </xf>
    <xf numFmtId="0" fontId="55" fillId="0" borderId="69" xfId="0" applyFont="1" applyBorder="1" applyAlignment="1">
      <alignment shrinkToFit="1"/>
    </xf>
    <xf numFmtId="0" fontId="55" fillId="0" borderId="1" xfId="0" applyFont="1" applyBorder="1" applyAlignment="1">
      <alignment shrinkToFit="1"/>
    </xf>
    <xf numFmtId="0" fontId="56" fillId="0" borderId="0" xfId="0" applyFont="1" applyAlignment="1">
      <alignment horizontal="right"/>
    </xf>
    <xf numFmtId="0" fontId="56" fillId="0" borderId="0" xfId="0" applyFont="1"/>
    <xf numFmtId="3" fontId="56" fillId="0" borderId="0" xfId="0" applyNumberFormat="1" applyFont="1"/>
    <xf numFmtId="0" fontId="57" fillId="0" borderId="0" xfId="0" applyFont="1"/>
    <xf numFmtId="0" fontId="46" fillId="0" borderId="0" xfId="0" applyFont="1" applyAlignment="1">
      <alignment horizontal="center" vertical="center" wrapText="1"/>
    </xf>
    <xf numFmtId="0" fontId="26" fillId="0" borderId="70" xfId="0" applyFont="1" applyBorder="1" applyAlignment="1">
      <alignment horizontal="center" vertical="center" shrinkToFit="1"/>
    </xf>
    <xf numFmtId="0" fontId="26" fillId="0" borderId="71" xfId="0" applyFont="1" applyBorder="1" applyAlignment="1">
      <alignment horizontal="center" vertical="center" shrinkToFit="1"/>
    </xf>
    <xf numFmtId="0" fontId="47" fillId="0" borderId="72" xfId="0" applyFont="1" applyBorder="1" applyAlignment="1">
      <alignment horizontal="center" vertical="center" shrinkToFit="1"/>
    </xf>
    <xf numFmtId="0" fontId="47" fillId="0" borderId="46" xfId="0" applyFont="1" applyBorder="1" applyAlignment="1">
      <alignment horizontal="center" vertical="center" shrinkToFit="1"/>
    </xf>
    <xf numFmtId="0" fontId="47" fillId="0" borderId="73" xfId="0" applyFont="1" applyBorder="1" applyAlignment="1">
      <alignment horizontal="center" vertical="center" shrinkToFit="1"/>
    </xf>
    <xf numFmtId="4" fontId="47" fillId="0" borderId="72" xfId="0" applyNumberFormat="1" applyFont="1" applyBorder="1" applyAlignment="1">
      <alignment horizontal="center" vertical="center" shrinkToFit="1"/>
    </xf>
    <xf numFmtId="4" fontId="47" fillId="0" borderId="46" xfId="0" applyNumberFormat="1" applyFont="1" applyBorder="1" applyAlignment="1">
      <alignment horizontal="center" vertical="center" shrinkToFit="1"/>
    </xf>
    <xf numFmtId="4" fontId="47" fillId="0" borderId="73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wrapText="1"/>
    </xf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4" fillId="0" borderId="0" xfId="0" applyFont="1"/>
    <xf numFmtId="1" fontId="10" fillId="0" borderId="0" xfId="0" applyNumberFormat="1" applyFont="1"/>
    <xf numFmtId="0" fontId="5" fillId="3" borderId="0" xfId="0" applyFont="1" applyFill="1"/>
    <xf numFmtId="2" fontId="44" fillId="3" borderId="31" xfId="0" applyNumberFormat="1" applyFont="1" applyFill="1" applyBorder="1"/>
    <xf numFmtId="2" fontId="44" fillId="3" borderId="0" xfId="0" applyNumberFormat="1" applyFont="1" applyFill="1"/>
    <xf numFmtId="2" fontId="44" fillId="3" borderId="63" xfId="0" applyNumberFormat="1" applyFont="1" applyFill="1" applyBorder="1"/>
    <xf numFmtId="2" fontId="44" fillId="3" borderId="26" xfId="0" applyNumberFormat="1" applyFont="1" applyFill="1" applyBorder="1"/>
    <xf numFmtId="0" fontId="0" fillId="13" borderId="0" xfId="0" applyFill="1"/>
    <xf numFmtId="2" fontId="1" fillId="13" borderId="0" xfId="0" applyNumberFormat="1" applyFont="1" applyFill="1" applyAlignment="1">
      <alignment vertical="center"/>
    </xf>
    <xf numFmtId="0" fontId="5" fillId="13" borderId="0" xfId="0" applyFont="1" applyFill="1" applyAlignment="1">
      <alignment vertical="center"/>
    </xf>
    <xf numFmtId="2" fontId="0" fillId="13" borderId="0" xfId="0" applyNumberFormat="1" applyFill="1"/>
    <xf numFmtId="0" fontId="14" fillId="13" borderId="0" xfId="0" applyFont="1" applyFill="1"/>
    <xf numFmtId="0" fontId="1" fillId="11" borderId="0" xfId="0" applyFont="1" applyFill="1"/>
    <xf numFmtId="4" fontId="5" fillId="11" borderId="0" xfId="0" applyNumberFormat="1" applyFont="1" applyFill="1"/>
    <xf numFmtId="1" fontId="0" fillId="0" borderId="0" xfId="0" applyNumberFormat="1"/>
    <xf numFmtId="0" fontId="18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 indent="6"/>
    </xf>
    <xf numFmtId="0" fontId="20" fillId="0" borderId="0" xfId="0" applyFont="1" applyAlignment="1">
      <alignment horizontal="left"/>
    </xf>
    <xf numFmtId="0" fontId="65" fillId="0" borderId="0" xfId="0" applyFont="1"/>
    <xf numFmtId="0" fontId="66" fillId="0" borderId="0" xfId="0" applyFont="1"/>
    <xf numFmtId="3" fontId="20" fillId="0" borderId="0" xfId="0" applyNumberFormat="1" applyFont="1"/>
    <xf numFmtId="14" fontId="0" fillId="0" borderId="0" xfId="0" applyNumberFormat="1"/>
    <xf numFmtId="0" fontId="67" fillId="0" borderId="0" xfId="1" applyAlignment="1" applyProtection="1"/>
    <xf numFmtId="0" fontId="63" fillId="0" borderId="0" xfId="0" applyFont="1"/>
    <xf numFmtId="4" fontId="47" fillId="0" borderId="74" xfId="0" applyNumberFormat="1" applyFont="1" applyBorder="1" applyAlignment="1">
      <alignment horizontal="center" vertical="center" shrinkToFit="1"/>
    </xf>
    <xf numFmtId="4" fontId="47" fillId="0" borderId="75" xfId="0" applyNumberFormat="1" applyFont="1" applyBorder="1" applyAlignment="1">
      <alignment horizontal="center" vertical="center" shrinkToFit="1"/>
    </xf>
    <xf numFmtId="4" fontId="47" fillId="0" borderId="7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/>
    </xf>
    <xf numFmtId="0" fontId="5" fillId="6" borderId="0" xfId="0" applyFont="1" applyFill="1"/>
    <xf numFmtId="1" fontId="0" fillId="6" borderId="0" xfId="0" applyNumberFormat="1" applyFill="1"/>
    <xf numFmtId="0" fontId="8" fillId="14" borderId="0" xfId="0" applyFont="1" applyFill="1" applyAlignment="1">
      <alignment horizontal="center"/>
    </xf>
    <xf numFmtId="0" fontId="67" fillId="0" borderId="0" xfId="1" applyAlignment="1" applyProtection="1">
      <alignment horizontal="right"/>
    </xf>
    <xf numFmtId="0" fontId="0" fillId="15" borderId="0" xfId="0" applyFill="1" applyAlignment="1">
      <alignment horizontal="center"/>
    </xf>
    <xf numFmtId="0" fontId="3" fillId="15" borderId="8" xfId="0" applyFont="1" applyFill="1" applyBorder="1" applyAlignment="1">
      <alignment horizontal="center" wrapText="1"/>
    </xf>
    <xf numFmtId="0" fontId="32" fillId="11" borderId="0" xfId="0" applyFont="1" applyFill="1" applyAlignment="1">
      <alignment shrinkToFit="1"/>
    </xf>
    <xf numFmtId="3" fontId="13" fillId="11" borderId="0" xfId="0" applyNumberFormat="1" applyFont="1" applyFill="1" applyAlignment="1">
      <alignment shrinkToFit="1"/>
    </xf>
    <xf numFmtId="4" fontId="5" fillId="16" borderId="6" xfId="0" applyNumberFormat="1" applyFont="1" applyFill="1" applyBorder="1" applyAlignment="1">
      <alignment shrinkToFit="1"/>
    </xf>
    <xf numFmtId="0" fontId="32" fillId="16" borderId="21" xfId="0" applyFont="1" applyFill="1" applyBorder="1" applyAlignment="1">
      <alignment shrinkToFit="1"/>
    </xf>
    <xf numFmtId="2" fontId="43" fillId="16" borderId="6" xfId="0" applyNumberFormat="1" applyFont="1" applyFill="1" applyBorder="1" applyAlignment="1">
      <alignment shrinkToFit="1"/>
    </xf>
    <xf numFmtId="2" fontId="41" fillId="16" borderId="2" xfId="0" applyNumberFormat="1" applyFont="1" applyFill="1" applyBorder="1" applyAlignment="1">
      <alignment shrinkToFit="1"/>
    </xf>
    <xf numFmtId="4" fontId="5" fillId="16" borderId="0" xfId="0" applyNumberFormat="1" applyFont="1" applyFill="1" applyAlignment="1">
      <alignment shrinkToFit="1"/>
    </xf>
    <xf numFmtId="4" fontId="5" fillId="11" borderId="0" xfId="0" applyNumberFormat="1" applyFont="1" applyFill="1" applyAlignment="1">
      <alignment shrinkToFit="1"/>
    </xf>
    <xf numFmtId="0" fontId="5" fillId="16" borderId="0" xfId="0" applyFont="1" applyFill="1" applyAlignment="1">
      <alignment shrinkToFit="1"/>
    </xf>
    <xf numFmtId="3" fontId="5" fillId="16" borderId="0" xfId="0" applyNumberFormat="1" applyFont="1" applyFill="1" applyAlignment="1">
      <alignment shrinkToFit="1"/>
    </xf>
    <xf numFmtId="0" fontId="5" fillId="16" borderId="21" xfId="0" applyFont="1" applyFill="1" applyBorder="1" applyAlignment="1">
      <alignment shrinkToFit="1"/>
    </xf>
    <xf numFmtId="3" fontId="5" fillId="16" borderId="21" xfId="0" applyNumberFormat="1" applyFont="1" applyFill="1" applyBorder="1" applyAlignment="1">
      <alignment shrinkToFit="1"/>
    </xf>
    <xf numFmtId="0" fontId="1" fillId="0" borderId="7" xfId="0" applyFont="1" applyBorder="1"/>
    <xf numFmtId="0" fontId="36" fillId="0" borderId="7" xfId="0" applyFont="1" applyBorder="1"/>
    <xf numFmtId="0" fontId="0" fillId="0" borderId="7" xfId="0" applyBorder="1" applyAlignment="1">
      <alignment horizontal="center"/>
    </xf>
    <xf numFmtId="0" fontId="36" fillId="0" borderId="17" xfId="0" applyFont="1" applyBorder="1"/>
    <xf numFmtId="0" fontId="4" fillId="11" borderId="7" xfId="0" applyFont="1" applyFill="1" applyBorder="1" applyAlignment="1">
      <alignment horizontal="center" wrapText="1"/>
    </xf>
    <xf numFmtId="0" fontId="4" fillId="11" borderId="13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3" fontId="41" fillId="16" borderId="21" xfId="0" applyNumberFormat="1" applyFont="1" applyFill="1" applyBorder="1" applyAlignment="1">
      <alignment horizontal="center" shrinkToFit="1"/>
    </xf>
    <xf numFmtId="0" fontId="5" fillId="16" borderId="6" xfId="0" applyFont="1" applyFill="1" applyBorder="1" applyAlignment="1">
      <alignment shrinkToFit="1"/>
    </xf>
    <xf numFmtId="0" fontId="5" fillId="16" borderId="28" xfId="0" applyFont="1" applyFill="1" applyBorder="1" applyAlignment="1">
      <alignment shrinkToFit="1"/>
    </xf>
    <xf numFmtId="3" fontId="1" fillId="11" borderId="0" xfId="0" applyNumberFormat="1" applyFont="1" applyFill="1"/>
    <xf numFmtId="1" fontId="12" fillId="0" borderId="0" xfId="0" applyNumberFormat="1" applyFont="1" applyAlignment="1">
      <alignment vertical="center" shrinkToFit="1"/>
    </xf>
    <xf numFmtId="0" fontId="0" fillId="0" borderId="0" xfId="0" applyProtection="1">
      <protection locked="0" hidden="1"/>
    </xf>
    <xf numFmtId="0" fontId="10" fillId="0" borderId="0" xfId="0" applyFont="1"/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0" fillId="17" borderId="0" xfId="0" applyFill="1"/>
    <xf numFmtId="0" fontId="72" fillId="0" borderId="0" xfId="0" applyFont="1"/>
    <xf numFmtId="0" fontId="0" fillId="0" borderId="33" xfId="0" applyBorder="1"/>
    <xf numFmtId="0" fontId="5" fillId="0" borderId="33" xfId="0" applyFont="1" applyBorder="1"/>
    <xf numFmtId="0" fontId="0" fillId="0" borderId="34" xfId="0" applyBorder="1"/>
    <xf numFmtId="0" fontId="9" fillId="0" borderId="30" xfId="0" applyFont="1" applyBorder="1" applyProtection="1">
      <protection locked="0"/>
    </xf>
    <xf numFmtId="0" fontId="0" fillId="0" borderId="36" xfId="0" applyBorder="1"/>
    <xf numFmtId="0" fontId="0" fillId="0" borderId="7" xfId="0" applyBorder="1" applyAlignment="1">
      <alignment horizontal="right"/>
    </xf>
    <xf numFmtId="0" fontId="7" fillId="11" borderId="7" xfId="0" applyFont="1" applyFill="1" applyBorder="1"/>
    <xf numFmtId="0" fontId="74" fillId="2" borderId="1" xfId="0" applyFont="1" applyFill="1" applyBorder="1" applyAlignment="1">
      <alignment horizontal="center" wrapText="1"/>
    </xf>
    <xf numFmtId="0" fontId="4" fillId="18" borderId="6" xfId="0" applyFont="1" applyFill="1" applyBorder="1" applyAlignment="1">
      <alignment horizontal="center" wrapText="1"/>
    </xf>
    <xf numFmtId="0" fontId="29" fillId="3" borderId="7" xfId="0" applyFont="1" applyFill="1" applyBorder="1" applyAlignment="1">
      <alignment horizontal="center" wrapText="1"/>
    </xf>
    <xf numFmtId="0" fontId="4" fillId="18" borderId="7" xfId="0" applyFont="1" applyFill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67" fillId="0" borderId="0" xfId="1" applyAlignment="1" applyProtection="1">
      <alignment horizontal="left"/>
    </xf>
    <xf numFmtId="164" fontId="0" fillId="2" borderId="17" xfId="0" applyNumberFormat="1" applyFill="1" applyBorder="1" applyAlignment="1" applyProtection="1">
      <alignment shrinkToFit="1"/>
      <protection locked="0"/>
    </xf>
    <xf numFmtId="14" fontId="7" fillId="0" borderId="0" xfId="0" applyNumberFormat="1" applyFont="1"/>
    <xf numFmtId="1" fontId="7" fillId="0" borderId="0" xfId="0" applyNumberFormat="1" applyFont="1"/>
    <xf numFmtId="0" fontId="69" fillId="0" borderId="0" xfId="0" applyFont="1" applyAlignment="1">
      <alignment horizontal="right" wrapText="1"/>
    </xf>
    <xf numFmtId="0" fontId="69" fillId="0" borderId="0" xfId="0" applyFont="1" applyAlignment="1">
      <alignment horizontal="left" wrapText="1"/>
    </xf>
    <xf numFmtId="14" fontId="69" fillId="0" borderId="0" xfId="0" applyNumberFormat="1" applyFont="1" applyAlignment="1">
      <alignment horizontal="left" wrapText="1"/>
    </xf>
    <xf numFmtId="0" fontId="8" fillId="0" borderId="7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76" fillId="0" borderId="0" xfId="0" applyNumberFormat="1" applyFont="1" applyAlignment="1">
      <alignment horizontal="center" vertical="center" shrinkToFit="1"/>
    </xf>
    <xf numFmtId="2" fontId="0" fillId="0" borderId="6" xfId="0" applyNumberFormat="1" applyBorder="1" applyAlignment="1">
      <alignment horizontal="center" vertical="center" shrinkToFit="1"/>
    </xf>
    <xf numFmtId="0" fontId="77" fillId="0" borderId="5" xfId="0" applyFont="1" applyBorder="1" applyAlignment="1">
      <alignment vertical="center"/>
    </xf>
    <xf numFmtId="2" fontId="78" fillId="0" borderId="0" xfId="0" applyNumberFormat="1" applyFont="1" applyAlignment="1">
      <alignment horizontal="center" vertical="center" shrinkToFit="1"/>
    </xf>
    <xf numFmtId="0" fontId="8" fillId="0" borderId="78" xfId="0" applyFont="1" applyBorder="1" applyAlignment="1">
      <alignment vertical="center"/>
    </xf>
    <xf numFmtId="2" fontId="76" fillId="0" borderId="21" xfId="0" applyNumberFormat="1" applyFont="1" applyBorder="1" applyAlignment="1">
      <alignment horizontal="center" vertical="center" shrinkToFit="1"/>
    </xf>
    <xf numFmtId="2" fontId="0" fillId="0" borderId="2" xfId="0" applyNumberFormat="1" applyBorder="1" applyAlignment="1">
      <alignment horizontal="center" vertical="center" shrinkToFit="1"/>
    </xf>
    <xf numFmtId="0" fontId="77" fillId="0" borderId="0" xfId="0" applyFont="1" applyAlignment="1">
      <alignment vertical="center"/>
    </xf>
    <xf numFmtId="0" fontId="79" fillId="0" borderId="2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4" fontId="75" fillId="0" borderId="0" xfId="0" applyNumberFormat="1" applyFont="1" applyAlignment="1">
      <alignment horizontal="center" vertical="center" shrinkToFit="1"/>
    </xf>
    <xf numFmtId="0" fontId="83" fillId="0" borderId="0" xfId="0" applyFont="1"/>
    <xf numFmtId="0" fontId="9" fillId="19" borderId="0" xfId="0" applyFont="1" applyFill="1"/>
    <xf numFmtId="0" fontId="84" fillId="19" borderId="0" xfId="0" applyFont="1" applyFill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  <xf numFmtId="0" fontId="0" fillId="19" borderId="0" xfId="0" applyFill="1"/>
    <xf numFmtId="0" fontId="0" fillId="19" borderId="0" xfId="0" applyFill="1" applyAlignment="1">
      <alignment horizontal="center" vertical="center"/>
    </xf>
    <xf numFmtId="14" fontId="7" fillId="3" borderId="0" xfId="0" applyNumberFormat="1" applyFont="1" applyFill="1"/>
    <xf numFmtId="0" fontId="7" fillId="3" borderId="0" xfId="0" applyFont="1" applyFill="1"/>
    <xf numFmtId="1" fontId="7" fillId="20" borderId="0" xfId="0" applyNumberFormat="1" applyFont="1" applyFill="1"/>
    <xf numFmtId="0" fontId="0" fillId="21" borderId="0" xfId="0" applyFill="1"/>
    <xf numFmtId="0" fontId="7" fillId="11" borderId="0" xfId="0" applyFont="1" applyFill="1" applyProtection="1">
      <protection locked="0" hidden="1"/>
    </xf>
    <xf numFmtId="0" fontId="8" fillId="0" borderId="0" xfId="0" applyFont="1"/>
    <xf numFmtId="0" fontId="29" fillId="0" borderId="0" xfId="0" applyFont="1"/>
    <xf numFmtId="0" fontId="0" fillId="21" borderId="0" xfId="0" applyFill="1" applyAlignment="1">
      <alignment vertical="center"/>
    </xf>
    <xf numFmtId="0" fontId="1" fillId="15" borderId="0" xfId="0" applyFont="1" applyFill="1"/>
    <xf numFmtId="0" fontId="8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0" fontId="87" fillId="3" borderId="0" xfId="0" applyFont="1" applyFill="1"/>
    <xf numFmtId="2" fontId="87" fillId="3" borderId="0" xfId="0" applyNumberFormat="1" applyFont="1" applyFill="1"/>
    <xf numFmtId="1" fontId="12" fillId="0" borderId="0" xfId="0" applyNumberFormat="1" applyFont="1" applyProtection="1">
      <protection hidden="1"/>
    </xf>
    <xf numFmtId="1" fontId="88" fillId="0" borderId="0" xfId="0" applyNumberFormat="1" applyFont="1" applyProtection="1">
      <protection hidden="1"/>
    </xf>
    <xf numFmtId="2" fontId="7" fillId="0" borderId="0" xfId="0" applyNumberFormat="1" applyFont="1" applyAlignment="1" applyProtection="1">
      <alignment horizontal="right"/>
      <protection hidden="1"/>
    </xf>
    <xf numFmtId="0" fontId="0" fillId="22" borderId="0" xfId="0" applyFill="1"/>
    <xf numFmtId="0" fontId="7" fillId="0" borderId="0" xfId="0" applyFont="1" applyAlignment="1" applyProtection="1">
      <alignment horizontal="right"/>
      <protection hidden="1"/>
    </xf>
    <xf numFmtId="1" fontId="85" fillId="0" borderId="0" xfId="0" applyNumberFormat="1" applyFont="1" applyAlignment="1" applyProtection="1">
      <alignment horizontal="center"/>
      <protection hidden="1"/>
    </xf>
    <xf numFmtId="1" fontId="86" fillId="0" borderId="0" xfId="0" applyNumberFormat="1" applyFont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1" fontId="85" fillId="0" borderId="1" xfId="0" applyNumberFormat="1" applyFont="1" applyBorder="1" applyAlignment="1" applyProtection="1">
      <alignment horizontal="center"/>
      <protection hidden="1"/>
    </xf>
    <xf numFmtId="1" fontId="86" fillId="0" borderId="5" xfId="0" applyNumberFormat="1" applyFont="1" applyBorder="1" applyAlignment="1" applyProtection="1">
      <alignment horizontal="center"/>
      <protection hidden="1"/>
    </xf>
    <xf numFmtId="1" fontId="86" fillId="0" borderId="79" xfId="0" applyNumberFormat="1" applyFont="1" applyBorder="1" applyAlignment="1" applyProtection="1">
      <alignment horizontal="center"/>
      <protection hidden="1"/>
    </xf>
    <xf numFmtId="0" fontId="87" fillId="0" borderId="79" xfId="0" applyFont="1" applyBorder="1"/>
    <xf numFmtId="0" fontId="26" fillId="0" borderId="80" xfId="0" applyFont="1" applyBorder="1" applyAlignment="1">
      <alignment horizontal="center" vertical="center" shrinkToFit="1"/>
    </xf>
    <xf numFmtId="0" fontId="47" fillId="0" borderId="81" xfId="0" applyFont="1" applyBorder="1" applyAlignment="1">
      <alignment horizontal="center" vertical="center" shrinkToFit="1"/>
    </xf>
    <xf numFmtId="0" fontId="47" fillId="0" borderId="82" xfId="0" applyFont="1" applyBorder="1" applyAlignment="1">
      <alignment horizontal="center" vertical="center" shrinkToFit="1"/>
    </xf>
    <xf numFmtId="0" fontId="47" fillId="0" borderId="83" xfId="0" applyFont="1" applyBorder="1" applyAlignment="1">
      <alignment horizontal="center" vertical="center" shrinkToFit="1"/>
    </xf>
    <xf numFmtId="164" fontId="86" fillId="0" borderId="78" xfId="0" applyNumberFormat="1" applyFont="1" applyBorder="1" applyAlignment="1">
      <alignment horizontal="center"/>
    </xf>
    <xf numFmtId="164" fontId="86" fillId="0" borderId="0" xfId="0" applyNumberFormat="1" applyFont="1" applyAlignment="1">
      <alignment horizontal="center"/>
    </xf>
    <xf numFmtId="4" fontId="5" fillId="0" borderId="17" xfId="0" applyNumberFormat="1" applyFont="1" applyBorder="1" applyAlignment="1">
      <alignment shrinkToFit="1"/>
    </xf>
    <xf numFmtId="0" fontId="33" fillId="0" borderId="0" xfId="0" applyFont="1" applyAlignment="1">
      <alignment horizontal="left"/>
    </xf>
    <xf numFmtId="0" fontId="20" fillId="4" borderId="0" xfId="0" applyFont="1" applyFill="1"/>
    <xf numFmtId="0" fontId="20" fillId="20" borderId="0" xfId="0" applyFont="1" applyFill="1"/>
    <xf numFmtId="0" fontId="20" fillId="7" borderId="0" xfId="0" applyFont="1" applyFill="1"/>
    <xf numFmtId="0" fontId="20" fillId="23" borderId="0" xfId="0" applyFont="1" applyFill="1"/>
    <xf numFmtId="0" fontId="20" fillId="22" borderId="0" xfId="0" applyFont="1" applyFill="1"/>
    <xf numFmtId="0" fontId="20" fillId="6" borderId="0" xfId="0" applyFont="1" applyFill="1"/>
    <xf numFmtId="0" fontId="92" fillId="0" borderId="0" xfId="0" applyFont="1"/>
    <xf numFmtId="0" fontId="36" fillId="2" borderId="0" xfId="0" applyFont="1" applyFill="1"/>
    <xf numFmtId="4" fontId="5" fillId="0" borderId="0" xfId="0" applyNumberFormat="1" applyFont="1"/>
    <xf numFmtId="1" fontId="44" fillId="0" borderId="0" xfId="0" applyNumberFormat="1" applyFont="1"/>
    <xf numFmtId="3" fontId="13" fillId="0" borderId="0" xfId="0" applyNumberFormat="1" applyFont="1"/>
    <xf numFmtId="0" fontId="13" fillId="13" borderId="0" xfId="0" applyFont="1" applyFill="1"/>
    <xf numFmtId="3" fontId="5" fillId="0" borderId="0" xfId="0" applyNumberFormat="1" applyFont="1"/>
    <xf numFmtId="0" fontId="14" fillId="19" borderId="0" xfId="0" applyFont="1" applyFill="1"/>
    <xf numFmtId="0" fontId="4" fillId="19" borderId="7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shrinkToFit="1"/>
    </xf>
    <xf numFmtId="0" fontId="44" fillId="24" borderId="0" xfId="0" applyFont="1" applyFill="1"/>
    <xf numFmtId="3" fontId="44" fillId="24" borderId="26" xfId="0" applyNumberFormat="1" applyFont="1" applyFill="1" applyBorder="1" applyAlignment="1">
      <alignment shrinkToFit="1"/>
    </xf>
    <xf numFmtId="0" fontId="5" fillId="24" borderId="28" xfId="0" applyFont="1" applyFill="1" applyBorder="1" applyAlignment="1">
      <alignment shrinkToFit="1"/>
    </xf>
    <xf numFmtId="0" fontId="5" fillId="24" borderId="0" xfId="0" applyFont="1" applyFill="1" applyAlignment="1">
      <alignment shrinkToFit="1"/>
    </xf>
    <xf numFmtId="3" fontId="5" fillId="24" borderId="0" xfId="0" applyNumberFormat="1" applyFont="1" applyFill="1" applyAlignment="1">
      <alignment shrinkToFit="1"/>
    </xf>
    <xf numFmtId="0" fontId="5" fillId="24" borderId="21" xfId="0" applyFont="1" applyFill="1" applyBorder="1" applyAlignment="1">
      <alignment shrinkToFit="1"/>
    </xf>
    <xf numFmtId="3" fontId="5" fillId="24" borderId="21" xfId="0" applyNumberFormat="1" applyFont="1" applyFill="1" applyBorder="1" applyAlignment="1">
      <alignment shrinkToFit="1"/>
    </xf>
    <xf numFmtId="0" fontId="1" fillId="24" borderId="8" xfId="0" applyFont="1" applyFill="1" applyBorder="1" applyAlignment="1">
      <alignment horizontal="center" shrinkToFit="1"/>
    </xf>
    <xf numFmtId="0" fontId="14" fillId="24" borderId="28" xfId="0" applyFont="1" applyFill="1" applyBorder="1" applyAlignment="1">
      <alignment horizontal="center" shrinkToFit="1"/>
    </xf>
    <xf numFmtId="0" fontId="0" fillId="24" borderId="0" xfId="0" applyFill="1"/>
    <xf numFmtId="0" fontId="28" fillId="24" borderId="7" xfId="0" applyFont="1" applyFill="1" applyBorder="1" applyAlignment="1">
      <alignment horizontal="center" wrapText="1"/>
    </xf>
    <xf numFmtId="0" fontId="4" fillId="24" borderId="7" xfId="0" applyFont="1" applyFill="1" applyBorder="1" applyAlignment="1">
      <alignment horizontal="center" wrapText="1"/>
    </xf>
    <xf numFmtId="0" fontId="26" fillId="24" borderId="0" xfId="0" applyFont="1" applyFill="1" applyAlignment="1">
      <alignment horizontal="center"/>
    </xf>
    <xf numFmtId="0" fontId="1" fillId="24" borderId="0" xfId="0" applyFont="1" applyFill="1" applyAlignment="1">
      <alignment horizontal="center"/>
    </xf>
    <xf numFmtId="0" fontId="4" fillId="25" borderId="10" xfId="0" applyFont="1" applyFill="1" applyBorder="1" applyAlignment="1">
      <alignment horizontal="center" wrapText="1"/>
    </xf>
    <xf numFmtId="0" fontId="4" fillId="25" borderId="7" xfId="0" applyFont="1" applyFill="1" applyBorder="1" applyAlignment="1">
      <alignment horizontal="center" wrapText="1"/>
    </xf>
    <xf numFmtId="0" fontId="4" fillId="25" borderId="13" xfId="0" applyFont="1" applyFill="1" applyBorder="1" applyAlignment="1">
      <alignment horizontal="center" wrapText="1"/>
    </xf>
    <xf numFmtId="0" fontId="3" fillId="25" borderId="7" xfId="0" applyFont="1" applyFill="1" applyBorder="1" applyAlignment="1">
      <alignment horizontal="center" wrapText="1"/>
    </xf>
    <xf numFmtId="0" fontId="0" fillId="24" borderId="0" xfId="0" applyFill="1" applyAlignment="1">
      <alignment horizontal="right"/>
    </xf>
    <xf numFmtId="3" fontId="0" fillId="24" borderId="0" xfId="0" applyNumberFormat="1" applyFill="1"/>
    <xf numFmtId="4" fontId="5" fillId="0" borderId="29" xfId="0" applyNumberFormat="1" applyFont="1" applyBorder="1" applyAlignment="1">
      <alignment shrinkToFit="1"/>
    </xf>
    <xf numFmtId="1" fontId="85" fillId="0" borderId="64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 hidden="1"/>
    </xf>
    <xf numFmtId="0" fontId="76" fillId="0" borderId="0" xfId="0" applyFont="1"/>
    <xf numFmtId="0" fontId="4" fillId="27" borderId="7" xfId="0" applyFont="1" applyFill="1" applyBorder="1" applyAlignment="1">
      <alignment horizontal="center" wrapText="1"/>
    </xf>
    <xf numFmtId="0" fontId="14" fillId="28" borderId="0" xfId="0" applyFont="1" applyFill="1"/>
    <xf numFmtId="0" fontId="3" fillId="27" borderId="7" xfId="0" applyFont="1" applyFill="1" applyBorder="1" applyAlignment="1">
      <alignment horizontal="center" wrapText="1"/>
    </xf>
    <xf numFmtId="0" fontId="95" fillId="0" borderId="0" xfId="0" applyFont="1"/>
    <xf numFmtId="0" fontId="95" fillId="0" borderId="0" xfId="0" applyFont="1" applyAlignment="1">
      <alignment vertical="top"/>
    </xf>
    <xf numFmtId="0" fontId="89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26" xfId="0" applyBorder="1" applyAlignment="1" applyProtection="1">
      <alignment shrinkToFit="1"/>
      <protection locked="0"/>
    </xf>
    <xf numFmtId="0" fontId="27" fillId="0" borderId="3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91" fillId="0" borderId="0" xfId="0" applyFont="1"/>
    <xf numFmtId="0" fontId="90" fillId="0" borderId="0" xfId="0" applyFont="1"/>
    <xf numFmtId="4" fontId="68" fillId="0" borderId="37" xfId="0" applyNumberFormat="1" applyFont="1" applyBorder="1" applyAlignment="1">
      <alignment horizontal="left"/>
    </xf>
    <xf numFmtId="0" fontId="93" fillId="0" borderId="0" xfId="1" applyFont="1" applyFill="1" applyBorder="1" applyAlignment="1" applyProtection="1">
      <alignment horizontal="center"/>
    </xf>
    <xf numFmtId="0" fontId="94" fillId="0" borderId="0" xfId="0" applyFont="1"/>
    <xf numFmtId="0" fontId="73" fillId="0" borderId="0" xfId="0" applyFont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28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2" fontId="5" fillId="3" borderId="22" xfId="0" applyNumberFormat="1" applyFont="1" applyFill="1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0" fillId="0" borderId="24" xfId="0" applyBorder="1" applyAlignment="1" applyProtection="1">
      <alignment horizontal="center" shrinkToFit="1"/>
      <protection locked="0"/>
    </xf>
    <xf numFmtId="2" fontId="23" fillId="0" borderId="22" xfId="0" applyNumberFormat="1" applyFont="1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2" fontId="5" fillId="26" borderId="22" xfId="0" applyNumberFormat="1" applyFont="1" applyFill="1" applyBorder="1" applyAlignment="1" applyProtection="1">
      <alignment horizontal="center" shrinkToFit="1"/>
      <protection locked="0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61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0" fillId="0" borderId="0" xfId="1" applyFont="1" applyFill="1" applyAlignment="1" applyProtection="1">
      <alignment horizontal="center"/>
    </xf>
    <xf numFmtId="0" fontId="7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2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26" borderId="7" xfId="0" applyNumberFormat="1" applyFill="1" applyBorder="1" applyAlignment="1" applyProtection="1">
      <alignment horizontal="center" vertical="center" shrinkToFit="1"/>
      <protection locked="0"/>
    </xf>
    <xf numFmtId="2" fontId="78" fillId="0" borderId="0" xfId="0" applyNumberFormat="1" applyFont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2" fontId="0" fillId="26" borderId="22" xfId="0" applyNumberFormat="1" applyFill="1" applyBorder="1" applyAlignment="1" applyProtection="1">
      <alignment horizontal="center" vertical="center" shrinkToFit="1"/>
      <protection locked="0"/>
    </xf>
    <xf numFmtId="2" fontId="0" fillId="26" borderId="24" xfId="0" applyNumberFormat="1" applyFill="1" applyBorder="1" applyAlignment="1" applyProtection="1">
      <alignment horizontal="center" vertical="center" shrinkToFit="1"/>
      <protection locked="0"/>
    </xf>
    <xf numFmtId="0" fontId="8" fillId="0" borderId="85" xfId="0" applyFont="1" applyBorder="1" applyAlignment="1">
      <alignment horizontal="center" vertical="center" shrinkToFit="1"/>
    </xf>
    <xf numFmtId="2" fontId="0" fillId="26" borderId="13" xfId="0" applyNumberFormat="1" applyFill="1" applyBorder="1" applyAlignment="1" applyProtection="1">
      <alignment horizontal="center" vertical="center" shrinkToFit="1"/>
      <protection locked="0"/>
    </xf>
    <xf numFmtId="2" fontId="76" fillId="3" borderId="7" xfId="0" applyNumberFormat="1" applyFont="1" applyFill="1" applyBorder="1" applyAlignment="1" applyProtection="1">
      <alignment horizontal="center" vertical="center" shrinkToFit="1"/>
      <protection locked="0"/>
    </xf>
    <xf numFmtId="2" fontId="76" fillId="3" borderId="22" xfId="0" applyNumberFormat="1" applyFont="1" applyFill="1" applyBorder="1" applyAlignment="1" applyProtection="1">
      <alignment horizontal="center" vertical="center" shrinkToFit="1"/>
      <protection locked="0"/>
    </xf>
    <xf numFmtId="2" fontId="76" fillId="3" borderId="24" xfId="0" applyNumberFormat="1" applyFont="1" applyFill="1" applyBorder="1" applyAlignment="1" applyProtection="1">
      <alignment horizontal="center" vertical="center" shrinkToFit="1"/>
      <protection locked="0"/>
    </xf>
    <xf numFmtId="2" fontId="0" fillId="0" borderId="7" xfId="0" applyNumberFormat="1" applyBorder="1" applyAlignment="1" applyProtection="1">
      <alignment horizontal="center" vertical="center" shrinkToFit="1"/>
      <protection locked="0"/>
    </xf>
    <xf numFmtId="2" fontId="76" fillId="3" borderId="86" xfId="0" applyNumberFormat="1" applyFont="1" applyFill="1" applyBorder="1" applyAlignment="1" applyProtection="1">
      <alignment horizontal="center" vertical="center" shrinkToFit="1"/>
      <protection locked="0"/>
    </xf>
    <xf numFmtId="2" fontId="76" fillId="3" borderId="87" xfId="0" applyNumberFormat="1" applyFont="1" applyFill="1" applyBorder="1" applyAlignment="1" applyProtection="1">
      <alignment horizontal="center" vertical="center" shrinkToFit="1"/>
      <protection locked="0"/>
    </xf>
    <xf numFmtId="2" fontId="76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2" fontId="81" fillId="0" borderId="0" xfId="0" applyNumberFormat="1" applyFont="1" applyAlignment="1">
      <alignment horizontal="center" vertical="center" shrinkToFit="1"/>
    </xf>
    <xf numFmtId="0" fontId="7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64">
    <dxf>
      <font>
        <strike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/>
        <condense val="0"/>
        <extend val="0"/>
        <color indexed="15"/>
      </font>
    </dxf>
    <dxf>
      <font>
        <condense val="0"/>
        <extend val="0"/>
        <color indexed="50"/>
      </font>
      <fill>
        <patternFill patternType="solid">
          <bgColor indexed="11"/>
        </patternFill>
      </fill>
    </dxf>
    <dxf>
      <font>
        <strike/>
        <condense val="0"/>
        <extend val="0"/>
        <color indexed="15"/>
      </font>
    </dxf>
    <dxf>
      <font>
        <strike/>
        <condense val="0"/>
        <extend val="0"/>
        <color indexed="15"/>
      </font>
    </dxf>
    <dxf>
      <font>
        <strike/>
        <condense val="0"/>
        <extend val="0"/>
        <color indexed="15"/>
      </font>
    </dxf>
    <dxf>
      <font>
        <strike/>
        <condense val="0"/>
        <extend val="0"/>
        <color indexed="15"/>
      </font>
    </dxf>
    <dxf>
      <font>
        <strike/>
        <condense val="0"/>
        <extend val="0"/>
        <color indexed="15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ill>
        <patternFill>
          <bgColor indexed="34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strike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strike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 val="0"/>
        <i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M$8" lockText="1"/>
</file>

<file path=xl/ctrlProps/ctrlProp10.xml><?xml version="1.0" encoding="utf-8"?>
<formControlPr xmlns="http://schemas.microsoft.com/office/spreadsheetml/2009/9/main" objectType="Drop" dropStyle="combo" dx="22" fmlaLink="$S$13" fmlaRange="Height!$A$1:$A$27" sel="1" val="0"/>
</file>

<file path=xl/ctrlProps/ctrlProp11.xml><?xml version="1.0" encoding="utf-8"?>
<formControlPr xmlns="http://schemas.microsoft.com/office/spreadsheetml/2009/9/main" objectType="Drop" dropStyle="combo" dx="22" fmlaLink="$Y$13" fmlaRange="Height!$A$1:$A$27" sel="1" val="0"/>
</file>

<file path=xl/ctrlProps/ctrlProp12.xml><?xml version="1.0" encoding="utf-8"?>
<formControlPr xmlns="http://schemas.microsoft.com/office/spreadsheetml/2009/9/main" objectType="Drop" dropStyle="combo" dx="22" fmlaLink="$G$15" fmlaRange="Height!$A$1:$A$27" sel="1" val="0"/>
</file>

<file path=xl/ctrlProps/ctrlProp13.xml><?xml version="1.0" encoding="utf-8"?>
<formControlPr xmlns="http://schemas.microsoft.com/office/spreadsheetml/2009/9/main" objectType="Drop" dropStyle="combo" dx="22" fmlaLink="$G$17" fmlaRange="Height!$A$1:$A$27" sel="1" val="0"/>
</file>

<file path=xl/ctrlProps/ctrlProp14.xml><?xml version="1.0" encoding="utf-8"?>
<formControlPr xmlns="http://schemas.microsoft.com/office/spreadsheetml/2009/9/main" objectType="Drop" dropStyle="combo" dx="22" fmlaLink="$G$19" fmlaRange="Height!$A$1:$A$27" sel="1" val="0"/>
</file>

<file path=xl/ctrlProps/ctrlProp15.xml><?xml version="1.0" encoding="utf-8"?>
<formControlPr xmlns="http://schemas.microsoft.com/office/spreadsheetml/2009/9/main" objectType="Drop" dropStyle="combo" dx="22" fmlaLink="$G$21" fmlaRange="Height!$A$1:$A$27" sel="1" val="0"/>
</file>

<file path=xl/ctrlProps/ctrlProp16.xml><?xml version="1.0" encoding="utf-8"?>
<formControlPr xmlns="http://schemas.microsoft.com/office/spreadsheetml/2009/9/main" objectType="Drop" dropStyle="combo" dx="22" fmlaLink="$M$15" fmlaRange="Height!$A$1:$A$27" sel="1" val="0"/>
</file>

<file path=xl/ctrlProps/ctrlProp17.xml><?xml version="1.0" encoding="utf-8"?>
<formControlPr xmlns="http://schemas.microsoft.com/office/spreadsheetml/2009/9/main" objectType="Drop" dropStyle="combo" dx="22" fmlaLink="$M$17" fmlaRange="Height!$A$1:$A$27" sel="1" val="0"/>
</file>

<file path=xl/ctrlProps/ctrlProp18.xml><?xml version="1.0" encoding="utf-8"?>
<formControlPr xmlns="http://schemas.microsoft.com/office/spreadsheetml/2009/9/main" objectType="Drop" dropStyle="combo" dx="22" fmlaLink="$M$19" fmlaRange="Height!$A$1:$A$27" sel="1" val="0"/>
</file>

<file path=xl/ctrlProps/ctrlProp19.xml><?xml version="1.0" encoding="utf-8"?>
<formControlPr xmlns="http://schemas.microsoft.com/office/spreadsheetml/2009/9/main" objectType="Drop" dropStyle="combo" dx="22" fmlaLink="$M$21" fmlaRange="Height!$A$1:$A$27" sel="1" val="0"/>
</file>

<file path=xl/ctrlProps/ctrlProp2.xml><?xml version="1.0" encoding="utf-8"?>
<formControlPr xmlns="http://schemas.microsoft.com/office/spreadsheetml/2009/9/main" objectType="Drop" dropStyle="combo" dx="22" fmlaLink="$G$2" fmlaRange="Height!$M$1:$M$10" sel="1" val="0"/>
</file>

<file path=xl/ctrlProps/ctrlProp20.xml><?xml version="1.0" encoding="utf-8"?>
<formControlPr xmlns="http://schemas.microsoft.com/office/spreadsheetml/2009/9/main" objectType="Drop" dropStyle="combo" dx="22" fmlaLink="$S$15" fmlaRange="Height!$A$1:$A$27" sel="1" val="0"/>
</file>

<file path=xl/ctrlProps/ctrlProp21.xml><?xml version="1.0" encoding="utf-8"?>
<formControlPr xmlns="http://schemas.microsoft.com/office/spreadsheetml/2009/9/main" objectType="Drop" dropStyle="combo" dx="22" fmlaLink="$S$17" fmlaRange="Height!$A$1:$A$27" sel="1" val="0"/>
</file>

<file path=xl/ctrlProps/ctrlProp22.xml><?xml version="1.0" encoding="utf-8"?>
<formControlPr xmlns="http://schemas.microsoft.com/office/spreadsheetml/2009/9/main" objectType="Drop" dropStyle="combo" dx="22" fmlaLink="$S$19" fmlaRange="Height!$A$1:$A$27" sel="1" val="0"/>
</file>

<file path=xl/ctrlProps/ctrlProp23.xml><?xml version="1.0" encoding="utf-8"?>
<formControlPr xmlns="http://schemas.microsoft.com/office/spreadsheetml/2009/9/main" objectType="Drop" dropStyle="combo" dx="22" fmlaLink="$S$21" fmlaRange="Height!$A$1:$A$27" sel="1" val="0"/>
</file>

<file path=xl/ctrlProps/ctrlProp24.xml><?xml version="1.0" encoding="utf-8"?>
<formControlPr xmlns="http://schemas.microsoft.com/office/spreadsheetml/2009/9/main" objectType="Drop" dropStyle="combo" dx="22" fmlaLink="$Y$15" fmlaRange="Height!$A$1:$A$27" sel="1" val="0"/>
</file>

<file path=xl/ctrlProps/ctrlProp25.xml><?xml version="1.0" encoding="utf-8"?>
<formControlPr xmlns="http://schemas.microsoft.com/office/spreadsheetml/2009/9/main" objectType="Drop" dropStyle="combo" dx="22" fmlaLink="$Y$17" fmlaRange="Height!$A$1:$A$27" sel="1" val="0"/>
</file>

<file path=xl/ctrlProps/ctrlProp26.xml><?xml version="1.0" encoding="utf-8"?>
<formControlPr xmlns="http://schemas.microsoft.com/office/spreadsheetml/2009/9/main" objectType="Drop" dropStyle="combo" dx="22" fmlaLink="$Y$19" fmlaRange="Height!$A$1:$A$27" sel="1" val="0"/>
</file>

<file path=xl/ctrlProps/ctrlProp27.xml><?xml version="1.0" encoding="utf-8"?>
<formControlPr xmlns="http://schemas.microsoft.com/office/spreadsheetml/2009/9/main" objectType="Drop" dropStyle="combo" dx="22" fmlaLink="$Y$21" fmlaRange="Height!$A$1:$A$27" sel="1" val="0"/>
</file>

<file path=xl/ctrlProps/ctrlProp28.xml><?xml version="1.0" encoding="utf-8"?>
<formControlPr xmlns="http://schemas.microsoft.com/office/spreadsheetml/2009/9/main" objectType="CheckBox" fmlaLink="$B$7" lockText="1"/>
</file>

<file path=xl/ctrlProps/ctrlProp29.xml><?xml version="1.0" encoding="utf-8"?>
<formControlPr xmlns="http://schemas.microsoft.com/office/spreadsheetml/2009/9/main" objectType="CheckBox" fmlaLink="$B$8" lockText="1"/>
</file>

<file path=xl/ctrlProps/ctrlProp3.xml><?xml version="1.0" encoding="utf-8"?>
<formControlPr xmlns="http://schemas.microsoft.com/office/spreadsheetml/2009/9/main" objectType="CheckBox" fmlaLink="$B$7" lockText="1" noThreeD="1"/>
</file>

<file path=xl/ctrlProps/ctrlProp30.xml><?xml version="1.0" encoding="utf-8"?>
<formControlPr xmlns="http://schemas.microsoft.com/office/spreadsheetml/2009/9/main" objectType="Radio" checked="Checked" firstButton="1" lockText="1"/>
</file>

<file path=xl/ctrlProps/ctrlProp31.xml><?xml version="1.0" encoding="utf-8"?>
<formControlPr xmlns="http://schemas.microsoft.com/office/spreadsheetml/2009/9/main" objectType="CheckBox" fmlaLink="$B$9" lockText="1"/>
</file>

<file path=xl/ctrlProps/ctrlProp32.xml><?xml version="1.0" encoding="utf-8"?>
<formControlPr xmlns="http://schemas.microsoft.com/office/spreadsheetml/2009/9/main" objectType="CheckBox" fmlaLink="$A$7" lockText="1" noThreeD="1"/>
</file>

<file path=xl/ctrlProps/ctrlProp4.xml><?xml version="1.0" encoding="utf-8"?>
<formControlPr xmlns="http://schemas.microsoft.com/office/spreadsheetml/2009/9/main" objectType="Drop" dropStyle="combo" dx="22" fmlaLink="$G$11" fmlaRange="Height!$A$1:$A$27" sel="1" val="0"/>
</file>

<file path=xl/ctrlProps/ctrlProp5.xml><?xml version="1.0" encoding="utf-8"?>
<formControlPr xmlns="http://schemas.microsoft.com/office/spreadsheetml/2009/9/main" objectType="Drop" dropStyle="combo" dx="22" fmlaLink="$M$11" fmlaRange="Height!$A$1:$A$27" sel="1" val="0"/>
</file>

<file path=xl/ctrlProps/ctrlProp6.xml><?xml version="1.0" encoding="utf-8"?>
<formControlPr xmlns="http://schemas.microsoft.com/office/spreadsheetml/2009/9/main" objectType="Drop" dropStyle="combo" dx="22" fmlaLink="$S$11" fmlaRange="Height!$A$1:$A$27" sel="1" val="0"/>
</file>

<file path=xl/ctrlProps/ctrlProp7.xml><?xml version="1.0" encoding="utf-8"?>
<formControlPr xmlns="http://schemas.microsoft.com/office/spreadsheetml/2009/9/main" objectType="Drop" dropStyle="combo" dx="22" fmlaLink="$Y$11" fmlaRange="Height!$A$1:$A$27" sel="1" val="0"/>
</file>

<file path=xl/ctrlProps/ctrlProp8.xml><?xml version="1.0" encoding="utf-8"?>
<formControlPr xmlns="http://schemas.microsoft.com/office/spreadsheetml/2009/9/main" objectType="Drop" dropStyle="combo" dx="22" fmlaLink="$G$13" fmlaRange="Height!$A$1:$A$27" sel="1" val="0"/>
</file>

<file path=xl/ctrlProps/ctrlProp9.xml><?xml version="1.0" encoding="utf-8"?>
<formControlPr xmlns="http://schemas.microsoft.com/office/spreadsheetml/2009/9/main" objectType="Drop" dropStyle="combo" dx="22" fmlaLink="$M$13" fmlaRange="Height!$A$1:$A$27" sel="1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4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</xdr:row>
          <xdr:rowOff>190500</xdr:rowOff>
        </xdr:from>
        <xdr:to>
          <xdr:col>10</xdr:col>
          <xdr:colOff>123825</xdr:colOff>
          <xdr:row>7</xdr:row>
          <xdr:rowOff>38100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175" cap="rnd">
                  <a:solidFill>
                    <a:srgbClr val="FF00FF" mc:Ignorable="a14" a14:legacySpreadsheetColorIndex="1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</xdr:row>
          <xdr:rowOff>0</xdr:rowOff>
        </xdr:from>
        <xdr:to>
          <xdr:col>5</xdr:col>
          <xdr:colOff>0</xdr:colOff>
          <xdr:row>1</xdr:row>
          <xdr:rowOff>200025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180975</xdr:rowOff>
        </xdr:from>
        <xdr:to>
          <xdr:col>7</xdr:col>
          <xdr:colOff>323850</xdr:colOff>
          <xdr:row>7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Sprinklers Throughout per 903.3.1.1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9525</xdr:rowOff>
        </xdr:from>
        <xdr:to>
          <xdr:col>5</xdr:col>
          <xdr:colOff>0</xdr:colOff>
          <xdr:row>11</xdr:row>
          <xdr:rowOff>9525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10</xdr:row>
          <xdr:rowOff>0</xdr:rowOff>
        </xdr:from>
        <xdr:to>
          <xdr:col>23</xdr:col>
          <xdr:colOff>0</xdr:colOff>
          <xdr:row>11</xdr:row>
          <xdr:rowOff>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571500</xdr:colOff>
          <xdr:row>13</xdr:row>
          <xdr:rowOff>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</xdr:row>
          <xdr:rowOff>0</xdr:rowOff>
        </xdr:from>
        <xdr:to>
          <xdr:col>23</xdr:col>
          <xdr:colOff>0</xdr:colOff>
          <xdr:row>13</xdr:row>
          <xdr:rowOff>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14</xdr:row>
          <xdr:rowOff>0</xdr:rowOff>
        </xdr:from>
        <xdr:to>
          <xdr:col>5</xdr:col>
          <xdr:colOff>0</xdr:colOff>
          <xdr:row>15</xdr:row>
          <xdr:rowOff>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0</xdr:rowOff>
        </xdr:from>
        <xdr:to>
          <xdr:col>11</xdr:col>
          <xdr:colOff>0</xdr:colOff>
          <xdr:row>19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20</xdr:row>
          <xdr:rowOff>0</xdr:rowOff>
        </xdr:from>
        <xdr:to>
          <xdr:col>11</xdr:col>
          <xdr:colOff>0</xdr:colOff>
          <xdr:row>21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16</xdr:row>
          <xdr:rowOff>0</xdr:rowOff>
        </xdr:from>
        <xdr:to>
          <xdr:col>23</xdr:col>
          <xdr:colOff>0</xdr:colOff>
          <xdr:row>17</xdr:row>
          <xdr:rowOff>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180975</xdr:rowOff>
        </xdr:from>
        <xdr:to>
          <xdr:col>7</xdr:col>
          <xdr:colOff>323850</xdr:colOff>
          <xdr:row>7</xdr:row>
          <xdr:rowOff>28575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Sprinklers Throughout per 903.3.1.1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476250</xdr:colOff>
          <xdr:row>5</xdr:row>
          <xdr:rowOff>180975</xdr:rowOff>
        </xdr:from>
        <xdr:to>
          <xdr:col>21</xdr:col>
          <xdr:colOff>114300</xdr:colOff>
          <xdr:row>7</xdr:row>
          <xdr:rowOff>28575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0</xdr:row>
          <xdr:rowOff>9525</xdr:rowOff>
        </xdr:from>
        <xdr:to>
          <xdr:col>13</xdr:col>
          <xdr:colOff>476250</xdr:colOff>
          <xdr:row>0</xdr:row>
          <xdr:rowOff>228600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2024 IBC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476250</xdr:colOff>
          <xdr:row>6</xdr:row>
          <xdr:rowOff>114300</xdr:rowOff>
        </xdr:from>
        <xdr:to>
          <xdr:col>21</xdr:col>
          <xdr:colOff>114300</xdr:colOff>
          <xdr:row>8</xdr:row>
          <xdr:rowOff>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5</xdr:row>
      <xdr:rowOff>38100</xdr:rowOff>
    </xdr:from>
    <xdr:to>
      <xdr:col>31</xdr:col>
      <xdr:colOff>152400</xdr:colOff>
      <xdr:row>7</xdr:row>
      <xdr:rowOff>9525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64C2B12C-E89C-0275-4256-D065D384E3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138</xdr:row>
      <xdr:rowOff>0</xdr:rowOff>
    </xdr:from>
    <xdr:to>
      <xdr:col>52</xdr:col>
      <xdr:colOff>104775</xdr:colOff>
      <xdr:row>180</xdr:row>
      <xdr:rowOff>57150</xdr:rowOff>
    </xdr:to>
    <xdr:grpSp>
      <xdr:nvGrpSpPr>
        <xdr:cNvPr id="18432" name="Group 98">
          <a:extLst>
            <a:ext uri="{FF2B5EF4-FFF2-40B4-BE49-F238E27FC236}">
              <a16:creationId xmlns:a16="http://schemas.microsoft.com/office/drawing/2014/main" id="{00000000-0008-0000-0500-000000480000}"/>
            </a:ext>
          </a:extLst>
        </xdr:cNvPr>
        <xdr:cNvGrpSpPr>
          <a:grpSpLocks/>
        </xdr:cNvGrpSpPr>
      </xdr:nvGrpSpPr>
      <xdr:grpSpPr bwMode="auto">
        <a:xfrm>
          <a:off x="0" y="3819525"/>
          <a:ext cx="7286625" cy="6858000"/>
          <a:chOff x="815" y="0"/>
          <a:chExt cx="4591" cy="432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95" name="Object 99" hidden="1">
                <a:extLst>
                  <a:ext uri="{63B3BB69-23CF-44E3-9099-C40C66FF867C}">
                    <a14:compatExt spid="_x0000_s4195"/>
                  </a:ext>
                  <a:ext uri="{FF2B5EF4-FFF2-40B4-BE49-F238E27FC236}">
                    <a16:creationId xmlns:a16="http://schemas.microsoft.com/office/drawing/2014/main" id="{00000000-0008-0000-0500-000063100000}"/>
                  </a:ext>
                </a:extLst>
              </xdr:cNvPr>
              <xdr:cNvSpPr/>
            </xdr:nvSpPr>
            <xdr:spPr bwMode="auto">
              <a:xfrm>
                <a:off x="815" y="0"/>
                <a:ext cx="4591" cy="432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BBE0E3"/>
                    </a:solidFill>
                  </a14:hiddenFill>
                </a:ext>
              </a:extLst>
            </xdr:spPr>
          </xdr:sp>
        </mc:Choice>
        <mc:Fallback/>
      </mc:AlternateContent>
      <xdr:sp macro="" textlink="">
        <xdr:nvSpPr>
          <xdr:cNvPr id="4196" name="AutoShape 100">
            <a:extLst>
              <a:ext uri="{FF2B5EF4-FFF2-40B4-BE49-F238E27FC236}">
                <a16:creationId xmlns:a16="http://schemas.microsoft.com/office/drawing/2014/main" id="{00000000-0008-0000-0500-000064100000}"/>
              </a:ext>
            </a:extLst>
          </xdr:cNvPr>
          <xdr:cNvSpPr>
            <a:spLocks noChangeArrowheads="1"/>
          </xdr:cNvSpPr>
        </xdr:nvSpPr>
        <xdr:spPr bwMode="auto">
          <a:xfrm>
            <a:off x="4374" y="3636"/>
            <a:ext cx="450" cy="390"/>
          </a:xfrm>
          <a:prstGeom prst="upArrow">
            <a:avLst>
              <a:gd name="adj1" fmla="val 43389"/>
              <a:gd name="adj2" fmla="val 45370"/>
            </a:avLst>
          </a:prstGeom>
          <a:solidFill>
            <a:srgbClr val="BBE0E3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2200"/>
              </a:lnSpc>
              <a:defRPr sz="1000"/>
            </a:pPr>
            <a:r>
              <a:rPr lang="en-US" sz="2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</a:t>
            </a:r>
          </a:p>
          <a:p>
            <a:pPr algn="l" rtl="0">
              <a:lnSpc>
                <a:spcPts val="2000"/>
              </a:lnSpc>
              <a:defRPr sz="1000"/>
            </a:pPr>
            <a:endParaRPr lang="en-US" sz="2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97" name="AutoShape 101">
            <a:extLst>
              <a:ext uri="{FF2B5EF4-FFF2-40B4-BE49-F238E27FC236}">
                <a16:creationId xmlns:a16="http://schemas.microsoft.com/office/drawing/2014/main" id="{00000000-0008-0000-0500-000065100000}"/>
              </a:ext>
            </a:extLst>
          </xdr:cNvPr>
          <xdr:cNvSpPr>
            <a:spLocks noChangeArrowheads="1"/>
          </xdr:cNvSpPr>
        </xdr:nvSpPr>
        <xdr:spPr bwMode="auto">
          <a:xfrm>
            <a:off x="2093" y="1596"/>
            <a:ext cx="72" cy="72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1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100"/>
              </a:lnSpc>
              <a:defRPr sz="1000"/>
            </a:pPr>
            <a:endParaRPr lang="en-U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198" name="AutoShape 102">
            <a:extLst>
              <a:ext uri="{FF2B5EF4-FFF2-40B4-BE49-F238E27FC236}">
                <a16:creationId xmlns:a16="http://schemas.microsoft.com/office/drawing/2014/main" id="{00000000-0008-0000-0500-000066100000}"/>
              </a:ext>
            </a:extLst>
          </xdr:cNvPr>
          <xdr:cNvSpPr>
            <a:spLocks noChangeArrowheads="1"/>
          </xdr:cNvSpPr>
        </xdr:nvSpPr>
        <xdr:spPr bwMode="auto">
          <a:xfrm>
            <a:off x="4500" y="1578"/>
            <a:ext cx="66" cy="66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3100"/>
              </a:lnSpc>
              <a:defRPr sz="1000"/>
            </a:pPr>
            <a:endParaRPr lang="en-US" sz="2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3100"/>
              </a:lnSpc>
              <a:defRPr sz="1000"/>
            </a:pPr>
            <a:endParaRPr lang="en-US" sz="2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8445" name="AutoShape 103">
            <a:extLst>
              <a:ext uri="{FF2B5EF4-FFF2-40B4-BE49-F238E27FC236}">
                <a16:creationId xmlns:a16="http://schemas.microsoft.com/office/drawing/2014/main" id="{00000000-0008-0000-0500-00000D480000}"/>
              </a:ext>
            </a:extLst>
          </xdr:cNvPr>
          <xdr:cNvSpPr>
            <a:spLocks noChangeArrowheads="1"/>
          </xdr:cNvSpPr>
        </xdr:nvSpPr>
        <xdr:spPr bwMode="auto">
          <a:xfrm>
            <a:off x="4554" y="1642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6" name="AutoShape 104">
            <a:extLst>
              <a:ext uri="{FF2B5EF4-FFF2-40B4-BE49-F238E27FC236}">
                <a16:creationId xmlns:a16="http://schemas.microsoft.com/office/drawing/2014/main" id="{00000000-0008-0000-0500-00000E480000}"/>
              </a:ext>
            </a:extLst>
          </xdr:cNvPr>
          <xdr:cNvSpPr>
            <a:spLocks noChangeArrowheads="1"/>
          </xdr:cNvSpPr>
        </xdr:nvSpPr>
        <xdr:spPr bwMode="auto">
          <a:xfrm>
            <a:off x="4551" y="2237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7" name="AutoShape 105">
            <a:extLst>
              <a:ext uri="{FF2B5EF4-FFF2-40B4-BE49-F238E27FC236}">
                <a16:creationId xmlns:a16="http://schemas.microsoft.com/office/drawing/2014/main" id="{00000000-0008-0000-0500-00000F480000}"/>
              </a:ext>
            </a:extLst>
          </xdr:cNvPr>
          <xdr:cNvSpPr>
            <a:spLocks noChangeArrowheads="1"/>
          </xdr:cNvSpPr>
        </xdr:nvSpPr>
        <xdr:spPr bwMode="auto">
          <a:xfrm>
            <a:off x="3292" y="2304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8" name="AutoShape 106">
            <a:extLst>
              <a:ext uri="{FF2B5EF4-FFF2-40B4-BE49-F238E27FC236}">
                <a16:creationId xmlns:a16="http://schemas.microsoft.com/office/drawing/2014/main" id="{00000000-0008-0000-0500-000010480000}"/>
              </a:ext>
            </a:extLst>
          </xdr:cNvPr>
          <xdr:cNvSpPr>
            <a:spLocks noChangeArrowheads="1"/>
          </xdr:cNvSpPr>
        </xdr:nvSpPr>
        <xdr:spPr bwMode="auto">
          <a:xfrm>
            <a:off x="2041" y="1639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9" name="AutoShape 107">
            <a:extLst>
              <a:ext uri="{FF2B5EF4-FFF2-40B4-BE49-F238E27FC236}">
                <a16:creationId xmlns:a16="http://schemas.microsoft.com/office/drawing/2014/main" id="{00000000-0008-0000-0500-000011480000}"/>
              </a:ext>
            </a:extLst>
          </xdr:cNvPr>
          <xdr:cNvSpPr>
            <a:spLocks noChangeArrowheads="1"/>
          </xdr:cNvSpPr>
        </xdr:nvSpPr>
        <xdr:spPr bwMode="auto">
          <a:xfrm>
            <a:off x="3287" y="2697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0" name="AutoShape 108">
            <a:extLst>
              <a:ext uri="{FF2B5EF4-FFF2-40B4-BE49-F238E27FC236}">
                <a16:creationId xmlns:a16="http://schemas.microsoft.com/office/drawing/2014/main" id="{00000000-0008-0000-0500-000012480000}"/>
              </a:ext>
            </a:extLst>
          </xdr:cNvPr>
          <xdr:cNvSpPr>
            <a:spLocks noChangeArrowheads="1"/>
          </xdr:cNvSpPr>
        </xdr:nvSpPr>
        <xdr:spPr bwMode="auto">
          <a:xfrm>
            <a:off x="3350" y="2648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1" name="AutoShape 109">
            <a:extLst>
              <a:ext uri="{FF2B5EF4-FFF2-40B4-BE49-F238E27FC236}">
                <a16:creationId xmlns:a16="http://schemas.microsoft.com/office/drawing/2014/main" id="{00000000-0008-0000-0500-000013480000}"/>
              </a:ext>
            </a:extLst>
          </xdr:cNvPr>
          <xdr:cNvSpPr>
            <a:spLocks noChangeArrowheads="1"/>
          </xdr:cNvSpPr>
        </xdr:nvSpPr>
        <xdr:spPr bwMode="auto">
          <a:xfrm>
            <a:off x="4497" y="2291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2" name="AutoShape 110">
            <a:extLst>
              <a:ext uri="{FF2B5EF4-FFF2-40B4-BE49-F238E27FC236}">
                <a16:creationId xmlns:a16="http://schemas.microsoft.com/office/drawing/2014/main" id="{00000000-0008-0000-0500-000014480000}"/>
              </a:ext>
            </a:extLst>
          </xdr:cNvPr>
          <xdr:cNvSpPr>
            <a:spLocks noChangeArrowheads="1"/>
          </xdr:cNvSpPr>
        </xdr:nvSpPr>
        <xdr:spPr bwMode="auto">
          <a:xfrm>
            <a:off x="3350" y="2240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3" name="AutoShape 111">
            <a:extLst>
              <a:ext uri="{FF2B5EF4-FFF2-40B4-BE49-F238E27FC236}">
                <a16:creationId xmlns:a16="http://schemas.microsoft.com/office/drawing/2014/main" id="{00000000-0008-0000-0500-000015480000}"/>
              </a:ext>
            </a:extLst>
          </xdr:cNvPr>
          <xdr:cNvSpPr>
            <a:spLocks noChangeArrowheads="1"/>
          </xdr:cNvSpPr>
        </xdr:nvSpPr>
        <xdr:spPr bwMode="auto">
          <a:xfrm>
            <a:off x="2282" y="2698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4" name="AutoShape 112">
            <a:extLst>
              <a:ext uri="{FF2B5EF4-FFF2-40B4-BE49-F238E27FC236}">
                <a16:creationId xmlns:a16="http://schemas.microsoft.com/office/drawing/2014/main" id="{00000000-0008-0000-0500-000016480000}"/>
              </a:ext>
            </a:extLst>
          </xdr:cNvPr>
          <xdr:cNvSpPr>
            <a:spLocks noChangeArrowheads="1"/>
          </xdr:cNvSpPr>
        </xdr:nvSpPr>
        <xdr:spPr bwMode="auto">
          <a:xfrm>
            <a:off x="2490" y="2694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55" name="AutoShape 113">
            <a:extLst>
              <a:ext uri="{FF2B5EF4-FFF2-40B4-BE49-F238E27FC236}">
                <a16:creationId xmlns:a16="http://schemas.microsoft.com/office/drawing/2014/main" id="{00000000-0008-0000-0500-000017480000}"/>
              </a:ext>
            </a:extLst>
          </xdr:cNvPr>
          <xdr:cNvSpPr>
            <a:spLocks noChangeArrowheads="1"/>
          </xdr:cNvSpPr>
        </xdr:nvSpPr>
        <xdr:spPr bwMode="auto">
          <a:xfrm>
            <a:off x="3695" y="2293"/>
            <a:ext cx="67" cy="67"/>
          </a:xfrm>
          <a:prstGeom prst="diamond">
            <a:avLst/>
          </a:prstGeom>
          <a:solidFill>
            <a:srgbClr val="0000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210" name="AutoShape 114">
            <a:extLst>
              <a:ext uri="{FF2B5EF4-FFF2-40B4-BE49-F238E27FC236}">
                <a16:creationId xmlns:a16="http://schemas.microsoft.com/office/drawing/2014/main" id="{00000000-0008-0000-0500-000072100000}"/>
              </a:ext>
            </a:extLst>
          </xdr:cNvPr>
          <xdr:cNvSpPr>
            <a:spLocks noChangeArrowheads="1"/>
          </xdr:cNvSpPr>
        </xdr:nvSpPr>
        <xdr:spPr bwMode="auto">
          <a:xfrm>
            <a:off x="2609" y="2748"/>
            <a:ext cx="300" cy="216"/>
          </a:xfrm>
          <a:prstGeom prst="wedgeEllipseCallout">
            <a:avLst>
              <a:gd name="adj1" fmla="val -56310"/>
              <a:gd name="adj2" fmla="val -60699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1" name="AutoShape 115">
            <a:extLst>
              <a:ext uri="{FF2B5EF4-FFF2-40B4-BE49-F238E27FC236}">
                <a16:creationId xmlns:a16="http://schemas.microsoft.com/office/drawing/2014/main" id="{00000000-0008-0000-0500-000073100000}"/>
              </a:ext>
            </a:extLst>
          </xdr:cNvPr>
          <xdr:cNvSpPr>
            <a:spLocks noChangeArrowheads="1"/>
          </xdr:cNvSpPr>
        </xdr:nvSpPr>
        <xdr:spPr bwMode="auto">
          <a:xfrm>
            <a:off x="2213" y="1344"/>
            <a:ext cx="198" cy="210"/>
          </a:xfrm>
          <a:prstGeom prst="wedgeEllipseCallout">
            <a:avLst>
              <a:gd name="adj1" fmla="val -74625"/>
              <a:gd name="adj2" fmla="val 76796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2" name="AutoShape 116">
            <a:extLst>
              <a:ext uri="{FF2B5EF4-FFF2-40B4-BE49-F238E27FC236}">
                <a16:creationId xmlns:a16="http://schemas.microsoft.com/office/drawing/2014/main" id="{00000000-0008-0000-0500-000074100000}"/>
              </a:ext>
            </a:extLst>
          </xdr:cNvPr>
          <xdr:cNvSpPr>
            <a:spLocks noChangeArrowheads="1"/>
          </xdr:cNvSpPr>
        </xdr:nvSpPr>
        <xdr:spPr bwMode="auto">
          <a:xfrm>
            <a:off x="4272" y="1338"/>
            <a:ext cx="198" cy="228"/>
          </a:xfrm>
          <a:prstGeom prst="wedgeEllipseCallout">
            <a:avLst>
              <a:gd name="adj1" fmla="val 65074"/>
              <a:gd name="adj2" fmla="val 61454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3" name="AutoShape 117">
            <a:extLst>
              <a:ext uri="{FF2B5EF4-FFF2-40B4-BE49-F238E27FC236}">
                <a16:creationId xmlns:a16="http://schemas.microsoft.com/office/drawing/2014/main" id="{00000000-0008-0000-0500-000075100000}"/>
              </a:ext>
            </a:extLst>
          </xdr:cNvPr>
          <xdr:cNvSpPr>
            <a:spLocks noChangeArrowheads="1"/>
          </xdr:cNvSpPr>
        </xdr:nvSpPr>
        <xdr:spPr bwMode="auto">
          <a:xfrm>
            <a:off x="1739" y="1764"/>
            <a:ext cx="300" cy="240"/>
          </a:xfrm>
          <a:prstGeom prst="wedgeEllipseCallout">
            <a:avLst>
              <a:gd name="adj1" fmla="val 54042"/>
              <a:gd name="adj2" fmla="val -8138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4" name="AutoShape 118">
            <a:extLst>
              <a:ext uri="{FF2B5EF4-FFF2-40B4-BE49-F238E27FC236}">
                <a16:creationId xmlns:a16="http://schemas.microsoft.com/office/drawing/2014/main" id="{00000000-0008-0000-0500-000076100000}"/>
              </a:ext>
            </a:extLst>
          </xdr:cNvPr>
          <xdr:cNvSpPr>
            <a:spLocks noChangeArrowheads="1"/>
          </xdr:cNvSpPr>
        </xdr:nvSpPr>
        <xdr:spPr bwMode="auto">
          <a:xfrm>
            <a:off x="4260" y="2364"/>
            <a:ext cx="204" cy="222"/>
          </a:xfrm>
          <a:prstGeom prst="wedgeEllipseCallout">
            <a:avLst>
              <a:gd name="adj1" fmla="val 75125"/>
              <a:gd name="adj2" fmla="val -56787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5" name="AutoShape 119">
            <a:extLst>
              <a:ext uri="{FF2B5EF4-FFF2-40B4-BE49-F238E27FC236}">
                <a16:creationId xmlns:a16="http://schemas.microsoft.com/office/drawing/2014/main" id="{00000000-0008-0000-0500-000077100000}"/>
              </a:ext>
            </a:extLst>
          </xdr:cNvPr>
          <xdr:cNvSpPr>
            <a:spLocks noChangeArrowheads="1"/>
          </xdr:cNvSpPr>
        </xdr:nvSpPr>
        <xdr:spPr bwMode="auto">
          <a:xfrm>
            <a:off x="4614" y="1950"/>
            <a:ext cx="198" cy="198"/>
          </a:xfrm>
          <a:prstGeom prst="wedgeEllipseCallout">
            <a:avLst>
              <a:gd name="adj1" fmla="val -56532"/>
              <a:gd name="adj2" fmla="val 95685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6" name="AutoShape 120">
            <a:extLst>
              <a:ext uri="{FF2B5EF4-FFF2-40B4-BE49-F238E27FC236}">
                <a16:creationId xmlns:a16="http://schemas.microsoft.com/office/drawing/2014/main" id="{00000000-0008-0000-0500-000078100000}"/>
              </a:ext>
            </a:extLst>
          </xdr:cNvPr>
          <xdr:cNvSpPr>
            <a:spLocks noChangeArrowheads="1"/>
          </xdr:cNvSpPr>
        </xdr:nvSpPr>
        <xdr:spPr bwMode="auto">
          <a:xfrm>
            <a:off x="4638" y="1710"/>
            <a:ext cx="198" cy="186"/>
          </a:xfrm>
          <a:prstGeom prst="wedgeEllipseCallout">
            <a:avLst>
              <a:gd name="adj1" fmla="val -58542"/>
              <a:gd name="adj2" fmla="val -54713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7" name="AutoShape 121">
            <a:extLst>
              <a:ext uri="{FF2B5EF4-FFF2-40B4-BE49-F238E27FC236}">
                <a16:creationId xmlns:a16="http://schemas.microsoft.com/office/drawing/2014/main" id="{00000000-0008-0000-0500-000079100000}"/>
              </a:ext>
            </a:extLst>
          </xdr:cNvPr>
          <xdr:cNvSpPr>
            <a:spLocks noChangeArrowheads="1"/>
          </xdr:cNvSpPr>
        </xdr:nvSpPr>
        <xdr:spPr bwMode="auto">
          <a:xfrm>
            <a:off x="2927" y="2712"/>
            <a:ext cx="288" cy="222"/>
          </a:xfrm>
          <a:prstGeom prst="wedgeEllipseCallout">
            <a:avLst>
              <a:gd name="adj1" fmla="val 72144"/>
              <a:gd name="adj2" fmla="val -35972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8" name="AutoShape 122">
            <a:extLst>
              <a:ext uri="{FF2B5EF4-FFF2-40B4-BE49-F238E27FC236}">
                <a16:creationId xmlns:a16="http://schemas.microsoft.com/office/drawing/2014/main" id="{00000000-0008-0000-0500-00007A100000}"/>
              </a:ext>
            </a:extLst>
          </xdr:cNvPr>
          <xdr:cNvSpPr>
            <a:spLocks noChangeArrowheads="1"/>
          </xdr:cNvSpPr>
        </xdr:nvSpPr>
        <xdr:spPr bwMode="auto">
          <a:xfrm>
            <a:off x="3798" y="2364"/>
            <a:ext cx="204" cy="228"/>
          </a:xfrm>
          <a:prstGeom prst="wedgeEllipseCallout">
            <a:avLst>
              <a:gd name="adj1" fmla="val -73620"/>
              <a:gd name="adj2" fmla="val -5837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19" name="AutoShape 123">
            <a:extLst>
              <a:ext uri="{FF2B5EF4-FFF2-40B4-BE49-F238E27FC236}">
                <a16:creationId xmlns:a16="http://schemas.microsoft.com/office/drawing/2014/main" id="{00000000-0008-0000-0500-00007B100000}"/>
              </a:ext>
            </a:extLst>
          </xdr:cNvPr>
          <xdr:cNvSpPr>
            <a:spLocks noChangeArrowheads="1"/>
          </xdr:cNvSpPr>
        </xdr:nvSpPr>
        <xdr:spPr bwMode="auto">
          <a:xfrm>
            <a:off x="3408" y="2724"/>
            <a:ext cx="198" cy="234"/>
          </a:xfrm>
          <a:prstGeom prst="wedgeEllipseCallout">
            <a:avLst>
              <a:gd name="adj1" fmla="val -54523"/>
              <a:gd name="adj2" fmla="val -58153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20" name="AutoShape 124">
            <a:extLst>
              <a:ext uri="{FF2B5EF4-FFF2-40B4-BE49-F238E27FC236}">
                <a16:creationId xmlns:a16="http://schemas.microsoft.com/office/drawing/2014/main" id="{00000000-0008-0000-0500-00007C100000}"/>
              </a:ext>
            </a:extLst>
          </xdr:cNvPr>
          <xdr:cNvSpPr>
            <a:spLocks noChangeArrowheads="1"/>
          </xdr:cNvSpPr>
        </xdr:nvSpPr>
        <xdr:spPr bwMode="auto">
          <a:xfrm>
            <a:off x="3414" y="2454"/>
            <a:ext cx="198" cy="210"/>
          </a:xfrm>
          <a:prstGeom prst="wedgeEllipseCallout">
            <a:avLst>
              <a:gd name="adj1" fmla="val -82662"/>
              <a:gd name="adj2" fmla="val -94495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21" name="AutoShape 125">
            <a:extLst>
              <a:ext uri="{FF2B5EF4-FFF2-40B4-BE49-F238E27FC236}">
                <a16:creationId xmlns:a16="http://schemas.microsoft.com/office/drawing/2014/main" id="{00000000-0008-0000-0500-00007D100000}"/>
              </a:ext>
            </a:extLst>
          </xdr:cNvPr>
          <xdr:cNvSpPr>
            <a:spLocks noChangeArrowheads="1"/>
          </xdr:cNvSpPr>
        </xdr:nvSpPr>
        <xdr:spPr bwMode="auto">
          <a:xfrm>
            <a:off x="3486" y="2262"/>
            <a:ext cx="204" cy="180"/>
          </a:xfrm>
          <a:prstGeom prst="wedgeEllipseCallout">
            <a:avLst>
              <a:gd name="adj1" fmla="val -90296"/>
              <a:gd name="adj2" fmla="val -30662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22" name="AutoShape 126">
            <a:extLst>
              <a:ext uri="{FF2B5EF4-FFF2-40B4-BE49-F238E27FC236}">
                <a16:creationId xmlns:a16="http://schemas.microsoft.com/office/drawing/2014/main" id="{00000000-0008-0000-0500-00007E100000}"/>
              </a:ext>
            </a:extLst>
          </xdr:cNvPr>
          <xdr:cNvSpPr>
            <a:spLocks noChangeArrowheads="1"/>
          </xdr:cNvSpPr>
        </xdr:nvSpPr>
        <xdr:spPr bwMode="auto">
          <a:xfrm>
            <a:off x="2363" y="2970"/>
            <a:ext cx="306" cy="234"/>
          </a:xfrm>
          <a:prstGeom prst="wedgeEllipseCallout">
            <a:avLst>
              <a:gd name="adj1" fmla="val -66278"/>
              <a:gd name="adj2" fmla="val -140639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23" name="AutoShape 127">
            <a:extLst>
              <a:ext uri="{FF2B5EF4-FFF2-40B4-BE49-F238E27FC236}">
                <a16:creationId xmlns:a16="http://schemas.microsoft.com/office/drawing/2014/main" id="{00000000-0008-0000-0500-00007F100000}"/>
              </a:ext>
            </a:extLst>
          </xdr:cNvPr>
          <xdr:cNvSpPr>
            <a:spLocks noChangeArrowheads="1"/>
          </xdr:cNvSpPr>
        </xdr:nvSpPr>
        <xdr:spPr bwMode="auto">
          <a:xfrm>
            <a:off x="1787" y="2766"/>
            <a:ext cx="306" cy="264"/>
          </a:xfrm>
          <a:prstGeom prst="wedgeEllipseCallout">
            <a:avLst>
              <a:gd name="adj1" fmla="val 110463"/>
              <a:gd name="adj2" fmla="val -6331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</a:t>
            </a:r>
          </a:p>
          <a:p>
            <a:pPr algn="l" rtl="0">
              <a:lnSpc>
                <a:spcPts val="900"/>
              </a:lnSpc>
              <a:defRPr sz="1000"/>
            </a:pPr>
            <a:endParaRPr lang="en-U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0</xdr:colOff>
      <xdr:row>137</xdr:row>
      <xdr:rowOff>0</xdr:rowOff>
    </xdr:from>
    <xdr:to>
      <xdr:col>51</xdr:col>
      <xdr:colOff>47625</xdr:colOff>
      <xdr:row>143</xdr:row>
      <xdr:rowOff>121949</xdr:rowOff>
    </xdr:to>
    <xdr:sp macro="" textlink="">
      <xdr:nvSpPr>
        <xdr:cNvPr id="4224" name="Rectangle 128">
          <a:extLst>
            <a:ext uri="{FF2B5EF4-FFF2-40B4-BE49-F238E27FC236}">
              <a16:creationId xmlns:a16="http://schemas.microsoft.com/office/drawing/2014/main" id="{00000000-0008-0000-0500-0000801000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6981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E0E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200" b="0" i="0" u="none" strike="noStrike" baseline="0">
              <a:solidFill>
                <a:srgbClr val="000000"/>
              </a:solidFill>
              <a:latin typeface="Arial"/>
              <a:cs typeface="Arial"/>
            </a:rPr>
            <a:t>Area Increase Due to  Frontage </a:t>
          </a:r>
        </a:p>
        <a:p>
          <a:pPr algn="l" rtl="0">
            <a:defRPr sz="1000"/>
          </a:pPr>
          <a:r>
            <a:rPr lang="en-US" sz="3200" b="0" i="0" u="none" strike="noStrike" baseline="0">
              <a:solidFill>
                <a:srgbClr val="000000"/>
              </a:solidFill>
              <a:latin typeface="Arial"/>
              <a:cs typeface="Arial"/>
            </a:rPr>
            <a:t>(Example)</a:t>
          </a:r>
          <a:endParaRPr lang="en-US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2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182</xdr:row>
      <xdr:rowOff>133350</xdr:rowOff>
    </xdr:from>
    <xdr:to>
      <xdr:col>54</xdr:col>
      <xdr:colOff>323850</xdr:colOff>
      <xdr:row>195</xdr:row>
      <xdr:rowOff>66675</xdr:rowOff>
    </xdr:to>
    <xdr:pic>
      <xdr:nvPicPr>
        <xdr:cNvPr id="18434" name="Picture 129">
          <a:extLst>
            <a:ext uri="{FF2B5EF4-FFF2-40B4-BE49-F238E27FC236}">
              <a16:creationId xmlns:a16="http://schemas.microsoft.com/office/drawing/2014/main" id="{00000000-0008-0000-05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77575"/>
          <a:ext cx="826770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196</xdr:row>
      <xdr:rowOff>85725</xdr:rowOff>
    </xdr:from>
    <xdr:to>
      <xdr:col>27</xdr:col>
      <xdr:colOff>152400</xdr:colOff>
      <xdr:row>203</xdr:row>
      <xdr:rowOff>95250</xdr:rowOff>
    </xdr:to>
    <xdr:pic>
      <xdr:nvPicPr>
        <xdr:cNvPr id="18435" name="Picture 130">
          <a:extLst>
            <a:ext uri="{FF2B5EF4-FFF2-40B4-BE49-F238E27FC236}">
              <a16:creationId xmlns:a16="http://schemas.microsoft.com/office/drawing/2014/main" id="{00000000-0008-0000-05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0"/>
          <a:ext cx="4114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205</xdr:row>
      <xdr:rowOff>66675</xdr:rowOff>
    </xdr:from>
    <xdr:to>
      <xdr:col>27</xdr:col>
      <xdr:colOff>123825</xdr:colOff>
      <xdr:row>212</xdr:row>
      <xdr:rowOff>133350</xdr:rowOff>
    </xdr:to>
    <xdr:grpSp>
      <xdr:nvGrpSpPr>
        <xdr:cNvPr id="18436" name="Group 131">
          <a:extLst>
            <a:ext uri="{FF2B5EF4-FFF2-40B4-BE49-F238E27FC236}">
              <a16:creationId xmlns:a16="http://schemas.microsoft.com/office/drawing/2014/main" id="{00000000-0008-0000-0500-000004480000}"/>
            </a:ext>
          </a:extLst>
        </xdr:cNvPr>
        <xdr:cNvGrpSpPr>
          <a:grpSpLocks/>
        </xdr:cNvGrpSpPr>
      </xdr:nvGrpSpPr>
      <xdr:grpSpPr bwMode="auto">
        <a:xfrm>
          <a:off x="0" y="14735175"/>
          <a:ext cx="4086225" cy="1200150"/>
          <a:chOff x="0" y="2172"/>
          <a:chExt cx="2574" cy="756"/>
        </a:xfrm>
      </xdr:grpSpPr>
      <xdr:pic>
        <xdr:nvPicPr>
          <xdr:cNvPr id="18437" name="Picture 132">
            <a:extLst>
              <a:ext uri="{FF2B5EF4-FFF2-40B4-BE49-F238E27FC236}">
                <a16:creationId xmlns:a16="http://schemas.microsoft.com/office/drawing/2014/main" id="{00000000-0008-0000-0500-0000054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172"/>
            <a:ext cx="2574" cy="7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8438" name="Group 133">
            <a:extLst>
              <a:ext uri="{FF2B5EF4-FFF2-40B4-BE49-F238E27FC236}">
                <a16:creationId xmlns:a16="http://schemas.microsoft.com/office/drawing/2014/main" id="{00000000-0008-0000-0500-000006480000}"/>
              </a:ext>
            </a:extLst>
          </xdr:cNvPr>
          <xdr:cNvGrpSpPr>
            <a:grpSpLocks/>
          </xdr:cNvGrpSpPr>
        </xdr:nvGrpSpPr>
        <xdr:grpSpPr bwMode="auto">
          <a:xfrm>
            <a:off x="711" y="2529"/>
            <a:ext cx="624" cy="338"/>
            <a:chOff x="1101" y="951"/>
            <a:chExt cx="624" cy="338"/>
          </a:xfrm>
        </xdr:grpSpPr>
        <xdr:sp macro="" textlink="">
          <xdr:nvSpPr>
            <xdr:cNvPr id="18439" name="AutoShape 134">
              <a:extLst>
                <a:ext uri="{FF2B5EF4-FFF2-40B4-BE49-F238E27FC236}">
                  <a16:creationId xmlns:a16="http://schemas.microsoft.com/office/drawing/2014/main" id="{00000000-0008-0000-0500-000007480000}"/>
                </a:ext>
              </a:extLst>
            </xdr:cNvPr>
            <xdr:cNvSpPr>
              <a:spLocks noChangeArrowheads="1"/>
            </xdr:cNvSpPr>
          </xdr:nvSpPr>
          <xdr:spPr bwMode="auto">
            <a:xfrm rot="16200000" flipH="1">
              <a:off x="1287" y="765"/>
              <a:ext cx="252" cy="624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17694720 60000 65536"/>
                <a:gd name="T9" fmla="*/ 5898240 60000 65536"/>
                <a:gd name="T10" fmla="*/ 5898240 60000 65536"/>
                <a:gd name="T11" fmla="*/ 0 60000 65536"/>
                <a:gd name="T12" fmla="*/ 12429 w 21600"/>
                <a:gd name="T13" fmla="*/ 2908 h 21600"/>
                <a:gd name="T14" fmla="*/ 18257 w 21600"/>
                <a:gd name="T15" fmla="*/ 9242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21600" y="6079"/>
                  </a:moveTo>
                  <a:lnTo>
                    <a:pt x="15126" y="0"/>
                  </a:lnTo>
                  <a:lnTo>
                    <a:pt x="15126" y="2912"/>
                  </a:lnTo>
                  <a:lnTo>
                    <a:pt x="12427" y="2912"/>
                  </a:lnTo>
                  <a:cubicBezTo>
                    <a:pt x="5564" y="2912"/>
                    <a:pt x="0" y="7052"/>
                    <a:pt x="0" y="12158"/>
                  </a:cubicBezTo>
                  <a:lnTo>
                    <a:pt x="0" y="21600"/>
                  </a:lnTo>
                  <a:lnTo>
                    <a:pt x="6474" y="21600"/>
                  </a:lnTo>
                  <a:lnTo>
                    <a:pt x="6474" y="12158"/>
                  </a:lnTo>
                  <a:cubicBezTo>
                    <a:pt x="6474" y="10550"/>
                    <a:pt x="9139" y="9246"/>
                    <a:pt x="12427" y="9246"/>
                  </a:cubicBezTo>
                  <a:lnTo>
                    <a:pt x="15126" y="9246"/>
                  </a:lnTo>
                  <a:lnTo>
                    <a:pt x="15126" y="12158"/>
                  </a:lnTo>
                  <a:lnTo>
                    <a:pt x="21600" y="6079"/>
                  </a:lnTo>
                  <a:close/>
                </a:path>
              </a:pathLst>
            </a:custGeom>
            <a:solidFill>
              <a:srgbClr val="0B830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8440" name="Line 135">
              <a:extLst>
                <a:ext uri="{FF2B5EF4-FFF2-40B4-BE49-F238E27FC236}">
                  <a16:creationId xmlns:a16="http://schemas.microsoft.com/office/drawing/2014/main" id="{00000000-0008-0000-0500-00000848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46" y="1262"/>
              <a:ext cx="26" cy="2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8441" name="Line 136">
              <a:extLst>
                <a:ext uri="{FF2B5EF4-FFF2-40B4-BE49-F238E27FC236}">
                  <a16:creationId xmlns:a16="http://schemas.microsoft.com/office/drawing/2014/main" id="{00000000-0008-0000-0500-00000948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266" y="1240"/>
              <a:ext cx="30" cy="48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38100</xdr:rowOff>
        </xdr:from>
        <xdr:to>
          <xdr:col>31</xdr:col>
          <xdr:colOff>152400</xdr:colOff>
          <xdr:row>7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the Building meets  req's of Sec 507 except 60' yards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238125</xdr:colOff>
      <xdr:row>5</xdr:row>
      <xdr:rowOff>38100</xdr:rowOff>
    </xdr:from>
    <xdr:to>
      <xdr:col>31</xdr:col>
      <xdr:colOff>152400</xdr:colOff>
      <xdr:row>7</xdr:row>
      <xdr:rowOff>9525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4196"/>
            </a:ext>
            <a:ext uri="{FF2B5EF4-FFF2-40B4-BE49-F238E27FC236}">
              <a16:creationId xmlns:a16="http://schemas.microsoft.com/office/drawing/2014/main" id="{311CA8E3-0C93-BE30-0077-1EAACBEF6C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38100</xdr:rowOff>
        </xdr:from>
        <xdr:to>
          <xdr:col>31</xdr:col>
          <xdr:colOff>152400</xdr:colOff>
          <xdr:row>7</xdr:row>
          <xdr:rowOff>9525</xdr:rowOff>
        </xdr:to>
        <xdr:sp macro="" textlink="">
          <xdr:nvSpPr>
            <xdr:cNvPr id="4" name="Check Box 1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EDF1EDE9-52C7-A04A-59BC-F370C46741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</xdr:rowOff>
    </xdr:from>
    <xdr:to>
      <xdr:col>27</xdr:col>
      <xdr:colOff>104775</xdr:colOff>
      <xdr:row>62</xdr:row>
      <xdr:rowOff>47625</xdr:rowOff>
    </xdr:to>
    <xdr:pic>
      <xdr:nvPicPr>
        <xdr:cNvPr id="19456" name="Picture 1" descr="agpe-dim1">
          <a:extLst>
            <a:ext uri="{FF2B5EF4-FFF2-40B4-BE49-F238E27FC236}">
              <a16:creationId xmlns:a16="http://schemas.microsoft.com/office/drawing/2014/main" id="{00000000-0008-0000-0600-000000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3125"/>
          <a:ext cx="9153525" cy="521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42</xdr:row>
      <xdr:rowOff>133350</xdr:rowOff>
    </xdr:from>
    <xdr:to>
      <xdr:col>20</xdr:col>
      <xdr:colOff>190500</xdr:colOff>
      <xdr:row>51</xdr:row>
      <xdr:rowOff>76200</xdr:rowOff>
    </xdr:to>
    <xdr:grpSp>
      <xdr:nvGrpSpPr>
        <xdr:cNvPr id="19457" name="Group 2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GrpSpPr>
          <a:grpSpLocks/>
        </xdr:cNvGrpSpPr>
      </xdr:nvGrpSpPr>
      <xdr:grpSpPr bwMode="auto">
        <a:xfrm>
          <a:off x="3067050" y="8020050"/>
          <a:ext cx="3838575" cy="1400175"/>
          <a:chOff x="1933" y="2330"/>
          <a:chExt cx="2415" cy="880"/>
        </a:xfrm>
      </xdr:grpSpPr>
      <xdr:sp macro="" textlink="">
        <xdr:nvSpPr>
          <xdr:cNvPr id="12291" name="AutoShape 3">
            <a:extLst>
              <a:ext uri="{FF2B5EF4-FFF2-40B4-BE49-F238E27FC236}">
                <a16:creationId xmlns:a16="http://schemas.microsoft.com/office/drawing/2014/main" id="{00000000-0008-0000-0600-000003300000}"/>
              </a:ext>
            </a:extLst>
          </xdr:cNvPr>
          <xdr:cNvSpPr>
            <a:spLocks noChangeArrowheads="1"/>
          </xdr:cNvSpPr>
        </xdr:nvSpPr>
        <xdr:spPr bwMode="auto">
          <a:xfrm>
            <a:off x="1933" y="2971"/>
            <a:ext cx="210" cy="239"/>
          </a:xfrm>
          <a:prstGeom prst="wedgeEllipseCallout">
            <a:avLst>
              <a:gd name="adj1" fmla="val 148097"/>
              <a:gd name="adj2" fmla="val 816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2" name="AutoShape 4">
            <a:extLst>
              <a:ext uri="{FF2B5EF4-FFF2-40B4-BE49-F238E27FC236}">
                <a16:creationId xmlns:a16="http://schemas.microsoft.com/office/drawing/2014/main" id="{00000000-0008-0000-0600-000004300000}"/>
              </a:ext>
            </a:extLst>
          </xdr:cNvPr>
          <xdr:cNvSpPr>
            <a:spLocks noChangeArrowheads="1"/>
          </xdr:cNvSpPr>
        </xdr:nvSpPr>
        <xdr:spPr bwMode="auto">
          <a:xfrm>
            <a:off x="2263" y="2737"/>
            <a:ext cx="210" cy="239"/>
          </a:xfrm>
          <a:prstGeom prst="wedgeEllipseCallout">
            <a:avLst>
              <a:gd name="adj1" fmla="val 148097"/>
              <a:gd name="adj2" fmla="val 816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  <a:p>
            <a:pPr algn="l" rtl="0">
              <a:lnSpc>
                <a:spcPts val="14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3" name="AutoShape 5">
            <a:extLst>
              <a:ext uri="{FF2B5EF4-FFF2-40B4-BE49-F238E27FC236}">
                <a16:creationId xmlns:a16="http://schemas.microsoft.com/office/drawing/2014/main" id="{00000000-0008-0000-0600-000005300000}"/>
              </a:ext>
            </a:extLst>
          </xdr:cNvPr>
          <xdr:cNvSpPr>
            <a:spLocks noChangeArrowheads="1"/>
          </xdr:cNvSpPr>
        </xdr:nvSpPr>
        <xdr:spPr bwMode="auto">
          <a:xfrm>
            <a:off x="2904" y="2522"/>
            <a:ext cx="210" cy="239"/>
          </a:xfrm>
          <a:prstGeom prst="wedgeEllipseCallout">
            <a:avLst>
              <a:gd name="adj1" fmla="val 106667"/>
              <a:gd name="adj2" fmla="val 180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4" name="AutoShape 6">
            <a:extLst>
              <a:ext uri="{FF2B5EF4-FFF2-40B4-BE49-F238E27FC236}">
                <a16:creationId xmlns:a16="http://schemas.microsoft.com/office/drawing/2014/main" id="{00000000-0008-0000-0600-000006300000}"/>
              </a:ext>
            </a:extLst>
          </xdr:cNvPr>
          <xdr:cNvSpPr>
            <a:spLocks noChangeArrowheads="1"/>
          </xdr:cNvSpPr>
        </xdr:nvSpPr>
        <xdr:spPr bwMode="auto">
          <a:xfrm>
            <a:off x="3096" y="2420"/>
            <a:ext cx="210" cy="239"/>
          </a:xfrm>
          <a:prstGeom prst="wedgeEllipseCallout">
            <a:avLst>
              <a:gd name="adj1" fmla="val 106667"/>
              <a:gd name="adj2" fmla="val 180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5" name="AutoShape 7">
            <a:extLst>
              <a:ext uri="{FF2B5EF4-FFF2-40B4-BE49-F238E27FC236}">
                <a16:creationId xmlns:a16="http://schemas.microsoft.com/office/drawing/2014/main" id="{00000000-0008-0000-0600-000007300000}"/>
              </a:ext>
            </a:extLst>
          </xdr:cNvPr>
          <xdr:cNvSpPr>
            <a:spLocks noChangeArrowheads="1"/>
          </xdr:cNvSpPr>
        </xdr:nvSpPr>
        <xdr:spPr bwMode="auto">
          <a:xfrm>
            <a:off x="3281" y="2348"/>
            <a:ext cx="210" cy="239"/>
          </a:xfrm>
          <a:prstGeom prst="wedgeEllipseCallout">
            <a:avLst>
              <a:gd name="adj1" fmla="val 106667"/>
              <a:gd name="adj2" fmla="val 180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</a:t>
            </a:r>
          </a:p>
          <a:p>
            <a:pPr algn="l" rtl="0">
              <a:lnSpc>
                <a:spcPts val="14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6" name="AutoShape 8">
            <a:extLst>
              <a:ext uri="{FF2B5EF4-FFF2-40B4-BE49-F238E27FC236}">
                <a16:creationId xmlns:a16="http://schemas.microsoft.com/office/drawing/2014/main" id="{00000000-0008-0000-0600-000008300000}"/>
              </a:ext>
            </a:extLst>
          </xdr:cNvPr>
          <xdr:cNvSpPr>
            <a:spLocks noChangeArrowheads="1"/>
          </xdr:cNvSpPr>
        </xdr:nvSpPr>
        <xdr:spPr bwMode="auto">
          <a:xfrm>
            <a:off x="3479" y="2330"/>
            <a:ext cx="210" cy="239"/>
          </a:xfrm>
          <a:prstGeom prst="wedgeEllipseCallout">
            <a:avLst>
              <a:gd name="adj1" fmla="val 106667"/>
              <a:gd name="adj2" fmla="val 180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7" name="AutoShape 9">
            <a:extLst>
              <a:ext uri="{FF2B5EF4-FFF2-40B4-BE49-F238E27FC236}">
                <a16:creationId xmlns:a16="http://schemas.microsoft.com/office/drawing/2014/main" id="{00000000-0008-0000-0600-000009300000}"/>
              </a:ext>
            </a:extLst>
          </xdr:cNvPr>
          <xdr:cNvSpPr>
            <a:spLocks noChangeArrowheads="1"/>
          </xdr:cNvSpPr>
        </xdr:nvSpPr>
        <xdr:spPr bwMode="auto">
          <a:xfrm>
            <a:off x="2652" y="2372"/>
            <a:ext cx="210" cy="239"/>
          </a:xfrm>
          <a:prstGeom prst="wedgeEllipseCallout">
            <a:avLst>
              <a:gd name="adj1" fmla="val 73810"/>
              <a:gd name="adj2" fmla="val 2341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8" name="AutoShape 10">
            <a:extLst>
              <a:ext uri="{FF2B5EF4-FFF2-40B4-BE49-F238E27FC236}">
                <a16:creationId xmlns:a16="http://schemas.microsoft.com/office/drawing/2014/main" id="{00000000-0008-0000-0600-00000A300000}"/>
              </a:ext>
            </a:extLst>
          </xdr:cNvPr>
          <xdr:cNvSpPr>
            <a:spLocks noChangeArrowheads="1"/>
          </xdr:cNvSpPr>
        </xdr:nvSpPr>
        <xdr:spPr bwMode="auto">
          <a:xfrm>
            <a:off x="4138" y="2396"/>
            <a:ext cx="210" cy="239"/>
          </a:xfrm>
          <a:prstGeom prst="wedgeEllipseCallout">
            <a:avLst>
              <a:gd name="adj1" fmla="val -166190"/>
              <a:gd name="adj2" fmla="val 150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299" name="AutoShape 11">
            <a:extLst>
              <a:ext uri="{FF2B5EF4-FFF2-40B4-BE49-F238E27FC236}">
                <a16:creationId xmlns:a16="http://schemas.microsoft.com/office/drawing/2014/main" id="{00000000-0008-0000-0600-00000B300000}"/>
              </a:ext>
            </a:extLst>
          </xdr:cNvPr>
          <xdr:cNvSpPr>
            <a:spLocks noChangeArrowheads="1"/>
          </xdr:cNvSpPr>
        </xdr:nvSpPr>
        <xdr:spPr bwMode="auto">
          <a:xfrm>
            <a:off x="4138" y="2396"/>
            <a:ext cx="210" cy="239"/>
          </a:xfrm>
          <a:prstGeom prst="wedgeEllipseCallout">
            <a:avLst>
              <a:gd name="adj1" fmla="val -149046"/>
              <a:gd name="adj2" fmla="val 891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28575</xdr:colOff>
      <xdr:row>63</xdr:row>
      <xdr:rowOff>9525</xdr:rowOff>
    </xdr:from>
    <xdr:to>
      <xdr:col>27</xdr:col>
      <xdr:colOff>114300</xdr:colOff>
      <xdr:row>95</xdr:row>
      <xdr:rowOff>38100</xdr:rowOff>
    </xdr:to>
    <xdr:pic>
      <xdr:nvPicPr>
        <xdr:cNvPr id="19458" name="Picture 12" descr="agpe-dim2">
          <a:extLst>
            <a:ext uri="{FF2B5EF4-FFF2-40B4-BE49-F238E27FC236}">
              <a16:creationId xmlns:a16="http://schemas.microsoft.com/office/drawing/2014/main" id="{00000000-0008-0000-0600-000002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96650"/>
          <a:ext cx="9134475" cy="52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73</xdr:row>
      <xdr:rowOff>9525</xdr:rowOff>
    </xdr:from>
    <xdr:to>
      <xdr:col>17</xdr:col>
      <xdr:colOff>171450</xdr:colOff>
      <xdr:row>82</xdr:row>
      <xdr:rowOff>104775</xdr:rowOff>
    </xdr:to>
    <xdr:grpSp>
      <xdr:nvGrpSpPr>
        <xdr:cNvPr id="19459" name="Group 13">
          <a:extLst>
            <a:ext uri="{FF2B5EF4-FFF2-40B4-BE49-F238E27FC236}">
              <a16:creationId xmlns:a16="http://schemas.microsoft.com/office/drawing/2014/main" id="{00000000-0008-0000-0600-0000034C0000}"/>
            </a:ext>
          </a:extLst>
        </xdr:cNvPr>
        <xdr:cNvGrpSpPr>
          <a:grpSpLocks/>
        </xdr:cNvGrpSpPr>
      </xdr:nvGrpSpPr>
      <xdr:grpSpPr bwMode="auto">
        <a:xfrm>
          <a:off x="1990725" y="12915900"/>
          <a:ext cx="3952875" cy="1552575"/>
          <a:chOff x="1257" y="2047"/>
          <a:chExt cx="2488" cy="979"/>
        </a:xfrm>
      </xdr:grpSpPr>
      <xdr:sp macro="" textlink="">
        <xdr:nvSpPr>
          <xdr:cNvPr id="12302" name="AutoShape 14">
            <a:extLst>
              <a:ext uri="{FF2B5EF4-FFF2-40B4-BE49-F238E27FC236}">
                <a16:creationId xmlns:a16="http://schemas.microsoft.com/office/drawing/2014/main" id="{00000000-0008-0000-0600-00000E300000}"/>
              </a:ext>
            </a:extLst>
          </xdr:cNvPr>
          <xdr:cNvSpPr>
            <a:spLocks noChangeArrowheads="1"/>
          </xdr:cNvSpPr>
        </xdr:nvSpPr>
        <xdr:spPr bwMode="auto">
          <a:xfrm>
            <a:off x="1257" y="2341"/>
            <a:ext cx="210" cy="240"/>
          </a:xfrm>
          <a:prstGeom prst="wedgeEllipseCallout">
            <a:avLst>
              <a:gd name="adj1" fmla="val 210954"/>
              <a:gd name="adj2" fmla="val 966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03" name="AutoShape 15">
            <a:extLst>
              <a:ext uri="{FF2B5EF4-FFF2-40B4-BE49-F238E27FC236}">
                <a16:creationId xmlns:a16="http://schemas.microsoft.com/office/drawing/2014/main" id="{00000000-0008-0000-0600-00000F300000}"/>
              </a:ext>
            </a:extLst>
          </xdr:cNvPr>
          <xdr:cNvSpPr>
            <a:spLocks noChangeArrowheads="1"/>
          </xdr:cNvSpPr>
        </xdr:nvSpPr>
        <xdr:spPr bwMode="auto">
          <a:xfrm>
            <a:off x="1515" y="2047"/>
            <a:ext cx="210" cy="240"/>
          </a:xfrm>
          <a:prstGeom prst="wedgeEllipseCallout">
            <a:avLst>
              <a:gd name="adj1" fmla="val 133810"/>
              <a:gd name="adj2" fmla="val 1679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04" name="AutoShape 16">
            <a:extLst>
              <a:ext uri="{FF2B5EF4-FFF2-40B4-BE49-F238E27FC236}">
                <a16:creationId xmlns:a16="http://schemas.microsoft.com/office/drawing/2014/main" id="{00000000-0008-0000-0600-000010300000}"/>
              </a:ext>
            </a:extLst>
          </xdr:cNvPr>
          <xdr:cNvSpPr>
            <a:spLocks noChangeArrowheads="1"/>
          </xdr:cNvSpPr>
        </xdr:nvSpPr>
        <xdr:spPr bwMode="auto">
          <a:xfrm>
            <a:off x="1665" y="2786"/>
            <a:ext cx="210" cy="240"/>
          </a:xfrm>
          <a:prstGeom prst="wedgeEllipseCallout">
            <a:avLst>
              <a:gd name="adj1" fmla="val 175236"/>
              <a:gd name="adj2" fmla="val 91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05" name="AutoShape 17">
            <a:extLst>
              <a:ext uri="{FF2B5EF4-FFF2-40B4-BE49-F238E27FC236}">
                <a16:creationId xmlns:a16="http://schemas.microsoft.com/office/drawing/2014/main" id="{00000000-0008-0000-0600-000011300000}"/>
              </a:ext>
            </a:extLst>
          </xdr:cNvPr>
          <xdr:cNvSpPr>
            <a:spLocks noChangeArrowheads="1"/>
          </xdr:cNvSpPr>
        </xdr:nvSpPr>
        <xdr:spPr bwMode="auto">
          <a:xfrm>
            <a:off x="3337" y="2564"/>
            <a:ext cx="372" cy="240"/>
          </a:xfrm>
          <a:prstGeom prst="wedgeEllipseCallout">
            <a:avLst>
              <a:gd name="adj1" fmla="val 121273"/>
              <a:gd name="adj2" fmla="val 6916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06" name="AutoShape 18">
            <a:extLst>
              <a:ext uri="{FF2B5EF4-FFF2-40B4-BE49-F238E27FC236}">
                <a16:creationId xmlns:a16="http://schemas.microsoft.com/office/drawing/2014/main" id="{00000000-0008-0000-0600-000012300000}"/>
              </a:ext>
            </a:extLst>
          </xdr:cNvPr>
          <xdr:cNvSpPr>
            <a:spLocks noChangeArrowheads="1"/>
          </xdr:cNvSpPr>
        </xdr:nvSpPr>
        <xdr:spPr bwMode="auto">
          <a:xfrm>
            <a:off x="3373" y="2251"/>
            <a:ext cx="372" cy="240"/>
          </a:xfrm>
          <a:prstGeom prst="wedgeEllipseCallout">
            <a:avLst>
              <a:gd name="adj1" fmla="val 114769"/>
              <a:gd name="adj2" fmla="val 1329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0</xdr:colOff>
      <xdr:row>96</xdr:row>
      <xdr:rowOff>28575</xdr:rowOff>
    </xdr:from>
    <xdr:to>
      <xdr:col>27</xdr:col>
      <xdr:colOff>95250</xdr:colOff>
      <xdr:row>128</xdr:row>
      <xdr:rowOff>57150</xdr:rowOff>
    </xdr:to>
    <xdr:pic>
      <xdr:nvPicPr>
        <xdr:cNvPr id="19460" name="Picture 19" descr="agpe-dim3">
          <a:extLst>
            <a:ext uri="{FF2B5EF4-FFF2-40B4-BE49-F238E27FC236}">
              <a16:creationId xmlns:a16="http://schemas.microsoft.com/office/drawing/2014/main" id="{00000000-0008-0000-0600-000004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59225"/>
          <a:ext cx="9144000" cy="521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219075</xdr:colOff>
      <xdr:row>108</xdr:row>
      <xdr:rowOff>9525</xdr:rowOff>
    </xdr:from>
    <xdr:to>
      <xdr:col>22</xdr:col>
      <xdr:colOff>0</xdr:colOff>
      <xdr:row>120</xdr:row>
      <xdr:rowOff>104775</xdr:rowOff>
    </xdr:to>
    <xdr:grpSp>
      <xdr:nvGrpSpPr>
        <xdr:cNvPr id="19461" name="Group 20">
          <a:extLst>
            <a:ext uri="{FF2B5EF4-FFF2-40B4-BE49-F238E27FC236}">
              <a16:creationId xmlns:a16="http://schemas.microsoft.com/office/drawing/2014/main" id="{00000000-0008-0000-0600-0000054C0000}"/>
            </a:ext>
          </a:extLst>
        </xdr:cNvPr>
        <xdr:cNvGrpSpPr>
          <a:grpSpLocks/>
        </xdr:cNvGrpSpPr>
      </xdr:nvGrpSpPr>
      <xdr:grpSpPr bwMode="auto">
        <a:xfrm>
          <a:off x="2533650" y="18583275"/>
          <a:ext cx="4810125" cy="2038350"/>
          <a:chOff x="1597" y="2248"/>
          <a:chExt cx="3029" cy="1283"/>
        </a:xfrm>
      </xdr:grpSpPr>
      <xdr:sp macro="" textlink="">
        <xdr:nvSpPr>
          <xdr:cNvPr id="12309" name="AutoShape 21">
            <a:extLst>
              <a:ext uri="{FF2B5EF4-FFF2-40B4-BE49-F238E27FC236}">
                <a16:creationId xmlns:a16="http://schemas.microsoft.com/office/drawing/2014/main" id="{00000000-0008-0000-0600-000015300000}"/>
              </a:ext>
            </a:extLst>
          </xdr:cNvPr>
          <xdr:cNvSpPr>
            <a:spLocks noChangeArrowheads="1"/>
          </xdr:cNvSpPr>
        </xdr:nvSpPr>
        <xdr:spPr bwMode="auto">
          <a:xfrm>
            <a:off x="4116" y="2674"/>
            <a:ext cx="210" cy="240"/>
          </a:xfrm>
          <a:prstGeom prst="wedgeEllipseCallout">
            <a:avLst>
              <a:gd name="adj1" fmla="val -83333"/>
              <a:gd name="adj2" fmla="val 162083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0" name="AutoShape 22">
            <a:extLst>
              <a:ext uri="{FF2B5EF4-FFF2-40B4-BE49-F238E27FC236}">
                <a16:creationId xmlns:a16="http://schemas.microsoft.com/office/drawing/2014/main" id="{00000000-0008-0000-0600-000016300000}"/>
              </a:ext>
            </a:extLst>
          </xdr:cNvPr>
          <xdr:cNvSpPr>
            <a:spLocks noChangeArrowheads="1"/>
          </xdr:cNvSpPr>
        </xdr:nvSpPr>
        <xdr:spPr bwMode="auto">
          <a:xfrm>
            <a:off x="2761" y="2284"/>
            <a:ext cx="366" cy="240"/>
          </a:xfrm>
          <a:prstGeom prst="wedgeEllipseCallout">
            <a:avLst>
              <a:gd name="adj1" fmla="val 83333"/>
              <a:gd name="adj2" fmla="val 222500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13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1" name="AutoShape 23">
            <a:extLst>
              <a:ext uri="{FF2B5EF4-FFF2-40B4-BE49-F238E27FC236}">
                <a16:creationId xmlns:a16="http://schemas.microsoft.com/office/drawing/2014/main" id="{00000000-0008-0000-0600-000017300000}"/>
              </a:ext>
            </a:extLst>
          </xdr:cNvPr>
          <xdr:cNvSpPr>
            <a:spLocks noChangeArrowheads="1"/>
          </xdr:cNvSpPr>
        </xdr:nvSpPr>
        <xdr:spPr bwMode="auto">
          <a:xfrm>
            <a:off x="1597" y="2434"/>
            <a:ext cx="372" cy="240"/>
          </a:xfrm>
          <a:prstGeom prst="wedgeEllipseCallout">
            <a:avLst>
              <a:gd name="adj1" fmla="val 86856"/>
              <a:gd name="adj2" fmla="val 253750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11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2" name="AutoShape 24">
            <a:extLst>
              <a:ext uri="{FF2B5EF4-FFF2-40B4-BE49-F238E27FC236}">
                <a16:creationId xmlns:a16="http://schemas.microsoft.com/office/drawing/2014/main" id="{00000000-0008-0000-0600-000018300000}"/>
              </a:ext>
            </a:extLst>
          </xdr:cNvPr>
          <xdr:cNvSpPr>
            <a:spLocks noChangeArrowheads="1"/>
          </xdr:cNvSpPr>
        </xdr:nvSpPr>
        <xdr:spPr bwMode="auto">
          <a:xfrm>
            <a:off x="3474" y="2296"/>
            <a:ext cx="366" cy="240"/>
          </a:xfrm>
          <a:prstGeom prst="wedgeEllipseCallout">
            <a:avLst>
              <a:gd name="adj1" fmla="val -35907"/>
              <a:gd name="adj2" fmla="val 327500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16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3" name="AutoShape 25">
            <a:extLst>
              <a:ext uri="{FF2B5EF4-FFF2-40B4-BE49-F238E27FC236}">
                <a16:creationId xmlns:a16="http://schemas.microsoft.com/office/drawing/2014/main" id="{00000000-0008-0000-0600-000019300000}"/>
              </a:ext>
            </a:extLst>
          </xdr:cNvPr>
          <xdr:cNvSpPr>
            <a:spLocks noChangeArrowheads="1"/>
          </xdr:cNvSpPr>
        </xdr:nvSpPr>
        <xdr:spPr bwMode="auto">
          <a:xfrm>
            <a:off x="2467" y="3291"/>
            <a:ext cx="372" cy="240"/>
          </a:xfrm>
          <a:prstGeom prst="wedgeEllipseCallout">
            <a:avLst>
              <a:gd name="adj1" fmla="val 129944"/>
              <a:gd name="adj2" fmla="val -102500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4" name="AutoShape 26">
            <a:extLst>
              <a:ext uri="{FF2B5EF4-FFF2-40B4-BE49-F238E27FC236}">
                <a16:creationId xmlns:a16="http://schemas.microsoft.com/office/drawing/2014/main" id="{00000000-0008-0000-0600-00001A300000}"/>
              </a:ext>
            </a:extLst>
          </xdr:cNvPr>
          <xdr:cNvSpPr>
            <a:spLocks noChangeArrowheads="1"/>
          </xdr:cNvSpPr>
        </xdr:nvSpPr>
        <xdr:spPr bwMode="auto">
          <a:xfrm>
            <a:off x="2365" y="2248"/>
            <a:ext cx="366" cy="240"/>
          </a:xfrm>
          <a:prstGeom prst="wedgeEllipseCallout">
            <a:avLst>
              <a:gd name="adj1" fmla="val 107181"/>
              <a:gd name="adj2" fmla="val 235833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14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5" name="AutoShape 27">
            <a:extLst>
              <a:ext uri="{FF2B5EF4-FFF2-40B4-BE49-F238E27FC236}">
                <a16:creationId xmlns:a16="http://schemas.microsoft.com/office/drawing/2014/main" id="{00000000-0008-0000-0600-00001B300000}"/>
              </a:ext>
            </a:extLst>
          </xdr:cNvPr>
          <xdr:cNvSpPr>
            <a:spLocks noChangeArrowheads="1"/>
          </xdr:cNvSpPr>
        </xdr:nvSpPr>
        <xdr:spPr bwMode="auto">
          <a:xfrm>
            <a:off x="1993" y="2500"/>
            <a:ext cx="372" cy="240"/>
          </a:xfrm>
          <a:prstGeom prst="wedgeEllipseCallout">
            <a:avLst>
              <a:gd name="adj1" fmla="val 74931"/>
              <a:gd name="adj2" fmla="val 255417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12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2316" name="AutoShape 28">
            <a:extLst>
              <a:ext uri="{FF2B5EF4-FFF2-40B4-BE49-F238E27FC236}">
                <a16:creationId xmlns:a16="http://schemas.microsoft.com/office/drawing/2014/main" id="{00000000-0008-0000-0600-00001C300000}"/>
              </a:ext>
            </a:extLst>
          </xdr:cNvPr>
          <xdr:cNvSpPr>
            <a:spLocks noChangeArrowheads="1"/>
          </xdr:cNvSpPr>
        </xdr:nvSpPr>
        <xdr:spPr bwMode="auto">
          <a:xfrm>
            <a:off x="4254" y="3069"/>
            <a:ext cx="372" cy="240"/>
          </a:xfrm>
          <a:prstGeom prst="wedgeEllipseCallout">
            <a:avLst>
              <a:gd name="adj1" fmla="val -128051"/>
              <a:gd name="adj2" fmla="val 82500"/>
            </a:avLst>
          </a:prstGeom>
          <a:solidFill>
            <a:srgbClr val="FFFF66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1500"/>
              </a:lnSpc>
              <a:defRPr sz="1000"/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  <a:p>
            <a:pPr algn="l" rtl="0">
              <a:lnSpc>
                <a:spcPts val="1300"/>
              </a:lnSpc>
              <a:defRPr sz="1000"/>
            </a:pPr>
            <a:endParaRPr lang="en-US" sz="14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0</xdr:col>
      <xdr:colOff>333375</xdr:colOff>
      <xdr:row>129</xdr:row>
      <xdr:rowOff>152400</xdr:rowOff>
    </xdr:from>
    <xdr:to>
      <xdr:col>26</xdr:col>
      <xdr:colOff>209550</xdr:colOff>
      <xdr:row>170</xdr:row>
      <xdr:rowOff>114300</xdr:rowOff>
    </xdr:to>
    <xdr:grpSp>
      <xdr:nvGrpSpPr>
        <xdr:cNvPr id="19462" name="Group 29">
          <a:extLst>
            <a:ext uri="{FF2B5EF4-FFF2-40B4-BE49-F238E27FC236}">
              <a16:creationId xmlns:a16="http://schemas.microsoft.com/office/drawing/2014/main" id="{00000000-0008-0000-0600-0000064C0000}"/>
            </a:ext>
          </a:extLst>
        </xdr:cNvPr>
        <xdr:cNvGrpSpPr>
          <a:grpSpLocks/>
        </xdr:cNvGrpSpPr>
      </xdr:nvGrpSpPr>
      <xdr:grpSpPr bwMode="auto">
        <a:xfrm>
          <a:off x="333375" y="22126575"/>
          <a:ext cx="8543925" cy="6600825"/>
          <a:chOff x="208" y="96"/>
          <a:chExt cx="5384" cy="4160"/>
        </a:xfrm>
      </xdr:grpSpPr>
      <xdr:grpSp>
        <xdr:nvGrpSpPr>
          <xdr:cNvPr id="19464" name="Group 30">
            <a:extLst>
              <a:ext uri="{FF2B5EF4-FFF2-40B4-BE49-F238E27FC236}">
                <a16:creationId xmlns:a16="http://schemas.microsoft.com/office/drawing/2014/main" id="{00000000-0008-0000-0600-0000084C0000}"/>
              </a:ext>
            </a:extLst>
          </xdr:cNvPr>
          <xdr:cNvGrpSpPr>
            <a:grpSpLocks/>
          </xdr:cNvGrpSpPr>
        </xdr:nvGrpSpPr>
        <xdr:grpSpPr bwMode="auto">
          <a:xfrm>
            <a:off x="208" y="96"/>
            <a:ext cx="5384" cy="4160"/>
            <a:chOff x="208" y="96"/>
            <a:chExt cx="5384" cy="4160"/>
          </a:xfrm>
        </xdr:grpSpPr>
        <xdr:pic>
          <xdr:nvPicPr>
            <xdr:cNvPr id="19466" name="Picture 31" descr="work-AreaHeightExp12-08">
              <a:extLst>
                <a:ext uri="{FF2B5EF4-FFF2-40B4-BE49-F238E27FC236}">
                  <a16:creationId xmlns:a16="http://schemas.microsoft.com/office/drawing/2014/main" id="{00000000-0008-0000-0600-00000A4C0000}"/>
                </a:ext>
              </a:extLst>
            </xdr:cNvPr>
            <xdr:cNvPicPr>
              <a:picLocks noChangeAspect="1" noChangeArrowheads="1" noCrop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8" y="96"/>
              <a:ext cx="5384" cy="41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467" name="Rectangle 32">
              <a:extLst>
                <a:ext uri="{FF2B5EF4-FFF2-40B4-BE49-F238E27FC236}">
                  <a16:creationId xmlns:a16="http://schemas.microsoft.com/office/drawing/2014/main" id="{00000000-0008-0000-0600-00000B4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068" y="3180"/>
              <a:ext cx="426" cy="17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33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C0BC94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9465" name="Rectangle 33">
            <a:extLst>
              <a:ext uri="{FF2B5EF4-FFF2-40B4-BE49-F238E27FC236}">
                <a16:creationId xmlns:a16="http://schemas.microsoft.com/office/drawing/2014/main" id="{00000000-0008-0000-0600-0000094C0000}"/>
              </a:ext>
            </a:extLst>
          </xdr:cNvPr>
          <xdr:cNvSpPr>
            <a:spLocks noChangeArrowheads="1"/>
          </xdr:cNvSpPr>
        </xdr:nvSpPr>
        <xdr:spPr bwMode="auto">
          <a:xfrm>
            <a:off x="438" y="2700"/>
            <a:ext cx="360" cy="210"/>
          </a:xfrm>
          <a:prstGeom prst="rect">
            <a:avLst/>
          </a:prstGeom>
          <a:solidFill>
            <a:srgbClr val="FFFFFF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0BC94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17</xdr:col>
      <xdr:colOff>123825</xdr:colOff>
      <xdr:row>157</xdr:row>
      <xdr:rowOff>57150</xdr:rowOff>
    </xdr:from>
    <xdr:to>
      <xdr:col>25</xdr:col>
      <xdr:colOff>19050</xdr:colOff>
      <xdr:row>160</xdr:row>
      <xdr:rowOff>19050</xdr:rowOff>
    </xdr:to>
    <xdr:sp macro="" textlink="">
      <xdr:nvSpPr>
        <xdr:cNvPr id="19463" name="Rectangle 34">
          <a:extLst>
            <a:ext uri="{FF2B5EF4-FFF2-40B4-BE49-F238E27FC236}">
              <a16:creationId xmlns:a16="http://schemas.microsoft.com/office/drawing/2014/main" id="{00000000-0008-0000-0600-0000074C0000}"/>
            </a:ext>
          </a:extLst>
        </xdr:cNvPr>
        <xdr:cNvSpPr>
          <a:spLocks noChangeArrowheads="1"/>
        </xdr:cNvSpPr>
      </xdr:nvSpPr>
      <xdr:spPr bwMode="auto">
        <a:xfrm>
          <a:off x="5895975" y="26565225"/>
          <a:ext cx="240982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26" Type="http://schemas.openxmlformats.org/officeDocument/2006/relationships/ctrlProp" Target="../ctrlProps/ctrlProp17.xml"/><Relationship Id="rId39" Type="http://schemas.openxmlformats.org/officeDocument/2006/relationships/ctrlProp" Target="../ctrlProps/ctrlProp30.xml"/><Relationship Id="rId3" Type="http://schemas.openxmlformats.org/officeDocument/2006/relationships/printerSettings" Target="../printerSettings/printerSettings3.bin"/><Relationship Id="rId21" Type="http://schemas.openxmlformats.org/officeDocument/2006/relationships/ctrlProp" Target="../ctrlProps/ctrlProp12.xml"/><Relationship Id="rId34" Type="http://schemas.openxmlformats.org/officeDocument/2006/relationships/ctrlProp" Target="../ctrlProps/ctrlProp25.xml"/><Relationship Id="rId7" Type="http://schemas.openxmlformats.org/officeDocument/2006/relationships/printerSettings" Target="../printerSettings/printerSettings6.bin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25" Type="http://schemas.openxmlformats.org/officeDocument/2006/relationships/ctrlProp" Target="../ctrlProps/ctrlProp16.xml"/><Relationship Id="rId33" Type="http://schemas.openxmlformats.org/officeDocument/2006/relationships/ctrlProp" Target="../ctrlProps/ctrlProp24.xml"/><Relationship Id="rId38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7.xml"/><Relationship Id="rId20" Type="http://schemas.openxmlformats.org/officeDocument/2006/relationships/ctrlProp" Target="../ctrlProps/ctrlProp11.xml"/><Relationship Id="rId29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ra4help.com/" TargetMode="External"/><Relationship Id="rId11" Type="http://schemas.openxmlformats.org/officeDocument/2006/relationships/ctrlProp" Target="../ctrlProps/ctrlProp2.xml"/><Relationship Id="rId24" Type="http://schemas.openxmlformats.org/officeDocument/2006/relationships/ctrlProp" Target="../ctrlProps/ctrlProp15.xml"/><Relationship Id="rId32" Type="http://schemas.openxmlformats.org/officeDocument/2006/relationships/ctrlProp" Target="../ctrlProps/ctrlProp23.xml"/><Relationship Id="rId37" Type="http://schemas.openxmlformats.org/officeDocument/2006/relationships/ctrlProp" Target="../ctrlProps/ctrlProp28.xml"/><Relationship Id="rId40" Type="http://schemas.openxmlformats.org/officeDocument/2006/relationships/ctrlProp" Target="../ctrlProps/ctrlProp31.xml"/><Relationship Id="rId5" Type="http://schemas.openxmlformats.org/officeDocument/2006/relationships/printerSettings" Target="../printerSettings/printerSettings5.bin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28" Type="http://schemas.openxmlformats.org/officeDocument/2006/relationships/ctrlProp" Target="../ctrlProps/ctrlProp19.xml"/><Relationship Id="rId36" Type="http://schemas.openxmlformats.org/officeDocument/2006/relationships/ctrlProp" Target="../ctrlProps/ctrlProp27.xml"/><Relationship Id="rId10" Type="http://schemas.openxmlformats.org/officeDocument/2006/relationships/ctrlProp" Target="../ctrlProps/ctrlProp1.xml"/><Relationship Id="rId19" Type="http://schemas.openxmlformats.org/officeDocument/2006/relationships/ctrlProp" Target="../ctrlProps/ctrlProp10.xml"/><Relationship Id="rId31" Type="http://schemas.openxmlformats.org/officeDocument/2006/relationships/ctrlProp" Target="../ctrlProps/ctrlProp22.xml"/><Relationship Id="rId4" Type="http://schemas.openxmlformats.org/officeDocument/2006/relationships/printerSettings" Target="../printerSettings/printerSettings4.bin"/><Relationship Id="rId9" Type="http://schemas.openxmlformats.org/officeDocument/2006/relationships/vmlDrawing" Target="../drawings/vmlDrawing1.vml"/><Relationship Id="rId14" Type="http://schemas.openxmlformats.org/officeDocument/2006/relationships/ctrlProp" Target="../ctrlProps/ctrlProp5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Relationship Id="rId30" Type="http://schemas.openxmlformats.org/officeDocument/2006/relationships/ctrlProp" Target="../ctrlProps/ctrlProp21.xml"/><Relationship Id="rId35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0.bin"/><Relationship Id="rId12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hyperlink" Target="http://www.ara4help.com/" TargetMode="External"/><Relationship Id="rId11" Type="http://schemas.openxmlformats.org/officeDocument/2006/relationships/image" Target="../media/image1.emf"/><Relationship Id="rId5" Type="http://schemas.openxmlformats.org/officeDocument/2006/relationships/printerSettings" Target="../printerSettings/printerSettings29.bin"/><Relationship Id="rId10" Type="http://schemas.openxmlformats.org/officeDocument/2006/relationships/oleObject" Target="../embeddings/oleObject1.bin"/><Relationship Id="rId4" Type="http://schemas.openxmlformats.org/officeDocument/2006/relationships/printerSettings" Target="../printerSettings/printerSettings28.bin"/><Relationship Id="rId9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hyperlink" Target="mailto:ara@ara4help.com" TargetMode="External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R60"/>
  <sheetViews>
    <sheetView showGridLines="0" showRowColHeaders="0" showZeros="0" tabSelected="1" showOutlineSymbols="0" zoomScaleNormal="100" workbookViewId="0">
      <selection sqref="A1:J1"/>
    </sheetView>
  </sheetViews>
  <sheetFormatPr defaultRowHeight="12.75" x14ac:dyDescent="0.2"/>
  <cols>
    <col min="1" max="1" width="11.7109375" customWidth="1"/>
    <col min="2" max="2" width="10.42578125" hidden="1" customWidth="1"/>
    <col min="4" max="4" width="5.7109375" customWidth="1"/>
    <col min="5" max="5" width="8.7109375" customWidth="1"/>
    <col min="6" max="6" width="2.42578125" hidden="1" customWidth="1"/>
    <col min="7" max="7" width="2.7109375" style="34" hidden="1" customWidth="1"/>
    <col min="8" max="8" width="8.7109375" customWidth="1"/>
    <col min="9" max="9" width="1.28515625" customWidth="1"/>
    <col min="10" max="10" width="5.7109375" customWidth="1"/>
    <col min="11" max="11" width="8.7109375" customWidth="1"/>
    <col min="12" max="12" width="2.42578125" customWidth="1"/>
    <col min="13" max="13" width="2.7109375" style="34" hidden="1" customWidth="1"/>
    <col min="14" max="14" width="8.7109375" customWidth="1"/>
    <col min="15" max="15" width="1.28515625" customWidth="1"/>
    <col min="16" max="16" width="5.7109375" customWidth="1"/>
    <col min="17" max="17" width="8.7109375" customWidth="1"/>
    <col min="18" max="18" width="2.42578125" hidden="1" customWidth="1"/>
    <col min="19" max="19" width="2.7109375" style="34" hidden="1" customWidth="1"/>
    <col min="20" max="20" width="8.7109375" customWidth="1"/>
    <col min="21" max="21" width="1.28515625" customWidth="1"/>
    <col min="22" max="22" width="5.7109375" customWidth="1"/>
    <col min="23" max="23" width="8.7109375" customWidth="1"/>
    <col min="24" max="24" width="2.42578125" hidden="1" customWidth="1"/>
    <col min="25" max="25" width="2.7109375" style="34" hidden="1" customWidth="1"/>
    <col min="26" max="26" width="8.7109375" customWidth="1"/>
    <col min="27" max="27" width="1.28515625" customWidth="1"/>
    <col min="33" max="33" width="9.140625" style="450" hidden="1" customWidth="1"/>
    <col min="34" max="34" width="10.140625" style="401" hidden="1" customWidth="1"/>
    <col min="35" max="35" width="9.140625" style="340" hidden="1" customWidth="1"/>
    <col min="36" max="43" width="9.140625" hidden="1" customWidth="1"/>
    <col min="44" max="44" width="9.140625" style="450" hidden="1" customWidth="1"/>
  </cols>
  <sheetData>
    <row r="1" spans="1:44" ht="35.25" customHeight="1" x14ac:dyDescent="0.35">
      <c r="A1" s="527" t="s">
        <v>222</v>
      </c>
      <c r="B1" s="528"/>
      <c r="C1" s="528"/>
      <c r="D1" s="528"/>
      <c r="E1" s="528"/>
      <c r="F1" s="528"/>
      <c r="G1" s="528"/>
      <c r="H1" s="528"/>
      <c r="I1" s="528"/>
      <c r="J1" s="529"/>
      <c r="K1" s="530"/>
      <c r="L1" s="406"/>
      <c r="M1" s="407"/>
      <c r="N1" s="406"/>
      <c r="O1" s="408"/>
      <c r="Q1" s="536" t="s">
        <v>306</v>
      </c>
      <c r="R1" s="537"/>
      <c r="S1" s="537"/>
      <c r="T1" s="537"/>
      <c r="U1" s="537"/>
      <c r="V1" s="537"/>
      <c r="W1" s="537"/>
      <c r="X1" s="537"/>
      <c r="Y1" s="537"/>
      <c r="Z1" s="537"/>
      <c r="AB1" s="422" t="s">
        <v>197</v>
      </c>
      <c r="AC1" s="423" t="s">
        <v>307</v>
      </c>
      <c r="AD1" s="422" t="s">
        <v>205</v>
      </c>
      <c r="AE1" s="424">
        <v>46387</v>
      </c>
      <c r="AH1" s="420">
        <f ca="1">TODAY()</f>
        <v>45990</v>
      </c>
      <c r="AI1" s="421">
        <f ca="1">AH1</f>
        <v>45990</v>
      </c>
    </row>
    <row r="2" spans="1:44" ht="16.5" customHeight="1" x14ac:dyDescent="0.2">
      <c r="B2" s="101"/>
      <c r="C2" s="101"/>
      <c r="D2" s="221" t="s">
        <v>45</v>
      </c>
      <c r="G2" s="288">
        <v>1</v>
      </c>
      <c r="H2" s="240" t="str">
        <f>IF(G2=1,"← Select","")</f>
        <v>← Select</v>
      </c>
      <c r="K2" s="531"/>
      <c r="L2" s="154"/>
      <c r="M2" s="409">
        <v>3</v>
      </c>
      <c r="N2" s="154"/>
      <c r="O2" s="410"/>
      <c r="Q2" s="538" t="s">
        <v>198</v>
      </c>
      <c r="R2" s="538"/>
      <c r="S2" s="538"/>
      <c r="T2" s="538"/>
      <c r="U2" s="538"/>
      <c r="V2" s="538"/>
      <c r="W2" s="538"/>
      <c r="X2" s="538"/>
      <c r="Y2" s="538"/>
      <c r="Z2" s="538"/>
      <c r="AB2" s="85"/>
      <c r="AC2" s="29" t="s">
        <v>169</v>
      </c>
      <c r="AH2" s="447">
        <f>AE1</f>
        <v>46387</v>
      </c>
      <c r="AI2" s="421">
        <f>AH2</f>
        <v>46387</v>
      </c>
      <c r="AJ2" s="361"/>
    </row>
    <row r="3" spans="1:44" ht="13.5" thickBot="1" x14ac:dyDescent="0.25">
      <c r="B3" s="101"/>
      <c r="C3" s="221"/>
      <c r="D3" s="101"/>
      <c r="H3" s="100"/>
      <c r="J3" s="242"/>
      <c r="K3" s="243"/>
      <c r="N3" s="243" t="s">
        <v>191</v>
      </c>
      <c r="P3" s="453" t="str">
        <f>IF(AH3&lt;1,AK12,"")</f>
        <v/>
      </c>
      <c r="Q3" s="452"/>
      <c r="AC3" s="532" t="str">
        <f>IF('507'!AE36="",Info!L115,"This building may be subject to Unlimited Area per Sec. 507. Refer to Tab 507 for more info")</f>
        <v/>
      </c>
      <c r="AD3" s="532"/>
      <c r="AE3" s="532"/>
      <c r="AF3" s="532"/>
      <c r="AH3" s="451">
        <f>IF(OR(AK14=AK15,AK14=AK16,AK14=AK17,AK14=AK18,AK14=AK19,AK14=AK20,AK14=AK21,AK14=AK22,AK14=AK23,AK14=AK24,AK14=AK25,AK14=AK26,AK14=AK27,AK14=AK28,AK14=AK29,AK14=AK30),1,0)</f>
        <v>1</v>
      </c>
      <c r="AI3" s="449">
        <f ca="1">IF(AH3=0,-1,AI2-AI1)</f>
        <v>397</v>
      </c>
      <c r="AJ3" s="353"/>
    </row>
    <row r="4" spans="1:44" ht="13.5" thickBot="1" x14ac:dyDescent="0.25">
      <c r="B4" s="101"/>
      <c r="C4" s="101"/>
      <c r="D4" s="221" t="s">
        <v>49</v>
      </c>
      <c r="E4" s="306"/>
      <c r="H4" s="240" t="str">
        <f>IF(E4&lt;=0,"← Input","")</f>
        <v>← Input</v>
      </c>
      <c r="J4" s="242"/>
      <c r="K4" s="243" t="s">
        <v>192</v>
      </c>
      <c r="N4" s="241">
        <f>Height!O11</f>
        <v>0</v>
      </c>
      <c r="P4" s="533" t="str">
        <f ca="1">IF(AND(AH3&gt;0,AI3&lt;1),"Subscribtion is Expired, Please visit www.ara4help.com",IF(AND(AI3&gt;=1,AI3&lt;30),"Subscribtion will Expire in "&amp;AI3&amp;" days, Please visit www.ara4help.com",""))</f>
        <v/>
      </c>
      <c r="Q4" s="534"/>
      <c r="R4" s="534"/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2"/>
      <c r="AD4" s="532"/>
      <c r="AE4" s="532"/>
      <c r="AF4" s="532"/>
      <c r="AH4" s="448" t="s">
        <v>213</v>
      </c>
      <c r="AI4" s="421"/>
    </row>
    <row r="5" spans="1:44" ht="13.5" thickBot="1" x14ac:dyDescent="0.25">
      <c r="B5" s="101"/>
      <c r="C5" s="101"/>
      <c r="D5" s="221" t="s">
        <v>189</v>
      </c>
      <c r="E5" s="306"/>
      <c r="H5" s="240" t="str">
        <f>IF(E5&lt;=0,"← Input",IF(E5&gt;6,"← max. 6 please",""))</f>
        <v>← Input</v>
      </c>
      <c r="Q5" s="339" t="str">
        <f>IF(Q6="","Input","")</f>
        <v>Input</v>
      </c>
      <c r="Z5" s="32"/>
      <c r="AC5" s="532"/>
      <c r="AD5" s="532"/>
      <c r="AE5" s="532"/>
      <c r="AF5" s="532"/>
      <c r="AH5" s="29"/>
      <c r="AI5" s="421"/>
    </row>
    <row r="6" spans="1:44" ht="16.5" thickBot="1" x14ac:dyDescent="0.3">
      <c r="A6" s="33"/>
      <c r="C6" s="480" t="str">
        <f ca="1">P4</f>
        <v/>
      </c>
      <c r="D6" s="221"/>
      <c r="E6" s="370"/>
      <c r="H6" s="240"/>
      <c r="N6" s="354"/>
      <c r="P6" s="354" t="s">
        <v>175</v>
      </c>
      <c r="Q6" s="419"/>
      <c r="T6" s="240" t="str">
        <f>IF(Q6&gt;1.5,"←  1.5 max.","")</f>
        <v/>
      </c>
      <c r="V6" s="525" t="str">
        <f>IF(Info!J43=0,"","For R occupancy building, select if applies:")</f>
        <v/>
      </c>
      <c r="AC6" s="532"/>
      <c r="AD6" s="532"/>
      <c r="AE6" s="532"/>
      <c r="AF6" s="532"/>
    </row>
    <row r="7" spans="1:44" x14ac:dyDescent="0.2">
      <c r="B7" s="287" t="b">
        <v>0</v>
      </c>
      <c r="C7" s="31"/>
      <c r="I7" t="b">
        <f>B8</f>
        <v>0</v>
      </c>
      <c r="K7" s="52" t="str">
        <f>IF(Info!I40=0,"","Check this box if I-1 Occ. Condition 2 (Sec.903.2.6)")</f>
        <v/>
      </c>
      <c r="V7" s="525" t="str">
        <f>IF(Info!J43=0,"","Sprinklers throughout per 903.3.1.2")</f>
        <v/>
      </c>
      <c r="AC7" s="532"/>
      <c r="AD7" s="532"/>
      <c r="AE7" s="532"/>
      <c r="AF7" s="532"/>
    </row>
    <row r="8" spans="1:44" ht="13.5" thickBot="1" x14ac:dyDescent="0.25">
      <c r="B8" s="400" t="b">
        <v>0</v>
      </c>
      <c r="C8" s="367"/>
      <c r="I8" t="b">
        <f>B9</f>
        <v>0</v>
      </c>
      <c r="M8" s="519" t="b">
        <v>0</v>
      </c>
      <c r="V8" s="526" t="str">
        <f>IF(Info!J43=0,"","Sprinklers throughout per 903.3.1.3")</f>
        <v/>
      </c>
      <c r="AC8" s="532"/>
      <c r="AD8" s="532"/>
      <c r="AE8" s="532"/>
      <c r="AF8" s="532"/>
    </row>
    <row r="9" spans="1:44" s="37" customFormat="1" ht="15.75" customHeight="1" thickBot="1" x14ac:dyDescent="0.25">
      <c r="B9" s="520" t="b">
        <v>0</v>
      </c>
      <c r="C9" s="290" t="s">
        <v>48</v>
      </c>
      <c r="D9" s="291"/>
      <c r="E9" s="292" t="s">
        <v>83</v>
      </c>
      <c r="F9" s="291"/>
      <c r="G9" s="293"/>
      <c r="H9" s="295" t="s">
        <v>145</v>
      </c>
      <c r="I9" s="294"/>
      <c r="J9" s="291"/>
      <c r="K9" s="292" t="s">
        <v>83</v>
      </c>
      <c r="L9" s="291"/>
      <c r="M9" s="293"/>
      <c r="N9" s="295" t="s">
        <v>145</v>
      </c>
      <c r="O9" s="294"/>
      <c r="P9" s="291"/>
      <c r="Q9" s="292" t="s">
        <v>83</v>
      </c>
      <c r="R9" s="291"/>
      <c r="S9" s="293"/>
      <c r="T9" s="295" t="s">
        <v>145</v>
      </c>
      <c r="U9" s="294"/>
      <c r="V9" s="291"/>
      <c r="W9" s="292" t="s">
        <v>83</v>
      </c>
      <c r="X9" s="291"/>
      <c r="Y9" s="293"/>
      <c r="Z9" s="295" t="s">
        <v>145</v>
      </c>
      <c r="AA9" s="236"/>
      <c r="AB9" s="399" t="s">
        <v>193</v>
      </c>
      <c r="AC9" s="532"/>
      <c r="AD9" s="532"/>
      <c r="AE9" s="532"/>
      <c r="AF9" s="532"/>
      <c r="AG9" s="454"/>
      <c r="AH9" s="402"/>
      <c r="AI9" s="403"/>
      <c r="AK9"/>
      <c r="AR9" s="454"/>
    </row>
    <row r="10" spans="1:44" ht="5.25" customHeight="1" thickBot="1" x14ac:dyDescent="0.25">
      <c r="C10" s="43"/>
      <c r="I10" s="42"/>
      <c r="O10" s="42"/>
      <c r="U10" s="42"/>
      <c r="AA10" s="42"/>
    </row>
    <row r="11" spans="1:44" ht="15.75" customHeight="1" thickBot="1" x14ac:dyDescent="0.3">
      <c r="C11" s="44">
        <v>1</v>
      </c>
      <c r="G11" s="288">
        <v>1</v>
      </c>
      <c r="H11" s="305"/>
      <c r="I11" s="42"/>
      <c r="M11" s="288">
        <v>1</v>
      </c>
      <c r="N11" s="305"/>
      <c r="O11" s="42"/>
      <c r="S11" s="288">
        <v>1</v>
      </c>
      <c r="T11" s="305"/>
      <c r="U11" s="42"/>
      <c r="Y11" s="288">
        <v>1</v>
      </c>
      <c r="Z11" s="305"/>
      <c r="AA11" s="42"/>
      <c r="AB11" s="479">
        <f>IF(C11&gt;$E$5,0,H11+N11+T11+Z11)</f>
        <v>0</v>
      </c>
      <c r="AC11" s="335" t="s">
        <v>187</v>
      </c>
      <c r="AD11" s="324"/>
      <c r="AK11" t="s">
        <v>214</v>
      </c>
    </row>
    <row r="12" spans="1:44" ht="13.5" thickBot="1" x14ac:dyDescent="0.25">
      <c r="C12" s="45"/>
      <c r="H12" s="36"/>
      <c r="I12" s="42"/>
      <c r="N12" s="36"/>
      <c r="O12" s="42"/>
      <c r="T12" s="36"/>
      <c r="U12" s="42"/>
      <c r="Z12" s="36"/>
      <c r="AA12" s="42"/>
      <c r="AK12" t="s">
        <v>215</v>
      </c>
    </row>
    <row r="13" spans="1:44" ht="15.75" customHeight="1" thickBot="1" x14ac:dyDescent="0.25">
      <c r="C13" s="44">
        <v>2</v>
      </c>
      <c r="G13" s="288">
        <v>1</v>
      </c>
      <c r="H13" s="305"/>
      <c r="I13" s="42"/>
      <c r="M13" s="288">
        <v>1</v>
      </c>
      <c r="N13" s="305"/>
      <c r="O13" s="42"/>
      <c r="S13" s="288">
        <v>1</v>
      </c>
      <c r="T13" s="305"/>
      <c r="U13" s="42"/>
      <c r="Y13" s="288">
        <v>1</v>
      </c>
      <c r="Z13" s="305"/>
      <c r="AA13" s="42"/>
      <c r="AB13" s="479">
        <f>IF(C13&gt;$E$5,0,H13+N13+T13+Z13)</f>
        <v>0</v>
      </c>
      <c r="AC13" s="336" t="s">
        <v>157</v>
      </c>
      <c r="AD13" s="338">
        <f>Info!T85</f>
        <v>0</v>
      </c>
    </row>
    <row r="14" spans="1:44" ht="13.5" thickBot="1" x14ac:dyDescent="0.25">
      <c r="C14" s="45"/>
      <c r="H14" s="36"/>
      <c r="I14" s="42"/>
      <c r="N14" s="36"/>
      <c r="O14" s="42"/>
      <c r="T14" s="36"/>
      <c r="U14" s="42"/>
      <c r="Z14" s="36"/>
      <c r="AA14" s="42"/>
      <c r="AC14" s="336" t="s">
        <v>158</v>
      </c>
      <c r="AD14" s="338">
        <f>Info!T86</f>
        <v>0</v>
      </c>
      <c r="AK14" s="213"/>
    </row>
    <row r="15" spans="1:44" ht="15.75" customHeight="1" thickBot="1" x14ac:dyDescent="0.25">
      <c r="C15" s="44">
        <v>3</v>
      </c>
      <c r="G15" s="288">
        <v>1</v>
      </c>
      <c r="H15" s="305"/>
      <c r="I15" s="42"/>
      <c r="M15" s="288">
        <v>1</v>
      </c>
      <c r="N15" s="305"/>
      <c r="O15" s="42"/>
      <c r="S15" s="288">
        <v>1</v>
      </c>
      <c r="T15" s="305"/>
      <c r="U15" s="42"/>
      <c r="Y15" s="288">
        <v>1</v>
      </c>
      <c r="Z15" s="305"/>
      <c r="AA15" s="42"/>
      <c r="AB15" s="479">
        <f>IF(C15&gt;$E$5,0,H15+N15+T15+Z15)</f>
        <v>0</v>
      </c>
      <c r="AC15" s="336" t="s">
        <v>159</v>
      </c>
      <c r="AD15" s="338">
        <f>Info!T87</f>
        <v>0</v>
      </c>
    </row>
    <row r="16" spans="1:44" ht="13.5" thickBot="1" x14ac:dyDescent="0.25">
      <c r="C16" s="45"/>
      <c r="H16" s="36"/>
      <c r="I16" s="42"/>
      <c r="N16" s="36"/>
      <c r="O16" s="42"/>
      <c r="T16" s="36"/>
      <c r="U16" s="42"/>
      <c r="Z16" s="36"/>
      <c r="AA16" s="42"/>
    </row>
    <row r="17" spans="1:41" ht="15.75" customHeight="1" thickBot="1" x14ac:dyDescent="0.25">
      <c r="C17" s="44">
        <v>4</v>
      </c>
      <c r="G17" s="288">
        <v>1</v>
      </c>
      <c r="H17" s="305"/>
      <c r="I17" s="42"/>
      <c r="M17" s="288">
        <v>1</v>
      </c>
      <c r="N17" s="305"/>
      <c r="O17" s="42"/>
      <c r="S17" s="288">
        <v>1</v>
      </c>
      <c r="T17" s="305"/>
      <c r="U17" s="42"/>
      <c r="Y17" s="288">
        <v>1</v>
      </c>
      <c r="Z17" s="305"/>
      <c r="AA17" s="42"/>
      <c r="AB17" s="517">
        <f>IF(C17&gt;$E$5,0,H17+N17+T17+Z17)</f>
        <v>0</v>
      </c>
    </row>
    <row r="18" spans="1:41" ht="13.5" thickBot="1" x14ac:dyDescent="0.25">
      <c r="C18" s="45"/>
      <c r="H18" s="36"/>
      <c r="I18" s="42"/>
      <c r="N18" s="36"/>
      <c r="O18" s="42"/>
      <c r="T18" s="36"/>
      <c r="U18" s="42"/>
      <c r="Z18" s="36"/>
      <c r="AA18" s="42"/>
      <c r="AF18" s="466"/>
    </row>
    <row r="19" spans="1:41" ht="15.75" customHeight="1" thickBot="1" x14ac:dyDescent="0.25">
      <c r="C19" s="44">
        <v>5</v>
      </c>
      <c r="G19" s="288">
        <v>1</v>
      </c>
      <c r="H19" s="305"/>
      <c r="I19" s="42"/>
      <c r="M19" s="288">
        <v>1</v>
      </c>
      <c r="N19" s="305"/>
      <c r="O19" s="42"/>
      <c r="S19" s="288">
        <v>1</v>
      </c>
      <c r="T19" s="305"/>
      <c r="U19" s="42"/>
      <c r="Y19" s="288">
        <v>1</v>
      </c>
      <c r="Z19" s="305"/>
      <c r="AA19" s="42"/>
      <c r="AB19" s="479">
        <f>IF(C19&gt;$E$5,0,H19+N19+T19+Z19)</f>
        <v>0</v>
      </c>
      <c r="AC19" s="336" t="s">
        <v>160</v>
      </c>
      <c r="AF19" s="467"/>
    </row>
    <row r="20" spans="1:41" ht="13.5" thickBot="1" x14ac:dyDescent="0.25">
      <c r="C20" s="45"/>
      <c r="H20" s="36"/>
      <c r="I20" s="42"/>
      <c r="N20" s="36"/>
      <c r="O20" s="42"/>
      <c r="T20" s="36"/>
      <c r="U20" s="42"/>
      <c r="Z20" s="36"/>
      <c r="AA20" s="42"/>
      <c r="AC20" s="336" t="s">
        <v>162</v>
      </c>
      <c r="AF20" s="467"/>
    </row>
    <row r="21" spans="1:41" ht="15.75" customHeight="1" thickBot="1" x14ac:dyDescent="0.25">
      <c r="C21" s="44">
        <v>6</v>
      </c>
      <c r="G21" s="288">
        <v>1</v>
      </c>
      <c r="H21" s="305"/>
      <c r="I21" s="42"/>
      <c r="M21" s="288">
        <v>1</v>
      </c>
      <c r="N21" s="305"/>
      <c r="O21" s="42"/>
      <c r="S21" s="288">
        <v>1</v>
      </c>
      <c r="T21" s="305"/>
      <c r="U21" s="42"/>
      <c r="Y21" s="288">
        <v>1</v>
      </c>
      <c r="Z21" s="305"/>
      <c r="AA21" s="42"/>
      <c r="AB21" s="479">
        <f>IF(C21&gt;$E$5,0,H21+N21+T21+Z21)</f>
        <v>0</v>
      </c>
      <c r="AE21" s="50" t="s">
        <v>161</v>
      </c>
      <c r="AF21" s="50"/>
      <c r="AH21" s="457"/>
      <c r="AI21" s="458"/>
      <c r="AN21" t="str">
        <f>IF(SUM(AM24:AM51)&lt;=0,"",IF(SUM(AM24:AM51)&gt;=999,"NP/OL",SUM(AM24:AM51)))</f>
        <v/>
      </c>
    </row>
    <row r="22" spans="1:41" ht="13.5" thickBot="1" x14ac:dyDescent="0.25">
      <c r="C22" s="237"/>
      <c r="D22" s="46"/>
      <c r="E22" s="46"/>
      <c r="F22" s="46"/>
      <c r="G22" s="47"/>
      <c r="H22" s="238"/>
      <c r="I22" s="3"/>
      <c r="J22" s="46"/>
      <c r="K22" s="46"/>
      <c r="L22" s="46"/>
      <c r="M22" s="47"/>
      <c r="N22" s="238"/>
      <c r="O22" s="3"/>
      <c r="P22" s="46"/>
      <c r="Q22" s="46"/>
      <c r="R22" s="46"/>
      <c r="S22" s="47"/>
      <c r="T22" s="238"/>
      <c r="U22" s="3"/>
      <c r="V22" s="46"/>
      <c r="W22" s="46"/>
      <c r="X22" s="46"/>
      <c r="Y22" s="47"/>
      <c r="Z22" s="238"/>
      <c r="AA22" s="3"/>
      <c r="AB22" s="518" t="s">
        <v>31</v>
      </c>
      <c r="AC22" s="473" t="s">
        <v>83</v>
      </c>
      <c r="AD22" s="326" t="s">
        <v>141</v>
      </c>
      <c r="AE22" s="326" t="s">
        <v>142</v>
      </c>
      <c r="AF22" s="327" t="s">
        <v>144</v>
      </c>
      <c r="AH22" s="457"/>
      <c r="AI22" s="458"/>
    </row>
    <row r="23" spans="1:41" x14ac:dyDescent="0.2">
      <c r="Q23" s="363" t="s">
        <v>185</v>
      </c>
      <c r="R23" s="363"/>
      <c r="S23" s="50"/>
      <c r="T23" s="363"/>
      <c r="U23" s="363"/>
      <c r="V23" s="363"/>
      <c r="W23" s="535">
        <f>SUM(AB11,AB13,AB15,AB17,AB19,AB21)</f>
        <v>0</v>
      </c>
      <c r="X23" s="535"/>
      <c r="Y23" s="535"/>
      <c r="Z23" s="535"/>
      <c r="AB23" s="470" t="s">
        <v>218</v>
      </c>
      <c r="AC23" s="474" t="str">
        <f>Info!BB39</f>
        <v/>
      </c>
      <c r="AD23" s="328" t="str">
        <f>Info!BA39</f>
        <v/>
      </c>
      <c r="AE23" s="331" t="str">
        <f>Info!BD39</f>
        <v/>
      </c>
      <c r="AF23" s="364">
        <f>Info!AZ39</f>
        <v>0</v>
      </c>
      <c r="AH23" s="457"/>
      <c r="AI23" s="458"/>
      <c r="AM23" s="213">
        <f>MAX(AN23:AO23)</f>
        <v>0</v>
      </c>
      <c r="AN23" s="459">
        <f>IF(OR(AE23="",AE23="UL"),0,IF(AE23="NP",999,AF23/AE23))</f>
        <v>0</v>
      </c>
      <c r="AO23" s="459">
        <f>IF(AF23&gt;AE23,999,0)</f>
        <v>0</v>
      </c>
    </row>
    <row r="24" spans="1:41" x14ac:dyDescent="0.2">
      <c r="A24" s="336" t="s">
        <v>163</v>
      </c>
      <c r="B24" s="29"/>
      <c r="C24" s="1"/>
      <c r="K24" s="321" t="s">
        <v>146</v>
      </c>
      <c r="L24" s="322"/>
      <c r="M24" s="322"/>
      <c r="N24" s="323" t="s">
        <v>184</v>
      </c>
      <c r="O24" s="322"/>
      <c r="P24" s="322"/>
      <c r="Q24" s="322"/>
      <c r="R24" s="322"/>
      <c r="S24" s="322"/>
      <c r="T24" s="321" t="s">
        <v>149</v>
      </c>
      <c r="U24" s="323" t="s">
        <v>153</v>
      </c>
      <c r="V24" s="322"/>
      <c r="W24" s="322"/>
      <c r="X24" s="322"/>
      <c r="Y24" s="322"/>
      <c r="Z24" s="322"/>
      <c r="AB24" s="471" t="s">
        <v>221</v>
      </c>
      <c r="AC24" s="475" t="str">
        <f>Info!BB40</f>
        <v/>
      </c>
      <c r="AD24" s="329" t="str">
        <f>Info!BA40</f>
        <v/>
      </c>
      <c r="AE24" s="332" t="str">
        <f>Info!BD40</f>
        <v/>
      </c>
      <c r="AF24" s="365">
        <f>Info!AZ40</f>
        <v>0</v>
      </c>
      <c r="AH24" s="457"/>
      <c r="AI24" s="458"/>
      <c r="AM24" s="213">
        <f t="shared" ref="AM24:AM51" si="0">MAX(AN24:AO24)</f>
        <v>0</v>
      </c>
      <c r="AN24" s="460">
        <f>IF(OR(AE24="",AE24=0,AE24="UL"),0,IF(AE24="NP",999,AF24/AE24))</f>
        <v>0</v>
      </c>
      <c r="AO24" s="459">
        <f>IF(AF24&gt;AE24,999,0)</f>
        <v>0</v>
      </c>
    </row>
    <row r="25" spans="1:41" ht="13.5" thickBot="1" x14ac:dyDescent="0.25">
      <c r="K25" s="321" t="s">
        <v>147</v>
      </c>
      <c r="L25" s="322"/>
      <c r="M25" s="322"/>
      <c r="N25" s="323" t="s">
        <v>151</v>
      </c>
      <c r="O25" s="322"/>
      <c r="P25" s="322"/>
      <c r="Q25" s="322"/>
      <c r="R25" s="322"/>
      <c r="S25" s="322"/>
      <c r="T25" s="321" t="s">
        <v>154</v>
      </c>
      <c r="U25" s="323" t="s">
        <v>155</v>
      </c>
      <c r="V25" s="322"/>
      <c r="W25" s="322"/>
      <c r="X25" s="322"/>
      <c r="Y25" s="322"/>
      <c r="Z25" s="322"/>
      <c r="AB25" s="477">
        <f>IF(AH25&gt;0,"NP",SUM(AB29,AB33,AB37,AB41,AB45,AB49))</f>
        <v>0</v>
      </c>
      <c r="AC25" s="475" t="str">
        <f>Info!BB41</f>
        <v/>
      </c>
      <c r="AD25" s="329" t="str">
        <f>Info!BA41</f>
        <v/>
      </c>
      <c r="AE25" s="332" t="str">
        <f>Info!BD41</f>
        <v/>
      </c>
      <c r="AF25" s="365">
        <f>Info!AZ41</f>
        <v>0</v>
      </c>
      <c r="AH25" s="468">
        <f>COUNTIF(AH29:AH49,"NP")</f>
        <v>0</v>
      </c>
      <c r="AI25" s="458"/>
      <c r="AM25" s="213">
        <f t="shared" si="0"/>
        <v>0</v>
      </c>
      <c r="AN25" s="460">
        <f t="shared" ref="AN25:AN51" si="1">IF(OR(AE25="",AE25=0,AE25="UL"),0,IF(AE25="NP",999,AF25/AE25))</f>
        <v>0</v>
      </c>
      <c r="AO25" s="459">
        <f t="shared" ref="AO25:AO51" si="2">IF(AF25&gt;AE25,999,0)</f>
        <v>0</v>
      </c>
    </row>
    <row r="26" spans="1:41" ht="13.5" thickBot="1" x14ac:dyDescent="0.25">
      <c r="K26" s="321" t="s">
        <v>148</v>
      </c>
      <c r="L26" s="322"/>
      <c r="M26" s="322"/>
      <c r="N26" s="323" t="s">
        <v>152</v>
      </c>
      <c r="O26" s="322"/>
      <c r="P26" s="322"/>
      <c r="Q26" s="322"/>
      <c r="R26" s="322"/>
      <c r="S26" s="322"/>
      <c r="T26" s="321" t="s">
        <v>150</v>
      </c>
      <c r="U26" s="323" t="s">
        <v>156</v>
      </c>
      <c r="V26" s="322"/>
      <c r="W26" s="322"/>
      <c r="X26" s="322"/>
      <c r="Y26" s="322"/>
      <c r="Z26" s="322"/>
      <c r="AB26" s="469" t="s">
        <v>31</v>
      </c>
      <c r="AC26" s="475" t="str">
        <f>Info!BB42</f>
        <v/>
      </c>
      <c r="AD26" s="329" t="str">
        <f>Info!BA42</f>
        <v/>
      </c>
      <c r="AE26" s="332" t="str">
        <f>Info!BD42</f>
        <v/>
      </c>
      <c r="AF26" s="365">
        <f>Info!AZ42</f>
        <v>0</v>
      </c>
      <c r="AH26" s="457"/>
      <c r="AI26" s="461"/>
      <c r="AM26" s="213">
        <f t="shared" si="0"/>
        <v>0</v>
      </c>
      <c r="AN26" s="460">
        <f t="shared" si="1"/>
        <v>0</v>
      </c>
      <c r="AO26" s="459">
        <f t="shared" si="2"/>
        <v>0</v>
      </c>
    </row>
    <row r="27" spans="1:41" x14ac:dyDescent="0.2">
      <c r="A27" s="320" t="str">
        <f ca="1">IF($AI$3&lt;0,"Ara",IF(AND(A28="Ara",A32="Ara",A36="Ara",A40="Ara",A44="Ara",A48="Ara"),"Ara",0))</f>
        <v>Ara</v>
      </c>
      <c r="B27" s="244"/>
      <c r="C27" s="273" t="str">
        <f>Info!B73</f>
        <v>Result</v>
      </c>
      <c r="D27" s="274" t="str">
        <f>Info!D73</f>
        <v>Result</v>
      </c>
      <c r="E27" s="275" t="str">
        <f>Info!F73</f>
        <v>Permitted</v>
      </c>
      <c r="F27" s="276"/>
      <c r="G27" s="276"/>
      <c r="H27" s="277" t="str">
        <f>Info!E73</f>
        <v>Proposed</v>
      </c>
      <c r="I27" s="278"/>
      <c r="J27" s="274" t="str">
        <f>Info!G73</f>
        <v>Result</v>
      </c>
      <c r="K27" s="275" t="str">
        <f>Info!I73</f>
        <v>Permitted</v>
      </c>
      <c r="L27" s="276"/>
      <c r="M27" s="276"/>
      <c r="N27" s="277" t="str">
        <f>Info!H73</f>
        <v>Proposed</v>
      </c>
      <c r="O27" s="279"/>
      <c r="P27" s="274" t="str">
        <f>Info!J73</f>
        <v>Result</v>
      </c>
      <c r="Q27" s="275" t="str">
        <f>Info!L73</f>
        <v>Permitted</v>
      </c>
      <c r="R27" s="276"/>
      <c r="S27" s="276"/>
      <c r="T27" s="277" t="str">
        <f>Info!K73</f>
        <v>Proposed</v>
      </c>
      <c r="U27" s="279"/>
      <c r="V27" s="274" t="str">
        <f>Info!M73</f>
        <v>Result</v>
      </c>
      <c r="W27" s="275" t="str">
        <f>Info!O73</f>
        <v>Permitted</v>
      </c>
      <c r="X27" s="276"/>
      <c r="Y27" s="276"/>
      <c r="Z27" s="277" t="str">
        <f>Info!N73</f>
        <v>Proposed</v>
      </c>
      <c r="AA27" s="263"/>
      <c r="AB27" s="470" t="s">
        <v>218</v>
      </c>
      <c r="AC27" s="475" t="str">
        <f>Info!BB43</f>
        <v/>
      </c>
      <c r="AD27" s="329" t="str">
        <f>Info!BA43</f>
        <v/>
      </c>
      <c r="AE27" s="332" t="str">
        <f>Info!BD43</f>
        <v/>
      </c>
      <c r="AF27" s="365">
        <f>Info!AZ43</f>
        <v>0</v>
      </c>
      <c r="AH27" s="457"/>
      <c r="AI27" s="462"/>
      <c r="AJ27" s="461" t="s">
        <v>220</v>
      </c>
      <c r="AM27" s="213">
        <f t="shared" si="0"/>
        <v>0</v>
      </c>
      <c r="AN27" s="460">
        <f t="shared" si="1"/>
        <v>0</v>
      </c>
      <c r="AO27" s="459">
        <f t="shared" si="2"/>
        <v>0</v>
      </c>
    </row>
    <row r="28" spans="1:41" x14ac:dyDescent="0.2">
      <c r="A28" s="319" t="str">
        <f ca="1">IF($AI$3&lt;0,"Ara",IF(OR($G$2=1,$E$4&lt;=0,$E$5&lt;1,C28=0),"Ara",0))</f>
        <v>Ara</v>
      </c>
      <c r="B28" s="245"/>
      <c r="C28" s="280" t="str">
        <f>Info!B74</f>
        <v/>
      </c>
      <c r="D28" s="283">
        <f>Info!D74</f>
        <v>0</v>
      </c>
      <c r="E28" s="284">
        <f>Info!F74</f>
        <v>0</v>
      </c>
      <c r="F28" s="285"/>
      <c r="G28" s="285"/>
      <c r="H28" s="286" t="str">
        <f>Info!E74</f>
        <v/>
      </c>
      <c r="I28" s="281"/>
      <c r="J28" s="283">
        <f>Info!G74</f>
        <v>0</v>
      </c>
      <c r="K28" s="284">
        <f>Info!I74</f>
        <v>0</v>
      </c>
      <c r="L28" s="285"/>
      <c r="M28" s="285"/>
      <c r="N28" s="286" t="str">
        <f>Info!H74</f>
        <v/>
      </c>
      <c r="O28" s="282"/>
      <c r="P28" s="283">
        <f>Info!J74</f>
        <v>0</v>
      </c>
      <c r="Q28" s="284">
        <f>Info!L74</f>
        <v>0</v>
      </c>
      <c r="R28" s="285"/>
      <c r="S28" s="285"/>
      <c r="T28" s="286" t="str">
        <f>Info!K74</f>
        <v/>
      </c>
      <c r="U28" s="282"/>
      <c r="V28" s="283">
        <f>Info!M74</f>
        <v>0</v>
      </c>
      <c r="W28" s="284">
        <f>Info!O74</f>
        <v>0</v>
      </c>
      <c r="X28" s="285"/>
      <c r="Y28" s="285"/>
      <c r="Z28" s="286" t="str">
        <f>Info!N74</f>
        <v/>
      </c>
      <c r="AA28" s="246"/>
      <c r="AB28" s="471" t="s">
        <v>219</v>
      </c>
      <c r="AC28" s="475" t="str">
        <f>Info!BB44</f>
        <v/>
      </c>
      <c r="AD28" s="329" t="str">
        <f>Info!BA44</f>
        <v/>
      </c>
      <c r="AE28" s="332" t="str">
        <f>Info!BD44</f>
        <v/>
      </c>
      <c r="AF28" s="365">
        <f>Info!AZ44</f>
        <v>0</v>
      </c>
      <c r="AH28" s="457"/>
      <c r="AI28" s="458"/>
      <c r="AM28" s="213">
        <f t="shared" si="0"/>
        <v>0</v>
      </c>
      <c r="AN28" s="460">
        <f t="shared" si="1"/>
        <v>0</v>
      </c>
      <c r="AO28" s="459">
        <f t="shared" si="2"/>
        <v>0</v>
      </c>
    </row>
    <row r="29" spans="1:41" x14ac:dyDescent="0.2">
      <c r="A29" s="270" t="str">
        <f>Info!A75</f>
        <v/>
      </c>
      <c r="B29" s="264"/>
      <c r="C29" s="264">
        <f>Info!B75</f>
        <v>0</v>
      </c>
      <c r="D29" s="265" t="str">
        <f>Info!D75</f>
        <v/>
      </c>
      <c r="E29" s="266">
        <f>Info!F75</f>
        <v>0</v>
      </c>
      <c r="F29" s="266"/>
      <c r="G29" s="266"/>
      <c r="H29" s="267">
        <f>Info!E75</f>
        <v>0</v>
      </c>
      <c r="I29" s="268"/>
      <c r="J29" s="265" t="str">
        <f>Info!G75</f>
        <v/>
      </c>
      <c r="K29" s="266">
        <f>Info!I75</f>
        <v>0</v>
      </c>
      <c r="L29" s="266"/>
      <c r="M29" s="266"/>
      <c r="N29" s="267">
        <f>Info!H75</f>
        <v>0</v>
      </c>
      <c r="O29" s="268"/>
      <c r="P29" s="265" t="str">
        <f>Info!J75</f>
        <v/>
      </c>
      <c r="Q29" s="266">
        <f>Info!L75</f>
        <v>0</v>
      </c>
      <c r="R29" s="266"/>
      <c r="S29" s="266"/>
      <c r="T29" s="267">
        <f>Info!K75</f>
        <v>0</v>
      </c>
      <c r="U29" s="268"/>
      <c r="V29" s="265" t="str">
        <f>Info!M75</f>
        <v/>
      </c>
      <c r="W29" s="266">
        <f>Info!O75</f>
        <v>0</v>
      </c>
      <c r="X29" s="266"/>
      <c r="Y29" s="266"/>
      <c r="Z29" s="267">
        <f>Info!N75</f>
        <v>0</v>
      </c>
      <c r="AA29" s="269"/>
      <c r="AB29" s="478" t="str">
        <f>AH29</f>
        <v/>
      </c>
      <c r="AC29" s="475" t="str">
        <f>Info!BB45</f>
        <v/>
      </c>
      <c r="AD29" s="329" t="str">
        <f>Info!BA45</f>
        <v/>
      </c>
      <c r="AE29" s="332" t="str">
        <f>Info!BD45</f>
        <v/>
      </c>
      <c r="AF29" s="365">
        <f>Info!AZ45</f>
        <v>0</v>
      </c>
      <c r="AH29" s="463" t="str">
        <f>IF(SUM(AI29:AL29)&lt;=0,"",IF(SUM(AI29:AL29)&gt;=999,"NP",SUM(AI29:AL29)))</f>
        <v/>
      </c>
      <c r="AI29" s="464">
        <f>IF(E29="NP",999,IF(OR(E29="UL",E29=0,E29=""),0,H29/E29))</f>
        <v>0</v>
      </c>
      <c r="AJ29" s="464">
        <f>IF(K29="NP",999,IF(OR(K29="UL",K29=0,K29=""),0,N29/K29))</f>
        <v>0</v>
      </c>
      <c r="AK29" s="464">
        <f>IF(Q29="NP",999,IF(OR(Q29="UL",Q29=0,Q29=""),0,T29/Q29))</f>
        <v>0</v>
      </c>
      <c r="AL29" s="464">
        <f>IF(W29="NP",999,IF(OR(W29="UL",W29=0,W29=""),0,Z29/W29))</f>
        <v>0</v>
      </c>
      <c r="AM29" s="213">
        <f t="shared" si="0"/>
        <v>0</v>
      </c>
      <c r="AN29" s="460">
        <f t="shared" si="1"/>
        <v>0</v>
      </c>
      <c r="AO29" s="459">
        <f t="shared" si="2"/>
        <v>0</v>
      </c>
    </row>
    <row r="30" spans="1:41" x14ac:dyDescent="0.2">
      <c r="A30" s="271" t="str">
        <f>Info!A76</f>
        <v/>
      </c>
      <c r="B30" s="249"/>
      <c r="C30" s="249">
        <f>Info!B76</f>
        <v>0</v>
      </c>
      <c r="D30" s="256">
        <f>Info!D76</f>
        <v>0</v>
      </c>
      <c r="E30" s="257">
        <f>Info!F76</f>
        <v>0</v>
      </c>
      <c r="F30" s="258"/>
      <c r="G30" s="258"/>
      <c r="H30" s="259">
        <f>Info!E76</f>
        <v>0</v>
      </c>
      <c r="I30" s="250"/>
      <c r="J30" s="256">
        <f>Info!G76</f>
        <v>0</v>
      </c>
      <c r="K30" s="257">
        <f>Info!I76</f>
        <v>0</v>
      </c>
      <c r="L30" s="258"/>
      <c r="M30" s="258"/>
      <c r="N30" s="259">
        <f>Info!H76</f>
        <v>0</v>
      </c>
      <c r="O30" s="251"/>
      <c r="P30" s="256">
        <f>Info!J76</f>
        <v>0</v>
      </c>
      <c r="Q30" s="257">
        <f>Info!L76</f>
        <v>0</v>
      </c>
      <c r="R30" s="258"/>
      <c r="S30" s="258"/>
      <c r="T30" s="259">
        <f>Info!K76</f>
        <v>0</v>
      </c>
      <c r="U30" s="251"/>
      <c r="V30" s="256">
        <f>Info!M76</f>
        <v>0</v>
      </c>
      <c r="W30" s="257">
        <f>Info!O76</f>
        <v>0</v>
      </c>
      <c r="X30" s="258"/>
      <c r="Y30" s="258"/>
      <c r="Z30" s="259">
        <f>Info!N76</f>
        <v>0</v>
      </c>
      <c r="AA30" s="248"/>
      <c r="AB30" s="456"/>
      <c r="AC30" s="475" t="str">
        <f>Info!BB46</f>
        <v/>
      </c>
      <c r="AD30" s="329" t="str">
        <f>Info!BA46</f>
        <v/>
      </c>
      <c r="AE30" s="332" t="str">
        <f>Info!BD46</f>
        <v/>
      </c>
      <c r="AF30" s="365">
        <f>Info!AZ46</f>
        <v>0</v>
      </c>
      <c r="AH30" s="465"/>
      <c r="AI30" s="458"/>
      <c r="AM30" s="213">
        <f t="shared" si="0"/>
        <v>0</v>
      </c>
      <c r="AN30" s="460">
        <f t="shared" si="1"/>
        <v>0</v>
      </c>
      <c r="AO30" s="459">
        <f t="shared" si="2"/>
        <v>0</v>
      </c>
    </row>
    <row r="31" spans="1:41" ht="13.5" thickBot="1" x14ac:dyDescent="0.25">
      <c r="A31" s="272" t="str">
        <f>Info!A77</f>
        <v/>
      </c>
      <c r="B31" s="253"/>
      <c r="C31" s="253">
        <f>Info!B77</f>
        <v>0</v>
      </c>
      <c r="D31" s="260">
        <f>Info!D77</f>
        <v>0</v>
      </c>
      <c r="E31" s="261">
        <f>Info!F77</f>
        <v>0</v>
      </c>
      <c r="F31" s="316"/>
      <c r="G31" s="316"/>
      <c r="H31" s="262" t="str">
        <f>Info!E77</f>
        <v/>
      </c>
      <c r="I31" s="317"/>
      <c r="J31" s="260">
        <f>Info!G77</f>
        <v>0</v>
      </c>
      <c r="K31" s="261">
        <f>Info!I77</f>
        <v>0</v>
      </c>
      <c r="L31" s="316"/>
      <c r="M31" s="316"/>
      <c r="N31" s="262" t="str">
        <f>Info!H77</f>
        <v/>
      </c>
      <c r="O31" s="254"/>
      <c r="P31" s="260">
        <f>Info!J77</f>
        <v>0</v>
      </c>
      <c r="Q31" s="261">
        <f>Info!L77</f>
        <v>0</v>
      </c>
      <c r="R31" s="316"/>
      <c r="S31" s="316"/>
      <c r="T31" s="262" t="str">
        <f>Info!K77</f>
        <v/>
      </c>
      <c r="U31" s="254"/>
      <c r="V31" s="260">
        <f>Info!M77</f>
        <v>0</v>
      </c>
      <c r="W31" s="261">
        <f>Info!O77</f>
        <v>0</v>
      </c>
      <c r="X31" s="316"/>
      <c r="Y31" s="316"/>
      <c r="Z31" s="262" t="str">
        <f>Info!N77</f>
        <v/>
      </c>
      <c r="AA31" s="255"/>
      <c r="AB31" s="472"/>
      <c r="AC31" s="475" t="str">
        <f>Info!BB47</f>
        <v/>
      </c>
      <c r="AD31" s="329" t="str">
        <f>Info!BA47</f>
        <v/>
      </c>
      <c r="AE31" s="332" t="str">
        <f>Info!BD47</f>
        <v/>
      </c>
      <c r="AF31" s="365">
        <f>Info!AZ47</f>
        <v>0</v>
      </c>
      <c r="AH31" s="465"/>
      <c r="AI31" s="458"/>
      <c r="AM31" s="213">
        <f t="shared" si="0"/>
        <v>0</v>
      </c>
      <c r="AN31" s="460">
        <f t="shared" si="1"/>
        <v>0</v>
      </c>
      <c r="AO31" s="459">
        <f t="shared" si="2"/>
        <v>0</v>
      </c>
    </row>
    <row r="32" spans="1:41" x14ac:dyDescent="0.2">
      <c r="A32" s="319" t="str">
        <f ca="1">IF($AI$3&lt;0,"Ara",IF(OR($G$2=1,$E$4&lt;=0,$E$5&lt;2,C32=0),"Ara",0))</f>
        <v>Ara</v>
      </c>
      <c r="B32" s="307"/>
      <c r="C32" s="308" t="str">
        <f>Info!B78</f>
        <v/>
      </c>
      <c r="D32" s="309">
        <f>Info!D78</f>
        <v>0</v>
      </c>
      <c r="E32" s="310">
        <f>Info!F78</f>
        <v>0</v>
      </c>
      <c r="F32" s="311"/>
      <c r="G32" s="311"/>
      <c r="H32" s="312" t="str">
        <f>Info!E78</f>
        <v/>
      </c>
      <c r="I32" s="313"/>
      <c r="J32" s="309">
        <f>Info!G78</f>
        <v>0</v>
      </c>
      <c r="K32" s="310">
        <f>Info!I78</f>
        <v>0</v>
      </c>
      <c r="L32" s="311"/>
      <c r="M32" s="311"/>
      <c r="N32" s="312" t="str">
        <f>Info!H78</f>
        <v/>
      </c>
      <c r="O32" s="314"/>
      <c r="P32" s="309">
        <f>Info!J78</f>
        <v>0</v>
      </c>
      <c r="Q32" s="318">
        <f>Info!L78</f>
        <v>0</v>
      </c>
      <c r="R32" s="311"/>
      <c r="S32" s="311"/>
      <c r="T32" s="312" t="str">
        <f>Info!K78</f>
        <v/>
      </c>
      <c r="U32" s="314"/>
      <c r="V32" s="309">
        <f>Info!M78</f>
        <v>0</v>
      </c>
      <c r="W32" s="310">
        <f>Info!O78</f>
        <v>0</v>
      </c>
      <c r="X32" s="311"/>
      <c r="Y32" s="311"/>
      <c r="Z32" s="312" t="str">
        <f>Info!N78</f>
        <v/>
      </c>
      <c r="AA32" s="315"/>
      <c r="AB32" s="456"/>
      <c r="AC32" s="475" t="str">
        <f>Info!BB48</f>
        <v/>
      </c>
      <c r="AD32" s="329" t="str">
        <f>Info!BA48</f>
        <v/>
      </c>
      <c r="AE32" s="332" t="str">
        <f>Info!BD48</f>
        <v/>
      </c>
      <c r="AF32" s="365">
        <f>Info!AZ48</f>
        <v>0</v>
      </c>
      <c r="AH32" s="465"/>
      <c r="AI32" s="458"/>
      <c r="AM32" s="213">
        <f t="shared" si="0"/>
        <v>0</v>
      </c>
      <c r="AN32" s="460">
        <f t="shared" si="1"/>
        <v>0</v>
      </c>
      <c r="AO32" s="459">
        <f t="shared" si="2"/>
        <v>0</v>
      </c>
    </row>
    <row r="33" spans="1:41" x14ac:dyDescent="0.2">
      <c r="A33" s="270" t="str">
        <f>Info!A79</f>
        <v/>
      </c>
      <c r="B33" s="264"/>
      <c r="C33" s="264">
        <f>Info!B79</f>
        <v>0</v>
      </c>
      <c r="D33" s="265" t="str">
        <f>Info!D79</f>
        <v/>
      </c>
      <c r="E33" s="266">
        <f>Info!F79</f>
        <v>0</v>
      </c>
      <c r="F33" s="266"/>
      <c r="G33" s="266"/>
      <c r="H33" s="267">
        <f>Info!E79</f>
        <v>0</v>
      </c>
      <c r="I33" s="268"/>
      <c r="J33" s="265" t="str">
        <f>Info!G79</f>
        <v/>
      </c>
      <c r="K33" s="266">
        <f>Info!I79</f>
        <v>0</v>
      </c>
      <c r="L33" s="266"/>
      <c r="M33" s="266"/>
      <c r="N33" s="267">
        <f>Info!H79</f>
        <v>0</v>
      </c>
      <c r="O33" s="268"/>
      <c r="P33" s="265" t="str">
        <f>Info!J79</f>
        <v/>
      </c>
      <c r="Q33" s="266">
        <f>Info!L79</f>
        <v>0</v>
      </c>
      <c r="R33" s="266"/>
      <c r="S33" s="266"/>
      <c r="T33" s="267">
        <f>Info!K79</f>
        <v>0</v>
      </c>
      <c r="U33" s="268"/>
      <c r="V33" s="265" t="str">
        <f>Info!M79</f>
        <v/>
      </c>
      <c r="W33" s="266">
        <f>Info!O79</f>
        <v>0</v>
      </c>
      <c r="X33" s="266"/>
      <c r="Y33" s="266"/>
      <c r="Z33" s="267">
        <f>Info!N79</f>
        <v>0</v>
      </c>
      <c r="AA33" s="269"/>
      <c r="AB33" s="478" t="str">
        <f>AH33</f>
        <v/>
      </c>
      <c r="AC33" s="475" t="str">
        <f>Info!BB49</f>
        <v/>
      </c>
      <c r="AD33" s="329" t="str">
        <f>Info!BA49</f>
        <v/>
      </c>
      <c r="AE33" s="332" t="str">
        <f>Info!BD49</f>
        <v/>
      </c>
      <c r="AF33" s="365">
        <f>Info!AZ49</f>
        <v>0</v>
      </c>
      <c r="AH33" s="463" t="str">
        <f>IF(SUM(AI33:AL33)&lt;=0,"",IF(SUM(AI33:AL33)&gt;=999,"NP",SUM(AI33:AL33)))</f>
        <v/>
      </c>
      <c r="AI33" s="464">
        <f>IF(E33="NP",999,IF(OR(E33="UL",E33=0,E33=""),0,H33/E33))</f>
        <v>0</v>
      </c>
      <c r="AJ33" s="464">
        <f>IF(K33="NP",999,IF(OR(K33="UL",K33=0,K33=""),0,N33/K33))</f>
        <v>0</v>
      </c>
      <c r="AK33" s="464">
        <f>IF(Q33="NP",999,IF(OR(Q33="UL",Q33=0,Q33=""),0,T33/Q33))</f>
        <v>0</v>
      </c>
      <c r="AL33" s="464">
        <f>IF(W33="NP",999,IF(OR(W33="UL",W33=0,W33=""),0,Z33/W33))</f>
        <v>0</v>
      </c>
      <c r="AM33" s="213">
        <f t="shared" si="0"/>
        <v>0</v>
      </c>
      <c r="AN33" s="460">
        <f t="shared" si="1"/>
        <v>0</v>
      </c>
      <c r="AO33" s="459">
        <f t="shared" si="2"/>
        <v>0</v>
      </c>
    </row>
    <row r="34" spans="1:41" x14ac:dyDescent="0.2">
      <c r="A34" s="271" t="str">
        <f>Info!A80</f>
        <v/>
      </c>
      <c r="B34" s="249"/>
      <c r="C34" s="249">
        <f>Info!B80</f>
        <v>0</v>
      </c>
      <c r="D34" s="256">
        <f>Info!D80</f>
        <v>0</v>
      </c>
      <c r="E34" s="257">
        <f>Info!F80</f>
        <v>0</v>
      </c>
      <c r="F34" s="258"/>
      <c r="G34" s="258"/>
      <c r="H34" s="259">
        <f>Info!E80</f>
        <v>0</v>
      </c>
      <c r="I34" s="250"/>
      <c r="J34" s="256">
        <f>Info!G80</f>
        <v>0</v>
      </c>
      <c r="K34" s="257">
        <f>Info!I80</f>
        <v>0</v>
      </c>
      <c r="L34" s="258"/>
      <c r="M34" s="258"/>
      <c r="N34" s="259">
        <f>Info!H80</f>
        <v>0</v>
      </c>
      <c r="O34" s="251"/>
      <c r="P34" s="256">
        <f>Info!J80</f>
        <v>0</v>
      </c>
      <c r="Q34" s="257">
        <f>Info!L80</f>
        <v>0</v>
      </c>
      <c r="R34" s="258"/>
      <c r="S34" s="258"/>
      <c r="T34" s="259">
        <f>Info!K80</f>
        <v>0</v>
      </c>
      <c r="U34" s="251"/>
      <c r="V34" s="256">
        <f>Info!M80</f>
        <v>0</v>
      </c>
      <c r="W34" s="257">
        <f>Info!O80</f>
        <v>0</v>
      </c>
      <c r="X34" s="258"/>
      <c r="Y34" s="258"/>
      <c r="Z34" s="259">
        <f>Info!N80</f>
        <v>0</v>
      </c>
      <c r="AA34" s="248"/>
      <c r="AB34" s="456"/>
      <c r="AC34" s="475" t="str">
        <f>Info!BB50</f>
        <v/>
      </c>
      <c r="AD34" s="329" t="str">
        <f>Info!BA50</f>
        <v/>
      </c>
      <c r="AE34" s="332" t="str">
        <f>Info!BD50</f>
        <v/>
      </c>
      <c r="AF34" s="365">
        <f>Info!AZ50</f>
        <v>0</v>
      </c>
      <c r="AH34" s="465"/>
      <c r="AI34" s="458"/>
      <c r="AM34" s="213">
        <f t="shared" si="0"/>
        <v>0</v>
      </c>
      <c r="AN34" s="460">
        <f t="shared" si="1"/>
        <v>0</v>
      </c>
      <c r="AO34" s="459">
        <f t="shared" si="2"/>
        <v>0</v>
      </c>
    </row>
    <row r="35" spans="1:41" ht="13.5" thickBot="1" x14ac:dyDescent="0.25">
      <c r="A35" s="272" t="str">
        <f>Info!A81</f>
        <v/>
      </c>
      <c r="B35" s="253"/>
      <c r="C35" s="253">
        <f>Info!B81</f>
        <v>0</v>
      </c>
      <c r="D35" s="260">
        <f>Info!D81</f>
        <v>0</v>
      </c>
      <c r="E35" s="261">
        <f>Info!F81</f>
        <v>0</v>
      </c>
      <c r="F35" s="316"/>
      <c r="G35" s="316"/>
      <c r="H35" s="262" t="str">
        <f>Info!E81</f>
        <v/>
      </c>
      <c r="I35" s="317"/>
      <c r="J35" s="260">
        <f>Info!G81</f>
        <v>0</v>
      </c>
      <c r="K35" s="261">
        <f>Info!I81</f>
        <v>0</v>
      </c>
      <c r="L35" s="316"/>
      <c r="M35" s="316"/>
      <c r="N35" s="262" t="str">
        <f>Info!H81</f>
        <v/>
      </c>
      <c r="O35" s="254"/>
      <c r="P35" s="260">
        <f>Info!J81</f>
        <v>0</v>
      </c>
      <c r="Q35" s="261">
        <f>Info!L81</f>
        <v>0</v>
      </c>
      <c r="R35" s="316"/>
      <c r="S35" s="316"/>
      <c r="T35" s="262" t="str">
        <f>Info!K81</f>
        <v/>
      </c>
      <c r="U35" s="254"/>
      <c r="V35" s="260">
        <f>Info!M81</f>
        <v>0</v>
      </c>
      <c r="W35" s="261">
        <f>Info!O81</f>
        <v>0</v>
      </c>
      <c r="X35" s="316"/>
      <c r="Y35" s="316"/>
      <c r="Z35" s="262" t="str">
        <f>Info!N81</f>
        <v/>
      </c>
      <c r="AA35" s="255"/>
      <c r="AB35" s="472"/>
      <c r="AC35" s="475" t="str">
        <f>Info!BB51</f>
        <v/>
      </c>
      <c r="AD35" s="329" t="str">
        <f>Info!BA51</f>
        <v/>
      </c>
      <c r="AE35" s="332" t="str">
        <f>Info!BD51</f>
        <v/>
      </c>
      <c r="AF35" s="365">
        <f>Info!AZ51</f>
        <v>0</v>
      </c>
      <c r="AH35" s="465"/>
      <c r="AI35" s="458"/>
      <c r="AM35" s="213">
        <f t="shared" si="0"/>
        <v>0</v>
      </c>
      <c r="AN35" s="460">
        <f t="shared" si="1"/>
        <v>0</v>
      </c>
      <c r="AO35" s="459">
        <f t="shared" si="2"/>
        <v>0</v>
      </c>
    </row>
    <row r="36" spans="1:41" x14ac:dyDescent="0.2">
      <c r="A36" s="319" t="str">
        <f ca="1">IF($AI$3&lt;0,"Ara",IF(OR($G$2=1,$E$4&lt;=0,$E$5&lt;3,C36=0),"Ara",0))</f>
        <v>Ara</v>
      </c>
      <c r="B36" s="307"/>
      <c r="C36" s="308" t="str">
        <f>Info!B82</f>
        <v/>
      </c>
      <c r="D36" s="309">
        <f>Info!D82</f>
        <v>0</v>
      </c>
      <c r="E36" s="310">
        <f>Info!F82</f>
        <v>0</v>
      </c>
      <c r="F36" s="311"/>
      <c r="G36" s="311"/>
      <c r="H36" s="312" t="str">
        <f>Info!E82</f>
        <v/>
      </c>
      <c r="I36" s="313"/>
      <c r="J36" s="309">
        <f>Info!G82</f>
        <v>0</v>
      </c>
      <c r="K36" s="310">
        <f>Info!I82</f>
        <v>0</v>
      </c>
      <c r="L36" s="311"/>
      <c r="M36" s="311"/>
      <c r="N36" s="312" t="str">
        <f>Info!H82</f>
        <v/>
      </c>
      <c r="O36" s="314"/>
      <c r="P36" s="309">
        <f>Info!J82</f>
        <v>0</v>
      </c>
      <c r="Q36" s="310">
        <f>Info!L82</f>
        <v>0</v>
      </c>
      <c r="R36" s="311"/>
      <c r="S36" s="311"/>
      <c r="T36" s="312" t="str">
        <f>Info!K82</f>
        <v/>
      </c>
      <c r="U36" s="314"/>
      <c r="V36" s="309">
        <f>Info!M82</f>
        <v>0</v>
      </c>
      <c r="W36" s="310">
        <f>Info!O82</f>
        <v>0</v>
      </c>
      <c r="X36" s="311"/>
      <c r="Y36" s="311"/>
      <c r="Z36" s="312" t="str">
        <f>Info!N82</f>
        <v/>
      </c>
      <c r="AA36" s="315"/>
      <c r="AB36" s="456"/>
      <c r="AC36" s="475" t="str">
        <f>Info!BB52</f>
        <v/>
      </c>
      <c r="AD36" s="329" t="str">
        <f>Info!BA52</f>
        <v/>
      </c>
      <c r="AE36" s="332" t="str">
        <f>Info!BD52</f>
        <v/>
      </c>
      <c r="AF36" s="365">
        <f>Info!AZ52</f>
        <v>0</v>
      </c>
      <c r="AH36" s="465"/>
      <c r="AI36" s="458"/>
      <c r="AM36" s="213">
        <f t="shared" si="0"/>
        <v>0</v>
      </c>
      <c r="AN36" s="460">
        <f t="shared" si="1"/>
        <v>0</v>
      </c>
      <c r="AO36" s="459">
        <f t="shared" si="2"/>
        <v>0</v>
      </c>
    </row>
    <row r="37" spans="1:41" x14ac:dyDescent="0.2">
      <c r="A37" s="270" t="str">
        <f>Info!A83</f>
        <v/>
      </c>
      <c r="B37" s="264"/>
      <c r="C37" s="264">
        <f>Info!B83</f>
        <v>0</v>
      </c>
      <c r="D37" s="265" t="str">
        <f>Info!D83</f>
        <v/>
      </c>
      <c r="E37" s="266">
        <f>Info!F83</f>
        <v>0</v>
      </c>
      <c r="F37" s="266"/>
      <c r="G37" s="266"/>
      <c r="H37" s="267">
        <f>Info!E83</f>
        <v>0</v>
      </c>
      <c r="I37" s="268"/>
      <c r="J37" s="265" t="str">
        <f>Info!G83</f>
        <v/>
      </c>
      <c r="K37" s="266">
        <f>Info!I83</f>
        <v>0</v>
      </c>
      <c r="L37" s="266"/>
      <c r="M37" s="266"/>
      <c r="N37" s="267">
        <f>Info!H83</f>
        <v>0</v>
      </c>
      <c r="O37" s="268"/>
      <c r="P37" s="265" t="str">
        <f>Info!J83</f>
        <v/>
      </c>
      <c r="Q37" s="266">
        <f>Info!L83</f>
        <v>0</v>
      </c>
      <c r="R37" s="266"/>
      <c r="S37" s="266"/>
      <c r="T37" s="267">
        <f>Info!K83</f>
        <v>0</v>
      </c>
      <c r="U37" s="268"/>
      <c r="V37" s="265" t="str">
        <f>Info!M83</f>
        <v/>
      </c>
      <c r="W37" s="266">
        <f>Info!O83</f>
        <v>0</v>
      </c>
      <c r="X37" s="266"/>
      <c r="Y37" s="266"/>
      <c r="Z37" s="267">
        <f>Info!N83</f>
        <v>0</v>
      </c>
      <c r="AA37" s="269"/>
      <c r="AB37" s="478" t="str">
        <f>AH37</f>
        <v/>
      </c>
      <c r="AC37" s="475" t="str">
        <f>Info!BB53</f>
        <v/>
      </c>
      <c r="AD37" s="329" t="str">
        <f>Info!BA53</f>
        <v/>
      </c>
      <c r="AE37" s="332" t="str">
        <f>Info!BD53</f>
        <v/>
      </c>
      <c r="AF37" s="365">
        <f>Info!AZ53</f>
        <v>0</v>
      </c>
      <c r="AH37" s="463" t="str">
        <f>IF(SUM(AI37:AL37)&lt;=0,"",IF(SUM(AI37:AL37)&gt;=999,"NP",SUM(AI37:AL37)))</f>
        <v/>
      </c>
      <c r="AI37" s="464">
        <f>IF(E37="NP",999,IF(OR(E37="UL",E37=0,E37=""),0,H37/E37))</f>
        <v>0</v>
      </c>
      <c r="AJ37" s="464">
        <f>IF(K37="NP",999,IF(OR(K37="UL",K37=0,K37=""),0,N37/K37))</f>
        <v>0</v>
      </c>
      <c r="AK37" s="464">
        <f>IF(Q37="NP",999,IF(OR(Q37="UL",Q37=0,Q37=""),0,T37/Q37))</f>
        <v>0</v>
      </c>
      <c r="AL37" s="464">
        <f>IF(W37="NP",999,IF(OR(W37="UL",W37=0,W37=""),0,Z37/W37))</f>
        <v>0</v>
      </c>
      <c r="AM37" s="213">
        <f t="shared" si="0"/>
        <v>0</v>
      </c>
      <c r="AN37" s="460">
        <f t="shared" si="1"/>
        <v>0</v>
      </c>
      <c r="AO37" s="459">
        <f t="shared" si="2"/>
        <v>0</v>
      </c>
    </row>
    <row r="38" spans="1:41" x14ac:dyDescent="0.2">
      <c r="A38" s="271" t="str">
        <f>Info!A84</f>
        <v/>
      </c>
      <c r="B38" s="249"/>
      <c r="C38" s="249">
        <f>Info!B84</f>
        <v>0</v>
      </c>
      <c r="D38" s="256">
        <f>Info!D84</f>
        <v>0</v>
      </c>
      <c r="E38" s="257">
        <f>Info!F84</f>
        <v>0</v>
      </c>
      <c r="F38" s="258"/>
      <c r="G38" s="258"/>
      <c r="H38" s="259">
        <f>Info!E84</f>
        <v>0</v>
      </c>
      <c r="I38" s="250"/>
      <c r="J38" s="256">
        <f>Info!G84</f>
        <v>0</v>
      </c>
      <c r="K38" s="257">
        <f>Info!I84</f>
        <v>0</v>
      </c>
      <c r="L38" s="258"/>
      <c r="M38" s="258"/>
      <c r="N38" s="259">
        <f>Info!H84</f>
        <v>0</v>
      </c>
      <c r="O38" s="251"/>
      <c r="P38" s="256">
        <f>Info!J84</f>
        <v>0</v>
      </c>
      <c r="Q38" s="257">
        <f>Info!L84</f>
        <v>0</v>
      </c>
      <c r="R38" s="258"/>
      <c r="S38" s="258"/>
      <c r="T38" s="259">
        <f>Info!K84</f>
        <v>0</v>
      </c>
      <c r="U38" s="251"/>
      <c r="V38" s="256">
        <f>Info!M84</f>
        <v>0</v>
      </c>
      <c r="W38" s="257">
        <f>Info!O84</f>
        <v>0</v>
      </c>
      <c r="X38" s="258"/>
      <c r="Y38" s="258"/>
      <c r="Z38" s="259">
        <f>Info!N84</f>
        <v>0</v>
      </c>
      <c r="AA38" s="248"/>
      <c r="AB38" s="456"/>
      <c r="AC38" s="475" t="str">
        <f>Info!BB54</f>
        <v/>
      </c>
      <c r="AD38" s="329" t="str">
        <f>Info!BA54</f>
        <v/>
      </c>
      <c r="AE38" s="332" t="str">
        <f>Info!BD54</f>
        <v/>
      </c>
      <c r="AF38" s="365">
        <f>Info!AZ54</f>
        <v>0</v>
      </c>
      <c r="AH38" s="465"/>
      <c r="AI38" s="458"/>
      <c r="AM38" s="213">
        <f t="shared" si="0"/>
        <v>0</v>
      </c>
      <c r="AN38" s="460">
        <f t="shared" si="1"/>
        <v>0</v>
      </c>
      <c r="AO38" s="459">
        <f t="shared" si="2"/>
        <v>0</v>
      </c>
    </row>
    <row r="39" spans="1:41" ht="13.5" thickBot="1" x14ac:dyDescent="0.25">
      <c r="A39" s="272" t="str">
        <f>Info!A85</f>
        <v/>
      </c>
      <c r="B39" s="253"/>
      <c r="C39" s="253">
        <f>Info!B85</f>
        <v>0</v>
      </c>
      <c r="D39" s="260">
        <f>Info!D85</f>
        <v>0</v>
      </c>
      <c r="E39" s="261">
        <f>Info!F85</f>
        <v>0</v>
      </c>
      <c r="F39" s="316"/>
      <c r="G39" s="316"/>
      <c r="H39" s="262" t="str">
        <f>Info!E85</f>
        <v/>
      </c>
      <c r="I39" s="317"/>
      <c r="J39" s="260">
        <f>Info!G85</f>
        <v>0</v>
      </c>
      <c r="K39" s="261">
        <f>Info!I85</f>
        <v>0</v>
      </c>
      <c r="L39" s="316"/>
      <c r="M39" s="316"/>
      <c r="N39" s="262" t="str">
        <f>Info!H85</f>
        <v/>
      </c>
      <c r="O39" s="254"/>
      <c r="P39" s="260">
        <f>Info!J85</f>
        <v>0</v>
      </c>
      <c r="Q39" s="261">
        <f>Info!L85</f>
        <v>0</v>
      </c>
      <c r="R39" s="316"/>
      <c r="S39" s="316"/>
      <c r="T39" s="262" t="str">
        <f>Info!K85</f>
        <v/>
      </c>
      <c r="U39" s="254"/>
      <c r="V39" s="260">
        <f>Info!M85</f>
        <v>0</v>
      </c>
      <c r="W39" s="261">
        <f>Info!O85</f>
        <v>0</v>
      </c>
      <c r="X39" s="316"/>
      <c r="Y39" s="316"/>
      <c r="Z39" s="262" t="str">
        <f>Info!N85</f>
        <v/>
      </c>
      <c r="AA39" s="255"/>
      <c r="AB39" s="472"/>
      <c r="AC39" s="475" t="str">
        <f>Info!BB55</f>
        <v/>
      </c>
      <c r="AD39" s="329" t="str">
        <f>Info!BA55</f>
        <v/>
      </c>
      <c r="AE39" s="332" t="str">
        <f>Info!BD55</f>
        <v/>
      </c>
      <c r="AF39" s="365">
        <f>Info!AZ55</f>
        <v>0</v>
      </c>
      <c r="AH39" s="465"/>
      <c r="AI39" s="458"/>
      <c r="AM39" s="213">
        <f t="shared" si="0"/>
        <v>0</v>
      </c>
      <c r="AN39" s="460">
        <f t="shared" si="1"/>
        <v>0</v>
      </c>
      <c r="AO39" s="459">
        <f t="shared" si="2"/>
        <v>0</v>
      </c>
    </row>
    <row r="40" spans="1:41" x14ac:dyDescent="0.2">
      <c r="A40" s="319" t="str">
        <f ca="1">IF($AI$3&lt;0,"Ara",IF(OR($G$2=1,$E$4&lt;=0,$E$5&lt;4,C40=0),"Ara",0))</f>
        <v>Ara</v>
      </c>
      <c r="B40" s="307"/>
      <c r="C40" s="308" t="str">
        <f>Info!B86</f>
        <v/>
      </c>
      <c r="D40" s="309">
        <f>Info!D86</f>
        <v>0</v>
      </c>
      <c r="E40" s="310">
        <f>Info!F86</f>
        <v>0</v>
      </c>
      <c r="F40" s="311"/>
      <c r="G40" s="311"/>
      <c r="H40" s="312" t="str">
        <f>Info!E86</f>
        <v/>
      </c>
      <c r="I40" s="313"/>
      <c r="J40" s="309">
        <f>Info!G86</f>
        <v>0</v>
      </c>
      <c r="K40" s="310">
        <f>Info!I86</f>
        <v>0</v>
      </c>
      <c r="L40" s="311"/>
      <c r="M40" s="311"/>
      <c r="N40" s="312" t="str">
        <f>Info!H86</f>
        <v/>
      </c>
      <c r="O40" s="314"/>
      <c r="P40" s="309">
        <f>Info!J86</f>
        <v>0</v>
      </c>
      <c r="Q40" s="310">
        <f>Info!L86</f>
        <v>0</v>
      </c>
      <c r="R40" s="311"/>
      <c r="S40" s="311"/>
      <c r="T40" s="312" t="str">
        <f>Info!K86</f>
        <v/>
      </c>
      <c r="U40" s="314"/>
      <c r="V40" s="309">
        <f>Info!M86</f>
        <v>0</v>
      </c>
      <c r="W40" s="310">
        <f>Info!O86</f>
        <v>0</v>
      </c>
      <c r="X40" s="311"/>
      <c r="Y40" s="311"/>
      <c r="Z40" s="312" t="str">
        <f>Info!N86</f>
        <v/>
      </c>
      <c r="AA40" s="315"/>
      <c r="AB40" s="456"/>
      <c r="AC40" s="475" t="str">
        <f>Info!BB56</f>
        <v/>
      </c>
      <c r="AD40" s="329" t="str">
        <f>Info!BA56</f>
        <v/>
      </c>
      <c r="AE40" s="332" t="str">
        <f>Info!BD56</f>
        <v/>
      </c>
      <c r="AF40" s="365">
        <f>Info!AZ56</f>
        <v>0</v>
      </c>
      <c r="AH40" s="465"/>
      <c r="AI40" s="458"/>
      <c r="AM40" s="213">
        <f t="shared" si="0"/>
        <v>0</v>
      </c>
      <c r="AN40" s="460">
        <f t="shared" si="1"/>
        <v>0</v>
      </c>
      <c r="AO40" s="459">
        <f t="shared" si="2"/>
        <v>0</v>
      </c>
    </row>
    <row r="41" spans="1:41" x14ac:dyDescent="0.2">
      <c r="A41" s="270" t="str">
        <f>Info!A87</f>
        <v/>
      </c>
      <c r="B41" s="264"/>
      <c r="C41" s="264">
        <f>Info!B87</f>
        <v>0</v>
      </c>
      <c r="D41" s="265" t="str">
        <f>Info!D87</f>
        <v/>
      </c>
      <c r="E41" s="266">
        <f>Info!F87</f>
        <v>0</v>
      </c>
      <c r="F41" s="266"/>
      <c r="G41" s="266"/>
      <c r="H41" s="267">
        <f>Info!E87</f>
        <v>0</v>
      </c>
      <c r="I41" s="268"/>
      <c r="J41" s="265" t="str">
        <f>Info!G87</f>
        <v/>
      </c>
      <c r="K41" s="266">
        <f>Info!I87</f>
        <v>0</v>
      </c>
      <c r="L41" s="266"/>
      <c r="M41" s="266"/>
      <c r="N41" s="267">
        <f>Info!H87</f>
        <v>0</v>
      </c>
      <c r="O41" s="268"/>
      <c r="P41" s="265" t="str">
        <f>Info!J87</f>
        <v/>
      </c>
      <c r="Q41" s="266">
        <f>Info!L87</f>
        <v>0</v>
      </c>
      <c r="R41" s="266"/>
      <c r="S41" s="266"/>
      <c r="T41" s="267">
        <f>Info!K87</f>
        <v>0</v>
      </c>
      <c r="U41" s="268"/>
      <c r="V41" s="265" t="str">
        <f>Info!M87</f>
        <v/>
      </c>
      <c r="W41" s="266">
        <f>Info!O87</f>
        <v>0</v>
      </c>
      <c r="X41" s="266"/>
      <c r="Y41" s="266"/>
      <c r="Z41" s="267">
        <f>Info!N87</f>
        <v>0</v>
      </c>
      <c r="AA41" s="269"/>
      <c r="AB41" s="478" t="str">
        <f>AH41</f>
        <v/>
      </c>
      <c r="AC41" s="475" t="str">
        <f>Info!BB57</f>
        <v/>
      </c>
      <c r="AD41" s="329" t="str">
        <f>Info!BA57</f>
        <v/>
      </c>
      <c r="AE41" s="332" t="str">
        <f>Info!BD57</f>
        <v/>
      </c>
      <c r="AF41" s="365">
        <f>Info!AZ57</f>
        <v>0</v>
      </c>
      <c r="AH41" s="463" t="str">
        <f>IF(SUM(AI41:AL41)&lt;=0,"",IF(SUM(AI41:AL41)&gt;=999,"NP",SUM(AI41:AL41)))</f>
        <v/>
      </c>
      <c r="AI41" s="464">
        <f>IF(E41="NP",999,IF(OR(E41="UL",E41=0,E41=""),0,H41/E41))</f>
        <v>0</v>
      </c>
      <c r="AJ41" s="464">
        <f>IF(K41="NP",999,IF(OR(K41="UL",K41=0,K41=""),0,N41/K41))</f>
        <v>0</v>
      </c>
      <c r="AK41" s="464">
        <f>IF(Q41="NP",999,IF(OR(Q41="UL",Q41=0,Q41=""),0,T41/Q41))</f>
        <v>0</v>
      </c>
      <c r="AL41" s="464">
        <f>IF(W41="NP",999,IF(OR(W41="UL",W41=0,W41=""),0,Z41/W41))</f>
        <v>0</v>
      </c>
      <c r="AM41" s="213">
        <f t="shared" si="0"/>
        <v>0</v>
      </c>
      <c r="AN41" s="460">
        <f t="shared" si="1"/>
        <v>0</v>
      </c>
      <c r="AO41" s="459">
        <f t="shared" si="2"/>
        <v>0</v>
      </c>
    </row>
    <row r="42" spans="1:41" x14ac:dyDescent="0.2">
      <c r="A42" s="271" t="str">
        <f>Info!A88</f>
        <v/>
      </c>
      <c r="B42" s="249"/>
      <c r="C42" s="249">
        <f>Info!B88</f>
        <v>0</v>
      </c>
      <c r="D42" s="256">
        <f>Info!D88</f>
        <v>0</v>
      </c>
      <c r="E42" s="257">
        <f>Info!F88</f>
        <v>0</v>
      </c>
      <c r="F42" s="258"/>
      <c r="G42" s="258"/>
      <c r="H42" s="259">
        <f>Info!E88</f>
        <v>0</v>
      </c>
      <c r="I42" s="250"/>
      <c r="J42" s="256">
        <f>Info!G88</f>
        <v>0</v>
      </c>
      <c r="K42" s="257">
        <f>Info!I88</f>
        <v>0</v>
      </c>
      <c r="L42" s="258"/>
      <c r="M42" s="258"/>
      <c r="N42" s="259">
        <f>Info!H88</f>
        <v>0</v>
      </c>
      <c r="O42" s="251"/>
      <c r="P42" s="256">
        <f>Info!J88</f>
        <v>0</v>
      </c>
      <c r="Q42" s="257">
        <f>Info!L88</f>
        <v>0</v>
      </c>
      <c r="R42" s="258"/>
      <c r="S42" s="258"/>
      <c r="T42" s="259">
        <f>Info!K88</f>
        <v>0</v>
      </c>
      <c r="U42" s="251"/>
      <c r="V42" s="256">
        <f>Info!M88</f>
        <v>0</v>
      </c>
      <c r="W42" s="257">
        <f>Info!O88</f>
        <v>0</v>
      </c>
      <c r="X42" s="258"/>
      <c r="Y42" s="258"/>
      <c r="Z42" s="259">
        <f>Info!N88</f>
        <v>0</v>
      </c>
      <c r="AA42" s="248"/>
      <c r="AB42" s="456"/>
      <c r="AC42" s="475" t="str">
        <f>Info!BB58</f>
        <v/>
      </c>
      <c r="AD42" s="329" t="str">
        <f>Info!BA58</f>
        <v/>
      </c>
      <c r="AE42" s="332" t="str">
        <f>Info!BD58</f>
        <v/>
      </c>
      <c r="AF42" s="365">
        <f>Info!AZ58</f>
        <v>0</v>
      </c>
      <c r="AH42" s="465"/>
      <c r="AI42" s="458"/>
      <c r="AM42" s="213">
        <f t="shared" si="0"/>
        <v>0</v>
      </c>
      <c r="AN42" s="460">
        <f t="shared" si="1"/>
        <v>0</v>
      </c>
      <c r="AO42" s="459">
        <f t="shared" si="2"/>
        <v>0</v>
      </c>
    </row>
    <row r="43" spans="1:41" ht="13.5" thickBot="1" x14ac:dyDescent="0.25">
      <c r="A43" s="272" t="str">
        <f>Info!A89</f>
        <v/>
      </c>
      <c r="B43" s="253"/>
      <c r="C43" s="253">
        <f>Info!B89</f>
        <v>0</v>
      </c>
      <c r="D43" s="260">
        <f>Info!D89</f>
        <v>0</v>
      </c>
      <c r="E43" s="261">
        <f>Info!F89</f>
        <v>0</v>
      </c>
      <c r="F43" s="316"/>
      <c r="G43" s="316"/>
      <c r="H43" s="262" t="str">
        <f>Info!E89</f>
        <v/>
      </c>
      <c r="I43" s="317"/>
      <c r="J43" s="260">
        <f>Info!G89</f>
        <v>0</v>
      </c>
      <c r="K43" s="261">
        <f>Info!I89</f>
        <v>0</v>
      </c>
      <c r="L43" s="316"/>
      <c r="M43" s="316"/>
      <c r="N43" s="262" t="str">
        <f>Info!H89</f>
        <v/>
      </c>
      <c r="O43" s="254"/>
      <c r="P43" s="260">
        <f>Info!J89</f>
        <v>0</v>
      </c>
      <c r="Q43" s="261">
        <f>Info!L89</f>
        <v>0</v>
      </c>
      <c r="R43" s="316"/>
      <c r="S43" s="316"/>
      <c r="T43" s="262" t="str">
        <f>Info!K89</f>
        <v/>
      </c>
      <c r="U43" s="254"/>
      <c r="V43" s="260">
        <f>Info!M89</f>
        <v>0</v>
      </c>
      <c r="W43" s="261">
        <f>Info!O89</f>
        <v>0</v>
      </c>
      <c r="X43" s="316"/>
      <c r="Y43" s="316"/>
      <c r="Z43" s="262" t="str">
        <f>Info!N89</f>
        <v/>
      </c>
      <c r="AA43" s="255"/>
      <c r="AB43" s="472"/>
      <c r="AC43" s="475" t="str">
        <f>Info!BB59</f>
        <v/>
      </c>
      <c r="AD43" s="329" t="str">
        <f>Info!BA59</f>
        <v/>
      </c>
      <c r="AE43" s="332" t="str">
        <f>Info!BD59</f>
        <v/>
      </c>
      <c r="AF43" s="365">
        <f>Info!AZ59</f>
        <v>0</v>
      </c>
      <c r="AH43" s="465"/>
      <c r="AI43" s="458"/>
      <c r="AM43" s="213">
        <f t="shared" si="0"/>
        <v>0</v>
      </c>
      <c r="AN43" s="460">
        <f t="shared" si="1"/>
        <v>0</v>
      </c>
      <c r="AO43" s="459">
        <f t="shared" si="2"/>
        <v>0</v>
      </c>
    </row>
    <row r="44" spans="1:41" x14ac:dyDescent="0.2">
      <c r="A44" s="319" t="str">
        <f ca="1">IF($AI$3&lt;0,"Ara",IF(OR($G$2=1,$E$4&lt;=0,$E$5&lt;5,C44=0),"Ara",0))</f>
        <v>Ara</v>
      </c>
      <c r="B44" s="307"/>
      <c r="C44" s="308" t="str">
        <f>Info!B90</f>
        <v/>
      </c>
      <c r="D44" s="309">
        <f>Info!D90</f>
        <v>0</v>
      </c>
      <c r="E44" s="310">
        <f>Info!F90</f>
        <v>0</v>
      </c>
      <c r="F44" s="311"/>
      <c r="G44" s="311"/>
      <c r="H44" s="312" t="str">
        <f>Info!E90</f>
        <v/>
      </c>
      <c r="I44" s="313"/>
      <c r="J44" s="309">
        <f>Info!G90</f>
        <v>0</v>
      </c>
      <c r="K44" s="310">
        <f>Info!I90</f>
        <v>0</v>
      </c>
      <c r="L44" s="311"/>
      <c r="M44" s="311"/>
      <c r="N44" s="312" t="str">
        <f>Info!H90</f>
        <v/>
      </c>
      <c r="O44" s="314"/>
      <c r="P44" s="309">
        <f>Info!J90</f>
        <v>0</v>
      </c>
      <c r="Q44" s="310">
        <f>Info!L90</f>
        <v>0</v>
      </c>
      <c r="R44" s="311"/>
      <c r="S44" s="311"/>
      <c r="T44" s="312" t="str">
        <f>Info!K90</f>
        <v/>
      </c>
      <c r="U44" s="314"/>
      <c r="V44" s="309">
        <f>Info!M90</f>
        <v>0</v>
      </c>
      <c r="W44" s="310">
        <f>Info!O90</f>
        <v>0</v>
      </c>
      <c r="X44" s="311"/>
      <c r="Y44" s="311"/>
      <c r="Z44" s="312" t="str">
        <f>Info!N90</f>
        <v/>
      </c>
      <c r="AA44" s="315"/>
      <c r="AB44" s="456"/>
      <c r="AC44" s="475" t="str">
        <f>Info!BB60</f>
        <v/>
      </c>
      <c r="AD44" s="329" t="str">
        <f>Info!BA60</f>
        <v/>
      </c>
      <c r="AE44" s="332" t="str">
        <f>Info!BD60</f>
        <v/>
      </c>
      <c r="AF44" s="365">
        <f>Info!AZ60</f>
        <v>0</v>
      </c>
      <c r="AH44" s="465"/>
      <c r="AI44" s="458"/>
      <c r="AM44" s="213">
        <f t="shared" si="0"/>
        <v>0</v>
      </c>
      <c r="AN44" s="460">
        <f t="shared" si="1"/>
        <v>0</v>
      </c>
      <c r="AO44" s="459">
        <f t="shared" si="2"/>
        <v>0</v>
      </c>
    </row>
    <row r="45" spans="1:41" x14ac:dyDescent="0.2">
      <c r="A45" s="270" t="str">
        <f>Info!A91</f>
        <v/>
      </c>
      <c r="B45" s="264"/>
      <c r="C45" s="264">
        <f>Info!B91</f>
        <v>0</v>
      </c>
      <c r="D45" s="265" t="str">
        <f>Info!D91</f>
        <v/>
      </c>
      <c r="E45" s="266">
        <f>Info!F91</f>
        <v>0</v>
      </c>
      <c r="F45" s="266"/>
      <c r="G45" s="266"/>
      <c r="H45" s="267">
        <f>Info!E91</f>
        <v>0</v>
      </c>
      <c r="I45" s="268"/>
      <c r="J45" s="265" t="str">
        <f>Info!G91</f>
        <v/>
      </c>
      <c r="K45" s="266">
        <f>Info!I91</f>
        <v>0</v>
      </c>
      <c r="L45" s="266"/>
      <c r="M45" s="266"/>
      <c r="N45" s="267">
        <f>Info!H91</f>
        <v>0</v>
      </c>
      <c r="O45" s="268"/>
      <c r="P45" s="265" t="str">
        <f>Info!J91</f>
        <v/>
      </c>
      <c r="Q45" s="266">
        <f>Info!L91</f>
        <v>0</v>
      </c>
      <c r="R45" s="266"/>
      <c r="S45" s="266"/>
      <c r="T45" s="267">
        <f>Info!K91</f>
        <v>0</v>
      </c>
      <c r="U45" s="268"/>
      <c r="V45" s="265" t="str">
        <f>Info!M91</f>
        <v/>
      </c>
      <c r="W45" s="266">
        <f>Info!O91</f>
        <v>0</v>
      </c>
      <c r="X45" s="266"/>
      <c r="Y45" s="266"/>
      <c r="Z45" s="267">
        <f>Info!N91</f>
        <v>0</v>
      </c>
      <c r="AA45" s="269"/>
      <c r="AB45" s="478" t="str">
        <f>AH45</f>
        <v/>
      </c>
      <c r="AC45" s="475" t="str">
        <f>Info!BB61</f>
        <v/>
      </c>
      <c r="AD45" s="329" t="str">
        <f>Info!BA61</f>
        <v/>
      </c>
      <c r="AE45" s="332" t="str">
        <f>Info!BD61</f>
        <v/>
      </c>
      <c r="AF45" s="365">
        <f>Info!AZ61</f>
        <v>0</v>
      </c>
      <c r="AH45" s="463" t="str">
        <f>IF(SUM(AI45:AL45)&lt;=0,"",IF(SUM(AI45:AL45)&gt;=999,"NP",SUM(AI45:AL45)))</f>
        <v/>
      </c>
      <c r="AI45" s="464">
        <f>IF(E45="NP",999,IF(OR(E45="UL",E45=0,E45=""),0,H45/E45))</f>
        <v>0</v>
      </c>
      <c r="AJ45" s="464">
        <f>IF(K45="NP",999,IF(OR(K45="UL",K45=0,K45=""),0,N45/K45))</f>
        <v>0</v>
      </c>
      <c r="AK45" s="464">
        <f>IF(Q45="NP",999,IF(OR(Q45="UL",Q45=0,Q45=""),0,T45/Q45))</f>
        <v>0</v>
      </c>
      <c r="AL45" s="464">
        <f>IF(W45="NP",999,IF(OR(W45="UL",W45=0,W45=""),0,Z45/W45))</f>
        <v>0</v>
      </c>
      <c r="AM45" s="213">
        <f t="shared" si="0"/>
        <v>0</v>
      </c>
      <c r="AN45" s="460">
        <f t="shared" si="1"/>
        <v>0</v>
      </c>
      <c r="AO45" s="459">
        <f t="shared" si="2"/>
        <v>0</v>
      </c>
    </row>
    <row r="46" spans="1:41" x14ac:dyDescent="0.2">
      <c r="A46" s="271" t="str">
        <f>Info!A92</f>
        <v/>
      </c>
      <c r="B46" s="249"/>
      <c r="C46" s="249">
        <f>Info!B92</f>
        <v>0</v>
      </c>
      <c r="D46" s="256">
        <f>Info!D92</f>
        <v>0</v>
      </c>
      <c r="E46" s="257">
        <f>Info!F92</f>
        <v>0</v>
      </c>
      <c r="F46" s="258"/>
      <c r="G46" s="258"/>
      <c r="H46" s="259">
        <f>Info!E92</f>
        <v>0</v>
      </c>
      <c r="I46" s="250"/>
      <c r="J46" s="256">
        <f>Info!G92</f>
        <v>0</v>
      </c>
      <c r="K46" s="257">
        <f>Info!I92</f>
        <v>0</v>
      </c>
      <c r="L46" s="258"/>
      <c r="M46" s="258"/>
      <c r="N46" s="259">
        <f>Info!H92</f>
        <v>0</v>
      </c>
      <c r="O46" s="251"/>
      <c r="P46" s="256">
        <f>Info!J92</f>
        <v>0</v>
      </c>
      <c r="Q46" s="257">
        <f>Info!L92</f>
        <v>0</v>
      </c>
      <c r="R46" s="258"/>
      <c r="S46" s="258"/>
      <c r="T46" s="259">
        <f>Info!K92</f>
        <v>0</v>
      </c>
      <c r="U46" s="251"/>
      <c r="V46" s="256">
        <f>Info!M92</f>
        <v>0</v>
      </c>
      <c r="W46" s="257">
        <f>Info!O92</f>
        <v>0</v>
      </c>
      <c r="X46" s="258"/>
      <c r="Y46" s="258"/>
      <c r="Z46" s="259">
        <f>Info!N92</f>
        <v>0</v>
      </c>
      <c r="AA46" s="248"/>
      <c r="AB46" s="456"/>
      <c r="AC46" s="475" t="str">
        <f>Info!BB62</f>
        <v/>
      </c>
      <c r="AD46" s="329" t="str">
        <f>Info!BA62</f>
        <v/>
      </c>
      <c r="AE46" s="332" t="str">
        <f>Info!BD62</f>
        <v/>
      </c>
      <c r="AF46" s="365">
        <f>Info!AZ62</f>
        <v>0</v>
      </c>
      <c r="AH46" s="465"/>
      <c r="AI46" s="458"/>
      <c r="AM46" s="213">
        <f t="shared" si="0"/>
        <v>0</v>
      </c>
      <c r="AN46" s="460">
        <f t="shared" si="1"/>
        <v>0</v>
      </c>
      <c r="AO46" s="459">
        <f t="shared" si="2"/>
        <v>0</v>
      </c>
    </row>
    <row r="47" spans="1:41" ht="13.5" thickBot="1" x14ac:dyDescent="0.25">
      <c r="A47" s="272" t="str">
        <f>Info!A93</f>
        <v/>
      </c>
      <c r="B47" s="253"/>
      <c r="C47" s="253">
        <f>Info!B93</f>
        <v>0</v>
      </c>
      <c r="D47" s="260">
        <f>Info!D93</f>
        <v>0</v>
      </c>
      <c r="E47" s="261">
        <f>Info!F93</f>
        <v>0</v>
      </c>
      <c r="F47" s="316"/>
      <c r="G47" s="316"/>
      <c r="H47" s="262" t="str">
        <f>Info!E93</f>
        <v/>
      </c>
      <c r="I47" s="317"/>
      <c r="J47" s="260">
        <f>Info!G93</f>
        <v>0</v>
      </c>
      <c r="K47" s="261">
        <f>Info!I93</f>
        <v>0</v>
      </c>
      <c r="L47" s="316"/>
      <c r="M47" s="316"/>
      <c r="N47" s="262" t="str">
        <f>Info!H93</f>
        <v/>
      </c>
      <c r="O47" s="254"/>
      <c r="P47" s="260">
        <f>Info!J93</f>
        <v>0</v>
      </c>
      <c r="Q47" s="261">
        <f>Info!L93</f>
        <v>0</v>
      </c>
      <c r="R47" s="316"/>
      <c r="S47" s="316"/>
      <c r="T47" s="262" t="str">
        <f>Info!K93</f>
        <v/>
      </c>
      <c r="U47" s="254"/>
      <c r="V47" s="260">
        <f>Info!M93</f>
        <v>0</v>
      </c>
      <c r="W47" s="261">
        <f>Info!O93</f>
        <v>0</v>
      </c>
      <c r="X47" s="316"/>
      <c r="Y47" s="316"/>
      <c r="Z47" s="262" t="str">
        <f>Info!N93</f>
        <v/>
      </c>
      <c r="AA47" s="255"/>
      <c r="AB47" s="472"/>
      <c r="AC47" s="475" t="str">
        <f>Info!BB63</f>
        <v/>
      </c>
      <c r="AD47" s="329" t="str">
        <f>Info!BA63</f>
        <v/>
      </c>
      <c r="AE47" s="332" t="str">
        <f>Info!BD63</f>
        <v/>
      </c>
      <c r="AF47" s="365">
        <f>Info!AZ63</f>
        <v>0</v>
      </c>
      <c r="AH47" s="465"/>
      <c r="AI47" s="458"/>
      <c r="AM47" s="213">
        <f t="shared" si="0"/>
        <v>0</v>
      </c>
      <c r="AN47" s="460">
        <f t="shared" si="1"/>
        <v>0</v>
      </c>
      <c r="AO47" s="459">
        <f t="shared" si="2"/>
        <v>0</v>
      </c>
    </row>
    <row r="48" spans="1:41" x14ac:dyDescent="0.2">
      <c r="A48" s="319" t="str">
        <f ca="1">IF($AI$3&lt;0,"Ara",IF(OR($G$2=1,$E$4&lt;=0,$E$5&lt;6,C48=0),"Ara",0))</f>
        <v>Ara</v>
      </c>
      <c r="B48" s="307"/>
      <c r="C48" s="308" t="str">
        <f>Info!B94</f>
        <v/>
      </c>
      <c r="D48" s="309">
        <f>Info!D94</f>
        <v>0</v>
      </c>
      <c r="E48" s="310">
        <f>Info!F94</f>
        <v>0</v>
      </c>
      <c r="F48" s="311"/>
      <c r="G48" s="311"/>
      <c r="H48" s="312" t="str">
        <f>Info!E94</f>
        <v/>
      </c>
      <c r="I48" s="313"/>
      <c r="J48" s="309">
        <f>Info!G94</f>
        <v>0</v>
      </c>
      <c r="K48" s="310">
        <f>Info!I94</f>
        <v>0</v>
      </c>
      <c r="L48" s="311"/>
      <c r="M48" s="311"/>
      <c r="N48" s="312" t="str">
        <f>Info!H94</f>
        <v/>
      </c>
      <c r="O48" s="314"/>
      <c r="P48" s="309">
        <f>Info!J94</f>
        <v>0</v>
      </c>
      <c r="Q48" s="310">
        <f>Info!L94</f>
        <v>0</v>
      </c>
      <c r="R48" s="311"/>
      <c r="S48" s="311"/>
      <c r="T48" s="312" t="str">
        <f>Info!K94</f>
        <v/>
      </c>
      <c r="U48" s="314"/>
      <c r="V48" s="309">
        <f>Info!M94</f>
        <v>0</v>
      </c>
      <c r="W48" s="310">
        <f>Info!O94</f>
        <v>0</v>
      </c>
      <c r="X48" s="311"/>
      <c r="Y48" s="311"/>
      <c r="Z48" s="312" t="str">
        <f>Info!N94</f>
        <v/>
      </c>
      <c r="AA48" s="315"/>
      <c r="AB48" s="456"/>
      <c r="AC48" s="475" t="str">
        <f>Info!BB64</f>
        <v/>
      </c>
      <c r="AD48" s="329" t="str">
        <f>Info!BA64</f>
        <v/>
      </c>
      <c r="AE48" s="332" t="str">
        <f>Info!BD64</f>
        <v/>
      </c>
      <c r="AF48" s="365">
        <f>Info!AZ64</f>
        <v>0</v>
      </c>
      <c r="AH48" s="465"/>
      <c r="AI48" s="458"/>
      <c r="AM48" s="213">
        <f t="shared" si="0"/>
        <v>0</v>
      </c>
      <c r="AN48" s="460">
        <f t="shared" si="1"/>
        <v>0</v>
      </c>
      <c r="AO48" s="459">
        <f t="shared" si="2"/>
        <v>0</v>
      </c>
    </row>
    <row r="49" spans="1:41" x14ac:dyDescent="0.2">
      <c r="A49" s="270" t="str">
        <f>Info!A95</f>
        <v/>
      </c>
      <c r="B49" s="264"/>
      <c r="C49" s="264">
        <f>Info!B95</f>
        <v>0</v>
      </c>
      <c r="D49" s="265" t="str">
        <f>Info!D95</f>
        <v/>
      </c>
      <c r="E49" s="266">
        <f>Info!F95</f>
        <v>0</v>
      </c>
      <c r="F49" s="266"/>
      <c r="G49" s="266"/>
      <c r="H49" s="267">
        <f>Info!E95</f>
        <v>0</v>
      </c>
      <c r="I49" s="268"/>
      <c r="J49" s="265" t="str">
        <f>Info!G95</f>
        <v/>
      </c>
      <c r="K49" s="266">
        <f>Info!I95</f>
        <v>0</v>
      </c>
      <c r="L49" s="266"/>
      <c r="M49" s="266"/>
      <c r="N49" s="267">
        <f>Info!H95</f>
        <v>0</v>
      </c>
      <c r="O49" s="268"/>
      <c r="P49" s="265" t="str">
        <f>Info!J95</f>
        <v/>
      </c>
      <c r="Q49" s="266">
        <f>Info!L95</f>
        <v>0</v>
      </c>
      <c r="R49" s="266"/>
      <c r="S49" s="266"/>
      <c r="T49" s="267">
        <f>Info!K95</f>
        <v>0</v>
      </c>
      <c r="U49" s="268"/>
      <c r="V49" s="265" t="str">
        <f>Info!M95</f>
        <v/>
      </c>
      <c r="W49" s="266">
        <f>Info!O95</f>
        <v>0</v>
      </c>
      <c r="X49" s="266"/>
      <c r="Y49" s="266"/>
      <c r="Z49" s="267">
        <f>Info!N95</f>
        <v>0</v>
      </c>
      <c r="AA49" s="269"/>
      <c r="AB49" s="478" t="str">
        <f>AH49</f>
        <v/>
      </c>
      <c r="AC49" s="475">
        <f>Info!BB65</f>
        <v>0</v>
      </c>
      <c r="AD49" s="329">
        <f>Info!BA65</f>
        <v>0</v>
      </c>
      <c r="AE49" s="332">
        <f>Info!BD65</f>
        <v>0</v>
      </c>
      <c r="AF49" s="365">
        <f>Info!AZ65</f>
        <v>0</v>
      </c>
      <c r="AH49" s="463" t="str">
        <f>IF(SUM(AI49:AL49)&lt;=0,"",IF(SUM(AI49:AL49)&gt;=999,"NP",SUM(AI49:AL49)))</f>
        <v/>
      </c>
      <c r="AI49" s="464">
        <f>IF(E49="NP",999,IF(OR(E49="UL",E49=0,E49=""),0,H49/E49))</f>
        <v>0</v>
      </c>
      <c r="AJ49" s="464">
        <f>IF(K49="NP",999,IF(OR(K49="UL",K49=0,K49=""),0,N49/K49))</f>
        <v>0</v>
      </c>
      <c r="AK49" s="464">
        <f>IF(Q49="NP",999,IF(OR(Q49="UL",Q49=0,Q49=""),0,T49/Q49))</f>
        <v>0</v>
      </c>
      <c r="AL49" s="464">
        <f>IF(W49="NP",999,IF(OR(W49="UL",W49=0,W49=""),0,Z49/W49))</f>
        <v>0</v>
      </c>
      <c r="AM49" s="213">
        <f t="shared" si="0"/>
        <v>0</v>
      </c>
      <c r="AN49" s="460">
        <f t="shared" si="1"/>
        <v>0</v>
      </c>
      <c r="AO49" s="459">
        <f t="shared" si="2"/>
        <v>0</v>
      </c>
    </row>
    <row r="50" spans="1:41" x14ac:dyDescent="0.2">
      <c r="A50" s="271" t="str">
        <f>Info!A96</f>
        <v/>
      </c>
      <c r="B50" s="247"/>
      <c r="C50" s="249">
        <f>Info!B96</f>
        <v>0</v>
      </c>
      <c r="D50" s="256">
        <f>Info!D96</f>
        <v>0</v>
      </c>
      <c r="E50" s="257">
        <f>Info!F96</f>
        <v>0</v>
      </c>
      <c r="F50" s="258"/>
      <c r="G50" s="258"/>
      <c r="H50" s="259">
        <f>Info!E96</f>
        <v>0</v>
      </c>
      <c r="I50" s="250"/>
      <c r="J50" s="256">
        <f>Info!G96</f>
        <v>0</v>
      </c>
      <c r="K50" s="257">
        <f>Info!I96</f>
        <v>0</v>
      </c>
      <c r="L50" s="258"/>
      <c r="M50" s="258"/>
      <c r="N50" s="259">
        <f>Info!H96</f>
        <v>0</v>
      </c>
      <c r="O50" s="251"/>
      <c r="P50" s="256">
        <f>Info!J96</f>
        <v>0</v>
      </c>
      <c r="Q50" s="257">
        <f>Info!L96</f>
        <v>0</v>
      </c>
      <c r="R50" s="258"/>
      <c r="S50" s="258"/>
      <c r="T50" s="259">
        <f>Info!K96</f>
        <v>0</v>
      </c>
      <c r="U50" s="251"/>
      <c r="V50" s="256">
        <f>Info!M96</f>
        <v>0</v>
      </c>
      <c r="W50" s="257">
        <f>Info!O96</f>
        <v>0</v>
      </c>
      <c r="X50" s="258"/>
      <c r="Y50" s="258"/>
      <c r="Z50" s="259">
        <f>Info!N96</f>
        <v>0</v>
      </c>
      <c r="AA50" s="248"/>
      <c r="AB50" s="456"/>
      <c r="AC50" s="475">
        <f>Info!BB66</f>
        <v>0</v>
      </c>
      <c r="AD50" s="329">
        <f>Info!BA66</f>
        <v>0</v>
      </c>
      <c r="AE50" s="332">
        <f>Info!BD66</f>
        <v>0</v>
      </c>
      <c r="AF50" s="365">
        <f>Info!AZ66</f>
        <v>0</v>
      </c>
      <c r="AH50" s="457"/>
      <c r="AI50" s="458"/>
      <c r="AM50" s="213">
        <f t="shared" si="0"/>
        <v>0</v>
      </c>
      <c r="AN50" s="460">
        <f t="shared" si="1"/>
        <v>0</v>
      </c>
      <c r="AO50" s="459">
        <f t="shared" si="2"/>
        <v>0</v>
      </c>
    </row>
    <row r="51" spans="1:41" ht="13.5" thickBot="1" x14ac:dyDescent="0.25">
      <c r="A51" s="272" t="str">
        <f>Info!A97</f>
        <v/>
      </c>
      <c r="B51" s="252"/>
      <c r="C51" s="253">
        <f>Info!B97</f>
        <v>0</v>
      </c>
      <c r="D51" s="260">
        <f>Info!D97</f>
        <v>0</v>
      </c>
      <c r="E51" s="261">
        <f>Info!F97</f>
        <v>0</v>
      </c>
      <c r="F51" s="261"/>
      <c r="G51" s="261"/>
      <c r="H51" s="262" t="str">
        <f>Info!E97</f>
        <v/>
      </c>
      <c r="I51" s="254"/>
      <c r="J51" s="260">
        <f>Info!G97</f>
        <v>0</v>
      </c>
      <c r="K51" s="261">
        <f>Info!I97</f>
        <v>0</v>
      </c>
      <c r="L51" s="261"/>
      <c r="M51" s="261"/>
      <c r="N51" s="262" t="str">
        <f>Info!H97</f>
        <v/>
      </c>
      <c r="O51" s="254"/>
      <c r="P51" s="260">
        <f>Info!J97</f>
        <v>0</v>
      </c>
      <c r="Q51" s="261">
        <f>Info!L97</f>
        <v>0</v>
      </c>
      <c r="R51" s="261"/>
      <c r="S51" s="261"/>
      <c r="T51" s="262" t="str">
        <f>Info!K97</f>
        <v/>
      </c>
      <c r="U51" s="254"/>
      <c r="V51" s="260">
        <f>Info!M97</f>
        <v>0</v>
      </c>
      <c r="W51" s="261">
        <f>Info!O97</f>
        <v>0</v>
      </c>
      <c r="X51" s="261"/>
      <c r="Y51" s="261"/>
      <c r="Z51" s="262" t="str">
        <f>Info!N97</f>
        <v/>
      </c>
      <c r="AA51" s="255"/>
      <c r="AB51" s="472"/>
      <c r="AC51" s="476">
        <f>Info!BB67</f>
        <v>0</v>
      </c>
      <c r="AD51" s="330">
        <f>Info!BA67</f>
        <v>0</v>
      </c>
      <c r="AE51" s="333">
        <f>Info!BD67</f>
        <v>0</v>
      </c>
      <c r="AF51" s="366">
        <f>Info!AZ67</f>
        <v>0</v>
      </c>
      <c r="AH51" s="457"/>
      <c r="AI51" s="458"/>
      <c r="AM51" s="213">
        <f t="shared" si="0"/>
        <v>0</v>
      </c>
      <c r="AN51" s="460">
        <f t="shared" si="1"/>
        <v>0</v>
      </c>
      <c r="AO51" s="459">
        <f t="shared" si="2"/>
        <v>0</v>
      </c>
    </row>
    <row r="52" spans="1:41" x14ac:dyDescent="0.2">
      <c r="B52" s="217"/>
      <c r="C52" s="217"/>
      <c r="D52" s="138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AC52" s="325"/>
    </row>
    <row r="53" spans="1:41" x14ac:dyDescent="0.2">
      <c r="A53" s="239"/>
      <c r="B53" s="121"/>
      <c r="C53" s="239"/>
      <c r="F53" s="121"/>
      <c r="G53" s="121"/>
      <c r="H53" s="121"/>
      <c r="I53" s="121"/>
      <c r="L53" s="121"/>
      <c r="M53" s="121"/>
      <c r="N53" s="121"/>
      <c r="O53" s="121"/>
      <c r="P53" s="121"/>
      <c r="Q53" s="34"/>
      <c r="R53" s="34"/>
      <c r="T53" s="34"/>
      <c r="U53" s="34"/>
      <c r="V53" s="34"/>
      <c r="W53" s="34"/>
      <c r="X53" s="34"/>
      <c r="Z53" s="34"/>
      <c r="AA53" s="34"/>
      <c r="AC53" s="325"/>
    </row>
    <row r="54" spans="1:41" x14ac:dyDescent="0.2">
      <c r="A54" s="239"/>
      <c r="B54" s="121"/>
      <c r="F54" s="121"/>
      <c r="G54" s="121"/>
      <c r="H54" s="121"/>
      <c r="I54" s="121"/>
      <c r="L54" s="121"/>
      <c r="M54" s="121"/>
      <c r="N54" s="121"/>
      <c r="O54" s="121"/>
      <c r="P54" s="121"/>
      <c r="Q54" s="34"/>
      <c r="R54" s="34"/>
      <c r="T54" s="34"/>
      <c r="U54" s="34"/>
      <c r="V54" s="34"/>
      <c r="W54" s="34"/>
      <c r="X54" s="34"/>
      <c r="Z54" s="34"/>
      <c r="AA54" s="34"/>
      <c r="AC54" s="325"/>
    </row>
    <row r="55" spans="1:41" x14ac:dyDescent="0.2">
      <c r="A55" s="239"/>
      <c r="B55" s="34"/>
      <c r="F55" s="34"/>
      <c r="H55" s="34"/>
      <c r="I55" s="34"/>
      <c r="L55" s="34"/>
      <c r="N55" s="34"/>
      <c r="O55" s="34"/>
      <c r="P55" s="34"/>
      <c r="Q55" s="34"/>
      <c r="R55" s="34"/>
      <c r="T55" s="34"/>
      <c r="U55" s="34"/>
      <c r="V55" s="34"/>
      <c r="W55" s="34"/>
      <c r="X55" s="34"/>
      <c r="Z55" s="34"/>
      <c r="AA55" s="34"/>
    </row>
    <row r="56" spans="1:41" x14ac:dyDescent="0.2">
      <c r="A56" s="239"/>
      <c r="B56" s="34"/>
      <c r="E56" s="34"/>
      <c r="F56" s="34"/>
      <c r="H56" s="34"/>
      <c r="I56" s="34"/>
      <c r="J56" s="34"/>
      <c r="K56" s="34"/>
      <c r="L56" s="34"/>
      <c r="N56" s="34"/>
      <c r="O56" s="34"/>
      <c r="P56" s="34"/>
      <c r="Q56" s="34"/>
      <c r="R56" s="34"/>
      <c r="T56" s="34"/>
      <c r="U56" s="34"/>
      <c r="V56" s="34"/>
      <c r="W56" s="34"/>
      <c r="X56" s="34"/>
      <c r="Z56" s="34"/>
      <c r="AA56" s="34"/>
    </row>
    <row r="57" spans="1:41" x14ac:dyDescent="0.2">
      <c r="A57" s="239"/>
      <c r="B57" s="34"/>
      <c r="E57" s="34"/>
      <c r="F57" s="34"/>
      <c r="H57" s="34"/>
      <c r="I57" s="34"/>
      <c r="J57" s="34"/>
      <c r="K57" s="34"/>
      <c r="L57" s="34"/>
      <c r="N57" s="34"/>
      <c r="O57" s="34"/>
      <c r="P57" s="34"/>
      <c r="Q57" s="34"/>
      <c r="R57" s="34"/>
      <c r="T57" s="34"/>
      <c r="U57" s="34"/>
      <c r="V57" s="34"/>
      <c r="W57" s="34"/>
      <c r="X57" s="34"/>
      <c r="Z57" s="34"/>
      <c r="AA57" s="34"/>
    </row>
    <row r="58" spans="1:41" x14ac:dyDescent="0.2">
      <c r="A58" s="239"/>
      <c r="B58" s="34"/>
      <c r="E58" s="34"/>
      <c r="F58" s="34"/>
      <c r="H58" s="34"/>
      <c r="I58" s="34"/>
      <c r="J58" s="34"/>
      <c r="K58" s="34"/>
      <c r="L58" s="34"/>
      <c r="N58" s="34"/>
      <c r="O58" s="34"/>
      <c r="P58" s="34"/>
      <c r="Q58" s="34"/>
      <c r="R58" s="34"/>
      <c r="T58" s="34"/>
      <c r="U58" s="34"/>
      <c r="V58" s="34"/>
      <c r="W58" s="34"/>
      <c r="X58" s="34"/>
      <c r="Z58" s="34"/>
      <c r="AA58" s="34"/>
    </row>
    <row r="59" spans="1:41" x14ac:dyDescent="0.2">
      <c r="A59" s="239"/>
      <c r="B59" s="34"/>
      <c r="E59" s="34"/>
      <c r="F59" s="34"/>
      <c r="H59" s="34"/>
      <c r="I59" s="34"/>
      <c r="J59" s="34"/>
      <c r="K59" s="34"/>
      <c r="L59" s="34"/>
      <c r="N59" s="34"/>
      <c r="O59" s="34"/>
      <c r="P59" s="34"/>
      <c r="Q59" s="34"/>
      <c r="R59" s="34"/>
      <c r="T59" s="34"/>
      <c r="U59" s="34"/>
      <c r="V59" s="34"/>
      <c r="W59" s="34"/>
      <c r="X59" s="34"/>
      <c r="Z59" s="34"/>
      <c r="AA59" s="34"/>
    </row>
    <row r="60" spans="1:41" x14ac:dyDescent="0.2">
      <c r="A60" s="31"/>
    </row>
  </sheetData>
  <sheetProtection algorithmName="SHA-512" hashValue="JBYrS2jPsuc66rX4i2Y0QDym0cq2fYZmHhPyGtLdlj+mgJVLH7wn5DGY7zh/fob8GUSseTatw4DTjq5Ah2TVeQ==" saltValue="F0RKLQYVFOCQ1rPy98vJ2Q==" spinCount="100000" sheet="1" objects="1" scenarios="1" selectLockedCells="1"/>
  <customSheetViews>
    <customSheetView guid="{C99C1093-CC5A-409C-96B5-E63635B6002F}" showGridLines="0" showRowCol="0" outlineSymbols="0" zeroValues="0" fitToPage="1" hiddenColumns="1">
      <selection sqref="A1:J1"/>
      <pageMargins left="0.75" right="0.75" top="1" bottom="1" header="0.5" footer="0.5"/>
      <pageSetup scale="67" orientation="landscape" horizontalDpi="1200" verticalDpi="1200" r:id="rId1"/>
      <headerFooter alignWithMargins="0">
        <oddHeader>&amp;C&amp;"Times New Roman,Bold Italic"&amp;16 2018 IBC Building Height and Area Calculator</oddHeader>
        <oddFooter>&amp;Lwww.ara4help.com&amp;RPrinted &amp;D</oddFooter>
      </headerFooter>
    </customSheetView>
    <customSheetView guid="{3F9818B9-F253-4053-A33A-0CFC1B854133}" showGridLines="0" showRowCol="0" outlineSymbols="0" zeroValues="0" fitToPage="1" hiddenColumns="1">
      <selection activeCell="E4" sqref="E4"/>
      <pageMargins left="0.75" right="0.75" top="1" bottom="1" header="0.5" footer="0.5"/>
      <pageSetup orientation="landscape" horizontalDpi="1200" verticalDpi="1200" r:id="rId2"/>
      <headerFooter alignWithMargins="0">
        <oddHeader>&amp;C&amp;"Times New Roman,Bold Italic"&amp;16 2015 IBC Building Height and Area Calculator</oddHeader>
        <oddFooter>&amp;R&amp;D</oddFooter>
      </headerFooter>
    </customSheetView>
    <customSheetView guid="{356F0F3B-80AF-47CC-8087-F17A73F87B6E}" scale="120" showGridLines="0" showRowCol="0" outlineSymbols="0" zeroValues="0" fitToPage="1" hiddenColumns="1" topLeftCell="C1">
      <selection activeCell="E4" sqref="E4"/>
      <pageMargins left="0.75" right="0.75" top="1" bottom="1" header="0.5" footer="0.5"/>
      <pageSetup orientation="landscape" horizontalDpi="1200" verticalDpi="1200" r:id="rId3"/>
      <headerFooter alignWithMargins="0">
        <oddHeader>&amp;C&amp;"Times New Roman,Bold Italic"&amp;16 2006/2009/2012 IBC Building Height and Area Calculator</oddHeader>
        <oddFooter>&amp;R&amp;D</oddFooter>
      </headerFooter>
    </customSheetView>
    <customSheetView guid="{09F76BC5-26ED-495D-B8F5-83F6B4183195}" showGridLines="0" showRowCol="0" outlineSymbols="0" zeroValues="0" fitToPage="1" hiddenColumns="1">
      <selection activeCell="E4" sqref="E4"/>
      <pageMargins left="0.75" right="0.75" top="1" bottom="1" header="0.5" footer="0.5"/>
      <pageSetup orientation="landscape" horizontalDpi="1200" verticalDpi="1200" r:id="rId4"/>
      <headerFooter alignWithMargins="0">
        <oddHeader>&amp;C&amp;"Times New Roman,Bold Italic"&amp;16 2015 IBC Building Height and Area Calculator</oddHeader>
        <oddFooter>&amp;R&amp;D</oddFooter>
      </headerFooter>
    </customSheetView>
    <customSheetView guid="{02979AA6-E421-4F39-B9A0-7166087A5EF9}" showGridLines="0" showRowCol="0" outlineSymbols="0" zeroValues="0" fitToPage="1" hiddenColumns="1">
      <selection sqref="A1:J1"/>
      <pageMargins left="0.75" right="0.75" top="1" bottom="1" header="0.5" footer="0.5"/>
      <pageSetup scale="67" orientation="landscape" horizontalDpi="1200" verticalDpi="1200" r:id="rId5"/>
      <headerFooter alignWithMargins="0">
        <oddHeader>&amp;C&amp;"Times New Roman,Bold Italic"&amp;16 2018 IBC Building Height and Area Calculator</oddHeader>
        <oddFooter>&amp;Lwww.ara4help.com&amp;RPrinted &amp;D</oddFooter>
      </headerFooter>
    </customSheetView>
  </customSheetViews>
  <mergeCells count="7">
    <mergeCell ref="A1:J1"/>
    <mergeCell ref="K1:K2"/>
    <mergeCell ref="AC3:AF9"/>
    <mergeCell ref="P4:AB4"/>
    <mergeCell ref="W23:Z23"/>
    <mergeCell ref="Q1:Z1"/>
    <mergeCell ref="Q2:Z2"/>
  </mergeCells>
  <phoneticPr fontId="5" type="noConversion"/>
  <conditionalFormatting sqref="A1">
    <cfRule type="expression" dxfId="63" priority="62" stopIfTrue="1">
      <formula>$AI$3&lt;0</formula>
    </cfRule>
    <cfRule type="cellIs" dxfId="62" priority="63" stopIfTrue="1" operator="equal">
      <formula>"[project name]"</formula>
    </cfRule>
  </conditionalFormatting>
  <conditionalFormatting sqref="A24:AA27">
    <cfRule type="expression" dxfId="61" priority="4" stopIfTrue="1">
      <formula>$A$27="Ara"</formula>
    </cfRule>
  </conditionalFormatting>
  <conditionalFormatting sqref="A28:AA31">
    <cfRule type="expression" dxfId="60" priority="12" stopIfTrue="1">
      <formula>$A$28="Ara"</formula>
    </cfRule>
  </conditionalFormatting>
  <conditionalFormatting sqref="A32:AA35">
    <cfRule type="expression" dxfId="59" priority="11" stopIfTrue="1">
      <formula>$A$32="Ara"</formula>
    </cfRule>
  </conditionalFormatting>
  <conditionalFormatting sqref="A36:AA39">
    <cfRule type="expression" dxfId="58" priority="10" stopIfTrue="1">
      <formula>$A$36="Ara"</formula>
    </cfRule>
  </conditionalFormatting>
  <conditionalFormatting sqref="A40:AA43">
    <cfRule type="expression" dxfId="57" priority="9" stopIfTrue="1">
      <formula>$A$40="Ara"</formula>
    </cfRule>
  </conditionalFormatting>
  <conditionalFormatting sqref="A44:AA47">
    <cfRule type="expression" dxfId="56" priority="8" stopIfTrue="1">
      <formula>$A$44="Ara"</formula>
    </cfRule>
  </conditionalFormatting>
  <conditionalFormatting sqref="A48:AA51">
    <cfRule type="expression" dxfId="55" priority="7" stopIfTrue="1">
      <formula>$A$48="Ara"</formula>
    </cfRule>
  </conditionalFormatting>
  <conditionalFormatting sqref="C6">
    <cfRule type="cellIs" dxfId="54" priority="78" stopIfTrue="1" operator="equal">
      <formula>""""""</formula>
    </cfRule>
  </conditionalFormatting>
  <conditionalFormatting sqref="C11 C13 C15 C17 C19 C21">
    <cfRule type="cellIs" dxfId="53" priority="42" stopIfTrue="1" operator="greaterThan">
      <formula>$E$5</formula>
    </cfRule>
  </conditionalFormatting>
  <conditionalFormatting sqref="C29:AA31">
    <cfRule type="cellIs" dxfId="52" priority="20" stopIfTrue="1" operator="equal">
      <formula>"NP"</formula>
    </cfRule>
    <cfRule type="cellIs" dxfId="51" priority="21" stopIfTrue="1" operator="equal">
      <formula>"OL"</formula>
    </cfRule>
  </conditionalFormatting>
  <conditionalFormatting sqref="C33:AA35">
    <cfRule type="cellIs" dxfId="50" priority="23" stopIfTrue="1" operator="equal">
      <formula>"NP"</formula>
    </cfRule>
    <cfRule type="cellIs" dxfId="49" priority="24" stopIfTrue="1" operator="equal">
      <formula>"OL"</formula>
    </cfRule>
  </conditionalFormatting>
  <conditionalFormatting sqref="C37:AA39">
    <cfRule type="cellIs" dxfId="48" priority="26" stopIfTrue="1" operator="equal">
      <formula>"NP"</formula>
    </cfRule>
    <cfRule type="cellIs" dxfId="47" priority="27" stopIfTrue="1" operator="equal">
      <formula>"OL"</formula>
    </cfRule>
  </conditionalFormatting>
  <conditionalFormatting sqref="C41:AA43">
    <cfRule type="cellIs" dxfId="46" priority="29" stopIfTrue="1" operator="equal">
      <formula>"NP"</formula>
    </cfRule>
    <cfRule type="cellIs" dxfId="45" priority="30" stopIfTrue="1" operator="equal">
      <formula>"OL"</formula>
    </cfRule>
  </conditionalFormatting>
  <conditionalFormatting sqref="C45:AA47">
    <cfRule type="cellIs" dxfId="44" priority="32" stopIfTrue="1" operator="equal">
      <formula>"NP"</formula>
    </cfRule>
    <cfRule type="cellIs" dxfId="43" priority="33" stopIfTrue="1" operator="equal">
      <formula>"OL"</formula>
    </cfRule>
  </conditionalFormatting>
  <conditionalFormatting sqref="C49:AA51">
    <cfRule type="cellIs" dxfId="42" priority="36" stopIfTrue="1" operator="equal">
      <formula>"OL"</formula>
    </cfRule>
    <cfRule type="cellIs" dxfId="41" priority="35" stopIfTrue="1" operator="equal">
      <formula>"NP"</formula>
    </cfRule>
  </conditionalFormatting>
  <conditionalFormatting sqref="H11 N11 AB11 AB13 AB15 AB17 AB19 AB21 T11 Z11">
    <cfRule type="expression" dxfId="40" priority="44" stopIfTrue="1">
      <formula>$C$11&gt;$E$5</formula>
    </cfRule>
  </conditionalFormatting>
  <conditionalFormatting sqref="H13 N13 T13 Z13">
    <cfRule type="expression" dxfId="39" priority="46" stopIfTrue="1">
      <formula>$C$13&gt;$E$5</formula>
    </cfRule>
  </conditionalFormatting>
  <conditionalFormatting sqref="H15 N15 T15 Z15">
    <cfRule type="expression" dxfId="38" priority="48" stopIfTrue="1">
      <formula>$C$15&gt;$E$5</formula>
    </cfRule>
  </conditionalFormatting>
  <conditionalFormatting sqref="H17 N17 T17 Z17">
    <cfRule type="expression" dxfId="37" priority="50" stopIfTrue="1">
      <formula>$C$17&gt;$E$5</formula>
    </cfRule>
  </conditionalFormatting>
  <conditionalFormatting sqref="H19 N19 T19 Z19">
    <cfRule type="expression" dxfId="36" priority="52" stopIfTrue="1">
      <formula>$C$19&gt;$E$5</formula>
    </cfRule>
  </conditionalFormatting>
  <conditionalFormatting sqref="H21 N21 T21 Z21">
    <cfRule type="expression" dxfId="35" priority="54" stopIfTrue="1">
      <formula>$C$21&gt;$E$5</formula>
    </cfRule>
  </conditionalFormatting>
  <conditionalFormatting sqref="K1 AC1:AE1 P1:Q2 AA1:AB2 L1:O23 C2:C5 A2:B23 D2:J23 Q3:AB3 K3:K23 AB5:AB21 C7:C23">
    <cfRule type="expression" dxfId="34" priority="38" stopIfTrue="1">
      <formula>$AI$3&lt;0</formula>
    </cfRule>
  </conditionalFormatting>
  <conditionalFormatting sqref="P5:AA23">
    <cfRule type="expression" dxfId="33" priority="1" stopIfTrue="1">
      <formula>$AI$3&lt;0</formula>
    </cfRule>
  </conditionalFormatting>
  <conditionalFormatting sqref="R54:S54">
    <cfRule type="expression" dxfId="32" priority="3" stopIfTrue="1">
      <formula>$Q$54&gt;11</formula>
    </cfRule>
  </conditionalFormatting>
  <conditionalFormatting sqref="V6:V8">
    <cfRule type="expression" dxfId="31" priority="2" stopIfTrue="1">
      <formula>$B$7=TRUE</formula>
    </cfRule>
  </conditionalFormatting>
  <conditionalFormatting sqref="AB25">
    <cfRule type="expression" dxfId="30" priority="65" stopIfTrue="1">
      <formula>$AD$13="OL"</formula>
    </cfRule>
  </conditionalFormatting>
  <conditionalFormatting sqref="AB29">
    <cfRule type="expression" dxfId="29" priority="67" stopIfTrue="1">
      <formula>$C$29="OL"</formula>
    </cfRule>
  </conditionalFormatting>
  <conditionalFormatting sqref="AB29:AB31">
    <cfRule type="expression" dxfId="28" priority="56" stopIfTrue="1">
      <formula>$A$28="Ara"</formula>
    </cfRule>
  </conditionalFormatting>
  <conditionalFormatting sqref="AB32:AB35">
    <cfRule type="expression" dxfId="27" priority="57" stopIfTrue="1">
      <formula>$A$32="Ara"</formula>
    </cfRule>
  </conditionalFormatting>
  <conditionalFormatting sqref="AB33">
    <cfRule type="expression" dxfId="26" priority="69" stopIfTrue="1">
      <formula>$C$33="OL"</formula>
    </cfRule>
  </conditionalFormatting>
  <conditionalFormatting sqref="AB36:AB39">
    <cfRule type="expression" dxfId="25" priority="58" stopIfTrue="1">
      <formula>$A$36="Ara"</formula>
    </cfRule>
  </conditionalFormatting>
  <conditionalFormatting sqref="AB37">
    <cfRule type="expression" dxfId="24" priority="71" stopIfTrue="1">
      <formula>$C$37="OL"</formula>
    </cfRule>
  </conditionalFormatting>
  <conditionalFormatting sqref="AB40:AB43">
    <cfRule type="expression" dxfId="23" priority="59" stopIfTrue="1">
      <formula>$A$40="Ara"</formula>
    </cfRule>
  </conditionalFormatting>
  <conditionalFormatting sqref="AB41">
    <cfRule type="expression" dxfId="22" priority="73" stopIfTrue="1">
      <formula>$C$41="OL"</formula>
    </cfRule>
  </conditionalFormatting>
  <conditionalFormatting sqref="AB44:AB47">
    <cfRule type="expression" dxfId="21" priority="60" stopIfTrue="1">
      <formula>$A$44="Ara"</formula>
    </cfRule>
  </conditionalFormatting>
  <conditionalFormatting sqref="AB45">
    <cfRule type="expression" dxfId="20" priority="75" stopIfTrue="1">
      <formula>$C$45="OL"</formula>
    </cfRule>
  </conditionalFormatting>
  <conditionalFormatting sqref="AB48:AB51">
    <cfRule type="expression" dxfId="19" priority="61" stopIfTrue="1">
      <formula>$A$48="Ara"</formula>
    </cfRule>
  </conditionalFormatting>
  <conditionalFormatting sqref="AB49">
    <cfRule type="expression" dxfId="18" priority="77" stopIfTrue="1">
      <formula>$C$49="OL"</formula>
    </cfRule>
  </conditionalFormatting>
  <conditionalFormatting sqref="AC11:AD15">
    <cfRule type="expression" dxfId="17" priority="5" stopIfTrue="1">
      <formula>$A$27="Ara"</formula>
    </cfRule>
  </conditionalFormatting>
  <conditionalFormatting sqref="AC19:AE51 AF21:AF51">
    <cfRule type="expression" dxfId="16" priority="6" stopIfTrue="1">
      <formula>$A$27="Ara"</formula>
    </cfRule>
  </conditionalFormatting>
  <conditionalFormatting sqref="AC2:AF9">
    <cfRule type="expression" dxfId="15" priority="37" stopIfTrue="1">
      <formula>$A$27="Ara"</formula>
    </cfRule>
  </conditionalFormatting>
  <conditionalFormatting sqref="AD13:AD15">
    <cfRule type="cellIs" dxfId="14" priority="18" stopIfTrue="1" operator="equal">
      <formula>"OL"</formula>
    </cfRule>
    <cfRule type="cellIs" dxfId="13" priority="17" stopIfTrue="1" operator="equal">
      <formula>"NP"</formula>
    </cfRule>
  </conditionalFormatting>
  <conditionalFormatting sqref="AD23:AD51">
    <cfRule type="cellIs" dxfId="12" priority="15" stopIfTrue="1" operator="equal">
      <formula>"OL"</formula>
    </cfRule>
    <cfRule type="cellIs" dxfId="11" priority="14" stopIfTrue="1" operator="equal">
      <formula>"NP"</formula>
    </cfRule>
  </conditionalFormatting>
  <conditionalFormatting sqref="AF18:AF20 AB22:AB28">
    <cfRule type="expression" dxfId="10" priority="55" stopIfTrue="1">
      <formula>$A$27="Ara"</formula>
    </cfRule>
  </conditionalFormatting>
  <hyperlinks>
    <hyperlink ref="Q1" r:id="rId6" xr:uid="{00000000-0004-0000-0000-000000000000}"/>
  </hyperlinks>
  <pageMargins left="0.75" right="0.75" top="1" bottom="1" header="0.5" footer="0.5"/>
  <pageSetup scale="67" orientation="landscape" horizontalDpi="1200" verticalDpi="1200" r:id="rId7"/>
  <headerFooter alignWithMargins="0">
    <oddHeader>&amp;C&amp;"Times New Roman,Bold Italic"&amp;16 2018 IBC Building Height and Area Calculator</oddHeader>
    <oddFooter>&amp;Lwww.ara4help.com&amp;RPrinted &amp;D</oddFoot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8" r:id="rId10" name="Check Box 90">
              <controlPr defaultSize="0" autoFill="0" autoLine="0" autoPict="0">
                <anchor moveWithCells="1">
                  <from>
                    <xdr:col>9</xdr:col>
                    <xdr:colOff>200025</xdr:colOff>
                    <xdr:row>5</xdr:row>
                    <xdr:rowOff>190500</xdr:rowOff>
                  </from>
                  <to>
                    <xdr:col>10</xdr:col>
                    <xdr:colOff>123825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1" name="Drop Down 4">
              <controlPr defaultSize="0" autoLine="0" autoPict="0">
                <anchor moveWithCells="1">
                  <from>
                    <xdr:col>4</xdr:col>
                    <xdr:colOff>9525</xdr:colOff>
                    <xdr:row>1</xdr:row>
                    <xdr:rowOff>0</xdr:rowOff>
                  </from>
                  <to>
                    <xdr:col>5</xdr:col>
                    <xdr:colOff>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2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180975</xdr:rowOff>
                  </from>
                  <to>
                    <xdr:col>7</xdr:col>
                    <xdr:colOff>323850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3" name="Drop Down 6">
              <controlPr defaultSize="0" autoLine="0" autoPict="0">
                <anchor moveWithCells="1">
                  <from>
                    <xdr:col>4</xdr:col>
                    <xdr:colOff>0</xdr:colOff>
                    <xdr:row>10</xdr:row>
                    <xdr:rowOff>9525</xdr:rowOff>
                  </from>
                  <to>
                    <xdr:col>5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4" name="Drop Down 8">
              <controlPr defaultSize="0" autoLine="0" autoPict="0">
                <anchor moveWithCells="1">
                  <from>
                    <xdr:col>10</xdr:col>
                    <xdr:colOff>9525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5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6" name="Drop Down 10">
              <controlPr defaultSize="0" autoLine="0" autoPict="0">
                <anchor moveWithCells="1">
                  <from>
                    <xdr:col>22</xdr:col>
                    <xdr:colOff>9525</xdr:colOff>
                    <xdr:row>10</xdr:row>
                    <xdr:rowOff>0</xdr:rowOff>
                  </from>
                  <to>
                    <xdr:col>23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Drop Down 13">
              <controlPr defaultSize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Drop Down 14">
              <controlPr defaultSize="0" autoLine="0" autoPict="0">
                <anchor moveWithCells="1">
                  <from>
                    <xdr:col>10</xdr:col>
                    <xdr:colOff>9525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Drop Down 15">
              <controlPr defaultSize="0" autoLine="0" autoPict="0">
                <anchor moveWithCells="1">
                  <from>
                    <xdr:col>16</xdr:col>
                    <xdr:colOff>9525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Drop Down 16">
              <controlPr defaultSize="0" autoLine="0" autoPict="0">
                <anchor moveWithCells="1">
                  <from>
                    <xdr:col>22</xdr:col>
                    <xdr:colOff>9525</xdr:colOff>
                    <xdr:row>12</xdr:row>
                    <xdr:rowOff>0</xdr:rowOff>
                  </from>
                  <to>
                    <xdr:col>23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Drop Down 17">
              <controlPr defaultSize="0" autoLine="0" autoPict="0">
                <anchor moveWithCells="1">
                  <from>
                    <xdr:col>4</xdr:col>
                    <xdr:colOff>9525</xdr:colOff>
                    <xdr:row>14</xdr:row>
                    <xdr:rowOff>0</xdr:rowOff>
                  </from>
                  <to>
                    <xdr:col>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Drop Down 18">
              <controlPr defaultSize="0" autoLine="0" autoPict="0">
                <anchor moveWithCells="1">
                  <from>
                    <xdr:col>4</xdr:col>
                    <xdr:colOff>9525</xdr:colOff>
                    <xdr:row>16</xdr:row>
                    <xdr:rowOff>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Drop Down 19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Drop Down 20">
              <controlPr defaultSize="0" autoLine="0" autoPict="0">
                <anchor moveWithCells="1">
                  <from>
                    <xdr:col>4</xdr:col>
                    <xdr:colOff>9525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autoLine="0" autoPict="0">
                <anchor moveWithCells="1">
                  <from>
                    <xdr:col>10</xdr:col>
                    <xdr:colOff>9525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autoLine="0" autoPict="0">
                <anchor moveWithCells="1">
                  <from>
                    <xdr:col>10</xdr:col>
                    <xdr:colOff>9525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autoLine="0" autoPict="0">
                <anchor moveWithCells="1">
                  <from>
                    <xdr:col>10</xdr:col>
                    <xdr:colOff>9525</xdr:colOff>
                    <xdr:row>18</xdr:row>
                    <xdr:rowOff>0</xdr:rowOff>
                  </from>
                  <to>
                    <xdr:col>11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autoLine="0" autoPict="0">
                <anchor moveWithCells="1">
                  <from>
                    <xdr:col>10</xdr:col>
                    <xdr:colOff>9525</xdr:colOff>
                    <xdr:row>20</xdr:row>
                    <xdr:rowOff>0</xdr:rowOff>
                  </from>
                  <to>
                    <xdr:col>11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Drop Down 29">
              <controlPr defaultSize="0" autoLine="0" autoPict="0">
                <anchor moveWithCells="1">
                  <from>
                    <xdr:col>16</xdr:col>
                    <xdr:colOff>9525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0" name="Drop Down 30">
              <controlPr defaultSize="0" autoLine="0" autoPict="0">
                <anchor moveWithCells="1">
                  <from>
                    <xdr:col>16</xdr:col>
                    <xdr:colOff>9525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1" name="Drop Down 31">
              <controlPr defaultSize="0" autoLine="0" autoPict="0">
                <anchor moveWithCells="1">
                  <from>
                    <xdr:col>16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2" name="Drop Down 32">
              <controlPr defaultSize="0" autoLine="0" autoPict="0">
                <anchor moveWithCells="1">
                  <from>
                    <xdr:col>16</xdr:col>
                    <xdr:colOff>9525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Drop Down 35">
              <controlPr defaultSize="0" autoLine="0" autoPict="0">
                <anchor moveWithCells="1">
                  <from>
                    <xdr:col>22</xdr:col>
                    <xdr:colOff>9525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Drop Down 36">
              <controlPr defaultSize="0" autoLine="0" autoPict="0">
                <anchor moveWithCells="1">
                  <from>
                    <xdr:col>22</xdr:col>
                    <xdr:colOff>9525</xdr:colOff>
                    <xdr:row>16</xdr:row>
                    <xdr:rowOff>0</xdr:rowOff>
                  </from>
                  <to>
                    <xdr:col>23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5" name="Drop Down 37">
              <controlPr defaultSize="0" autoLine="0" autoPict="0">
                <anchor moveWithCells="1">
                  <from>
                    <xdr:col>22</xdr:col>
                    <xdr:colOff>9525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6" name="Drop Down 38">
              <controlPr defaultSize="0" autoLine="0" autoPict="0">
                <anchor moveWithCells="1">
                  <from>
                    <xdr:col>22</xdr:col>
                    <xdr:colOff>9525</xdr:colOff>
                    <xdr:row>20</xdr:row>
                    <xdr:rowOff>0</xdr:rowOff>
                  </from>
                  <to>
                    <xdr:col>23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37" name="Check Box 65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180975</xdr:rowOff>
                  </from>
                  <to>
                    <xdr:col>7</xdr:col>
                    <xdr:colOff>323850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8" name="Check Box 66">
              <controlPr defaultSize="0" autoFill="0" autoLine="0" autoPict="0">
                <anchor moveWithCells="1">
                  <from>
                    <xdr:col>19</xdr:col>
                    <xdr:colOff>476250</xdr:colOff>
                    <xdr:row>5</xdr:row>
                    <xdr:rowOff>180975</xdr:rowOff>
                  </from>
                  <to>
                    <xdr:col>21</xdr:col>
                    <xdr:colOff>114300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9" name="Option Button 71">
              <controlPr defaultSize="0" autoFill="0" autoLine="0" autoPict="0">
                <anchor moveWithCells="1">
                  <from>
                    <xdr:col>11</xdr:col>
                    <xdr:colOff>0</xdr:colOff>
                    <xdr:row>0</xdr:row>
                    <xdr:rowOff>9525</xdr:rowOff>
                  </from>
                  <to>
                    <xdr:col>13</xdr:col>
                    <xdr:colOff>476250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40" name="Check Box 142">
              <controlPr defaultSize="0" autoFill="0" autoLine="0" autoPict="0">
                <anchor moveWithCells="1">
                  <from>
                    <xdr:col>19</xdr:col>
                    <xdr:colOff>476250</xdr:colOff>
                    <xdr:row>6</xdr:row>
                    <xdr:rowOff>114300</xdr:rowOff>
                  </from>
                  <to>
                    <xdr:col>21</xdr:col>
                    <xdr:colOff>114300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BH129"/>
  <sheetViews>
    <sheetView workbookViewId="0">
      <selection activeCell="D1" sqref="D1"/>
    </sheetView>
  </sheetViews>
  <sheetFormatPr defaultRowHeight="12.75" x14ac:dyDescent="0.2"/>
  <cols>
    <col min="1" max="1" width="7.42578125" customWidth="1"/>
    <col min="2" max="6" width="7.7109375" customWidth="1"/>
    <col min="7" max="7" width="7.7109375" style="34" customWidth="1"/>
    <col min="8" max="16" width="7.7109375" customWidth="1"/>
    <col min="17" max="17" width="7.7109375" style="34" customWidth="1"/>
    <col min="18" max="26" width="7.7109375" customWidth="1"/>
    <col min="27" max="27" width="7.7109375" style="34" customWidth="1"/>
    <col min="28" max="36" width="7.7109375" customWidth="1"/>
    <col min="37" max="37" width="7.7109375" style="34" customWidth="1"/>
    <col min="38" max="41" width="7.7109375" customWidth="1"/>
  </cols>
  <sheetData>
    <row r="1" spans="1:45" x14ac:dyDescent="0.2">
      <c r="A1" s="412">
        <f>IF(OR(C1=1,C1=3),1,C1)</f>
        <v>1</v>
      </c>
      <c r="B1" s="411" t="s">
        <v>202</v>
      </c>
      <c r="C1" s="455">
        <f>ChaCha!$M$2</f>
        <v>3</v>
      </c>
    </row>
    <row r="2" spans="1:45" x14ac:dyDescent="0.2">
      <c r="A2" s="111">
        <v>1</v>
      </c>
      <c r="B2" s="111"/>
    </row>
    <row r="3" spans="1:45" x14ac:dyDescent="0.2">
      <c r="A3" s="111">
        <v>2</v>
      </c>
      <c r="B3" s="111"/>
      <c r="J3" s="138"/>
    </row>
    <row r="4" spans="1:45" x14ac:dyDescent="0.2">
      <c r="A4" s="111">
        <v>3</v>
      </c>
      <c r="B4" s="111">
        <v>2015</v>
      </c>
    </row>
    <row r="5" spans="1:45" x14ac:dyDescent="0.2">
      <c r="D5" s="29"/>
      <c r="E5" s="116"/>
      <c r="I5" s="29"/>
      <c r="L5" s="388" t="s">
        <v>190</v>
      </c>
      <c r="M5" s="111">
        <f>COUNTIF($M$39:$P$44,1)</f>
        <v>24</v>
      </c>
      <c r="N5" s="29"/>
      <c r="X5" s="29"/>
      <c r="AG5" s="29"/>
    </row>
    <row r="6" spans="1:45" ht="13.5" thickBot="1" x14ac:dyDescent="0.25">
      <c r="L6" s="81" t="s">
        <v>17</v>
      </c>
      <c r="M6" s="111">
        <f>COUNTIF($M$39:$P$44,21)</f>
        <v>0</v>
      </c>
    </row>
    <row r="7" spans="1:45" ht="16.5" customHeight="1" thickBot="1" x14ac:dyDescent="0.25">
      <c r="A7" s="33"/>
      <c r="B7" s="31" t="s">
        <v>84</v>
      </c>
      <c r="D7" s="166">
        <f>ChaCha!G2</f>
        <v>1</v>
      </c>
      <c r="G7" s="35"/>
      <c r="L7" s="81" t="s">
        <v>18</v>
      </c>
      <c r="M7" s="111">
        <f>COUNTIF($M$39:$P$44,22)</f>
        <v>0</v>
      </c>
      <c r="Q7" s="35"/>
      <c r="AA7" s="35"/>
      <c r="AK7" s="35"/>
    </row>
    <row r="8" spans="1:45" ht="13.5" thickBot="1" x14ac:dyDescent="0.25">
      <c r="B8" s="31"/>
      <c r="H8" s="100" t="s">
        <v>78</v>
      </c>
      <c r="L8" s="81" t="s">
        <v>77</v>
      </c>
      <c r="M8" s="111">
        <f>COUNTIF($M$39:$P$44,23)</f>
        <v>0</v>
      </c>
      <c r="N8" s="34"/>
      <c r="R8" s="38"/>
      <c r="W8" s="101" t="s">
        <v>79</v>
      </c>
      <c r="X8" s="38"/>
    </row>
    <row r="9" spans="1:45" ht="13.5" thickBot="1" x14ac:dyDescent="0.25">
      <c r="B9" s="31" t="s">
        <v>101</v>
      </c>
      <c r="D9" s="38">
        <f>ChaCha!E4</f>
        <v>0</v>
      </c>
      <c r="H9" s="101" t="s">
        <v>50</v>
      </c>
      <c r="L9" s="81" t="s">
        <v>19</v>
      </c>
      <c r="M9" s="111">
        <f>COUNTIF($M$39:$P$44,24)</f>
        <v>0</v>
      </c>
      <c r="R9" s="38">
        <f>Height!O11</f>
        <v>0</v>
      </c>
      <c r="W9" s="101" t="s">
        <v>79</v>
      </c>
      <c r="X9" s="38">
        <f>IF(AND($D$7=9,OR(G17=24,Q17=24,AA17=24,AK17=24)),60,Height!$P$11)</f>
        <v>0</v>
      </c>
    </row>
    <row r="10" spans="1:45" ht="13.5" thickBot="1" x14ac:dyDescent="0.25">
      <c r="B10" s="31" t="s">
        <v>102</v>
      </c>
      <c r="D10" s="38">
        <f>ChaCha!E5</f>
        <v>0</v>
      </c>
      <c r="L10" s="111" t="s">
        <v>130</v>
      </c>
      <c r="M10" s="111">
        <f>SUM(M5:M9)</f>
        <v>24</v>
      </c>
      <c r="X10" t="s">
        <v>74</v>
      </c>
    </row>
    <row r="11" spans="1:45" ht="13.5" thickBot="1" x14ac:dyDescent="0.25">
      <c r="B11" s="31" t="s">
        <v>166</v>
      </c>
      <c r="D11" s="38">
        <f>ChaCha!E5-ChaCha!E6</f>
        <v>0</v>
      </c>
      <c r="X11" s="79">
        <f>ChaCha!Q6</f>
        <v>0</v>
      </c>
    </row>
    <row r="12" spans="1:45" ht="13.5" thickBot="1" x14ac:dyDescent="0.25">
      <c r="A12" s="32" t="b">
        <f>ChaCha!B7</f>
        <v>0</v>
      </c>
      <c r="B12" s="85" t="s">
        <v>75</v>
      </c>
      <c r="E12" s="32" t="b">
        <f>IF(A12=FALSE,ChaCha!I7,FALSE)</f>
        <v>0</v>
      </c>
      <c r="F12" s="521" t="s">
        <v>298</v>
      </c>
      <c r="H12" s="389">
        <f>IF(AND(E12=TRUE,M10=24),1,0)</f>
        <v>0</v>
      </c>
      <c r="J12" s="34"/>
    </row>
    <row r="13" spans="1:45" ht="13.5" thickBot="1" x14ac:dyDescent="0.25">
      <c r="B13" s="31"/>
      <c r="E13" t="b">
        <f>IF(AND(A12=FALSE,E12=FALSE),ChaCha!I8,FALSE)</f>
        <v>0</v>
      </c>
      <c r="F13" s="521" t="s">
        <v>297</v>
      </c>
      <c r="H13">
        <f>IF(AND(E13=TRUE,M10=24),1,0)</f>
        <v>0</v>
      </c>
      <c r="AR13" s="346" t="s">
        <v>167</v>
      </c>
      <c r="AS13" s="346"/>
    </row>
    <row r="14" spans="1:45" s="37" customFormat="1" ht="24" customHeight="1" thickBot="1" x14ac:dyDescent="0.25">
      <c r="B14" s="106" t="s">
        <v>48</v>
      </c>
      <c r="C14" s="107" t="s">
        <v>96</v>
      </c>
      <c r="D14" s="161" t="s">
        <v>86</v>
      </c>
      <c r="E14" s="107" t="s">
        <v>98</v>
      </c>
      <c r="F14" s="107" t="s">
        <v>97</v>
      </c>
      <c r="G14" s="108" t="s">
        <v>83</v>
      </c>
      <c r="H14" s="107" t="s">
        <v>47</v>
      </c>
      <c r="I14" s="109" t="s">
        <v>85</v>
      </c>
      <c r="J14" s="148" t="s">
        <v>114</v>
      </c>
      <c r="K14" s="109"/>
      <c r="L14" s="106" t="s">
        <v>48</v>
      </c>
      <c r="M14" s="107" t="s">
        <v>96</v>
      </c>
      <c r="N14" s="161" t="s">
        <v>86</v>
      </c>
      <c r="O14" s="107" t="s">
        <v>98</v>
      </c>
      <c r="P14" s="107" t="s">
        <v>97</v>
      </c>
      <c r="Q14" s="108" t="s">
        <v>83</v>
      </c>
      <c r="R14" s="107" t="s">
        <v>47</v>
      </c>
      <c r="S14" s="109" t="s">
        <v>85</v>
      </c>
      <c r="T14" s="148" t="s">
        <v>114</v>
      </c>
      <c r="U14" s="109"/>
      <c r="V14" s="106" t="s">
        <v>48</v>
      </c>
      <c r="W14" s="107" t="s">
        <v>96</v>
      </c>
      <c r="X14" s="161" t="s">
        <v>86</v>
      </c>
      <c r="Y14" s="107" t="s">
        <v>98</v>
      </c>
      <c r="Z14" s="107" t="s">
        <v>97</v>
      </c>
      <c r="AA14" s="108" t="s">
        <v>83</v>
      </c>
      <c r="AB14" s="107" t="s">
        <v>47</v>
      </c>
      <c r="AC14" s="109" t="s">
        <v>85</v>
      </c>
      <c r="AD14" s="148" t="s">
        <v>114</v>
      </c>
      <c r="AE14" s="109"/>
      <c r="AF14" s="106" t="s">
        <v>48</v>
      </c>
      <c r="AG14" s="107" t="s">
        <v>96</v>
      </c>
      <c r="AH14" s="161" t="s">
        <v>86</v>
      </c>
      <c r="AI14" s="107" t="s">
        <v>98</v>
      </c>
      <c r="AJ14" s="107" t="s">
        <v>97</v>
      </c>
      <c r="AK14" s="108" t="s">
        <v>83</v>
      </c>
      <c r="AL14" s="107" t="s">
        <v>47</v>
      </c>
      <c r="AM14" s="109" t="s">
        <v>85</v>
      </c>
      <c r="AN14" s="148" t="s">
        <v>114</v>
      </c>
      <c r="AO14" s="109"/>
      <c r="AP14" s="37" t="s">
        <v>117</v>
      </c>
      <c r="AR14" s="347">
        <f>MAX(G18,G21,G24,G27,G30,G33,Q18,Q21,Q24,Q27,Q30,Q33,AA18,AA21,AA24,AA27,AA30,AA33,AK18,AK21,AK24,AK27,AK30,AK33)</f>
        <v>2</v>
      </c>
      <c r="AS14" s="348" t="s">
        <v>168</v>
      </c>
    </row>
    <row r="15" spans="1:45" ht="24" customHeight="1" thickBot="1" x14ac:dyDescent="0.25">
      <c r="B15" s="134" t="s">
        <v>105</v>
      </c>
      <c r="C15" s="107" t="s">
        <v>87</v>
      </c>
      <c r="D15" s="107" t="s">
        <v>88</v>
      </c>
      <c r="E15" s="107" t="s">
        <v>100</v>
      </c>
      <c r="F15" s="107" t="s">
        <v>99</v>
      </c>
      <c r="G15" s="110" t="s">
        <v>82</v>
      </c>
      <c r="H15" s="118" t="s">
        <v>95</v>
      </c>
      <c r="I15" s="142" t="s">
        <v>113</v>
      </c>
      <c r="J15" s="148"/>
      <c r="K15" s="109"/>
      <c r="L15" s="134" t="s">
        <v>105</v>
      </c>
      <c r="M15" s="107" t="s">
        <v>87</v>
      </c>
      <c r="N15" s="107" t="s">
        <v>88</v>
      </c>
      <c r="O15" s="107" t="s">
        <v>100</v>
      </c>
      <c r="P15" s="107" t="s">
        <v>99</v>
      </c>
      <c r="Q15" s="110" t="s">
        <v>82</v>
      </c>
      <c r="R15" s="118" t="s">
        <v>95</v>
      </c>
      <c r="S15" s="142" t="s">
        <v>113</v>
      </c>
      <c r="T15" s="148"/>
      <c r="U15" s="109"/>
      <c r="V15" s="134" t="s">
        <v>105</v>
      </c>
      <c r="W15" s="107" t="s">
        <v>87</v>
      </c>
      <c r="X15" s="107" t="s">
        <v>88</v>
      </c>
      <c r="Y15" s="107" t="s">
        <v>100</v>
      </c>
      <c r="Z15" s="107" t="s">
        <v>99</v>
      </c>
      <c r="AA15" s="110" t="s">
        <v>82</v>
      </c>
      <c r="AB15" s="118" t="s">
        <v>95</v>
      </c>
      <c r="AC15" s="142" t="s">
        <v>113</v>
      </c>
      <c r="AD15" s="148"/>
      <c r="AE15" s="109"/>
      <c r="AF15" s="134" t="s">
        <v>105</v>
      </c>
      <c r="AG15" s="107" t="s">
        <v>87</v>
      </c>
      <c r="AH15" s="107" t="s">
        <v>88</v>
      </c>
      <c r="AI15" s="107" t="s">
        <v>100</v>
      </c>
      <c r="AJ15" s="107" t="s">
        <v>99</v>
      </c>
      <c r="AK15" s="110" t="s">
        <v>82</v>
      </c>
      <c r="AL15" s="118" t="s">
        <v>95</v>
      </c>
      <c r="AM15" s="142" t="s">
        <v>113</v>
      </c>
      <c r="AN15" s="148"/>
      <c r="AO15" s="109"/>
      <c r="AP15" t="s">
        <v>118</v>
      </c>
      <c r="AR15" s="190">
        <f>IF($D$10&gt;2,3,IF($D$10=2,2,1))</f>
        <v>1</v>
      </c>
      <c r="AS15" s="349">
        <f>SUM(I19,I22,I25,I28,I31,I34,S19,S22,S25,S28,S31,S34,AC19,AC22,AC25,AC28,AC31,AC34,AM19,AM22,AM25,AM28,AM31,AM34)</f>
        <v>0</v>
      </c>
    </row>
    <row r="16" spans="1:45" ht="24" customHeight="1" thickBot="1" x14ac:dyDescent="0.25">
      <c r="B16" s="134" t="s">
        <v>106</v>
      </c>
      <c r="C16" s="107" t="s">
        <v>89</v>
      </c>
      <c r="D16" s="107" t="s">
        <v>90</v>
      </c>
      <c r="E16" s="107"/>
      <c r="F16" s="107"/>
      <c r="G16" s="119" t="s">
        <v>94</v>
      </c>
      <c r="H16" s="136" t="s">
        <v>112</v>
      </c>
      <c r="I16" s="109"/>
      <c r="J16" s="148"/>
      <c r="K16" s="109"/>
      <c r="L16" s="134" t="s">
        <v>106</v>
      </c>
      <c r="M16" s="107" t="s">
        <v>89</v>
      </c>
      <c r="N16" s="107" t="s">
        <v>90</v>
      </c>
      <c r="O16" s="107"/>
      <c r="P16" s="107"/>
      <c r="Q16" s="119" t="s">
        <v>94</v>
      </c>
      <c r="R16" s="136" t="s">
        <v>112</v>
      </c>
      <c r="S16" s="109"/>
      <c r="T16" s="148"/>
      <c r="U16" s="109"/>
      <c r="V16" s="134" t="s">
        <v>106</v>
      </c>
      <c r="W16" s="107" t="s">
        <v>89</v>
      </c>
      <c r="X16" s="107" t="s">
        <v>90</v>
      </c>
      <c r="Y16" s="107"/>
      <c r="Z16" s="107"/>
      <c r="AA16" s="119" t="s">
        <v>94</v>
      </c>
      <c r="AB16" s="136" t="s">
        <v>112</v>
      </c>
      <c r="AC16" s="109"/>
      <c r="AD16" s="148"/>
      <c r="AE16" s="109"/>
      <c r="AF16" s="134" t="s">
        <v>106</v>
      </c>
      <c r="AG16" s="107" t="s">
        <v>89</v>
      </c>
      <c r="AH16" s="107" t="s">
        <v>90</v>
      </c>
      <c r="AI16" s="107"/>
      <c r="AJ16" s="107"/>
      <c r="AK16" s="119" t="s">
        <v>94</v>
      </c>
      <c r="AL16" s="136" t="s">
        <v>112</v>
      </c>
      <c r="AM16" s="109"/>
      <c r="AN16" s="148"/>
      <c r="AO16" s="109"/>
      <c r="AP16" t="s">
        <v>119</v>
      </c>
      <c r="AQ16" t="s">
        <v>139</v>
      </c>
    </row>
    <row r="17" spans="2:44" ht="15.75" customHeight="1" thickBot="1" x14ac:dyDescent="0.25">
      <c r="B17" s="44">
        <v>1</v>
      </c>
      <c r="C17" s="381">
        <f>IF(OR(E18="UL",E18="NP"),E18,IF($D$10&gt;2,3*E18,IF($D$10=2,2*E18,E18)))</f>
        <v>0</v>
      </c>
      <c r="D17" s="381">
        <f>IF(OR(F18="UL",F18="NP"),F18,IF($D$10&gt;2,3*F18,IF($D$10&gt;=2,2*F18,F18)))</f>
        <v>0</v>
      </c>
      <c r="E17" s="380">
        <f>IF(OR(I17="UL",I17="NP"),I17,I17*$X$11)</f>
        <v>0</v>
      </c>
      <c r="F17" s="380">
        <f>IF(OR(I17="UL",I17="NP"),I17,I17*G19)</f>
        <v>0</v>
      </c>
      <c r="G17" s="144">
        <f>ChaCha!G11</f>
        <v>1</v>
      </c>
      <c r="H17" s="145">
        <f>ChaCha!H11</f>
        <v>0</v>
      </c>
      <c r="I17" s="376">
        <f>IF(OR($D$7=1,G17=1,B17&gt;$D$10),0,HLOOKUP(Info!$D$7,Area!$C$1:$K$27,G17))</f>
        <v>0</v>
      </c>
      <c r="J17" s="376">
        <f>IF($A$12=FALSE,E18,IF(G18=2,F18,IF(AND($S$37=0,$S$38=0),F18,E18)))</f>
        <v>0</v>
      </c>
      <c r="K17" s="128"/>
      <c r="L17" s="44">
        <v>1</v>
      </c>
      <c r="M17" s="381">
        <f>IF(OR(O18="UL",O18="NP"),O18,IF($D$10&gt;2,3*O18,IF($D$10=2,2*O18,O18)))</f>
        <v>0</v>
      </c>
      <c r="N17" s="381">
        <f>IF(OR(P18="UL",P18="NP"),P18,IF($D$10&gt;2,3*P18,IF($D$10&gt;=2,2*P18,P18)))</f>
        <v>0</v>
      </c>
      <c r="O17" s="127">
        <f>IF(OR(S17="UL",S17="NP"),S17,S17*$X$11)</f>
        <v>0</v>
      </c>
      <c r="P17" s="127">
        <f>IF(OR(S17="UL",S17="NP"),S17,S17*Q19)</f>
        <v>0</v>
      </c>
      <c r="Q17" s="146">
        <f>ChaCha!M11</f>
        <v>1</v>
      </c>
      <c r="R17" s="147">
        <f>ChaCha!N11</f>
        <v>0</v>
      </c>
      <c r="S17" s="128">
        <f>IF(OR($D$7=1,Q17=1,L17&gt;$D$10),0,HLOOKUP(Info!$D$7,Area!$C$1:$K$27,Q17))</f>
        <v>0</v>
      </c>
      <c r="T17" s="128">
        <f>IF($A$12=FALSE,O18,IF(Q18=2,P18,IF(AND($S$37=0,$S$38=0),P18,O18)))</f>
        <v>0</v>
      </c>
      <c r="U17" s="102"/>
      <c r="V17" s="44">
        <v>1</v>
      </c>
      <c r="W17" s="381">
        <f>IF(OR(Y18="UL",Y18="NP"),Y18,IF($D$10&gt;2,3*Y18,IF($D$10=2,2*Y18,Y18)))</f>
        <v>0</v>
      </c>
      <c r="X17" s="381">
        <f>IF(OR(Z18="UL",Z18="NP"),Z18,IF($D$10&gt;2,3*Z18,IF($D$10&gt;=2,2*Z18,Z18)))</f>
        <v>0</v>
      </c>
      <c r="Y17" s="127">
        <f>IF(OR(AC17="UL",AC17="NP"),AC17,AC17*$X$11)</f>
        <v>0</v>
      </c>
      <c r="Z17" s="127">
        <f>IF(OR(AC17="UL",AC17="NP"),AC17,AC17*AA19)</f>
        <v>0</v>
      </c>
      <c r="AA17" s="146">
        <f>ChaCha!S11</f>
        <v>1</v>
      </c>
      <c r="AB17" s="147">
        <f>ChaCha!T11</f>
        <v>0</v>
      </c>
      <c r="AC17" s="128">
        <f>IF(OR($D$7=1,AA17=1,V17&gt;$D$10),0,HLOOKUP(Info!$D$7,Area!$C$1:$K$27,AA17))</f>
        <v>0</v>
      </c>
      <c r="AD17" s="128">
        <f>IF($A$12=FALSE,Y18,IF(AA18=2,Z18,IF(AND($S$37=0,$S$38=0),Z18,Y18)))</f>
        <v>0</v>
      </c>
      <c r="AE17" s="102"/>
      <c r="AF17" s="44">
        <v>1</v>
      </c>
      <c r="AG17" s="381">
        <f>IF(OR(AI18="UL",AI18="NP"),AI18,IF($D$10&gt;2,3*AI18,IF($D$10=2,2*AI18,AI18)))</f>
        <v>0</v>
      </c>
      <c r="AH17" s="381">
        <f>IF(OR(AJ18="UL",AJ18="NP"),AJ18,IF($D$10&gt;2,3*AJ18,IF($D$10&gt;=2,2*AJ18,AJ18)))</f>
        <v>0</v>
      </c>
      <c r="AI17" s="127">
        <f>IF(OR(AM17="UL",AM17="NP"),AM17,AM17*$X$11)</f>
        <v>0</v>
      </c>
      <c r="AJ17" s="127">
        <f>IF(OR(AM17="UL",AM17="NP"),AM17,AM17*AK19)</f>
        <v>0</v>
      </c>
      <c r="AK17" s="146">
        <f>ChaCha!Y11</f>
        <v>1</v>
      </c>
      <c r="AL17" s="147">
        <f>ChaCha!Z11</f>
        <v>0</v>
      </c>
      <c r="AM17" s="128">
        <f>IF(OR($D$7=1,AK17=1,AF17&gt;$D$10),0,HLOOKUP(Info!$D$7,Area!$C$1:$K$27,AK17))</f>
        <v>0</v>
      </c>
      <c r="AN17" s="128">
        <f>IF($A$12=FALSE,AI18,IF(AK18=2,AJ18,IF(AND($S$37=0,$S$38=0),AJ18,AI18)))</f>
        <v>0</v>
      </c>
      <c r="AO17" s="102"/>
      <c r="AP17" t="str">
        <f>IF(OR(I18="NP",S18="NP",AC18="NP",AM18="NP"),"NP use at Level "&amp;B17,IF(MAX(H17,R17,AB17,AL17)=0,"",IF(I19+S19+AC19+AM19&lt;=1,"Area is OK for Level "&amp;B17,"Overlimit Area at Level"&amp;B17)))</f>
        <v/>
      </c>
      <c r="AR17" s="231">
        <f>IF(OR($D$7=1,$D$9&lt;=0,$D$10&lt;=0),0,IF(OR(I18="NP",S18="NP",AC18="NP",AM18="NP"),"NP",IF(MAX(H17,R17,AB17,AL17)=0,"",IF(I19+S19+AC19+AM19&lt;=1,"OK","OL"))))</f>
        <v>0</v>
      </c>
    </row>
    <row r="18" spans="2:44" x14ac:dyDescent="0.2">
      <c r="B18" s="132">
        <f>IF(OR($D$7=1,G17=1),0,IF(OR(C18="UL",C18="NP"),C18,IF($D$9&gt;D18,1,IF(AND($D$9&gt;C18,$D$9&lt;=D18,$A$12=TRUE),2,IF($D$9&lt;=C18,3,1)))))</f>
        <v>0</v>
      </c>
      <c r="C18" s="382">
        <f>IF(OR($D$7=1,G17=1),0,HLOOKUP(Info!$D$7,Height!$AF$1:$AN$27,G17))</f>
        <v>0</v>
      </c>
      <c r="D18" s="383">
        <f>IF(OR($D$7=1,G17=1),0,HLOOKUP(Info!$D$7,Height!$AR$1:$AZ$27,G17))</f>
        <v>0</v>
      </c>
      <c r="E18" s="380">
        <f>IF(OR(I17="UL",I17="NP"),I17,I17+E17)</f>
        <v>0</v>
      </c>
      <c r="F18" s="380">
        <f>IF(OR(I17="UL",I17="NP"),I17,I17+E17+F17)</f>
        <v>0</v>
      </c>
      <c r="G18" s="374">
        <v>2</v>
      </c>
      <c r="H18" s="375">
        <f>IF(OR(G17=12,G17=13,$M$37&gt;0),1,0)</f>
        <v>0</v>
      </c>
      <c r="I18" s="378">
        <f>IF(OR(I17="UL",I17="NP",I17=0),I17,H17/J17)</f>
        <v>0</v>
      </c>
      <c r="J18" s="396">
        <f>IF($A$12=FALSE,C18,IF(G18=2,D18,IF(OR($S$37&lt;&gt;0,$S$38&lt;&gt;0),D18,C18)))</f>
        <v>0</v>
      </c>
      <c r="K18" s="396">
        <f>IF(OR(J18="NP",J18="UL",J18=0),0,J18)</f>
        <v>0</v>
      </c>
      <c r="L18" s="132">
        <f>IF(OR($D$7=1,Q17=1),0,IF(OR(M18="UL",M18="NP"),M18,IF($D$9&gt;N18,1,IF(AND($D$9&gt;M18,$D$9&lt;=N18,$A$12=TRUE),2,IF($D$9&lt;=M18,3,1)))))</f>
        <v>0</v>
      </c>
      <c r="M18" s="121">
        <f>IF(OR($D$7=1,Q17=1),0,HLOOKUP(Info!$D$7,Height!$AF$1:$AN$27,Q17))</f>
        <v>0</v>
      </c>
      <c r="N18" s="122">
        <f>IF(OR($D$7=1,Q17=1),0,HLOOKUP(Info!$D$7,Height!$AR$1:$AZ$27,Q17))</f>
        <v>0</v>
      </c>
      <c r="O18" s="127">
        <f>IF(OR(S17="UL",S17="NP"),S17,S17+O17)</f>
        <v>0</v>
      </c>
      <c r="P18" s="127">
        <f>IF(OR(S17="UL",S17="NP"),S17,S17+O17+P17)</f>
        <v>0</v>
      </c>
      <c r="Q18" s="374">
        <v>2</v>
      </c>
      <c r="R18" s="375">
        <f>IF(OR(Q17=12,Q17=13,$M$37&gt;0),1,0)</f>
        <v>0</v>
      </c>
      <c r="S18" s="143">
        <f>IF(OR(S17="UL",S17="NP",S17=0),S17,R17/T17)</f>
        <v>0</v>
      </c>
      <c r="T18" s="120">
        <f>IF($A$12=FALSE,M18,IF(Q18=2,N18,IF(OR($S$37&lt;&gt;0,$S$38&lt;&gt;0),N18,M18)))</f>
        <v>0</v>
      </c>
      <c r="U18" s="120">
        <f>IF(OR(T18="NP",T18="UL",T18=0),0,T18)</f>
        <v>0</v>
      </c>
      <c r="V18" s="132">
        <f>IF(OR($D$7=1,AA17=1),0,IF(OR(W18="UL",W18="NP"),W18,IF($D$9&gt;X18,1,IF(AND($D$9&gt;W18,$D$9&lt;=X18,$A$12=TRUE),2,IF($D$9&lt;=W18,3,1)))))</f>
        <v>0</v>
      </c>
      <c r="W18" s="121">
        <f>IF(OR($D$7=1,AA17=1),0,HLOOKUP(Info!$D$7,Height!$AF$1:$AN$27,AA17))</f>
        <v>0</v>
      </c>
      <c r="X18" s="122">
        <f>IF(OR($D$7=1,AA17=1),0,HLOOKUP(Info!$D$7,Height!$AR$1:$AZ$27,AA17))</f>
        <v>0</v>
      </c>
      <c r="Y18" s="127">
        <f>IF(OR(AC17="UL",AC17="NP"),AC17,AC17+Y17)</f>
        <v>0</v>
      </c>
      <c r="Z18" s="127">
        <f>IF(OR(AC17="UL",AC17="NP"),AC17,AC17+Y17+Z17)</f>
        <v>0</v>
      </c>
      <c r="AA18" s="374">
        <v>2</v>
      </c>
      <c r="AB18" s="375">
        <f>IF(OR(AA17=12,AA17=13,$M$37&gt;0),1,0)</f>
        <v>0</v>
      </c>
      <c r="AC18" s="143">
        <f>IF(OR(AC17="UL",AC17="NP",AC17=0),AC17,AB17/AD17)</f>
        <v>0</v>
      </c>
      <c r="AD18" s="120">
        <f>IF($A$12=FALSE,W18,IF(AA18=2,X18,IF(OR($S$37&lt;&gt;0,$S$38&lt;&gt;0),X18,W18)))</f>
        <v>0</v>
      </c>
      <c r="AE18" s="120">
        <f>IF(OR(AD18="NP",AD18="UL",AD18=0),0,AD18)</f>
        <v>0</v>
      </c>
      <c r="AF18" s="132">
        <f>IF(OR($D$7=1,AK17=1),0,IF(OR(AG18="UL",AG18="NP"),AG18,IF($D$9&gt;AH18,1,IF(AND($D$9&gt;AG18,$D$9&lt;=AH18,$A$12=TRUE),2,IF($D$9&lt;=AG18,3,1)))))</f>
        <v>0</v>
      </c>
      <c r="AG18" s="121">
        <f>IF(OR($D$7=1,AK17=1),0,HLOOKUP(Info!$D$7,Height!$AF$1:$AN$27,AK17))</f>
        <v>0</v>
      </c>
      <c r="AH18" s="122">
        <f>IF(OR($D$7=1,AK17=1),0,HLOOKUP(Info!$D$7,Height!$AR$1:$AZ$27,AK17))</f>
        <v>0</v>
      </c>
      <c r="AI18" s="127">
        <f>IF(OR(AM17="UL",AM17="NP"),AM17,AM17+AI17)</f>
        <v>0</v>
      </c>
      <c r="AJ18" s="127">
        <f>IF(OR(AM17="UL",AM17="NP"),AM17,AM17+AI17+AJ17)</f>
        <v>0</v>
      </c>
      <c r="AK18" s="374">
        <v>2</v>
      </c>
      <c r="AL18" s="375">
        <f>IF(OR(AK17=12,AK17=13,$M$37&gt;0),1,0)</f>
        <v>0</v>
      </c>
      <c r="AM18" s="143">
        <f>IF(OR(AM17="UL",AM17="NP",AM17=0),AM17,AL17/AN17)</f>
        <v>0</v>
      </c>
      <c r="AN18" s="120">
        <f>IF($A$12=FALSE,AG18,IF(AK18=2,AH18,IF(OR($S$37&lt;&gt;0,$S$38&lt;&gt;0),AH18,AG18)))</f>
        <v>0</v>
      </c>
      <c r="AO18" s="120">
        <f>IF(OR(AN18="NP",AN18="UL",AN18=0),0,AN18)</f>
        <v>0</v>
      </c>
      <c r="AP18" s="149" t="str">
        <f>IF(OR(J18="NP",T18="NP",AD18="NP",AN18="NP"),"NP use at level "&amp; B17,IF(AND((MIN(K18,U18,AE18,AO18)=0),(OR(J18="UL",T18="UL",AD18="UL",AN18="UL"))),"UL height for level "&amp;B17,IF(MAX(K18,U18,AE18,AO18)=0,"",MIN(K18,U18,AE18,AO18) &amp; " max. height permitted for Level "&amp;B17&amp;" for unseparated occupanceis")))</f>
        <v/>
      </c>
      <c r="AR18" s="232"/>
    </row>
    <row r="19" spans="2:44" ht="13.5" thickBot="1" x14ac:dyDescent="0.25">
      <c r="B19" s="133">
        <f>IF(OR($D$7=1,G17=1),0,IF(OR(C19="UL",C19="NP"),C19,IF(B17&gt;D19,1,IF(AND(B17&gt;C19,B17=D19,$A$12=TRUE),2,IF(B17&lt;=C19,3,1)))))</f>
        <v>0</v>
      </c>
      <c r="C19" s="384">
        <f>IF(OR($D$7=1,G17=1),0,HLOOKUP(Info!$D$7,Height!$C$1:$K$27,G17))</f>
        <v>0</v>
      </c>
      <c r="D19" s="385">
        <f>IF(OR($D$7=1,G17=1),0,HLOOKUP(Info!$D$7,Height!$T$1:$AB$27,G17))</f>
        <v>0</v>
      </c>
      <c r="E19" s="123"/>
      <c r="F19" s="123"/>
      <c r="G19" s="377">
        <f>IF(OR(H18=1,$A$12=FALSE),0,IF($D$10=1,3,IF($D$10&gt;=2,2,0)))</f>
        <v>0</v>
      </c>
      <c r="H19" s="395">
        <f>IF(OR($D$7=1,G17=1),0,IF(OR(I17="UL",I17="NP"),I17,IF(H17&lt;=E18,3,IF(OR(H17&gt;J17,AND(H17&gt;E18,$A$12=FALSE)),1,IF(AND(H17&gt;E18,H17&lt;=F18,OR(G18=2,AND($S$37=0,$S$38=0))),2,IF(AND(H17&gt;E18,H17&lt;=F18,OR($S$37&lt;&gt;0,$S$38&lt;&gt;0)),1))))))</f>
        <v>0</v>
      </c>
      <c r="I19" s="379">
        <f>IF(OR(I18="UL",I18=0),0,IF(AND(LOOKUP(G17,$Y$71:$Y$97,$Z$71:$Z$97)&lt;&gt;0,OR(G17=16,G17=21,G17=22, G17=23,G17=24)),I18/$D$11, I18))</f>
        <v>0</v>
      </c>
      <c r="J19" s="397">
        <f>IF($A$12=FALSE,C19,IF(G18=2,D19,IF(OR($S$37&lt;&gt;0,$S$38&lt;&gt;0),D19,C19)))</f>
        <v>0</v>
      </c>
      <c r="K19" s="126"/>
      <c r="L19" s="133">
        <f>IF(OR($D$7=1,Q17=1),0,IF(OR(M19="UL",M19="NP"),M19,IF(L17&gt;N19,1,IF(AND(L17&gt;M19,L17=N19,$A$12=TRUE),2,IF(L17&lt;=M19,3,1)))))</f>
        <v>0</v>
      </c>
      <c r="M19" s="123">
        <f>IF(OR($D$7=1,Q17=1),0,HLOOKUP(Info!$D$7,Height!$C$1:$K$27,Q17))</f>
        <v>0</v>
      </c>
      <c r="N19" s="124">
        <f>IF(OR($D$7=1,Q17=1),0,HLOOKUP(Info!$D$7,Height!$T$1:$AB$27,Q17))</f>
        <v>0</v>
      </c>
      <c r="O19" s="123"/>
      <c r="P19" s="123"/>
      <c r="Q19" s="125">
        <f>IF(OR(R18=1,$A$12=FALSE),0,IF($D$10=1,3,IF($D$10&gt;=2,2,0)))</f>
        <v>0</v>
      </c>
      <c r="R19" s="137">
        <f>IF(OR($D$7=1,Q17=1),0,IF(OR(S17="UL",S17="NP"),S17,IF(R17&lt;=O18,3,IF(OR(R17&gt;T17,AND(R17&gt;O18,$A$12=FALSE)),1,IF(AND(R17&gt;O18,R17&lt;=P18,OR(Q18=2,AND($S$37=0,$S$38=0))),2,IF(AND(R17&gt;O18,R17&lt;=P18,OR($S$37&lt;&gt;0,$S$38&lt;&gt;0)),1))))))</f>
        <v>0</v>
      </c>
      <c r="S19" s="379">
        <f>IF(OR(S18="UL",S18=0),0,IF(AND(LOOKUP(Q17,$Y$71:$Y$97,$Z$71:$Z$97)&lt;&gt;0,OR(Q17=16,Q17=21,Q17=22, Q17=23,Q17=24)),S18/$D$11, S18))</f>
        <v>0</v>
      </c>
      <c r="T19" s="135">
        <f>IF($A$12=FALSE,M19,IF(Q18=2,N19,IF(OR($S$37&lt;&gt;0,$S$38&lt;&gt;0),N19,M19)))</f>
        <v>0</v>
      </c>
      <c r="U19" s="103"/>
      <c r="V19" s="133">
        <f>IF(OR($D$7=1,AA17=1),0,IF(OR(W19="UL",W19="NP"),W19,IF(V17&gt;X19,1,IF(AND(V17&gt;W19,V17=X19,$A$12=TRUE),2,IF(V17&lt;=W19,3,1)))))</f>
        <v>0</v>
      </c>
      <c r="W19" s="123">
        <f>IF(OR($D$7=1,AA17=1),0,HLOOKUP(Info!$D$7,Height!$C$1:$K$27,AA17))</f>
        <v>0</v>
      </c>
      <c r="X19" s="124">
        <f>IF(OR($D$7=1,AA17=1),0,HLOOKUP(Info!$D$7,Height!$T$1:$AB$27,AA17))</f>
        <v>0</v>
      </c>
      <c r="Y19" s="123"/>
      <c r="Z19" s="123"/>
      <c r="AA19" s="125">
        <f>IF(OR(AB18=1,$A$12=FALSE),0,IF($D$10=1,3,IF($D$10&gt;=2,2,0)))</f>
        <v>0</v>
      </c>
      <c r="AB19" s="137">
        <f>IF(OR($D$7=1,AA17=1),0,IF(OR(AC17="UL",AC17="NP"),AC17,IF(AB17&lt;=Y18,3,IF(OR(AB17&gt;AD17,AND(AB17&gt;Y18,$A$12=FALSE)),1,IF(AND(AB17&gt;Y18,AB17&lt;=Z18,OR(AA18=2,AND($S$37=0,$S$38=0))),2,IF(AND(AB17&gt;Y18,AB17&lt;=Z18,OR($S$37&lt;&gt;0,$S$38&lt;&gt;0)),1))))))</f>
        <v>0</v>
      </c>
      <c r="AC19" s="379">
        <f>IF(OR(AC18="UL",AC18=0),0,IF(AND(LOOKUP(AA17,$Y$71:$Y$97,$Z$71:$Z$97)&lt;&gt;0,OR(AA17=16,AA17=21,AA17=22, AA17=23,AA17=24)),AC18/$D$11, AC18))</f>
        <v>0</v>
      </c>
      <c r="AD19" s="135">
        <f>IF($A$12=FALSE,W19,IF(AA18=2,X19,IF(OR($S$37&lt;&gt;0,$S$38&lt;&gt;0),X19,W19)))</f>
        <v>0</v>
      </c>
      <c r="AE19" s="103"/>
      <c r="AF19" s="133">
        <f>IF(OR($D$7=1,AK17=1),0,IF(OR(AG19="UL",AG19="NP"),AG19,IF(AF17&gt;AH19,1,IF(AND(AF17&gt;AG19,AF17=AH19,$A$12=TRUE),2,IF(AF17&lt;=AG19,3,1)))))</f>
        <v>0</v>
      </c>
      <c r="AG19" s="123">
        <f>IF(OR($D$7=1,AK17=1),0,HLOOKUP(Info!$D$7,Height!$C$1:$K$27,AK17))</f>
        <v>0</v>
      </c>
      <c r="AH19" s="124">
        <f>IF(OR($D$7=1,AK17=1),0,HLOOKUP(Info!$D$7,Height!$T$1:$AB$27,AK17))</f>
        <v>0</v>
      </c>
      <c r="AI19" s="123"/>
      <c r="AJ19" s="123"/>
      <c r="AK19" s="125">
        <f>IF(OR(AL18=1,$A$12=FALSE),0,IF($D$10=1,3,IF($D$10&gt;=2,2,0)))</f>
        <v>0</v>
      </c>
      <c r="AL19" s="137">
        <f>IF(OR($D$7=1,AK17=1),0,IF(OR(AM17="UL",AM17="NP"),AM17,IF(AL17&lt;=AI18,3,IF(OR(AL17&gt;AN17,AND(AL17&gt;AI18,$A$12=FALSE)),1,IF(AND(AL17&gt;AI18,AL17&lt;=AJ18,OR(AK18=2,AND($S$37=0,$S$38=0))),2,IF(AND(AL17&gt;AI18,AL17&lt;=AJ18,OR($S$37&lt;&gt;0,$S$38&lt;&gt;0)),1))))))</f>
        <v>0</v>
      </c>
      <c r="AM19" s="379">
        <f>IF(OR(AM18="UL",AM18=0),0,IF(AND(LOOKUP(AK17,$Y$71:$Y$97,$Z$71:$Z$97)&lt;&gt;0,OR(AK17=16,AK17=21,AK17=22, AK17=23,AK17=24)),AM18/$D$11, AM18))</f>
        <v>0</v>
      </c>
      <c r="AN19" s="135">
        <f>IF($A$12=FALSE,AG19,IF(AK18=2,AH19,IF(OR($S$37&lt;&gt;0,$S$38&lt;&gt;0),AH19,AG19)))</f>
        <v>0</v>
      </c>
      <c r="AO19" s="135"/>
      <c r="AR19" s="232"/>
    </row>
    <row r="20" spans="2:44" ht="15.75" customHeight="1" thickBot="1" x14ac:dyDescent="0.25">
      <c r="B20" s="44">
        <v>2</v>
      </c>
      <c r="C20" s="381">
        <f>IF(OR(E21="UL",E21="NP"),E21,IF($D$10&gt;2,3*E21,IF($D$10=2,2*E21,E21)))</f>
        <v>0</v>
      </c>
      <c r="D20" s="381">
        <f>IF(OR(F21="UL",F21="NP"),F21,IF($D$10&gt;2,3*F21,IF($D$10&gt;=2,2*F21,F21)))</f>
        <v>0</v>
      </c>
      <c r="E20" s="127">
        <f>IF(OR(I20="UL",I20="NP"),I20,I20*$X$11)</f>
        <v>0</v>
      </c>
      <c r="F20" s="127">
        <f>IF(OR(I20="UL",I20="NP"),I20,I20*G22)</f>
        <v>0</v>
      </c>
      <c r="G20" s="146">
        <f>ChaCha!G13</f>
        <v>1</v>
      </c>
      <c r="H20" s="147">
        <f>ChaCha!H13</f>
        <v>0</v>
      </c>
      <c r="I20" s="128">
        <f>IF(OR($D$7=1,G20=1,B20&gt;$D$10),0,HLOOKUP(Info!$D$7,Area!$C$1:$K$27,G20))</f>
        <v>0</v>
      </c>
      <c r="J20" s="128">
        <f>IF($A$12=FALSE,E21,IF(G21=2,F21,IF(AND($S$37=0,$S$38=0),F21,E21)))</f>
        <v>0</v>
      </c>
      <c r="K20" s="102"/>
      <c r="L20" s="44">
        <v>2</v>
      </c>
      <c r="M20" s="381">
        <f>IF(OR(O21="UL",O21="NP"),O21,IF($D$10&gt;2,3*O21,IF($D$10=2,2*O21,O21)))</f>
        <v>0</v>
      </c>
      <c r="N20" s="381">
        <f>IF(OR(P21="UL",P21="NP"),P21,IF($D$10&gt;2,3*P21,IF($D$10&gt;=2,2*P21,P21)))</f>
        <v>0</v>
      </c>
      <c r="O20" s="127">
        <f>IF(OR(S20="UL",S20="NP"),S20,S20*$X$11)</f>
        <v>0</v>
      </c>
      <c r="P20" s="127">
        <f>IF(OR(S20="UL",S20="NP"),S20,S20*Q22)</f>
        <v>0</v>
      </c>
      <c r="Q20" s="146">
        <f>ChaCha!M13</f>
        <v>1</v>
      </c>
      <c r="R20" s="147">
        <f>ChaCha!N13</f>
        <v>0</v>
      </c>
      <c r="S20" s="128">
        <f>IF(OR($D$7=1,Q20=1,L20&gt;$D$10),0,HLOOKUP(Info!$D$7,Area!$C$1:$K$27,Q20))</f>
        <v>0</v>
      </c>
      <c r="T20" s="128">
        <f>IF($A$12=FALSE,O21,IF(Q21=2,P21,IF(AND($S$37=0,$S$38=0),P21,O21)))</f>
        <v>0</v>
      </c>
      <c r="U20" s="102"/>
      <c r="V20" s="44">
        <v>2</v>
      </c>
      <c r="W20" s="381">
        <f>IF(OR(Y21="UL",Y21="NP"),Y21,IF($D$10&gt;2,3*Y21,IF($D$10=2,2*Y21,Y21)))</f>
        <v>0</v>
      </c>
      <c r="X20" s="381">
        <f>IF(OR(Z21="UL",Z21="NP"),Z21,IF($D$10&gt;2,3*Z21,IF($D$10&gt;=2,2*Z21,Z21)))</f>
        <v>0</v>
      </c>
      <c r="Y20" s="127">
        <f>IF(OR(AC20="UL",AC20="NP"),AC20,AC20*$X$11)</f>
        <v>0</v>
      </c>
      <c r="Z20" s="127">
        <f>IF(OR(AC20="UL",AC20="NP"),AC20,AC20*AA22)</f>
        <v>0</v>
      </c>
      <c r="AA20" s="146">
        <f>ChaCha!S13</f>
        <v>1</v>
      </c>
      <c r="AB20" s="147">
        <f>ChaCha!T13</f>
        <v>0</v>
      </c>
      <c r="AC20" s="128">
        <f>IF(OR($D$7=1,AA20=1,V20&gt;$D$10),0,HLOOKUP(Info!$D$7,Area!$C$1:$K$27,AA20))</f>
        <v>0</v>
      </c>
      <c r="AD20" s="128">
        <f>IF($A$12=FALSE,Y21,IF(AA21=2,Z21,IF(AND($S$37=0,$S$38=0),Z21,Y21)))</f>
        <v>0</v>
      </c>
      <c r="AE20" s="102"/>
      <c r="AF20" s="44">
        <v>2</v>
      </c>
      <c r="AG20" s="381">
        <f>IF(OR(AI21="UL",AI21="NP"),AI21,IF($D$10&gt;2,3*AI21,IF($D$10=2,2*AI21,AI21)))</f>
        <v>0</v>
      </c>
      <c r="AH20" s="381">
        <f>IF(OR(AJ21="UL",AJ21="NP"),AJ21,IF($D$10&gt;2,3*AJ21,IF($D$10&gt;=2,2*AJ21,AJ21)))</f>
        <v>0</v>
      </c>
      <c r="AI20" s="127">
        <f>IF(OR(AM20="UL",AM20="NP"),AM20,AM20*$X$11)</f>
        <v>0</v>
      </c>
      <c r="AJ20" s="127">
        <f>IF(OR(AM20="UL",AM20="NP"),AM20,AM20*AK22)</f>
        <v>0</v>
      </c>
      <c r="AK20" s="146">
        <f>ChaCha!Y13</f>
        <v>1</v>
      </c>
      <c r="AL20" s="147">
        <f>ChaCha!Z13</f>
        <v>0</v>
      </c>
      <c r="AM20" s="128">
        <f>IF(OR($D$7=1,AK20=1,AF20&gt;$D$10),0,HLOOKUP(Info!$D$7,Area!$C$1:$K$27,AK20))</f>
        <v>0</v>
      </c>
      <c r="AN20" s="128">
        <f>IF($A$12=FALSE,AI21,IF(AK21=2,AJ21,IF(AND($S$37=0,$S$38=0),AJ21,AI21)))</f>
        <v>0</v>
      </c>
      <c r="AO20" s="102"/>
      <c r="AP20" t="str">
        <f>IF(OR(I21="NP",S21="NP",AC21="NP",AM21="NP"),"NP use at Level "&amp;B20,IF(MAX(H20,R20,AB20,AL20)=0,"",IF(I22+S22+AC22+AM22&lt;=1,"Area is OK for Level "&amp;B20,"Overlimit Area at Level "&amp;B20)))</f>
        <v/>
      </c>
      <c r="AR20" s="232">
        <f>IF(OR($D$7=1,$D$9&lt;=0,$D$10&lt;=0),0,IF(OR(I21="NP",S21="NP",AC21="NP",AM21="NP"),"NP",IF(MAX(H20,R20,AB20,AL20)=0,"",IF(I22+S22+AC22+AM22&lt;=1,"OK","OL"))))</f>
        <v>0</v>
      </c>
    </row>
    <row r="21" spans="2:44" x14ac:dyDescent="0.2">
      <c r="B21" s="132">
        <f>IF(OR($D$7=1,G20=1),0,IF(OR(C21="UL",C21="NP"),C21,IF($D$9&gt;D21,1,IF(AND($D$9&gt;C21,$D$9&lt;=D21,$A$12=TRUE),2,IF($D$9&lt;=C21,3,1)))))</f>
        <v>0</v>
      </c>
      <c r="C21" s="121">
        <f>IF(OR($D$7=1,G20=1),0,HLOOKUP(Info!$D$7,Height!$AF$1:$AN$27,G20))</f>
        <v>0</v>
      </c>
      <c r="D21" s="122">
        <f>IF(OR($D$7=1,G20=1),0,HLOOKUP(Info!$D$7,Height!$AR$1:$AZ$27,G20))</f>
        <v>0</v>
      </c>
      <c r="E21" s="127">
        <f>IF(OR(I20="UL",I20="NP"),I20,I20+E20)</f>
        <v>0</v>
      </c>
      <c r="F21" s="127">
        <f>IF(OR(I20="UL",I20="NP"),I20,I20+E20+F20)</f>
        <v>0</v>
      </c>
      <c r="G21" s="374">
        <v>2</v>
      </c>
      <c r="H21" s="375">
        <f>IF(OR(G20=12,G20=13,$M$37&gt;0),1,0)</f>
        <v>0</v>
      </c>
      <c r="I21" s="143">
        <f>IF(OR(I20="UL",I20="NP",I20=0),I20,H20/J20)</f>
        <v>0</v>
      </c>
      <c r="J21" s="120">
        <f>IF($A$12=FALSE,C21,IF(G21=2,D21,IF(OR($S$37&lt;&gt;0,$S$38&lt;&gt;0),D21,C21)))</f>
        <v>0</v>
      </c>
      <c r="K21" s="120">
        <f>IF(OR(J21="NP",J21="UL",J21=0),0,J21)</f>
        <v>0</v>
      </c>
      <c r="L21" s="132">
        <f>IF(OR($D$7=1,Q20=1),0,IF(OR(M21="UL",M21="NP"),M21,IF($D$9&gt;N21,1,IF(AND($D$9&gt;M21,$D$9&lt;=N21,$A$12=TRUE),2,IF($D$9&lt;=M21,3,1)))))</f>
        <v>0</v>
      </c>
      <c r="M21" s="121">
        <f>IF(OR($D$7=1,Q20=1),0,HLOOKUP(Info!$D$7,Height!$AF$1:$AN$27,Q20))</f>
        <v>0</v>
      </c>
      <c r="N21" s="122">
        <f>IF(OR($D$7=1,Q20=1),0,HLOOKUP(Info!$D$7,Height!$AR$1:$AZ$27,Q20))</f>
        <v>0</v>
      </c>
      <c r="O21" s="127">
        <f>IF(OR(S20="UL",S20="NP"),S20,S20+O20)</f>
        <v>0</v>
      </c>
      <c r="P21" s="127">
        <f>IF(OR(S20="UL",S20="NP"),S20,S20+O20+P20)</f>
        <v>0</v>
      </c>
      <c r="Q21" s="374">
        <v>2</v>
      </c>
      <c r="R21" s="375">
        <f>IF(OR(Q20=12,Q20=13,$M$37&gt;0),1,0)</f>
        <v>0</v>
      </c>
      <c r="S21" s="143">
        <f>IF(OR(S20="UL",S20="NP",S20=0),S20,R20/T20)</f>
        <v>0</v>
      </c>
      <c r="T21" s="120">
        <f>IF($A$12=FALSE,M21,IF(Q21=2,N21,IF(OR($S$37&lt;&gt;0,$S$38&lt;&gt;0),N21,M21)))</f>
        <v>0</v>
      </c>
      <c r="U21" s="120">
        <f>IF(OR(T21="NP",T21="UL",T21=0),0,T21)</f>
        <v>0</v>
      </c>
      <c r="V21" s="132">
        <f>IF(OR($D$7=1,AA20=1),0,IF(OR(W21="UL",W21="NP"),W21,IF($D$9&gt;X21,1,IF(AND($D$9&gt;W21,$D$9&lt;=X21,$A$12=TRUE),2,IF($D$9&lt;=W21,3,1)))))</f>
        <v>0</v>
      </c>
      <c r="W21" s="121">
        <f>IF(OR($D$7=1,AA20=1),0,HLOOKUP(Info!$D$7,Height!$AF$1:$AN$27,AA20))</f>
        <v>0</v>
      </c>
      <c r="X21" s="122">
        <f>IF(OR($D$7=1,AA20=1),0,HLOOKUP(Info!$D$7,Height!$AR$1:$AZ$27,AA20))</f>
        <v>0</v>
      </c>
      <c r="Y21" s="127">
        <f>IF(OR(AC20="UL",AC20="NP"),AC20,AC20+Y20)</f>
        <v>0</v>
      </c>
      <c r="Z21" s="127">
        <f>IF(OR(AC20="UL",AC20="NP"),AC20,AC20+Y20+Z20)</f>
        <v>0</v>
      </c>
      <c r="AA21" s="374">
        <v>2</v>
      </c>
      <c r="AB21" s="375">
        <f>IF(OR(AA20=12,AA20=13,$M$37&gt;0),1,0)</f>
        <v>0</v>
      </c>
      <c r="AC21" s="143">
        <f>IF(OR(AC20="UL",AC20="NP",AC20=0),AC20,AB20/AD20)</f>
        <v>0</v>
      </c>
      <c r="AD21" s="120">
        <f>IF($A$12=FALSE,W21,IF(AA21=2,X21,IF(OR($S$37&lt;&gt;0,$S$38&lt;&gt;0),X21,W21)))</f>
        <v>0</v>
      </c>
      <c r="AE21" s="120">
        <f>IF(OR(AD21="NP",AD21="UL",AD21=0),0,AD21)</f>
        <v>0</v>
      </c>
      <c r="AF21" s="132">
        <f>IF(OR($D$7=1,AK20=1),0,IF(OR(AG21="UL",AG21="NP"),AG21,IF($D$9&gt;AH21,1,IF(AND($D$9&gt;AG21,$D$9&lt;=AH21,$A$12=TRUE),2,IF($D$9&lt;=AG21,3,1)))))</f>
        <v>0</v>
      </c>
      <c r="AG21" s="121">
        <f>IF(OR($D$7=1,AK20=1),0,HLOOKUP(Info!$D$7,Height!$AF$1:$AN$27,AK20))</f>
        <v>0</v>
      </c>
      <c r="AH21" s="122">
        <f>IF(OR($D$7=1,AK20=1),0,HLOOKUP(Info!$D$7,Height!$AR$1:$AZ$27,AK20))</f>
        <v>0</v>
      </c>
      <c r="AI21" s="127">
        <f>IF(OR(AM20="UL",AM20="NP"),AM20,AM20+AI20)</f>
        <v>0</v>
      </c>
      <c r="AJ21" s="127">
        <f>IF(OR(AM20="UL",AM20="NP"),AM20,AM20+AI20+AJ20)</f>
        <v>0</v>
      </c>
      <c r="AK21" s="374">
        <v>2</v>
      </c>
      <c r="AL21" s="375">
        <f>IF(OR(AK20=12,AK20=13,$M$37&gt;0),1,0)</f>
        <v>0</v>
      </c>
      <c r="AM21" s="143">
        <f>IF(OR(AM20="UL",AM20="NP",AM20=0),AM20,AL20/AN20)</f>
        <v>0</v>
      </c>
      <c r="AN21" s="120">
        <f>IF($A$12=FALSE,AG21,IF(AK21=2,AH21,IF(OR($S$37&lt;&gt;0,$S$38&lt;&gt;0),AH21,AG21)))</f>
        <v>0</v>
      </c>
      <c r="AO21" s="120">
        <f>IF(OR(AN21="NP",AN21="UL",AN21=0),0,AN21)</f>
        <v>0</v>
      </c>
      <c r="AR21" s="232"/>
    </row>
    <row r="22" spans="2:44" ht="13.5" thickBot="1" x14ac:dyDescent="0.25">
      <c r="B22" s="133">
        <f>IF(OR($D$7=1,G20=1),0,IF(OR(C22="UL",C22="NP"),C22,IF(B20&gt;D22,1,IF(AND(B20&gt;C22,B20=D22,$A$12=TRUE),2,IF(B20&lt;=C22,3,1)))))</f>
        <v>0</v>
      </c>
      <c r="C22" s="123">
        <f>IF(OR($D$7=1,G20=1),0,HLOOKUP(Info!$D$7,Height!$C$1:$K$27,G20))</f>
        <v>0</v>
      </c>
      <c r="D22" s="124">
        <f>IF(OR($D$7=1,G20=1),0,HLOOKUP(Info!$D$7,Height!$T$1:$AB$27,G20))</f>
        <v>0</v>
      </c>
      <c r="E22" s="123"/>
      <c r="F22" s="123"/>
      <c r="G22" s="125">
        <f>IF(OR(H21=1,$A$12=FALSE),0,IF($D$10=1,3,IF($D$10&gt;=2,2,0)))</f>
        <v>0</v>
      </c>
      <c r="H22" s="137">
        <f>IF(OR($D$7=1,G20=1),0,IF(OR(I20="UL",I20="NP"),I20,IF(H20&lt;=E21,3,IF(OR(H20&gt;J20,AND(H20&gt;E21,$A$12=FALSE)),1,IF(AND(H20&gt;E21,H20&lt;=F21,OR(G21=2,AND($S$37=0,$S$38=0))),2,IF(AND(H20&gt;E21,H20&lt;=F21,OR($S$37&lt;&gt;0,$S$38&lt;&gt;0)),1))))))</f>
        <v>0</v>
      </c>
      <c r="I22" s="379">
        <f>IF(OR(I21="UL",I21=0),0,IF(AND(LOOKUP(G20,$Y$71:$Y$97,$Z$71:$Z$97)&lt;&gt;0,OR(G20=16,G20=21,G20=22, G20=23,G20=24)),I21/$D$11, I21))</f>
        <v>0</v>
      </c>
      <c r="J22" s="135">
        <f>IF($A$12=FALSE,C22,IF(G21=2,D22,IF(OR($S$37&lt;&gt;0,$S$38&lt;&gt;0),D22,C22)))</f>
        <v>0</v>
      </c>
      <c r="K22" s="103"/>
      <c r="L22" s="133">
        <f>IF(OR($D$7=1,Q20=1),0,IF(OR(M22="UL",M22="NP"),M22,IF(L20&gt;N22,1,IF(AND(L20&gt;M22,L20=N22,$A$12=TRUE),2,IF(L20&lt;=M22,3,1)))))</f>
        <v>0</v>
      </c>
      <c r="M22" s="123">
        <f>IF(OR($D$7=1,Q20=1),0,HLOOKUP(Info!$D$7,Height!$C$1:$K$27,Q20))</f>
        <v>0</v>
      </c>
      <c r="N22" s="124">
        <f>IF(OR($D$7=1,Q20=1),0,HLOOKUP(Info!$D$7,Height!$T$1:$AB$27,Q20))</f>
        <v>0</v>
      </c>
      <c r="O22" s="123"/>
      <c r="P22" s="123"/>
      <c r="Q22" s="125">
        <f>IF(OR(R21=1,$A$12=FALSE),0,IF($D$10=1,3,IF($D$10&gt;=2,2,0)))</f>
        <v>0</v>
      </c>
      <c r="R22" s="137">
        <f>IF(OR($D$7=1,Q20=1),0,IF(OR(S20="UL",S20="NP"),S20,IF(R20&lt;=O21,3,IF(OR(R20&gt;T20,AND(R20&gt;O21,$A$12=FALSE)),1,IF(AND(R20&gt;O21,R20&lt;=P21,OR(Q21=2,AND($S$37=0,$S$38=0))),2,IF(AND(R20&gt;O21,R20&lt;=P21,OR($S$37&lt;&gt;0,$S$38&lt;&gt;0)),1))))))</f>
        <v>0</v>
      </c>
      <c r="S22" s="379">
        <f>IF(OR(S21="UL",S21=0),0,IF(AND(LOOKUP(Q20,$Y$71:$Y$97,$Z$71:$Z$97)&lt;&gt;0,OR(Q20=16,Q20=21,Q20=22, Q20=23,Q20=24)),S21/$D$11, S21))</f>
        <v>0</v>
      </c>
      <c r="T22" s="135">
        <f>IF($A$12=FALSE,M22,IF(Q21=2,N22,IF(OR($S$37&lt;&gt;0,$S$38&lt;&gt;0),N22,M22)))</f>
        <v>0</v>
      </c>
      <c r="U22" s="103"/>
      <c r="V22" s="133">
        <f>IF(OR($D$7=1,AA20=1),0,IF(OR(W22="UL",W22="NP"),W22,IF(V20&gt;X22,1,IF(AND(V20&gt;W22,V20=X22,$A$12=TRUE),2,IF(V20&lt;=W22,3,1)))))</f>
        <v>0</v>
      </c>
      <c r="W22" s="123">
        <f>IF(OR($D$7=1,AA20=1),0,HLOOKUP(Info!$D$7,Height!$C$1:$K$27,AA20))</f>
        <v>0</v>
      </c>
      <c r="X22" s="124">
        <f>IF(OR($D$7=1,AA20=1),0,HLOOKUP(Info!$D$7,Height!$T$1:$AB$27,AA20))</f>
        <v>0</v>
      </c>
      <c r="Y22" s="123"/>
      <c r="Z22" s="123"/>
      <c r="AA22" s="125">
        <f>IF(OR(AB21=1,$A$12=FALSE),0,IF($D$10=1,3,IF($D$10&gt;=2,2,0)))</f>
        <v>0</v>
      </c>
      <c r="AB22" s="137">
        <f>IF(OR($D$7=1,AA20=1),0,IF(OR(AC20="UL",AC20="NP"),AC20,IF(AB20&lt;=Y21,3,IF(OR(AB20&gt;AD20,AND(AB20&gt;Y21,$A$12=FALSE)),1,IF(AND(AB20&gt;Y21,AB20&lt;=Z21,OR(AA21=2,AND($S$37=0,$S$38=0))),2,IF(AND(AB20&gt;Y21,AB20&lt;=Z21,OR($S$37&lt;&gt;0,$S$38&lt;&gt;0)),1))))))</f>
        <v>0</v>
      </c>
      <c r="AC22" s="379">
        <f>IF(OR(AC21="UL",AC21=0),0,IF(AND(LOOKUP(AA20,$Y$71:$Y$97,$Z$71:$Z$97)&lt;&gt;0,OR(AA20=16,AA20=21,AA20=22, AA20=23,AA20=24)),AC21/$D$11, AC21))</f>
        <v>0</v>
      </c>
      <c r="AD22" s="135">
        <f>IF($A$12=FALSE,W22,IF(AA21=2,X22,IF(OR($S$37&lt;&gt;0,$S$38&lt;&gt;0),X22,W22)))</f>
        <v>0</v>
      </c>
      <c r="AE22" s="103"/>
      <c r="AF22" s="133">
        <f>IF(OR($D$7=1,AK20=1),0,IF(OR(AG22="UL",AG22="NP"),AG22,IF(AF20&gt;AH22,1,IF(AND(AF20&gt;AG22,AF20=AH22,$A$12=TRUE),2,IF(AF20&lt;=AG22,3,1)))))</f>
        <v>0</v>
      </c>
      <c r="AG22" s="123">
        <f>IF(OR($D$7=1,AK20=1),0,HLOOKUP(Info!$D$7,Height!$C$1:$K$27,AK20))</f>
        <v>0</v>
      </c>
      <c r="AH22" s="124">
        <f>IF(OR($D$7=1,AK20=1),0,HLOOKUP(Info!$D$7,Height!$T$1:$AB$27,AK20))</f>
        <v>0</v>
      </c>
      <c r="AI22" s="123"/>
      <c r="AJ22" s="123"/>
      <c r="AK22" s="125">
        <f>IF(OR(AL21=1,$A$12=FALSE),0,IF($D$10=1,3,IF($D$10&gt;=2,2,0)))</f>
        <v>0</v>
      </c>
      <c r="AL22" s="137">
        <f>IF(OR($D$7=1,AK20=1),0,IF(OR(AM20="UL",AM20="NP"),AM20,IF(AL20&lt;=AI21,3,IF(OR(AL20&gt;AN20,AND(AL20&gt;AI21,$A$12=FALSE)),1,IF(AND(AL20&gt;AI21,AL20&lt;=AJ21,OR(AK21=2,AND($S$37=0,$S$38=0))),2,IF(AND(AL20&gt;AI21,AL20&lt;=AJ21,OR($S$37&lt;&gt;0,$S$38&lt;&gt;0)),1))))))</f>
        <v>0</v>
      </c>
      <c r="AM22" s="379">
        <f>IF(OR(AM21="UL",AM21=0),0,IF(AND(LOOKUP(AK20,$Y$71:$Y$97,$Z$71:$Z$97)&lt;&gt;0,OR(AK20=16,AK20=21,AK20=22, AK20=23,AK20=24)),AM21/$D$11, AM21))</f>
        <v>0</v>
      </c>
      <c r="AN22" s="135">
        <f>IF($A$12=FALSE,AG22,IF(AK21=2,AH22,IF(OR($S$37&lt;&gt;0,$S$38&lt;&gt;0),AH22,AG22)))</f>
        <v>0</v>
      </c>
      <c r="AO22" s="135"/>
      <c r="AR22" s="232"/>
    </row>
    <row r="23" spans="2:44" ht="15.75" customHeight="1" thickBot="1" x14ac:dyDescent="0.25">
      <c r="B23" s="44">
        <v>3</v>
      </c>
      <c r="C23" s="381">
        <f>IF(OR(E24="UL",E24="NP"),E24,IF($D$10&gt;2,3*E24,IF($D$10=2,2*E24,E24)))</f>
        <v>0</v>
      </c>
      <c r="D23" s="381">
        <f>IF(OR(F24="UL",F24="NP"),F24,IF($D$10&gt;2,3*F24,IF($D$10&gt;=2,2*F24,F24)))</f>
        <v>0</v>
      </c>
      <c r="E23" s="127">
        <f>IF(OR(I23="UL",I23="NP"),I23,I23*$X$11)</f>
        <v>0</v>
      </c>
      <c r="F23" s="127">
        <f>IF(OR(I23="UL",I23="NP"),I23,I23*G25)</f>
        <v>0</v>
      </c>
      <c r="G23" s="146">
        <f>ChaCha!G15</f>
        <v>1</v>
      </c>
      <c r="H23" s="147">
        <f>ChaCha!H15</f>
        <v>0</v>
      </c>
      <c r="I23" s="128">
        <f>IF(OR($D$7=1,G23=1,B23&gt;$D$10),0,HLOOKUP(Info!$D$7,Area!$C$1:$K$27,G23))</f>
        <v>0</v>
      </c>
      <c r="J23" s="128">
        <f>IF($A$12=FALSE,E24,IF(G24=2,F24,IF(AND($S$37=0,$S$38=0),F24,E24)))</f>
        <v>0</v>
      </c>
      <c r="K23" s="102"/>
      <c r="L23" s="44">
        <v>3</v>
      </c>
      <c r="M23" s="381">
        <f>IF(OR(O24="UL",O24="NP"),O24,IF($D$10&gt;2,3*O24,IF($D$10=2,2*O24,O24)))</f>
        <v>0</v>
      </c>
      <c r="N23" s="381">
        <f>IF(OR(P24="UL",P24="NP"),P24,IF($D$10&gt;2,3*P24,IF($D$10&gt;=2,2*P24,P24)))</f>
        <v>0</v>
      </c>
      <c r="O23" s="127">
        <f>IF(OR(S23="UL",S23="NP"),S23,S23*$X$11)</f>
        <v>0</v>
      </c>
      <c r="P23" s="127">
        <f>IF(OR(S23="UL",S23="NP"),S23,S23*Q25)</f>
        <v>0</v>
      </c>
      <c r="Q23" s="146">
        <f>ChaCha!M15</f>
        <v>1</v>
      </c>
      <c r="R23" s="147">
        <f>ChaCha!N15</f>
        <v>0</v>
      </c>
      <c r="S23" s="128">
        <f>IF(OR($D$7=1,Q23=1,L23&gt;$D$10),0,HLOOKUP(Info!$D$7,Area!$C$1:$K$27,Q23))</f>
        <v>0</v>
      </c>
      <c r="T23" s="128">
        <f>IF($A$12=FALSE,O24,IF(Q24=2,P24,IF(AND($S$37=0,$S$38=0),P24,O24)))</f>
        <v>0</v>
      </c>
      <c r="U23" s="102"/>
      <c r="V23" s="44">
        <v>3</v>
      </c>
      <c r="W23" s="381">
        <f>IF(OR(Y24="UL",Y24="NP"),Y24,IF($D$10&gt;2,3*Y24,IF($D$10=2,2*Y24,Y24)))</f>
        <v>0</v>
      </c>
      <c r="X23" s="381">
        <f>IF(OR(Z24="UL",Z24="NP"),Z24,IF($D$10&gt;2,3*Z24,IF($D$10&gt;=2,2*Z24,Z24)))</f>
        <v>0</v>
      </c>
      <c r="Y23" s="127">
        <f>IF(OR(AC23="UL",AC23="NP"),AC23,AC23*$X$11)</f>
        <v>0</v>
      </c>
      <c r="Z23" s="127">
        <f>IF(OR(AC23="UL",AC23="NP"),AC23,AC23*AA25)</f>
        <v>0</v>
      </c>
      <c r="AA23" s="146">
        <f>ChaCha!S15</f>
        <v>1</v>
      </c>
      <c r="AB23" s="147">
        <f>ChaCha!T15</f>
        <v>0</v>
      </c>
      <c r="AC23" s="128">
        <f>IF(OR($D$7=1,AA23=1,V23&gt;$D$10),0,HLOOKUP(Info!$D$7,Area!$C$1:$K$27,AA23))</f>
        <v>0</v>
      </c>
      <c r="AD23" s="128">
        <f>IF($A$12=FALSE,Y24,IF(AA24=2,Z24,IF(AND($S$37=0,$S$38=0),Z24,Y24)))</f>
        <v>0</v>
      </c>
      <c r="AE23" s="102"/>
      <c r="AF23" s="44">
        <v>3</v>
      </c>
      <c r="AG23" s="381">
        <f>IF(OR(AI24="UL",AI24="NP"),AI24,IF($D$10&gt;2,3*AI24,IF($D$10=2,2*AI24,AI24)))</f>
        <v>0</v>
      </c>
      <c r="AH23" s="381">
        <f>IF(OR(AJ24="UL",AJ24="NP"),AJ24,IF($D$10&gt;2,3*AJ24,IF($D$10&gt;=2,2*AJ24,AJ24)))</f>
        <v>0</v>
      </c>
      <c r="AI23" s="127">
        <f>IF(OR(AM23="UL",AM23="NP"),AM23,AM23*$X$11)</f>
        <v>0</v>
      </c>
      <c r="AJ23" s="127">
        <f>IF(OR(AM23="UL",AM23="NP"),AM23,AM23*AK25)</f>
        <v>0</v>
      </c>
      <c r="AK23" s="146">
        <f>ChaCha!Y15</f>
        <v>1</v>
      </c>
      <c r="AL23" s="147">
        <f>ChaCha!Z15</f>
        <v>0</v>
      </c>
      <c r="AM23" s="128">
        <f>IF(OR($D$7=1,AK23=1,AF23&gt;$D$10),0,HLOOKUP(Info!$D$7,Area!$C$1:$K$27,AK23))</f>
        <v>0</v>
      </c>
      <c r="AN23" s="128">
        <f>IF($A$12=FALSE,AI24,IF(AK24=2,AJ24,IF(AND($S$37=0,$S$38=0),AJ24,AI24)))</f>
        <v>0</v>
      </c>
      <c r="AO23" s="102"/>
      <c r="AP23" t="str">
        <f>IF(OR(I24="NP",S24="NP",AC24="NP",AM24="NP"),"NP use at Level "&amp;B23,IF(MAX(H23,R23,AB23,AL23)=0,"",IF(I25+S25+AC25+AM25&lt;=1,"Area is OK for Level "&amp;B23,"Overlimit Area at Level "&amp;B23)))</f>
        <v/>
      </c>
      <c r="AR23" s="232">
        <f>IF(OR($D$7=1,$D$9&lt;=0,$D$10&lt;=0),0,IF(OR(I24="NP",S24="NP",AC24="NP",AM24="NP"),"NP",IF(MAX(H23,R23,AB23,AL23)=0,"",IF(I25+S25+AC25+AM25&lt;=1,"OK","OL"))))</f>
        <v>0</v>
      </c>
    </row>
    <row r="24" spans="2:44" x14ac:dyDescent="0.2">
      <c r="B24" s="504">
        <f>IF(OR($D$7=1,G23=1),0,IF(OR(C24="UL",C24="NP"),C24,IF($D$9&gt;D24,1,IF(AND($D$9&gt;C24,$D$9&lt;=D24,$A$12=TRUE),2,IF($D$9&lt;=C24,3,1)))))</f>
        <v>0</v>
      </c>
      <c r="C24" s="500">
        <f>IF(OR($D$7=1,G23=1),0,HLOOKUP(Info!$D$7,Height!$AF$1:$AN$27,G23))</f>
        <v>0</v>
      </c>
      <c r="D24" s="501">
        <f>IF(OR($D$7=1,G23=1),0,HLOOKUP(Info!$D$7,Height!$AR$1:$AZ$27,G23))</f>
        <v>0</v>
      </c>
      <c r="E24" s="127">
        <f>IF(OR(I23="UL",I23="NP"),I23,I23+E23)</f>
        <v>0</v>
      </c>
      <c r="F24" s="127">
        <f>IF(OR(I23="UL",I23="NP"),I23,I23+E23+F23)</f>
        <v>0</v>
      </c>
      <c r="G24" s="374">
        <v>2</v>
      </c>
      <c r="H24" s="375">
        <f>IF(OR(G23=12,G23=13,$M$37&gt;0),1,0)</f>
        <v>0</v>
      </c>
      <c r="I24" s="143">
        <f>IF(OR(I23="UL",I23="NP",I23=0),I23,H23/J23)</f>
        <v>0</v>
      </c>
      <c r="J24" s="496">
        <f>IF($A$12=FALSE,C24,IF(G24=2,D24,IF(OR($S$37&lt;&gt;0,$S$38&lt;&gt;0),D24,C24)))</f>
        <v>0</v>
      </c>
      <c r="K24" s="120">
        <f>IF(OR(J24="NP",J24="UL",J24=0),0,J24)</f>
        <v>0</v>
      </c>
      <c r="L24" s="132">
        <f>IF(OR($D$7=1,Q23=1),0,IF(OR(M24="UL",M24="NP"),M24,IF($D$9&gt;N24,1,IF(AND($D$9&gt;M24,$D$9&lt;=N24,$A$12=TRUE),2,IF($D$9&lt;=M24,3,1)))))</f>
        <v>0</v>
      </c>
      <c r="M24" s="121">
        <f>IF(OR($D$7=1,Q23=1),0,HLOOKUP(Info!$D$7,Height!$AF$1:$AN$27,Q23))</f>
        <v>0</v>
      </c>
      <c r="N24" s="122">
        <f>IF(OR($D$7=1,Q23=1),0,HLOOKUP(Info!$D$7,Height!$AR$1:$AZ$27,Q23))</f>
        <v>0</v>
      </c>
      <c r="O24" s="127">
        <f>IF(OR(S23="UL",S23="NP"),S23,S23+O23)</f>
        <v>0</v>
      </c>
      <c r="P24" s="127">
        <f>IF(OR(S23="UL",S23="NP"),S23,S23+O23+P23)</f>
        <v>0</v>
      </c>
      <c r="Q24" s="374">
        <v>2</v>
      </c>
      <c r="R24" s="375">
        <f>IF(OR(Q23=12,Q23=13,$M$37&gt;0),1,0)</f>
        <v>0</v>
      </c>
      <c r="S24" s="143">
        <f>IF(OR(S23="UL",S23="NP",S23=0),S23,R23/T23)</f>
        <v>0</v>
      </c>
      <c r="T24" s="120">
        <f>IF($A$12=FALSE,M24,IF(Q24=2,N24,IF(OR($S$37&lt;&gt;0,$S$38&lt;&gt;0),N24,M24)))</f>
        <v>0</v>
      </c>
      <c r="U24" s="120">
        <f>IF(OR(T24="NP",T24="UL",T24=0),0,T24)</f>
        <v>0</v>
      </c>
      <c r="V24" s="132">
        <f>IF(OR($D$7=1,AA23=1),0,IF(OR(W24="UL",W24="NP"),W24,IF($D$9&gt;X24,1,IF(AND($D$9&gt;W24,$D$9&lt;=X24,$A$12=TRUE),2,IF($D$9&lt;=W24,3,1)))))</f>
        <v>0</v>
      </c>
      <c r="W24" s="121">
        <f>IF(OR($D$7=1,AA23=1),0,HLOOKUP(Info!$D$7,Height!$AF$1:$AN$27,AA23))</f>
        <v>0</v>
      </c>
      <c r="X24" s="122">
        <f>IF(OR($D$7=1,AA23=1),0,HLOOKUP(Info!$D$7,Height!$AR$1:$AZ$27,AA23))</f>
        <v>0</v>
      </c>
      <c r="Y24" s="127">
        <f>IF(OR(AC23="UL",AC23="NP"),AC23,AC23+Y23)</f>
        <v>0</v>
      </c>
      <c r="Z24" s="127">
        <f>IF(OR(AC23="UL",AC23="NP"),AC23,AC23+Y23+Z23)</f>
        <v>0</v>
      </c>
      <c r="AA24" s="374">
        <v>2</v>
      </c>
      <c r="AB24" s="375">
        <f>IF(OR(AA23=12,AA23=13,$M$37&gt;0),1,0)</f>
        <v>0</v>
      </c>
      <c r="AC24" s="143">
        <f>IF(OR(AC23="UL",AC23="NP",AC23=0),AC23,AB23/AD23)</f>
        <v>0</v>
      </c>
      <c r="AD24" s="120">
        <f>IF($A$12=FALSE,W24,IF(AA24=2,X24,IF(OR($S$37&lt;&gt;0,$S$38&lt;&gt;0),X24,W24)))</f>
        <v>0</v>
      </c>
      <c r="AE24" s="120">
        <f>IF(OR(AD24="NP",AD24="UL",AD24=0),0,AD24)</f>
        <v>0</v>
      </c>
      <c r="AF24" s="132">
        <f>IF(OR($D$7=1,AK23=1),0,IF(OR(AG24="UL",AG24="NP"),AG24,IF($D$9&gt;AH24,1,IF(AND($D$9&gt;AG24,$D$9&lt;=AH24,$A$12=TRUE),2,IF($D$9&lt;=AG24,3,1)))))</f>
        <v>0</v>
      </c>
      <c r="AG24" s="121">
        <f>IF(OR($D$7=1,AK23=1),0,HLOOKUP(Info!$D$7,Height!$AF$1:$AN$27,AK23))</f>
        <v>0</v>
      </c>
      <c r="AH24" s="122">
        <f>IF(OR($D$7=1,AK23=1),0,HLOOKUP(Info!$D$7,Height!$AR$1:$AZ$27,AK23))</f>
        <v>0</v>
      </c>
      <c r="AI24" s="127">
        <f>IF(OR(AM23="UL",AM23="NP"),AM23,AM23+AI23)</f>
        <v>0</v>
      </c>
      <c r="AJ24" s="127">
        <f>IF(OR(AM23="UL",AM23="NP"),AM23,AM23+AI23+AJ23)</f>
        <v>0</v>
      </c>
      <c r="AK24" s="374">
        <v>2</v>
      </c>
      <c r="AL24" s="375">
        <f>IF(OR(AK23=12,AK23=13,$M$37&gt;0),1,0)</f>
        <v>0</v>
      </c>
      <c r="AM24" s="143">
        <f>IF(OR(AM23="UL",AM23="NP",AM23=0),AM23,AL23/AN23)</f>
        <v>0</v>
      </c>
      <c r="AN24" s="120">
        <f>IF($A$12=FALSE,AG24,IF(AK24=2,AH24,IF(OR($S$37&lt;&gt;0,$S$38&lt;&gt;0),AH24,AG24)))</f>
        <v>0</v>
      </c>
      <c r="AO24" s="120">
        <f>IF(OR(AN24="NP",AN24="UL",AN24=0),0,AN24)</f>
        <v>0</v>
      </c>
      <c r="AR24" s="232"/>
    </row>
    <row r="25" spans="2:44" ht="13.5" thickBot="1" x14ac:dyDescent="0.25">
      <c r="B25" s="505">
        <f>IF(OR($D$7=1,G23=1),0,IF(OR(C25="UL",C25="NP"),C25,IF(B23&gt;D25,1,IF(AND(B23&gt;C25,B23=D25,$A$12=TRUE),2,IF(B23&lt;=C25,3,1)))))</f>
        <v>0</v>
      </c>
      <c r="C25" s="502">
        <f>IF(OR($D$7=1,G23=1),0,HLOOKUP(Info!$D$7,Height!$C$1:$K$27,G23))</f>
        <v>0</v>
      </c>
      <c r="D25" s="503">
        <f>IF(OR($D$7=1,G23=1),0,HLOOKUP(Info!$D$7,Height!$T$1:$AB$27,G23))</f>
        <v>0</v>
      </c>
      <c r="E25" s="123"/>
      <c r="F25" s="123"/>
      <c r="G25" s="125">
        <f>IF(OR(H24=1,$A$12=FALSE),0,IF($D$10=1,3,IF($D$10&gt;=2,2,0)))</f>
        <v>0</v>
      </c>
      <c r="H25" s="137">
        <f>IF(OR($D$7=1,G23=1),0,IF(OR(I23="UL",I23="NP"),I23,IF(H23&lt;=E24,3,IF(OR(H23&gt;J23,AND(H23&gt;E24,$A$12=FALSE)),1,IF(AND(H23&gt;E24,H23&lt;=F24,OR(G24=2,AND($S$37=0,$S$38=0))),2,IF(AND(H23&gt;E24,H23&lt;=F24,OR($S$37&lt;&gt;0,$S$38&lt;&gt;0)),1))))))</f>
        <v>0</v>
      </c>
      <c r="I25" s="379">
        <f>IF(OR(I24="UL",I24=0),0,IF(AND(LOOKUP(G23,$Y$71:$Y$97,$Z$71:$Z$97)&lt;&gt;0,OR(G23=16,G23=21,G23=22, G23=23,G23=24)),I24/$D$11, I24))</f>
        <v>0</v>
      </c>
      <c r="J25" s="499">
        <f>IF($A$12=FALSE,C25,IF(G24=2,D25,IF(OR($S$37&lt;&gt;0,$S$38&lt;&gt;0),D25,C25)))</f>
        <v>0</v>
      </c>
      <c r="K25" s="103"/>
      <c r="L25" s="133">
        <f>IF(OR($D$7=1,Q23=1),0,IF(OR(M25="UL",M25="NP"),M25,IF(L23&gt;N25,1,IF(AND(L23&gt;M25,L23=N25,$A$12=TRUE),2,IF(L23&lt;=M25,3,1)))))</f>
        <v>0</v>
      </c>
      <c r="M25" s="123">
        <f>IF(OR($D$7=1,Q23=1),0,HLOOKUP(Info!$D$7,Height!$C$1:$K$27,Q23))</f>
        <v>0</v>
      </c>
      <c r="N25" s="124">
        <f>IF(OR($D$7=1,Q23=1),0,HLOOKUP(Info!$D$7,Height!$T$1:$AB$27,Q23))</f>
        <v>0</v>
      </c>
      <c r="O25" s="123"/>
      <c r="P25" s="123"/>
      <c r="Q25" s="125">
        <f>IF(OR(R24=1,$A$12=FALSE),0,IF($D$10=1,3,IF($D$10&gt;=2,2,0)))</f>
        <v>0</v>
      </c>
      <c r="R25" s="137">
        <f>IF(OR($D$7=1,Q23=1),0,IF(OR(S23="UL",S23="NP"),S23,IF(R23&lt;=O24,3,IF(OR(R23&gt;T23,AND(R23&gt;O24,$A$12=FALSE)),1,IF(AND(R23&gt;O24,R23&lt;=P24,OR(Q24=2,AND($S$37=0,$S$38=0))),2,IF(AND(R23&gt;O24,R23&lt;=P24,OR($S$37&lt;&gt;0,$S$38&lt;&gt;0)),1))))))</f>
        <v>0</v>
      </c>
      <c r="S25" s="379">
        <f>IF(OR(S24="UL",S24=0),0,IF(AND(LOOKUP(Q23,$Y$71:$Y$97,$Z$71:$Z$97)&lt;&gt;0,OR(Q23=16,Q23=21,Q23=22, Q23=23,Q23=24)),S24/$D$11, S24))</f>
        <v>0</v>
      </c>
      <c r="T25" s="135">
        <f>IF($A$12=FALSE,M25,IF(Q24=2,N25,IF(OR($S$37&lt;&gt;0,$S$38&lt;&gt;0),N25,M25)))</f>
        <v>0</v>
      </c>
      <c r="U25" s="103"/>
      <c r="V25" s="133">
        <f>IF(OR($D$7=1,AA23=1),0,IF(OR(W25="UL",W25="NP"),W25,IF(V23&gt;X25,1,IF(AND(V23&gt;W25,V23=X25,$A$12=TRUE),2,IF(V23&lt;=W25,3,1)))))</f>
        <v>0</v>
      </c>
      <c r="W25" s="123">
        <f>IF(OR($D$7=1,AA23=1),0,HLOOKUP(Info!$D$7,Height!$C$1:$K$27,AA23))</f>
        <v>0</v>
      </c>
      <c r="X25" s="124">
        <f>IF(OR($D$7=1,AA23=1),0,HLOOKUP(Info!$D$7,Height!$T$1:$AB$27,AA23))</f>
        <v>0</v>
      </c>
      <c r="Y25" s="123"/>
      <c r="Z25" s="123"/>
      <c r="AA25" s="125">
        <f>IF(OR(AB24=1,$A$12=FALSE),0,IF($D$10=1,3,IF($D$10&gt;=2,2,0)))</f>
        <v>0</v>
      </c>
      <c r="AB25" s="137">
        <f>IF(OR($D$7=1,AA23=1),0,IF(OR(AC23="UL",AC23="NP"),AC23,IF(AB23&lt;=Y24,3,IF(OR(AB23&gt;AD23,AND(AB23&gt;Y24,$A$12=FALSE)),1,IF(AND(AB23&gt;Y24,AB23&lt;=Z24,OR(AA24=2,AND($S$37=0,$S$38=0))),2,IF(AND(AB23&gt;Y24,AB23&lt;=Z24,OR($S$37&lt;&gt;0,$S$38&lt;&gt;0)),1))))))</f>
        <v>0</v>
      </c>
      <c r="AC25" s="379">
        <f>IF(OR(AC24="UL",AC24=0),0,IF(AND(LOOKUP(AA23,$Y$71:$Y$97,$Z$71:$Z$97)&lt;&gt;0,OR(AA23=16,AA23=21,AA23=22, AA23=23,AA23=24)),AC24/$D$11, AC24))</f>
        <v>0</v>
      </c>
      <c r="AD25" s="135">
        <f>IF($A$12=FALSE,W25,IF(AA24=2,X25,IF(OR($S$37&lt;&gt;0,$S$38&lt;&gt;0),X25,W25)))</f>
        <v>0</v>
      </c>
      <c r="AE25" s="103"/>
      <c r="AF25" s="133">
        <f>IF(OR($D$7=1,AK23=1),0,IF(OR(AG25="UL",AG25="NP"),AG25,IF(AF23&gt;AH25,1,IF(AND(AF23&gt;AG25,AF23=AH25,$A$12=TRUE),2,IF(AF23&lt;=AG25,3,1)))))</f>
        <v>0</v>
      </c>
      <c r="AG25" s="123">
        <f>IF(OR($D$7=1,AK23=1),0,HLOOKUP(Info!$D$7,Height!$C$1:$K$27,AK23))</f>
        <v>0</v>
      </c>
      <c r="AH25" s="124">
        <f>IF(OR($D$7=1,AK23=1),0,HLOOKUP(Info!$D$7,Height!$T$1:$AB$27,AK23))</f>
        <v>0</v>
      </c>
      <c r="AI25" s="123"/>
      <c r="AJ25" s="123"/>
      <c r="AK25" s="125">
        <f>IF(OR(AL24=1,$A$12=FALSE),0,IF($D$10=1,3,IF($D$10&gt;=2,2,0)))</f>
        <v>0</v>
      </c>
      <c r="AL25" s="137">
        <f>IF(OR($D$7=1,AK23=1),0,IF(OR(AM23="UL",AM23="NP"),AM23,IF(AL23&lt;=AI24,3,IF(OR(AL23&gt;AN23,AND(AL23&gt;AI24,$A$12=FALSE)),1,IF(AND(AL23&gt;AI24,AL23&lt;=AJ24,OR(AK24=2,AND($S$37=0,$S$38=0))),2,IF(AND(AL23&gt;AI24,AL23&lt;=AJ24,OR($S$37&lt;&gt;0,$S$38&lt;&gt;0)),1))))))</f>
        <v>0</v>
      </c>
      <c r="AM25" s="379">
        <f>IF(OR(AM24="UL",AM24=0),0,IF(AND(LOOKUP(AK23,$Y$71:$Y$97,$Z$71:$Z$97)&lt;&gt;0,OR(AK23=16,AK23=21,AK23=22, AK23=23,AK23=24)),AM24/$D$11, AM24))</f>
        <v>0</v>
      </c>
      <c r="AN25" s="135">
        <f>IF($A$12=FALSE,AG25,IF(AK24=2,AH25,IF(OR($S$37&lt;&gt;0,$S$38&lt;&gt;0),AH25,AG25)))</f>
        <v>0</v>
      </c>
      <c r="AO25" s="135"/>
      <c r="AR25" s="232"/>
    </row>
    <row r="26" spans="2:44" ht="15.75" customHeight="1" thickBot="1" x14ac:dyDescent="0.25">
      <c r="B26" s="44">
        <v>4</v>
      </c>
      <c r="C26" s="381">
        <f>IF(OR(E27="UL",E27="NP"),E27,IF($D$10&gt;2,3*E27,IF($D$10=2,2*E27,E27)))</f>
        <v>0</v>
      </c>
      <c r="D26" s="381">
        <f>IF(OR(F27="UL",F27="NP"),F27,IF($D$10&gt;2,3*F27,IF($D$10&gt;=2,2*F27,F27)))</f>
        <v>0</v>
      </c>
      <c r="E26" s="127">
        <f>IF(OR(I26="UL",I26="NP"),I26,I26*$X$11)</f>
        <v>0</v>
      </c>
      <c r="F26" s="127">
        <f>IF(OR(I26="UL",I26="NP"),I26,I26*G28)</f>
        <v>0</v>
      </c>
      <c r="G26" s="146">
        <f>ChaCha!G17</f>
        <v>1</v>
      </c>
      <c r="H26" s="147">
        <f>ChaCha!H17</f>
        <v>0</v>
      </c>
      <c r="I26" s="128">
        <f>IF(OR($D$7=1,G26=1,B26&gt;$D$10),0,HLOOKUP(Info!$D$7,Area!$C$1:$K$27,G26))</f>
        <v>0</v>
      </c>
      <c r="J26" s="128">
        <f>IF($A$12=FALSE,E27,IF(G27=2,F27,IF(AND($S$37=0,$S$38=0),F27,E27)))</f>
        <v>0</v>
      </c>
      <c r="K26" s="102"/>
      <c r="L26" s="44">
        <v>4</v>
      </c>
      <c r="M26" s="381">
        <f>IF(OR(O27="UL",O27="NP"),O27,IF($D$10&gt;2,3*O27,IF($D$10=2,2*O27,O27)))</f>
        <v>0</v>
      </c>
      <c r="N26" s="381">
        <f>IF(OR(P27="UL",P27="NP"),P27,IF($D$10&gt;2,3*P27,IF($D$10&gt;=2,2*P27,P27)))</f>
        <v>0</v>
      </c>
      <c r="O26" s="127">
        <f>IF(OR(S26="UL",S26="NP"),S26,S26*$X$11)</f>
        <v>0</v>
      </c>
      <c r="P26" s="127">
        <f>IF(OR(S26="UL",S26="NP"),S26,S26*Q28)</f>
        <v>0</v>
      </c>
      <c r="Q26" s="146">
        <f>ChaCha!M17</f>
        <v>1</v>
      </c>
      <c r="R26" s="147">
        <f>ChaCha!N17</f>
        <v>0</v>
      </c>
      <c r="S26" s="128">
        <f>IF(OR($D$7=1,Q26=1,L26&gt;$D$10),0,HLOOKUP(Info!$D$7,Area!$C$1:$K$27,Q26))</f>
        <v>0</v>
      </c>
      <c r="T26" s="128">
        <f>IF($A$12=FALSE,O27,IF(Q27=2,P27,IF(AND($S$37=0,$S$38=0),P27,O27)))</f>
        <v>0</v>
      </c>
      <c r="U26" s="102"/>
      <c r="V26" s="44">
        <v>4</v>
      </c>
      <c r="W26" s="381">
        <f>IF(OR(Y27="UL",Y27="NP"),Y27,IF($D$10&gt;2,3*Y27,IF($D$10=2,2*Y27,Y27)))</f>
        <v>0</v>
      </c>
      <c r="X26" s="381">
        <f>IF(OR(Z27="UL",Z27="NP"),Z27,IF($D$10&gt;2,3*Z27,IF($D$10&gt;=2,2*Z27,Z27)))</f>
        <v>0</v>
      </c>
      <c r="Y26" s="127">
        <f>IF(OR(AC26="UL",AC26="NP"),AC26,AC26*$X$11)</f>
        <v>0</v>
      </c>
      <c r="Z26" s="127">
        <f>IF(OR(AC26="UL",AC26="NP"),AC26,AC26*AA28)</f>
        <v>0</v>
      </c>
      <c r="AA26" s="146">
        <f>ChaCha!S17</f>
        <v>1</v>
      </c>
      <c r="AB26" s="147">
        <f>ChaCha!T17</f>
        <v>0</v>
      </c>
      <c r="AC26" s="128">
        <f>IF(OR($D$7=1,AA26=1,V26&gt;$D$10),0,HLOOKUP(Info!$D$7,Area!$C$1:$K$27,AA26))</f>
        <v>0</v>
      </c>
      <c r="AD26" s="128">
        <f>IF($A$12=FALSE,Y27,IF(AA27=2,Z27,IF(AND($S$37=0,$S$38=0),Z27,Y27)))</f>
        <v>0</v>
      </c>
      <c r="AE26" s="102"/>
      <c r="AF26" s="44">
        <v>4</v>
      </c>
      <c r="AG26" s="381">
        <f>IF(OR(AI27="UL",AI27="NP"),AI27,IF($D$10&gt;2,3*AI27,IF($D$10=2,2*AI27,AI27)))</f>
        <v>0</v>
      </c>
      <c r="AH26" s="381">
        <f>IF(OR(AJ27="UL",AJ27="NP"),AJ27,IF($D$10&gt;2,3*AJ27,IF($D$10&gt;=2,2*AJ27,AJ27)))</f>
        <v>0</v>
      </c>
      <c r="AI26" s="127">
        <f>IF(OR(AM26="UL",AM26="NP"),AM26,AM26*$X$11)</f>
        <v>0</v>
      </c>
      <c r="AJ26" s="127">
        <f>IF(OR(AM26="UL",AM26="NP"),AM26,AM26*AK28)</f>
        <v>0</v>
      </c>
      <c r="AK26" s="146">
        <f>ChaCha!Y17</f>
        <v>1</v>
      </c>
      <c r="AL26" s="147">
        <f>ChaCha!Z17</f>
        <v>0</v>
      </c>
      <c r="AM26" s="128">
        <f>IF(OR($D$7=1,AK26=1,AF26&gt;$D$10),0,HLOOKUP(Info!$D$7,Area!$C$1:$K$27,AK26))</f>
        <v>0</v>
      </c>
      <c r="AN26" s="128">
        <f>IF($A$12=FALSE,AI27,IF(AK27=2,AJ27,IF(AND($S$37=0,$S$38=0),AJ27,AI27)))</f>
        <v>0</v>
      </c>
      <c r="AO26" s="102"/>
      <c r="AP26" t="str">
        <f>IF(OR(I27="NP",S27="NP",AC27="NP",AM27="NP"),"NP use at Level "&amp;B26,IF(MAX(H26,R26,AB26,AL26)=0,"",IF(I28+S28+AC28+AM28&lt;=1,"Area is OK for Level "&amp;B26,"Overlimit Area at Level "&amp;B26)))</f>
        <v/>
      </c>
      <c r="AR26" s="232">
        <f>IF(OR($D$7=1,$D$9&lt;=0,$D$10&lt;=0),0,IF(OR(I27="NP",S27="NP",AC27="NP",AM27="NP"),"NP",IF(MAX(H26,R26,AB26,AL26)=0,"",IF(I28+S28+AC28+AM28&lt;=1,"OK","OL"))))</f>
        <v>0</v>
      </c>
    </row>
    <row r="27" spans="2:44" x14ac:dyDescent="0.2">
      <c r="B27" s="132">
        <f>IF(OR($D$7=1,G26=1),0,IF(OR(C27="UL",C27="NP"),C27,IF($D$9&gt;D27,1,IF(AND($D$9&gt;C27,$D$9&lt;=D27,$A$12=TRUE),2,IF($D$9&lt;=C27,3,1)))))</f>
        <v>0</v>
      </c>
      <c r="C27" s="121">
        <f>IF(OR($D$7=1,G26=1),0,HLOOKUP(Info!$D$7,Height!$AF$1:$AN$27,G26))</f>
        <v>0</v>
      </c>
      <c r="D27" s="122">
        <f>IF(OR($D$7=1,G26=1),0,HLOOKUP(Info!$D$7,Height!$AR$1:$AZ$27,G26))</f>
        <v>0</v>
      </c>
      <c r="E27" s="127">
        <f>IF(OR(I26="UL",I26="NP"),I26,I26+E26)</f>
        <v>0</v>
      </c>
      <c r="F27" s="127">
        <f>IF(OR(I26="UL",I26="NP"),I26,I26+E26+F26)</f>
        <v>0</v>
      </c>
      <c r="G27" s="374">
        <v>2</v>
      </c>
      <c r="H27" s="375">
        <f>IF(OR(G26=12,G26=13,$M$37&gt;0),1,0)</f>
        <v>0</v>
      </c>
      <c r="I27" s="143">
        <f>IF(OR(I26="UL",I26="NP",I26=0),I26,H26/J26)</f>
        <v>0</v>
      </c>
      <c r="J27" s="120">
        <f>IF($A$12=FALSE,C27,IF(G27=2,D27,IF(OR($S$37&lt;&gt;0,$S$38&lt;&gt;0),D27,C27)))</f>
        <v>0</v>
      </c>
      <c r="K27" s="120">
        <f>IF(OR(J27="NP",J27="UL",J27=0),0,J27)</f>
        <v>0</v>
      </c>
      <c r="L27" s="132">
        <f>IF(OR($D$7=1,Q26=1),0,IF(OR(M27="UL",M27="NP"),M27,IF($D$9&gt;N27,1,IF(AND($D$9&gt;M27,$D$9&lt;=N27,$A$12=TRUE),2,IF($D$9&lt;=M27,3,1)))))</f>
        <v>0</v>
      </c>
      <c r="M27" s="121">
        <f>IF(OR($D$7=1,Q26=1),0,HLOOKUP(Info!$D$7,Height!$AF$1:$AN$27,Q26))</f>
        <v>0</v>
      </c>
      <c r="N27" s="122">
        <f>IF(OR($D$7=1,Q26=1),0,HLOOKUP(Info!$D$7,Height!$AR$1:$AZ$27,Q26))</f>
        <v>0</v>
      </c>
      <c r="O27" s="127">
        <f>IF(OR(S26="UL",S26="NP"),S26,S26+O26)</f>
        <v>0</v>
      </c>
      <c r="P27" s="127">
        <f>IF(OR(S26="UL",S26="NP"),S26,S26+O26+P26)</f>
        <v>0</v>
      </c>
      <c r="Q27" s="374">
        <v>2</v>
      </c>
      <c r="R27" s="375">
        <f>IF(OR(Q26=12,Q26=13,$M$37&gt;0),1,0)</f>
        <v>0</v>
      </c>
      <c r="S27" s="143">
        <f>IF(OR(S26="UL",S26="NP",S26=0),S26,R26/T26)</f>
        <v>0</v>
      </c>
      <c r="T27" s="120">
        <f>IF($A$12=FALSE,M27,IF(Q27=2,N27,IF(OR($S$37&lt;&gt;0,$S$38&lt;&gt;0),N27,M27)))</f>
        <v>0</v>
      </c>
      <c r="U27" s="120">
        <f>IF(OR(T27="NP",T27="UL",T27=0),0,T27)</f>
        <v>0</v>
      </c>
      <c r="V27" s="132">
        <f>IF(OR($D$7=1,AA26=1),0,IF(OR(W27="UL",W27="NP"),W27,IF($D$9&gt;X27,1,IF(AND($D$9&gt;W27,$D$9&lt;=X27,$A$12=TRUE),2,IF($D$9&lt;=W27,3,1)))))</f>
        <v>0</v>
      </c>
      <c r="W27" s="121">
        <f>IF(OR($D$7=1,AA26=1),0,HLOOKUP(Info!$D$7,Height!$AF$1:$AN$27,AA26))</f>
        <v>0</v>
      </c>
      <c r="X27" s="122">
        <f>IF(OR($D$7=1,AA26=1),0,HLOOKUP(Info!$D$7,Height!$AR$1:$AZ$27,AA26))</f>
        <v>0</v>
      </c>
      <c r="Y27" s="127">
        <f>IF(OR(AC26="UL",AC26="NP"),AC26,AC26+Y26)</f>
        <v>0</v>
      </c>
      <c r="Z27" s="127">
        <f>IF(OR(AC26="UL",AC26="NP"),AC26,AC26+Y26+Z26)</f>
        <v>0</v>
      </c>
      <c r="AA27" s="374">
        <v>2</v>
      </c>
      <c r="AB27" s="375">
        <f>IF(OR(AA26=12,AA26=13,$M$37&gt;0),1,0)</f>
        <v>0</v>
      </c>
      <c r="AC27" s="143">
        <f>IF(OR(AC26="UL",AC26="NP",AC26=0),AC26,AB26/AD26)</f>
        <v>0</v>
      </c>
      <c r="AD27" s="120">
        <f>IF($A$12=FALSE,W27,IF(AA27=2,X27,IF(OR($S$37&lt;&gt;0,$S$38&lt;&gt;0),X27,W27)))</f>
        <v>0</v>
      </c>
      <c r="AE27" s="120">
        <f>IF(OR(AD27="NP",AD27="UL",AD27=0),0,AD27)</f>
        <v>0</v>
      </c>
      <c r="AF27" s="132">
        <f>IF(OR($D$7=1,AK26=1),0,IF(OR(AG27="UL",AG27="NP"),AG27,IF($D$9&gt;AH27,1,IF(AND($D$9&gt;AG27,$D$9&lt;=AH27,$A$12=TRUE),2,IF($D$9&lt;=AG27,3,1)))))</f>
        <v>0</v>
      </c>
      <c r="AG27" s="121">
        <f>IF(OR($D$7=1,AK26=1),0,HLOOKUP(Info!$D$7,Height!$AF$1:$AN$27,AK26))</f>
        <v>0</v>
      </c>
      <c r="AH27" s="122">
        <f>IF(OR($D$7=1,AK26=1),0,HLOOKUP(Info!$D$7,Height!$AR$1:$AZ$27,AK26))</f>
        <v>0</v>
      </c>
      <c r="AI27" s="127">
        <f>IF(OR(AM26="UL",AM26="NP"),AM26,AM26+AI26)</f>
        <v>0</v>
      </c>
      <c r="AJ27" s="127">
        <f>IF(OR(AM26="UL",AM26="NP"),AM26,AM26+AI26+AJ26)</f>
        <v>0</v>
      </c>
      <c r="AK27" s="374">
        <v>2</v>
      </c>
      <c r="AL27" s="375">
        <f>IF(OR(AK26=12,AK26=13,$M$37&gt;0),1,0)</f>
        <v>0</v>
      </c>
      <c r="AM27" s="143">
        <f>IF(OR(AM26="UL",AM26="NP",AM26=0),AM26,AL26/AN26)</f>
        <v>0</v>
      </c>
      <c r="AN27" s="120">
        <f>IF($A$12=FALSE,AG27,IF(AK27=2,AH27,IF(OR($S$37&lt;&gt;0,$S$38&lt;&gt;0),AH27,AG27)))</f>
        <v>0</v>
      </c>
      <c r="AO27" s="120">
        <f>IF(OR(AN27="NP",AN27="UL",AN27=0),0,AN27)</f>
        <v>0</v>
      </c>
      <c r="AR27" s="232"/>
    </row>
    <row r="28" spans="2:44" ht="13.5" thickBot="1" x14ac:dyDescent="0.25">
      <c r="B28" s="133">
        <f>IF(OR($D$7=1,G26=1),0,IF(OR(C28="UL",C28="NP"),C28,IF(B26&gt;D28,1,IF(AND(B26&gt;C28,B26=D28,$A$12=TRUE),2,IF(B26&lt;=C28,3,1)))))</f>
        <v>0</v>
      </c>
      <c r="C28" s="123">
        <f>IF(OR($D$7=1,G26=1),0,HLOOKUP(Info!$D$7,Height!$C$1:$K$27,G26))</f>
        <v>0</v>
      </c>
      <c r="D28" s="124">
        <f>IF(OR($D$7=1,G26=1),0,HLOOKUP(Info!$D$7,Height!$T$1:$AB$27,G26))</f>
        <v>0</v>
      </c>
      <c r="E28" s="123"/>
      <c r="F28" s="123"/>
      <c r="G28" s="125">
        <f>IF(OR(H27=1,$A$12=FALSE),0,IF($D$10=1,3,IF($D$10&gt;=2,2,0)))</f>
        <v>0</v>
      </c>
      <c r="H28" s="137">
        <f>IF(OR($D$7=1,G26=1),0,IF(OR(I26="UL",I26="NP"),I26,IF(H26&lt;=E27,3,IF(OR(H26&gt;J26,AND(H26&gt;E27,$A$12=FALSE)),1,IF(AND(H26&gt;E27,H26&lt;=F27,OR(G27=2,AND($S$37=0,$S$38=0))),2,IF(AND(H26&gt;E27,H26&lt;=F27,OR($S$37&lt;&gt;0,$S$38&lt;&gt;0)),1))))))</f>
        <v>0</v>
      </c>
      <c r="I28" s="379">
        <f>IF(OR(I27="UL",I27=0),0,IF(AND(LOOKUP(G26,$Y$71:$Y$97,$Z$71:$Z$97)&lt;&gt;0,OR(G26=16,G26=21,G26=22, G26=23,G26=24)),I27/$D$11, I27))</f>
        <v>0</v>
      </c>
      <c r="J28" s="135">
        <f>IF($A$12=FALSE,C28,IF(G27=2,D28,IF(OR($S$37&lt;&gt;0,$S$38&lt;&gt;0),D28,C28)))</f>
        <v>0</v>
      </c>
      <c r="K28" s="103"/>
      <c r="L28" s="133">
        <f>IF(OR($D$7=1,Q26=1),0,IF(OR(M28="UL",M28="NP"),M28,IF(L26&gt;N28,1,IF(AND(L26&gt;M28,L26=N28,$A$12=TRUE),2,IF(L26&lt;=M28,3,1)))))</f>
        <v>0</v>
      </c>
      <c r="M28" s="123">
        <f>IF(OR($D$7=1,Q26=1),0,HLOOKUP(Info!$D$7,Height!$C$1:$K$27,Q26))</f>
        <v>0</v>
      </c>
      <c r="N28" s="124">
        <f>IF(OR($D$7=1,Q26=1),0,HLOOKUP(Info!$D$7,Height!$T$1:$AB$27,Q26))</f>
        <v>0</v>
      </c>
      <c r="O28" s="123"/>
      <c r="P28" s="123"/>
      <c r="Q28" s="125">
        <f>IF(OR(R27=1,$A$12=FALSE),0,IF($D$10=1,3,IF($D$10&gt;=2,2,0)))</f>
        <v>0</v>
      </c>
      <c r="R28" s="137">
        <f>IF(OR($D$7=1,Q26=1),0,IF(OR(S26="UL",S26="NP"),S26,IF(R26&lt;=O27,3,IF(OR(R26&gt;T26,AND(R26&gt;O27,$A$12=FALSE)),1,IF(AND(R26&gt;O27,R26&lt;=P27,OR(Q27=2,AND($S$37=0,$S$38=0))),2,IF(AND(R26&gt;O27,R26&lt;=P27,OR($S$37&lt;&gt;0,$S$38&lt;&gt;0)),1))))))</f>
        <v>0</v>
      </c>
      <c r="S28" s="379">
        <f>IF(OR(S27="UL",S27=0),0,IF(AND(LOOKUP(Q26,$Y$71:$Y$97,$Z$71:$Z$97)&lt;&gt;0,OR(Q26=16,Q26=21,Q26=22, Q26=23,Q26=24)),S27/$D$11, S27))</f>
        <v>0</v>
      </c>
      <c r="T28" s="135">
        <f>IF($A$12=FALSE,M28,IF(Q27=2,N28,IF(OR($S$37&lt;&gt;0,$S$38&lt;&gt;0),N28,M28)))</f>
        <v>0</v>
      </c>
      <c r="U28" s="103"/>
      <c r="V28" s="133">
        <f>IF(OR($D$7=1,AA26=1),0,IF(OR(W28="UL",W28="NP"),W28,IF(V26&gt;X28,1,IF(AND(V26&gt;W28,V26=X28,$A$12=TRUE),2,IF(V26&lt;=W28,3,1)))))</f>
        <v>0</v>
      </c>
      <c r="W28" s="123">
        <f>IF(OR($D$7=1,AA26=1),0,HLOOKUP(Info!$D$7,Height!$C$1:$K$27,AA26))</f>
        <v>0</v>
      </c>
      <c r="X28" s="124">
        <f>IF(OR($D$7=1,AA26=1),0,HLOOKUP(Info!$D$7,Height!$T$1:$AB$27,AA26))</f>
        <v>0</v>
      </c>
      <c r="Y28" s="123"/>
      <c r="Z28" s="123"/>
      <c r="AA28" s="125">
        <f>IF(OR(AB27=1,$A$12=FALSE),0,IF($D$10=1,3,IF($D$10&gt;=2,2,0)))</f>
        <v>0</v>
      </c>
      <c r="AB28" s="137">
        <f>IF(OR($D$7=1,AA26=1),0,IF(OR(AC26="UL",AC26="NP"),AC26,IF(AB26&lt;=Y27,3,IF(OR(AB26&gt;AD26,AND(AB26&gt;Y27,$A$12=FALSE)),1,IF(AND(AB26&gt;Y27,AB26&lt;=Z27,OR(AA27=2,AND($S$37=0,$S$38=0))),2,IF(AND(AB26&gt;Y27,AB26&lt;=Z27,OR($S$37&lt;&gt;0,$S$38&lt;&gt;0)),1))))))</f>
        <v>0</v>
      </c>
      <c r="AC28" s="379">
        <f>IF(OR(AC27="UL",AC27=0),0,IF(AND(LOOKUP(AA26,$Y$71:$Y$97,$Z$71:$Z$97)&lt;&gt;0,OR(AA26=16,AA26=21,AA26=22, AA26=23,AA26=24)),AC27/$D$11, AC27))</f>
        <v>0</v>
      </c>
      <c r="AD28" s="135">
        <f>IF($A$12=FALSE,W28,IF(AA27=2,X28,IF(OR($S$37&lt;&gt;0,$S$38&lt;&gt;0),X28,W28)))</f>
        <v>0</v>
      </c>
      <c r="AE28" s="103"/>
      <c r="AF28" s="133">
        <f>IF(OR($D$7=1,AK26=1),0,IF(OR(AG28="UL",AG28="NP"),AG28,IF(AF26&gt;AH28,1,IF(AND(AF26&gt;AG28,AF26=AH28,$A$12=TRUE),2,IF(AF26&lt;=AG28,3,1)))))</f>
        <v>0</v>
      </c>
      <c r="AG28" s="123">
        <f>IF(OR($D$7=1,AK26=1),0,HLOOKUP(Info!$D$7,Height!$C$1:$K$27,AK26))</f>
        <v>0</v>
      </c>
      <c r="AH28" s="124">
        <f>IF(OR($D$7=1,AK26=1),0,HLOOKUP(Info!$D$7,Height!$T$1:$AB$27,AK26))</f>
        <v>0</v>
      </c>
      <c r="AI28" s="123"/>
      <c r="AJ28" s="123"/>
      <c r="AK28" s="125">
        <f>IF(OR(AL27=1,$A$12=FALSE),0,IF($D$10=1,3,IF($D$10&gt;=2,2,0)))</f>
        <v>0</v>
      </c>
      <c r="AL28" s="137">
        <f>IF(OR($D$7=1,AK26=1),0,IF(OR(AM26="UL",AM26="NP"),AM26,IF(AL26&lt;=AI27,3,IF(OR(AL26&gt;AN26,AND(AL26&gt;AI27,$A$12=FALSE)),1,IF(AND(AL26&gt;AI27,AL26&lt;=AJ27,OR(AK27=2,AND($S$37=0,$S$38=0))),2,IF(AND(AL26&gt;AI27,AL26&lt;=AJ27,OR($S$37&lt;&gt;0,$S$38&lt;&gt;0)),1))))))</f>
        <v>0</v>
      </c>
      <c r="AM28" s="379">
        <f>IF(OR(AM27="UL",AM27=0),0,IF(AND(LOOKUP(AK26,$Y$71:$Y$97,$Z$71:$Z$97)&lt;&gt;0,OR(AK26=16,AK26=21,AK26=22, AK26=23,AK26=24)),AM27/$D$11, AM27))</f>
        <v>0</v>
      </c>
      <c r="AN28" s="135">
        <f>IF($A$12=FALSE,AG28,IF(AK27=2,AH28,IF(OR($S$37&lt;&gt;0,$S$38&lt;&gt;0),AH28,AG28)))</f>
        <v>0</v>
      </c>
      <c r="AO28" s="135"/>
      <c r="AR28" s="232"/>
    </row>
    <row r="29" spans="2:44" ht="15.75" customHeight="1" thickBot="1" x14ac:dyDescent="0.25">
      <c r="B29" s="44">
        <v>5</v>
      </c>
      <c r="C29" s="381">
        <f>IF(OR(E30="UL",E30="NP"),E30,IF($D$10&gt;2,3*E30,IF($D$10=2,2*E30,E30)))</f>
        <v>0</v>
      </c>
      <c r="D29" s="381">
        <f>IF(OR(F30="UL",F30="NP"),F30,IF($D$10&gt;2,3*F30,IF($D$10&gt;=2,2*F30,F30)))</f>
        <v>0</v>
      </c>
      <c r="E29" s="127">
        <f>IF(OR(I29="UL",I29="NP"),I29,I29*$X$11)</f>
        <v>0</v>
      </c>
      <c r="F29" s="127">
        <f>IF(OR(I29="UL",I29="NP"),I29,I29*G31)</f>
        <v>0</v>
      </c>
      <c r="G29" s="146">
        <f>ChaCha!G19</f>
        <v>1</v>
      </c>
      <c r="H29" s="147">
        <f>ChaCha!H19</f>
        <v>0</v>
      </c>
      <c r="I29" s="128">
        <f>IF(OR($D$7=1,G29=1,B29&gt;$D$10),0,HLOOKUP(Info!$D$7,Area!$C$1:$K$27,G29))</f>
        <v>0</v>
      </c>
      <c r="J29" s="128">
        <f>IF($A$12=FALSE,E30,IF(G30=2,F30,IF(AND($S$37=0,$S$38=0),F30,E30)))</f>
        <v>0</v>
      </c>
      <c r="K29" s="102"/>
      <c r="L29" s="44">
        <v>5</v>
      </c>
      <c r="M29" s="381">
        <f>IF(OR(O30="UL",O30="NP"),O30,IF($D$10&gt;2,3*O30,IF($D$10=2,2*O30,O30)))</f>
        <v>0</v>
      </c>
      <c r="N29" s="381">
        <f>IF(OR(P30="UL",P30="NP"),P30,IF($D$10&gt;2,3*P30,IF($D$10&gt;=2,2*P30,P30)))</f>
        <v>0</v>
      </c>
      <c r="O29" s="127">
        <f>IF(OR(S29="UL",S29="NP"),S29,S29*$X$11)</f>
        <v>0</v>
      </c>
      <c r="P29" s="127">
        <f>IF(OR(S29="UL",S29="NP"),S29,S29*Q31)</f>
        <v>0</v>
      </c>
      <c r="Q29" s="146">
        <f>ChaCha!M19</f>
        <v>1</v>
      </c>
      <c r="R29" s="147">
        <f>ChaCha!N19</f>
        <v>0</v>
      </c>
      <c r="S29" s="128">
        <f>IF(OR($D$7=1,Q29=1,L29&gt;$D$10),0,HLOOKUP(Info!$D$7,Area!$C$1:$K$27,Q29))</f>
        <v>0</v>
      </c>
      <c r="T29" s="128">
        <f>IF($A$12=FALSE,O30,IF(Q30=2,P30,IF(AND($S$37=0,$S$38=0),P30,O30)))</f>
        <v>0</v>
      </c>
      <c r="U29" s="102"/>
      <c r="V29" s="44">
        <v>5</v>
      </c>
      <c r="W29" s="381">
        <f>IF(OR(Y30="UL",Y30="NP"),Y30,IF($D$10&gt;2,3*Y30,IF($D$10=2,2*Y30,Y30)))</f>
        <v>0</v>
      </c>
      <c r="X29" s="381">
        <f>IF(OR(Z30="UL",Z30="NP"),Z30,IF($D$10&gt;2,3*Z30,IF($D$10&gt;=2,2*Z30,Z30)))</f>
        <v>0</v>
      </c>
      <c r="Y29" s="127">
        <f>IF(OR(AC29="UL",AC29="NP"),AC29,AC29*$X$11)</f>
        <v>0</v>
      </c>
      <c r="Z29" s="127">
        <f>IF(OR(AC29="UL",AC29="NP"),AC29,AC29*AA31)</f>
        <v>0</v>
      </c>
      <c r="AA29" s="146">
        <f>ChaCha!S19</f>
        <v>1</v>
      </c>
      <c r="AB29" s="147">
        <f>ChaCha!T19</f>
        <v>0</v>
      </c>
      <c r="AC29" s="128">
        <f>IF(OR($D$7=1,AA29=1,V29&gt;$D$10),0,HLOOKUP(Info!$D$7,Area!$C$1:$K$27,AA29))</f>
        <v>0</v>
      </c>
      <c r="AD29" s="128">
        <f>IF($A$12=FALSE,Y30,IF(AA30=2,Z30,IF(AND($S$37=0,$S$38=0),Z30,Y30)))</f>
        <v>0</v>
      </c>
      <c r="AE29" s="102"/>
      <c r="AF29" s="44">
        <v>5</v>
      </c>
      <c r="AG29" s="381">
        <f>IF(OR(AI30="UL",AI30="NP"),AI30,IF($D$10&gt;2,3*AI30,IF($D$10=2,2*AI30,AI30)))</f>
        <v>0</v>
      </c>
      <c r="AH29" s="381">
        <f>IF(OR(AJ30="UL",AJ30="NP"),AJ30,IF($D$10&gt;2,3*AJ30,IF($D$10&gt;=2,2*AJ30,AJ30)))</f>
        <v>0</v>
      </c>
      <c r="AI29" s="127">
        <f>IF(OR(AM29="UL",AM29="NP"),AM29,AM29*$X$11)</f>
        <v>0</v>
      </c>
      <c r="AJ29" s="127">
        <f>IF(OR(AM29="UL",AM29="NP"),AM29,AM29*AK31)</f>
        <v>0</v>
      </c>
      <c r="AK29" s="146">
        <f>ChaCha!Y19</f>
        <v>1</v>
      </c>
      <c r="AL29" s="147">
        <f>ChaCha!Z19</f>
        <v>0</v>
      </c>
      <c r="AM29" s="128">
        <f>IF(OR($D$7=1,AK29=1,AF29&gt;$D$10),0,HLOOKUP(Info!$D$7,Area!$C$1:$K$27,AK29))</f>
        <v>0</v>
      </c>
      <c r="AN29" s="128">
        <f>IF($A$12=FALSE,AI30,IF(AK30=2,AJ30,IF(AND($S$37=0,$S$38=0),AJ30,AI30)))</f>
        <v>0</v>
      </c>
      <c r="AO29" s="102"/>
      <c r="AP29" t="str">
        <f>IF(OR(I30="NP",S30="NP",AC30="NP",AM30="NP"),"NP use at Level "&amp;B29,IF(MAX(H29,R29,AB29,AL29)=0,"",IF(I31+S31+AC31+AM31&lt;=1,"Area is OK for Level "&amp;B29,"Overlimit Area at Level"&amp;B29)))</f>
        <v/>
      </c>
      <c r="AR29" s="232">
        <f>IF(OR($D$7=1,$D$9&lt;=0,$D$10&lt;=0),0,IF(OR(I30="NP",S30="NP",AC30="NP",AM30="NP"),"NP",IF(MAX(H29,R29,AB29,AL29)=0,"",IF(I31+S31+AC31+AM31&lt;=1,"OK","OL"))))</f>
        <v>0</v>
      </c>
    </row>
    <row r="30" spans="2:44" x14ac:dyDescent="0.2">
      <c r="B30" s="132">
        <f>IF(OR($D$7=1,G29=1),0,IF(OR(C30="UL",C30="NP"),C30,IF($D$9&gt;D30,1,IF(AND($D$9&gt;C30,$D$9&lt;=D30,$A$12=TRUE),2,IF($D$9&lt;=C30,3,1)))))</f>
        <v>0</v>
      </c>
      <c r="C30" s="121">
        <f>IF(OR($D$7=1,G29=1),0,HLOOKUP(Info!$D$7,Height!$AF$1:$AN$27,G29))</f>
        <v>0</v>
      </c>
      <c r="D30" s="122">
        <f>IF(OR($D$7=1,G29=1),0,HLOOKUP(Info!$D$7,Height!$AR$1:$AZ$27,G29))</f>
        <v>0</v>
      </c>
      <c r="E30" s="127">
        <f>IF(OR(I29="UL",I29="NP"),I29,I29+E29)</f>
        <v>0</v>
      </c>
      <c r="F30" s="127">
        <f>IF(OR(I29="UL",I29="NP"),I29,I29+E29+F29)</f>
        <v>0</v>
      </c>
      <c r="G30" s="374">
        <v>2</v>
      </c>
      <c r="H30" s="375">
        <f>IF(OR(G29=12,G29=13,$M$37&gt;0),1,0)</f>
        <v>0</v>
      </c>
      <c r="I30" s="143">
        <f>IF(OR(I29="UL",I29="NP",I29=0),I29,H29/J29)</f>
        <v>0</v>
      </c>
      <c r="J30" s="120">
        <f>IF($A$12=FALSE,C30,IF(G30=2,D30,IF(OR($S$37&lt;&gt;0,$S$38&lt;&gt;0),D30,C30)))</f>
        <v>0</v>
      </c>
      <c r="K30" s="120">
        <f>IF(OR(J30="NP",J30="UL",J30=0),0,J30)</f>
        <v>0</v>
      </c>
      <c r="L30" s="132">
        <f>IF(OR($D$7=1,Q29=1),0,IF(OR(M30="UL",M30="NP"),M30,IF($D$9&gt;N30,1,IF(AND($D$9&gt;M30,$D$9&lt;=N30,$A$12=TRUE),2,IF($D$9&lt;=M30,3,1)))))</f>
        <v>0</v>
      </c>
      <c r="M30" s="121">
        <f>IF(OR($D$7=1,Q29=1),0,HLOOKUP(Info!$D$7,Height!$AF$1:$AN$27,Q29))</f>
        <v>0</v>
      </c>
      <c r="N30" s="122">
        <f>IF(OR($D$7=1,Q29=1),0,HLOOKUP(Info!$D$7,Height!$AR$1:$AZ$27,Q29))</f>
        <v>0</v>
      </c>
      <c r="O30" s="127">
        <f>IF(OR(S29="UL",S29="NP"),S29,S29+O29)</f>
        <v>0</v>
      </c>
      <c r="P30" s="127">
        <f>IF(OR(S29="UL",S29="NP"),S29,S29+O29+P29)</f>
        <v>0</v>
      </c>
      <c r="Q30" s="374">
        <v>2</v>
      </c>
      <c r="R30" s="375">
        <f>IF(OR(Q29=12,Q29=13,$M$37&gt;0),1,0)</f>
        <v>0</v>
      </c>
      <c r="S30" s="143">
        <f>IF(OR(S29="UL",S29="NP",S29=0),S29,R29/T29)</f>
        <v>0</v>
      </c>
      <c r="T30" s="120">
        <f>IF($A$12=FALSE,M30,IF(Q30=2,N30,IF(OR($S$37&lt;&gt;0,$S$38&lt;&gt;0),N30,M30)))</f>
        <v>0</v>
      </c>
      <c r="U30" s="120">
        <f>IF(OR(T30="NP",T30="UL",T30=0),0,T30)</f>
        <v>0</v>
      </c>
      <c r="V30" s="132">
        <f>IF(OR($D$7=1,AA29=1),0,IF(OR(W30="UL",W30="NP"),W30,IF($D$9&gt;X30,1,IF(AND($D$9&gt;W30,$D$9&lt;=X30,$A$12=TRUE),2,IF($D$9&lt;=W30,3,1)))))</f>
        <v>0</v>
      </c>
      <c r="W30" s="121">
        <f>IF(OR($D$7=1,AA29=1),0,HLOOKUP(Info!$D$7,Height!$AF$1:$AN$27,AA29))</f>
        <v>0</v>
      </c>
      <c r="X30" s="122">
        <f>IF(OR($D$7=1,AA29=1),0,HLOOKUP(Info!$D$7,Height!$AR$1:$AZ$27,AA29))</f>
        <v>0</v>
      </c>
      <c r="Y30" s="127">
        <f>IF(OR(AC29="UL",AC29="NP"),AC29,AC29+Y29)</f>
        <v>0</v>
      </c>
      <c r="Z30" s="127">
        <f>IF(OR(AC29="UL",AC29="NP"),AC29,AC29+Y29+Z29)</f>
        <v>0</v>
      </c>
      <c r="AA30" s="374">
        <v>2</v>
      </c>
      <c r="AB30" s="375">
        <f>IF(OR(AA29=12,AA29=13,$M$37&gt;0),1,0)</f>
        <v>0</v>
      </c>
      <c r="AC30" s="143">
        <f>IF(OR(AC29="UL",AC29="NP",AC29=0),AC29,AB29/AD29)</f>
        <v>0</v>
      </c>
      <c r="AD30" s="120">
        <f>IF($A$12=FALSE,W30,IF(AA30=2,X30,IF(OR($S$37&lt;&gt;0,$S$38&lt;&gt;0),X30,W30)))</f>
        <v>0</v>
      </c>
      <c r="AE30" s="120">
        <f>IF(OR(AD30="NP",AD30="UL",AD30=0),0,AD30)</f>
        <v>0</v>
      </c>
      <c r="AF30" s="132">
        <f>IF(OR($D$7=1,AK29=1),0,IF(OR(AG30="UL",AG30="NP"),AG30,IF($D$9&gt;AH30,1,IF(AND($D$9&gt;AG30,$D$9&lt;=AH30,$A$12=TRUE),2,IF($D$9&lt;=AG30,3,1)))))</f>
        <v>0</v>
      </c>
      <c r="AG30" s="121">
        <f>IF(OR($D$7=1,AK29=1),0,HLOOKUP(Info!$D$7,Height!$AF$1:$AN$27,AK29))</f>
        <v>0</v>
      </c>
      <c r="AH30" s="122">
        <f>IF(OR($D$7=1,AK29=1),0,HLOOKUP(Info!$D$7,Height!$AR$1:$AZ$27,AK29))</f>
        <v>0</v>
      </c>
      <c r="AI30" s="127">
        <f>IF(OR(AM29="UL",AM29="NP"),AM29,AM29+AI29)</f>
        <v>0</v>
      </c>
      <c r="AJ30" s="127">
        <f>IF(OR(AM29="UL",AM29="NP"),AM29,AM29+AI29+AJ29)</f>
        <v>0</v>
      </c>
      <c r="AK30" s="374">
        <v>2</v>
      </c>
      <c r="AL30" s="375">
        <f>IF(OR(AK29=12,AK29=13,$M$37&gt;0),1,0)</f>
        <v>0</v>
      </c>
      <c r="AM30" s="143">
        <f>IF(OR(AM29="UL",AM29="NP",AM29=0),AM29,AL29/AN29)</f>
        <v>0</v>
      </c>
      <c r="AN30" s="120">
        <f>IF($A$12=FALSE,AG30,IF(AK30=2,AH30,IF(OR($S$37&lt;&gt;0,$S$38&lt;&gt;0),AH30,AG30)))</f>
        <v>0</v>
      </c>
      <c r="AO30" s="120">
        <f>IF(OR(AN30="NP",AN30="UL",AN30=0),0,AN30)</f>
        <v>0</v>
      </c>
      <c r="AR30" s="232"/>
    </row>
    <row r="31" spans="2:44" ht="13.5" thickBot="1" x14ac:dyDescent="0.25">
      <c r="B31" s="133">
        <f>IF(OR($D$7=1,G29=1),0,IF(OR(C31="UL",C31="NP"),C31,IF(B29&gt;D31,1,IF(AND(B29&gt;C31,B29=D31,$A$12=TRUE),2,IF(B29&lt;=C31,3,1)))))</f>
        <v>0</v>
      </c>
      <c r="C31" s="123">
        <f>IF(OR($D$7=1,G29=1),0,HLOOKUP(Info!$D$7,Height!$C$1:$K$27,G29))</f>
        <v>0</v>
      </c>
      <c r="D31" s="124">
        <f>IF(OR($D$7=1,G29=1),0,HLOOKUP(Info!$D$7,Height!$T$1:$AB$27,G29))</f>
        <v>0</v>
      </c>
      <c r="E31" s="123"/>
      <c r="F31" s="123"/>
      <c r="G31" s="125">
        <f>IF(OR(H30=1,$A$12=FALSE),0,IF($D$10=1,3,IF($D$10&gt;=2,2,0)))</f>
        <v>0</v>
      </c>
      <c r="H31" s="137">
        <f>IF(OR($D$7=1,G29=1),0,IF(OR(I29="UL",I29="NP"),I29,IF(H29&lt;=E30,3,IF(OR(H29&gt;J29,AND(H29&gt;E30,$A$12=FALSE)),1,IF(AND(H29&gt;E30,H29&lt;=F30,OR(G30=2,AND($S$37=0,$S$38=0))),2,IF(AND(H29&gt;E30,H29&lt;=F30,OR($S$37&lt;&gt;0,$S$38&lt;&gt;0)),1))))))</f>
        <v>0</v>
      </c>
      <c r="I31" s="379">
        <f>IF(OR(I30="UL",I30=0),0,IF(AND(LOOKUP(G29,$Y$71:$Y$97,$Z$71:$Z$97)&lt;&gt;0,OR(G29=16,G29=21,G29=22, G29=23,G29=24)),I30/$D$11, I30))</f>
        <v>0</v>
      </c>
      <c r="J31" s="135">
        <f>IF($A$12=FALSE,C31,IF(G30=2,D31,IF(OR($S$37&lt;&gt;0,$S$38&lt;&gt;0),D31,C31)))</f>
        <v>0</v>
      </c>
      <c r="K31" s="103"/>
      <c r="L31" s="133">
        <f>IF(OR($D$7=1,Q29=1),0,IF(OR(M31="UL",M31="NP"),M31,IF(L29&gt;N31,1,IF(AND(L29&gt;M31,L29=N31,$A$12=TRUE),2,IF(L29&lt;=M31,3,1)))))</f>
        <v>0</v>
      </c>
      <c r="M31" s="123">
        <f>IF(OR($D$7=1,Q29=1),0,HLOOKUP(Info!$D$7,Height!$C$1:$K$27,Q29))</f>
        <v>0</v>
      </c>
      <c r="N31" s="124">
        <f>IF(OR($D$7=1,Q29=1),0,HLOOKUP(Info!$D$7,Height!$T$1:$AB$27,Q29))</f>
        <v>0</v>
      </c>
      <c r="O31" s="123"/>
      <c r="P31" s="123"/>
      <c r="Q31" s="125">
        <f>IF(OR(R30=1,$A$12=FALSE),0,IF($D$10=1,3,IF($D$10&gt;=2,2,0)))</f>
        <v>0</v>
      </c>
      <c r="R31" s="137">
        <f>IF(OR($D$7=1,Q29=1),0,IF(OR(S29="UL",S29="NP"),S29,IF(R29&lt;=O30,3,IF(OR(R29&gt;T29,AND(R29&gt;O30,$A$12=FALSE)),1,IF(AND(R29&gt;O30,R29&lt;=P30,OR(Q30=2,AND($S$37=0,$S$38=0))),2,IF(AND(R29&gt;O30,R29&lt;=P30,OR($S$37&lt;&gt;0,$S$38&lt;&gt;0)),1))))))</f>
        <v>0</v>
      </c>
      <c r="S31" s="379">
        <f>IF(OR(S30="UL",S30=0),0,IF(AND(LOOKUP(Q29,$Y$71:$Y$97,$Z$71:$Z$97)&lt;&gt;0,OR(Q29=16,Q29=21,Q29=22, Q29=23,Q29=24)),S30/$D$11, S30))</f>
        <v>0</v>
      </c>
      <c r="T31" s="135">
        <f>IF($A$12=FALSE,M31,IF(Q30=2,N31,IF(OR($S$37&lt;&gt;0,$S$38&lt;&gt;0),N31,M31)))</f>
        <v>0</v>
      </c>
      <c r="U31" s="103"/>
      <c r="V31" s="133">
        <f>IF(OR($D$7=1,AA29=1),0,IF(OR(W31="UL",W31="NP"),W31,IF(V29&gt;X31,1,IF(AND(V29&gt;W31,V29=X31,$A$12=TRUE),2,IF(V29&lt;=W31,3,1)))))</f>
        <v>0</v>
      </c>
      <c r="W31" s="123">
        <f>IF(OR($D$7=1,AA29=1),0,HLOOKUP(Info!$D$7,Height!$C$1:$K$27,AA29))</f>
        <v>0</v>
      </c>
      <c r="X31" s="124">
        <f>IF(OR($D$7=1,AA29=1),0,HLOOKUP(Info!$D$7,Height!$T$1:$AB$27,AA29))</f>
        <v>0</v>
      </c>
      <c r="Y31" s="123"/>
      <c r="Z31" s="123"/>
      <c r="AA31" s="125">
        <f>IF(OR(AB30=1,$A$12=FALSE),0,IF($D$10=1,3,IF($D$10&gt;=2,2,0)))</f>
        <v>0</v>
      </c>
      <c r="AB31" s="137">
        <f>IF(OR($D$7=1,AA29=1),0,IF(OR(AC29="UL",AC29="NP"),AC29,IF(AB29&lt;=Y30,3,IF(OR(AB29&gt;AD29,AND(AB29&gt;Y30,$A$12=FALSE)),1,IF(AND(AB29&gt;Y30,AB29&lt;=Z30,OR(AA30=2,AND($S$37=0,$S$38=0))),2,IF(AND(AB29&gt;Y30,AB29&lt;=Z30,OR($S$37&lt;&gt;0,$S$38&lt;&gt;0)),1))))))</f>
        <v>0</v>
      </c>
      <c r="AC31" s="379">
        <f>IF(OR(AC30="UL",AC30=0),0,IF(AND(LOOKUP(AA29,$Y$71:$Y$97,$Z$71:$Z$97)&lt;&gt;0,OR(AA29=16,AA29=21,AA29=22, AA29=23,AA29=24)),AC30/$D$11, AC30))</f>
        <v>0</v>
      </c>
      <c r="AD31" s="135">
        <f>IF($A$12=FALSE,W31,IF(AA30=2,X31,IF(OR($S$37&lt;&gt;0,$S$38&lt;&gt;0),X31,W31)))</f>
        <v>0</v>
      </c>
      <c r="AE31" s="103"/>
      <c r="AF31" s="133">
        <f>IF(OR($D$7=1,AK29=1),0,IF(OR(AG31="UL",AG31="NP"),AG31,IF(AF29&gt;AH31,1,IF(AND(AF29&gt;AG31,AF29=AH31,$A$12=TRUE),2,IF(AF29&lt;=AG31,3,1)))))</f>
        <v>0</v>
      </c>
      <c r="AG31" s="123">
        <f>IF(OR($D$7=1,AK29=1),0,HLOOKUP(Info!$D$7,Height!$C$1:$K$27,AK29))</f>
        <v>0</v>
      </c>
      <c r="AH31" s="124">
        <f>IF(OR($D$7=1,AK29=1),0,HLOOKUP(Info!$D$7,Height!$T$1:$AB$27,AK29))</f>
        <v>0</v>
      </c>
      <c r="AI31" s="123"/>
      <c r="AJ31" s="123"/>
      <c r="AK31" s="125">
        <f>IF(OR(AL30=1,$A$12=FALSE),0,IF($D$10=1,3,IF($D$10&gt;=2,2,0)))</f>
        <v>0</v>
      </c>
      <c r="AL31" s="137">
        <f>IF(OR($D$7=1,AK29=1),0,IF(OR(AM29="UL",AM29="NP"),AM29,IF(AL29&lt;=AI30,3,IF(OR(AL29&gt;AN29,AND(AL29&gt;AI30,$A$12=FALSE)),1,IF(AND(AL29&gt;AI30,AL29&lt;=AJ30,OR(AK30=2,AND($S$37=0,$S$38=0))),2,IF(AND(AL29&gt;AI30,AL29&lt;=AJ30,OR($S$37&lt;&gt;0,$S$38&lt;&gt;0)),1))))))</f>
        <v>0</v>
      </c>
      <c r="AM31" s="379">
        <f>IF(OR(AM30="UL",AM30=0),0,IF(AND(LOOKUP(AK29,$Y$71:$Y$97,$Z$71:$Z$97)&lt;&gt;0,OR(AK29=16,AK29=21,AK29=22, AK29=23,AK29=24)),AM30/$D$11, AM30))</f>
        <v>0</v>
      </c>
      <c r="AN31" s="135">
        <f>IF($A$12=FALSE,AG31,IF(AK30=2,AH31,IF(OR($S$37&lt;&gt;0,$S$38&lt;&gt;0),AH31,AG31)))</f>
        <v>0</v>
      </c>
      <c r="AO31" s="135"/>
      <c r="AR31" s="232"/>
    </row>
    <row r="32" spans="2:44" ht="15.75" customHeight="1" thickBot="1" x14ac:dyDescent="0.25">
      <c r="B32" s="44">
        <v>6</v>
      </c>
      <c r="C32" s="381">
        <f>IF(OR(E33="UL",E33="NP"),E33,IF($D$10&gt;2,3*E33,IF($D$10=2,2*E33,E33)))</f>
        <v>0</v>
      </c>
      <c r="D32" s="381">
        <f>IF(OR(F33="UL",F33="NP"),F33,IF($D$10&gt;2,3*F33,IF($D$10&gt;=2,2*F33,F33)))</f>
        <v>0</v>
      </c>
      <c r="E32" s="127">
        <f>IF(OR(I32="UL",I32="NP"),I32,I32*$X$11)</f>
        <v>0</v>
      </c>
      <c r="F32" s="127">
        <f>IF(OR(I32="UL",I32="NP"),I32,I32*G34)</f>
        <v>0</v>
      </c>
      <c r="G32" s="146">
        <f>ChaCha!G21</f>
        <v>1</v>
      </c>
      <c r="H32" s="147">
        <f>ChaCha!H21</f>
        <v>0</v>
      </c>
      <c r="I32" s="128">
        <f>IF(OR($D$7=1,G32=1,B32&gt;$D$10),0,HLOOKUP(Info!$D$7,Area!$C$1:$K$27,G32))</f>
        <v>0</v>
      </c>
      <c r="J32" s="128">
        <f>IF($A$12=FALSE,E33,IF(G33=2,F33,IF(AND($S$37=0,$S$38=0),F33,E33)))</f>
        <v>0</v>
      </c>
      <c r="K32" s="102"/>
      <c r="L32" s="44">
        <v>6</v>
      </c>
      <c r="M32" s="381">
        <f>IF(OR(O33="UL",O33="NP"),O33,IF($D$10&gt;2,3*O33,IF($D$10=2,2*O33,O33)))</f>
        <v>0</v>
      </c>
      <c r="N32" s="381">
        <f>IF(OR(P33="UL",P33="NP"),P33,IF($D$10&gt;2,3*P33,IF($D$10&gt;=2,2*P33,P33)))</f>
        <v>0</v>
      </c>
      <c r="O32" s="127">
        <f>IF(OR(S32="UL",S32="NP"),S32,S32*$X$11)</f>
        <v>0</v>
      </c>
      <c r="P32" s="127">
        <f>IF(OR(S32="UL",S32="NP"),S32,S32*Q34)</f>
        <v>0</v>
      </c>
      <c r="Q32" s="146">
        <f>ChaCha!M21</f>
        <v>1</v>
      </c>
      <c r="R32" s="147">
        <f>ChaCha!N21</f>
        <v>0</v>
      </c>
      <c r="S32" s="128">
        <f>IF(OR($D$7=1,Q32=1,L32&gt;$D$10),0,HLOOKUP(Info!$D$7,Area!$C$1:$K$27,Q32))</f>
        <v>0</v>
      </c>
      <c r="T32" s="128">
        <f>IF($A$12=FALSE,O33,IF(Q33=2,P33,IF(AND($S$37=0,$S$38=0),P33,O33)))</f>
        <v>0</v>
      </c>
      <c r="U32" s="102"/>
      <c r="V32" s="44">
        <v>6</v>
      </c>
      <c r="W32" s="381">
        <f>IF(OR(Y33="UL",Y33="NP"),Y33,IF($D$10&gt;2,3*Y33,IF($D$10=2,2*Y33,Y33)))</f>
        <v>0</v>
      </c>
      <c r="X32" s="381">
        <f>IF(OR(Z33="UL",Z33="NP"),Z33,IF($D$10&gt;2,3*Z33,IF($D$10&gt;=2,2*Z33,Z33)))</f>
        <v>0</v>
      </c>
      <c r="Y32" s="127">
        <f>IF(OR(AC32="UL",AC32="NP"),AC32,AC32*$X$11)</f>
        <v>0</v>
      </c>
      <c r="Z32" s="127">
        <f>IF(OR(AC32="UL",AC32="NP"),AC32,AC32*AA34)</f>
        <v>0</v>
      </c>
      <c r="AA32" s="146">
        <f>ChaCha!S21</f>
        <v>1</v>
      </c>
      <c r="AB32" s="147">
        <f>ChaCha!T21</f>
        <v>0</v>
      </c>
      <c r="AC32" s="128">
        <f>IF(OR($D$7=1,AA32=1,V32&gt;$D$10),0,HLOOKUP(Info!$D$7,Area!$C$1:$K$27,AA32))</f>
        <v>0</v>
      </c>
      <c r="AD32" s="128">
        <f>IF($A$12=FALSE,Y33,IF(AA33=2,Z33,IF(AND($S$37=0,$S$38=0),Z33,Y33)))</f>
        <v>0</v>
      </c>
      <c r="AE32" s="102"/>
      <c r="AF32" s="44">
        <v>6</v>
      </c>
      <c r="AG32" s="381">
        <f>IF(OR(AI33="UL",AI33="NP"),AI33,IF($D$10&gt;2,3*AI33,IF($D$10=2,2*AI33,AI33)))</f>
        <v>0</v>
      </c>
      <c r="AH32" s="381">
        <f>IF(OR(AJ33="UL",AJ33="NP"),AJ33,IF($D$10&gt;2,3*AJ33,IF($D$10&gt;=2,2*AJ33,AJ33)))</f>
        <v>0</v>
      </c>
      <c r="AI32" s="127">
        <f>IF(OR(AM32="UL",AM32="NP"),AM32,AM32*$X$11)</f>
        <v>0</v>
      </c>
      <c r="AJ32" s="127">
        <f>IF(OR(AM32="UL",AM32="NP"),AM32,AM32*AK34)</f>
        <v>0</v>
      </c>
      <c r="AK32" s="146">
        <f>ChaCha!Y21</f>
        <v>1</v>
      </c>
      <c r="AL32" s="147">
        <f>ChaCha!Z21</f>
        <v>0</v>
      </c>
      <c r="AM32" s="128">
        <f>IF(OR($D$7=1,AK32=1,AF32&gt;$D$10),0,HLOOKUP(Info!$D$7,Area!$C$1:$K$27,AK32))</f>
        <v>0</v>
      </c>
      <c r="AN32" s="128">
        <f>IF($A$12=FALSE,AI33,IF(AK33=2,AJ33,IF(AND($S$37=0,$S$38=0),AJ33,AI33)))</f>
        <v>0</v>
      </c>
      <c r="AO32" s="102"/>
      <c r="AP32" t="str">
        <f>IF(OR(I33="NP",S33="NP",AC33="NP",AM33="NP"),"NP use at Level "&amp;B32,IF(MAX(H32,R32,AB32,AL32)=0,"",IF(I34+S34+AC34+AM34&lt;=1,"Area is OK for Level "&amp;B32,"Overlimit Area at Level"&amp;B32)))</f>
        <v/>
      </c>
      <c r="AR32" s="232">
        <f>IF(OR($D$7=1,$D$9&lt;=0,$D$10&lt;=0),0,IF(OR(I33="NP",S33="NP",AC33="NP",AM33="NP"),"NP",IF(MAX(H32,R32,AB32,AL32)=0,"",IF(I34+S34+AC34+AM34&lt;=1,"OK","OL"))))</f>
        <v>0</v>
      </c>
    </row>
    <row r="33" spans="1:59" x14ac:dyDescent="0.2">
      <c r="B33" s="132">
        <f>IF(OR($D$7=1,G32=1),0,IF(OR(C33="UL",C33="NP"),C33,IF($D$9&gt;D33,1,IF(AND($D$9&gt;C33,$D$9&lt;=D33,$A$12=TRUE),2,IF($D$9&lt;=C33,3,1)))))</f>
        <v>0</v>
      </c>
      <c r="C33" s="121">
        <f>IF(OR($D$7=1,G32=1),0,HLOOKUP(Info!$D$7,Height!$AF$1:$AN$27,G32))</f>
        <v>0</v>
      </c>
      <c r="D33" s="122">
        <f>IF(OR($D$7=1,G32=1),0,HLOOKUP(Info!$D$7,Height!$AR$1:$AZ$27,G32))</f>
        <v>0</v>
      </c>
      <c r="E33" s="127">
        <f>IF(OR(I32="UL",I32="NP"),I32,I32+E32)</f>
        <v>0</v>
      </c>
      <c r="F33" s="127">
        <f>IF(OR(I32="UL",I32="NP"),I32,I32+E32+F32)</f>
        <v>0</v>
      </c>
      <c r="G33" s="374">
        <v>2</v>
      </c>
      <c r="H33" s="375">
        <f>IF(OR(G32=12,G32=13,$M$37&gt;0),1,0)</f>
        <v>0</v>
      </c>
      <c r="I33" s="143">
        <f>IF(OR(I32="UL",I32="NP",I32=0),I32,H32/J32)</f>
        <v>0</v>
      </c>
      <c r="J33" s="120">
        <f>IF($A$12=FALSE,C33,IF(G33=2,D33,IF(OR($S$37&lt;&gt;0,$S$38&lt;&gt;0),D33,C33)))</f>
        <v>0</v>
      </c>
      <c r="K33" s="120">
        <f>IF(OR(J33="NP",J33="UL",J33=0),0,J33)</f>
        <v>0</v>
      </c>
      <c r="L33" s="132">
        <f>IF(OR($D$7=1,Q32=1),0,IF(OR(M33="UL",M33="NP"),M33,IF($D$9&gt;N33,1,IF(AND($D$9&gt;M33,$D$9&lt;=N33,$A$12=TRUE),2,IF($D$9&lt;=M33,3,1)))))</f>
        <v>0</v>
      </c>
      <c r="M33" s="121">
        <f>IF(OR($D$7=1,Q32=1),0,HLOOKUP(Info!$D$7,Height!$AF$1:$AN$27,Q32))</f>
        <v>0</v>
      </c>
      <c r="N33" s="122">
        <f>IF(OR($D$7=1,Q32=1),0,HLOOKUP(Info!$D$7,Height!$AR$1:$AZ$27,Q32))</f>
        <v>0</v>
      </c>
      <c r="O33" s="127">
        <f>IF(OR(S32="UL",S32="NP"),S32,S32+O32)</f>
        <v>0</v>
      </c>
      <c r="P33" s="127">
        <f>IF(OR(S32="UL",S32="NP"),S32,S32+O32+P32)</f>
        <v>0</v>
      </c>
      <c r="Q33" s="374">
        <v>2</v>
      </c>
      <c r="R33" s="375">
        <f>IF(OR(Q32=12,Q32=13,$M$37&gt;0),1,0)</f>
        <v>0</v>
      </c>
      <c r="S33" s="143">
        <f>IF(OR(S32="UL",S32="NP",S32=0),S32,R32/T32)</f>
        <v>0</v>
      </c>
      <c r="T33" s="120">
        <f>IF($A$12=FALSE,M33,IF(Q33=2,N33,IF(OR($S$37&lt;&gt;0,$S$38&lt;&gt;0),N33,M33)))</f>
        <v>0</v>
      </c>
      <c r="U33" s="120">
        <f>IF(OR(T33="NP",T33="UL",T33=0),0,T33)</f>
        <v>0</v>
      </c>
      <c r="V33" s="132">
        <f>IF(OR($D$7=1,AA32=1),0,IF(OR(W33="UL",W33="NP"),W33,IF($D$9&gt;X33,1,IF(AND($D$9&gt;W33,$D$9&lt;=X33,$A$12=TRUE),2,IF($D$9&lt;=W33,3,1)))))</f>
        <v>0</v>
      </c>
      <c r="W33" s="121">
        <f>IF(OR($D$7=1,AA32=1),0,HLOOKUP(Info!$D$7,Height!$AF$1:$AN$27,AA32))</f>
        <v>0</v>
      </c>
      <c r="X33" s="122">
        <f>IF(OR($D$7=1,AA32=1),0,HLOOKUP(Info!$D$7,Height!$AR$1:$AZ$27,AA32))</f>
        <v>0</v>
      </c>
      <c r="Y33" s="127">
        <f>IF(OR(AC32="UL",AC32="NP"),AC32,AC32+Y32)</f>
        <v>0</v>
      </c>
      <c r="Z33" s="127">
        <f>IF(OR(AC32="UL",AC32="NP"),AC32,AC32+Y32+Z32)</f>
        <v>0</v>
      </c>
      <c r="AA33" s="374">
        <v>2</v>
      </c>
      <c r="AB33" s="375">
        <f>IF(OR(AA32=12,AA32=13,$M$37&gt;0),1,0)</f>
        <v>0</v>
      </c>
      <c r="AC33" s="143">
        <f>IF(OR(AC32="UL",AC32="NP",AC32=0),AC32,AB32/AD32)</f>
        <v>0</v>
      </c>
      <c r="AD33" s="120">
        <f>IF($A$12=FALSE,W33,IF(AA33=2,X33,IF(OR($S$37&lt;&gt;0,$S$38&lt;&gt;0),X33,W33)))</f>
        <v>0</v>
      </c>
      <c r="AE33" s="120">
        <f>IF(OR(AD33="NP",AD33="UL",AD33=0),0,AD33)</f>
        <v>0</v>
      </c>
      <c r="AF33" s="132">
        <f>IF(OR($D$7=1,AK32=1),0,IF(OR(AG33="UL",AG33="NP"),AG33,IF($D$9&gt;AH33,1,IF(AND($D$9&gt;AG33,$D$9&lt;=AH33,$A$12=TRUE),2,IF($D$9&lt;=AG33,3,1)))))</f>
        <v>0</v>
      </c>
      <c r="AG33" s="121">
        <f>IF(OR($D$7=1,AK32=1),0,HLOOKUP(Info!$D$7,Height!$AF$1:$AN$27,AK32))</f>
        <v>0</v>
      </c>
      <c r="AH33" s="122">
        <f>IF(OR($D$7=1,AK32=1),0,HLOOKUP(Info!$D$7,Height!$AR$1:$AZ$27,AK32))</f>
        <v>0</v>
      </c>
      <c r="AI33" s="127">
        <f>IF(OR(AM32="UL",AM32="NP"),AM32,AM32+AI32)</f>
        <v>0</v>
      </c>
      <c r="AJ33" s="127">
        <f>IF(OR(AM32="UL",AM32="NP"),AM32,AM32+AI32+AJ32)</f>
        <v>0</v>
      </c>
      <c r="AK33" s="374">
        <v>2</v>
      </c>
      <c r="AL33" s="375">
        <f>IF(OR(AK32=12,AK32=13,$M$37&gt;0),1,0)</f>
        <v>0</v>
      </c>
      <c r="AM33" s="143">
        <f>IF(OR(AM32="UL",AM32="NP",AM32=0),AM32,AL32/AN32)</f>
        <v>0</v>
      </c>
      <c r="AN33" s="120">
        <f>IF($A$12=FALSE,AG33,IF(AK33=2,AH33,IF(OR($S$37&lt;&gt;0,$S$38&lt;&gt;0),AH33,AG33)))</f>
        <v>0</v>
      </c>
      <c r="AO33" s="120">
        <f>IF(OR(AN33="NP",AN33="UL",AN33=0),0,AN33)</f>
        <v>0</v>
      </c>
      <c r="AR33" s="208"/>
    </row>
    <row r="34" spans="1:59" ht="15.75" customHeight="1" thickBot="1" x14ac:dyDescent="0.25">
      <c r="B34" s="133">
        <f>IF(OR($D$7=1,G32=1),0,IF(OR(C34="UL",C34="NP"),C34,IF(B32&gt;D34,1,IF(AND(B32&gt;C34,B32=D34,$A$12=TRUE),2,IF(B32&lt;=C34,3,1)))))</f>
        <v>0</v>
      </c>
      <c r="C34" s="123">
        <f>IF(OR($D$7=1,G32=1),0,HLOOKUP(Info!$D$7,Height!$C$1:$K$27,G32))</f>
        <v>0</v>
      </c>
      <c r="D34" s="124">
        <f>IF(OR($D$7=1,G32=1),0,HLOOKUP(Info!$D$7,Height!$T$1:$AB$27,G32))</f>
        <v>0</v>
      </c>
      <c r="E34" s="123"/>
      <c r="F34" s="123"/>
      <c r="G34" s="125">
        <f>IF(OR(H33=1,$A$12=FALSE),0,IF($D$10=1,3,IF($D$10&gt;=2,2,0)))</f>
        <v>0</v>
      </c>
      <c r="H34" s="137">
        <f>IF(OR($D$7=1,G32=1),0,IF(OR(I32="UL",I32="NP"),I32,IF(H32&lt;=E33,3,IF(OR(H32&gt;J32,AND(H32&gt;E33,$A$12=FALSE)),1,IF(AND(H32&gt;E33,H32&lt;=F33,OR(G33=2,AND($S$37=0,$S$38=0))),2,IF(AND(H32&gt;E33,H32&lt;=F33,OR($S$37&lt;&gt;0,$S$38&lt;&gt;0)),1))))))</f>
        <v>0</v>
      </c>
      <c r="I34" s="379">
        <f>IF(OR(I33="UL",I33=0),0,IF(AND(LOOKUP(G32,$Y$71:$Y$97,$Z$71:$Z$97)&lt;&gt;0,OR(G32=16,G32=21,G32=22, G32=23,G32=24)),I33/$D$11, I33))</f>
        <v>0</v>
      </c>
      <c r="J34" s="135">
        <f>IF($A$12=FALSE,C34,IF(G33=2,D34,IF(OR($S$37&lt;&gt;0,$S$38&lt;&gt;0),D34,C34)))</f>
        <v>0</v>
      </c>
      <c r="K34" s="103"/>
      <c r="L34" s="133">
        <f>IF(OR($D$7=1,Q32=1),0,IF(OR(M34="UL",M34="NP"),M34,IF(L32&gt;N34,1,IF(AND(L32&gt;M34,L32=N34,$A$12=TRUE),2,IF(L32&lt;=M34,3,1)))))</f>
        <v>0</v>
      </c>
      <c r="M34" s="123">
        <f>IF(OR($D$7=1,Q32=1),0,HLOOKUP(Info!$D$7,Height!$C$1:$K$27,Q32))</f>
        <v>0</v>
      </c>
      <c r="N34" s="124">
        <f>IF(OR($D$7=1,Q32=1),0,HLOOKUP(Info!$D$7,Height!$T$1:$AB$27,Q32))</f>
        <v>0</v>
      </c>
      <c r="O34" s="123"/>
      <c r="P34" s="123"/>
      <c r="Q34" s="125">
        <f>IF(OR(R33=1,$A$12=FALSE),0,IF($D$10=1,3,IF($D$10&gt;=2,2,0)))</f>
        <v>0</v>
      </c>
      <c r="R34" s="137">
        <f>IF(OR($D$7=1,Q32=1),0,IF(OR(S32="UL",S32="NP"),S32,IF(R32&lt;=O33,3,IF(OR(R32&gt;T32,AND(R32&gt;O33,$A$12=FALSE)),1,IF(AND(R32&gt;O33,R32&lt;=P33,OR(Q33=2,AND($S$37=0,$S$38=0))),2,IF(AND(R32&gt;O33,R32&lt;=P33,OR($S$37&lt;&gt;0,$S$38&lt;&gt;0)),1))))))</f>
        <v>0</v>
      </c>
      <c r="S34" s="379">
        <f>IF(OR(S33="UL",S33=0),0,IF(AND(LOOKUP(Q32,$Y$71:$Y$97,$Z$71:$Z$97)&lt;&gt;0,OR(Q32=16,Q32=21,Q32=22, Q32=23,Q32=24)),S33/$D$11, S33))</f>
        <v>0</v>
      </c>
      <c r="T34" s="135">
        <f>IF($A$12=FALSE,M34,IF(Q33=2,N34,IF(OR($S$37&lt;&gt;0,$S$38&lt;&gt;0),N34,M34)))</f>
        <v>0</v>
      </c>
      <c r="U34" s="103"/>
      <c r="V34" s="133">
        <f>IF(OR($D$7=1,AA32=1),0,IF(OR(W34="UL",W34="NP"),W34,IF(V32&gt;X34,1,IF(AND(V32&gt;W34,V32=X34,$A$12=TRUE),2,IF(V32&lt;=W34,3,1)))))</f>
        <v>0</v>
      </c>
      <c r="W34" s="123">
        <f>IF(OR($D$7=1,AA32=1),0,HLOOKUP(Info!$D$7,Height!$C$1:$K$27,AA32))</f>
        <v>0</v>
      </c>
      <c r="X34" s="124">
        <f>IF(OR($D$7=1,AA32=1),0,HLOOKUP(Info!$D$7,Height!$T$1:$AB$27,AA32))</f>
        <v>0</v>
      </c>
      <c r="Y34" s="123"/>
      <c r="Z34" s="123"/>
      <c r="AA34" s="125">
        <f>IF(OR(AB33=1,$A$12=FALSE),0,IF($D$10=1,3,IF($D$10&gt;=2,2,0)))</f>
        <v>0</v>
      </c>
      <c r="AB34" s="137">
        <f>IF(OR($D$7=1,AA32=1),0,IF(OR(AC32="UL",AC32="NP"),AC32,IF(AB32&lt;=Y33,3,IF(OR(AB32&gt;AD32,AND(AB32&gt;Y33,$A$12=FALSE)),1,IF(AND(AB32&gt;Y33,AB32&lt;=Z33,OR(AA33=2,AND($S$37=0,$S$38=0))),2,IF(AND(AB32&gt;Y33,AB32&lt;=Z33,OR($S$37&lt;&gt;0,$S$38&lt;&gt;0)),1))))))</f>
        <v>0</v>
      </c>
      <c r="AC34" s="379">
        <f>IF(OR(AC33="UL",AC33=0),0,IF(AND(LOOKUP(AA32,$Y$71:$Y$97,$Z$71:$Z$97)&lt;&gt;0,OR(AA32=16,AA32=21,AA32=22, AA32=23,AA32=24)),AC33/$D$11, AC33))</f>
        <v>0</v>
      </c>
      <c r="AD34" s="135">
        <f>IF($A$12=FALSE,W34,IF(AA33=2,X34,IF(OR($S$37&lt;&gt;0,$S$38&lt;&gt;0),X34,W34)))</f>
        <v>0</v>
      </c>
      <c r="AE34" s="103"/>
      <c r="AF34" s="133">
        <f>IF(OR($D$7=1,AK32=1),0,IF(OR(AG34="UL",AG34="NP"),AG34,IF(AF32&gt;AH34,1,IF(AND(AF32&gt;AG34,AF32=AH34,$A$12=TRUE),2,IF(AF32&lt;=AG34,3,1)))))</f>
        <v>0</v>
      </c>
      <c r="AG34" s="123">
        <f>IF(OR($D$7=1,AK32=1),0,HLOOKUP(Info!$D$7,Height!$C$1:$K$27,AK32))</f>
        <v>0</v>
      </c>
      <c r="AH34" s="124">
        <f>IF(OR($D$7=1,AK32=1),0,HLOOKUP(Info!$D$7,Height!$T$1:$AB$27,AK32))</f>
        <v>0</v>
      </c>
      <c r="AI34" s="123"/>
      <c r="AJ34" s="123"/>
      <c r="AK34" s="125">
        <f>IF(OR(AL33=1,$A$12=FALSE),0,IF($D$10=1,3,IF($D$10&gt;=2,2,0)))</f>
        <v>0</v>
      </c>
      <c r="AL34" s="137">
        <f>IF(OR($D$7=1,AK32=1),0,IF(OR(AM32="UL",AM32="NP"),AM32,IF(AL32&lt;=AI33,3,IF(OR(AL32&gt;AN32,AND(AL32&gt;AI33,$A$12=FALSE)),1,IF(AND(AL32&gt;AI33,AL32&lt;=AJ33,OR(AK33=2,AND($S$37=0,$S$38=0))),2,IF(AND(AL32&gt;AI33,AL32&lt;=AJ33,OR($S$37&lt;&gt;0,$S$38&lt;&gt;0)),1))))))</f>
        <v>0</v>
      </c>
      <c r="AM34" s="379">
        <f>IF(OR(AM33="UL",AM33=0),0,IF(AND(LOOKUP(AK32,$Y$71:$Y$97,$Z$71:$Z$97)&lt;&gt;0,OR(AK32=16,AK32=21,AK32=22, AK32=23,AK32=24)),AM33/$D$11, AM33))</f>
        <v>0</v>
      </c>
      <c r="AN34" s="135">
        <f>IF($A$12=FALSE,AG34,IF(AK33=2,AH34,IF(OR($S$37&lt;&gt;0,$S$38&lt;&gt;0),AH34,AG34)))</f>
        <v>0</v>
      </c>
      <c r="AO34" s="135"/>
      <c r="AR34" s="209"/>
    </row>
    <row r="35" spans="1:59" x14ac:dyDescent="0.2">
      <c r="B35" s="130">
        <v>1</v>
      </c>
      <c r="C35" s="131" t="s">
        <v>103</v>
      </c>
      <c r="H35" s="130">
        <v>1</v>
      </c>
      <c r="I35" s="131" t="s">
        <v>108</v>
      </c>
      <c r="AR35" s="189">
        <f>COUNTIF(AR17:AR34,"NP")</f>
        <v>0</v>
      </c>
      <c r="AS35" s="178" t="s">
        <v>36</v>
      </c>
    </row>
    <row r="36" spans="1:59" ht="15.75" customHeight="1" x14ac:dyDescent="0.2">
      <c r="A36" s="368" t="s">
        <v>186</v>
      </c>
      <c r="B36" s="130">
        <v>2</v>
      </c>
      <c r="C36" s="131" t="s">
        <v>110</v>
      </c>
      <c r="H36" s="130">
        <v>2</v>
      </c>
      <c r="I36" s="131" t="s">
        <v>109</v>
      </c>
      <c r="N36" t="s">
        <v>93</v>
      </c>
      <c r="AR36" s="189">
        <f>COUNTIF(AR17:AR34,"OL")</f>
        <v>0</v>
      </c>
      <c r="AS36" s="178" t="s">
        <v>136</v>
      </c>
    </row>
    <row r="37" spans="1:59" ht="13.5" thickBot="1" x14ac:dyDescent="0.25">
      <c r="A37" s="369">
        <f ca="1">ChaCha!AI3</f>
        <v>397</v>
      </c>
      <c r="B37" s="130">
        <v>3</v>
      </c>
      <c r="C37" s="131" t="s">
        <v>104</v>
      </c>
      <c r="H37" s="130">
        <v>3</v>
      </c>
      <c r="I37" s="131" t="s">
        <v>111</v>
      </c>
      <c r="M37" s="117">
        <f>COUNTIF(M39:P44,11)</f>
        <v>0</v>
      </c>
      <c r="N37" t="s">
        <v>91</v>
      </c>
      <c r="S37" s="117">
        <f>COUNTIF(S39:V50,1)</f>
        <v>0</v>
      </c>
      <c r="T37" t="s">
        <v>103</v>
      </c>
    </row>
    <row r="38" spans="1:59" ht="15.75" customHeight="1" thickBot="1" x14ac:dyDescent="0.25">
      <c r="A38" s="30">
        <v>1</v>
      </c>
      <c r="B38" s="39"/>
      <c r="C38" s="30">
        <v>1</v>
      </c>
      <c r="D38" s="111">
        <v>1</v>
      </c>
      <c r="E38" s="80"/>
      <c r="F38" s="111">
        <v>1</v>
      </c>
      <c r="G38" s="111"/>
      <c r="I38" s="130" t="s">
        <v>115</v>
      </c>
      <c r="J38" s="131" t="s">
        <v>116</v>
      </c>
      <c r="N38" t="s">
        <v>92</v>
      </c>
      <c r="S38" s="117">
        <f>COUNTIF(S39:V50,2)</f>
        <v>0</v>
      </c>
      <c r="T38" t="s">
        <v>107</v>
      </c>
      <c r="X38" s="80"/>
      <c r="Y38" s="111">
        <v>1</v>
      </c>
      <c r="Z38" s="111"/>
      <c r="AB38" s="150"/>
      <c r="AC38" s="151" t="s">
        <v>120</v>
      </c>
      <c r="AD38" s="152">
        <v>1</v>
      </c>
      <c r="AE38" s="153"/>
      <c r="AF38" s="150"/>
      <c r="AG38" s="151" t="s">
        <v>120</v>
      </c>
      <c r="AH38" s="152">
        <f>AD38+1</f>
        <v>2</v>
      </c>
      <c r="AI38" s="153"/>
      <c r="AJ38" s="150"/>
      <c r="AK38" s="151" t="s">
        <v>120</v>
      </c>
      <c r="AL38" s="152">
        <f>AH38+1</f>
        <v>3</v>
      </c>
      <c r="AM38" s="153"/>
      <c r="AN38" s="150"/>
      <c r="AO38" s="151" t="s">
        <v>120</v>
      </c>
      <c r="AP38" s="152">
        <f>AL38+1</f>
        <v>4</v>
      </c>
      <c r="AQ38" s="153"/>
      <c r="AR38" s="150"/>
      <c r="AS38" s="151" t="s">
        <v>120</v>
      </c>
      <c r="AT38" s="152">
        <f>AP38+1</f>
        <v>5</v>
      </c>
      <c r="AU38" s="153"/>
      <c r="AV38" s="150"/>
      <c r="AW38" s="151" t="s">
        <v>120</v>
      </c>
      <c r="AX38" s="152">
        <f>AT38+1</f>
        <v>6</v>
      </c>
      <c r="AY38" s="153"/>
      <c r="AZ38" t="s">
        <v>130</v>
      </c>
      <c r="BA38" t="s">
        <v>131</v>
      </c>
      <c r="BB38" s="157" t="s">
        <v>140</v>
      </c>
      <c r="BE38" s="111">
        <v>1</v>
      </c>
    </row>
    <row r="39" spans="1:59" x14ac:dyDescent="0.2">
      <c r="A39" s="30">
        <f ca="1">IF($A$37&lt;0,A38,A38+1)</f>
        <v>2</v>
      </c>
      <c r="B39" s="40" t="s">
        <v>37</v>
      </c>
      <c r="C39" s="30">
        <f ca="1">IF($A$37&lt;0,C38,C38+1)</f>
        <v>2</v>
      </c>
      <c r="D39" s="111">
        <f>D38+1</f>
        <v>2</v>
      </c>
      <c r="E39" s="81" t="s">
        <v>1</v>
      </c>
      <c r="F39" s="111">
        <f>F38+1</f>
        <v>2</v>
      </c>
      <c r="G39" s="112"/>
      <c r="H39" s="130"/>
      <c r="I39" s="130"/>
      <c r="J39" s="131"/>
      <c r="M39" s="141">
        <f>G17</f>
        <v>1</v>
      </c>
      <c r="N39" s="111">
        <f>Q17</f>
        <v>1</v>
      </c>
      <c r="O39" s="111">
        <f>AA17</f>
        <v>1</v>
      </c>
      <c r="P39" s="111">
        <f>AK17</f>
        <v>1</v>
      </c>
      <c r="S39" s="180">
        <f>B18</f>
        <v>0</v>
      </c>
      <c r="T39" s="180">
        <f>L18</f>
        <v>0</v>
      </c>
      <c r="U39" s="180">
        <f>V18</f>
        <v>0</v>
      </c>
      <c r="V39" s="180">
        <f>AF18</f>
        <v>0</v>
      </c>
      <c r="X39" s="81" t="s">
        <v>1</v>
      </c>
      <c r="Y39" s="111">
        <f>Y38+1</f>
        <v>2</v>
      </c>
      <c r="Z39" s="112"/>
      <c r="AA39" s="34" t="str">
        <f>BA39</f>
        <v/>
      </c>
      <c r="AB39" s="167">
        <f>IF($G$17=Y39,$H$17,0)</f>
        <v>0</v>
      </c>
      <c r="AC39" s="168">
        <f>IF($Q$17=Y39,$R$17,0)</f>
        <v>0</v>
      </c>
      <c r="AD39" s="168">
        <f>IF($AA$17=Y39,$AB$17,0)</f>
        <v>0</v>
      </c>
      <c r="AE39" s="168">
        <f>IF($AK$17=Y39,$AL$17,0)</f>
        <v>0</v>
      </c>
      <c r="AF39" s="167">
        <f>IF($G$20=Y39,$H$20,0)</f>
        <v>0</v>
      </c>
      <c r="AG39" s="168">
        <f>IF($Q$20=Y39,$R$20,0)</f>
        <v>0</v>
      </c>
      <c r="AH39" s="168">
        <f>IF($AA$20=Y39,$AB$20,0)</f>
        <v>0</v>
      </c>
      <c r="AI39" s="168">
        <f>IF($AK$20=Y39,$AL$20,0)</f>
        <v>0</v>
      </c>
      <c r="AJ39" s="167">
        <f>IF($G$23=Y39,$H$23,0)</f>
        <v>0</v>
      </c>
      <c r="AK39" s="168">
        <f>IF($Q$23=Y39,$R$23,0)</f>
        <v>0</v>
      </c>
      <c r="AL39" s="168">
        <f>IF($AA$23=Y39,$AB$23,0)</f>
        <v>0</v>
      </c>
      <c r="AM39" s="168">
        <f>IF($AK$23=Y39,$AL$23,0)</f>
        <v>0</v>
      </c>
      <c r="AN39" s="167">
        <f>IF($G$26=Y39,$H$26,0)</f>
        <v>0</v>
      </c>
      <c r="AO39" s="168">
        <f>IF($Q$26=Y39,$R$26,0)</f>
        <v>0</v>
      </c>
      <c r="AP39" s="168">
        <f>IF($AA$26=Y39,$AB$26,0)</f>
        <v>0</v>
      </c>
      <c r="AQ39" s="168">
        <f>IF($AK$26=Y39,$AL$26,0)</f>
        <v>0</v>
      </c>
      <c r="AR39" s="167">
        <f>IF($G$29=Y39,$H$29,0)</f>
        <v>0</v>
      </c>
      <c r="AS39" s="168">
        <f>IF($Q$29=Y39,$R$29,0)</f>
        <v>0</v>
      </c>
      <c r="AT39" s="168">
        <f>IF($AA$29=Y39,$AB$29,0)</f>
        <v>0</v>
      </c>
      <c r="AU39" s="168">
        <f>IF($AK$29=Y39,$AL$29,0)</f>
        <v>0</v>
      </c>
      <c r="AV39" s="167">
        <f>IF($G$32=Y39,$H$32,0)</f>
        <v>0</v>
      </c>
      <c r="AW39" s="168">
        <f>IF($Q$32=Y39,$R$32,0)</f>
        <v>0</v>
      </c>
      <c r="AX39" s="168">
        <f>IF($AA$32=Y39,$AB$32,0)</f>
        <v>0</v>
      </c>
      <c r="AY39" s="168">
        <f>IF($AK$32=Y39,$AL$32,0)</f>
        <v>0</v>
      </c>
      <c r="AZ39" s="167">
        <f>SUM(AB39:AY39)</f>
        <v>0</v>
      </c>
      <c r="BA39" s="111" t="str">
        <f>IF(AZ39=0,"",IF(OR(BC72="UL",BC72="NP"),BC72,IF(AZ39&lt;=BC72,"OK","OL")))</f>
        <v/>
      </c>
      <c r="BB39" s="210" t="str">
        <f>IF(BA39="","",X39)</f>
        <v/>
      </c>
      <c r="BC39" s="211" t="str">
        <f>BA39</f>
        <v/>
      </c>
      <c r="BD39" s="212" t="str">
        <f>IF(OR(BA39="OK",BA39="OL",BA39="UL"),BC72,"")</f>
        <v/>
      </c>
      <c r="BE39" s="111">
        <f>BE38+1</f>
        <v>2</v>
      </c>
      <c r="BF39" s="81" t="s">
        <v>1</v>
      </c>
      <c r="BG39" s="33"/>
    </row>
    <row r="40" spans="1:59" ht="15.75" customHeight="1" x14ac:dyDescent="0.2">
      <c r="A40" s="30">
        <f t="shared" ref="A40:A47" ca="1" si="0">IF($A$37&lt;0,A39,A39+1)</f>
        <v>3</v>
      </c>
      <c r="B40" s="40" t="s">
        <v>38</v>
      </c>
      <c r="C40" s="30">
        <f t="shared" ref="C40:C47" ca="1" si="1">IF($A$37&lt;0,C39,C39+1)</f>
        <v>3</v>
      </c>
      <c r="D40" s="111">
        <f t="shared" ref="D40:F55" si="2">D39+1</f>
        <v>3</v>
      </c>
      <c r="E40" s="81" t="s">
        <v>2</v>
      </c>
      <c r="F40" s="111">
        <f t="shared" si="2"/>
        <v>3</v>
      </c>
      <c r="G40" s="112"/>
      <c r="H40" s="130"/>
      <c r="I40" s="510">
        <f>COUNTIF(M39:P44,16)</f>
        <v>0</v>
      </c>
      <c r="J40" s="131" t="s">
        <v>285</v>
      </c>
      <c r="M40" s="111">
        <f>G20</f>
        <v>1</v>
      </c>
      <c r="N40" s="111">
        <f>Q20</f>
        <v>1</v>
      </c>
      <c r="O40" s="111">
        <f>AA20</f>
        <v>1</v>
      </c>
      <c r="P40" s="111">
        <f>AK20</f>
        <v>1</v>
      </c>
      <c r="S40" s="111">
        <f>B19</f>
        <v>0</v>
      </c>
      <c r="T40" s="111">
        <f>L19</f>
        <v>0</v>
      </c>
      <c r="U40" s="111">
        <f>V19</f>
        <v>0</v>
      </c>
      <c r="V40" s="111">
        <f>AF19</f>
        <v>0</v>
      </c>
      <c r="X40" s="81" t="s">
        <v>2</v>
      </c>
      <c r="Y40" s="111">
        <f t="shared" ref="Y40:Y54" si="3">Y39+1</f>
        <v>3</v>
      </c>
      <c r="Z40" s="112"/>
      <c r="AA40" s="34" t="str">
        <f t="shared" ref="AA40:AA69" si="4">BA40</f>
        <v/>
      </c>
      <c r="AB40" s="167">
        <f t="shared" ref="AB40:AB54" si="5">IF($G$17=Y40,$H$17,0)</f>
        <v>0</v>
      </c>
      <c r="AC40" s="168">
        <f t="shared" ref="AC40:AC54" si="6">IF($Q$17=Y40,$R$17,0)</f>
        <v>0</v>
      </c>
      <c r="AD40" s="168">
        <f t="shared" ref="AD40:AD54" si="7">IF($AA$17=Y40,$AB$17,0)</f>
        <v>0</v>
      </c>
      <c r="AE40" s="168">
        <f t="shared" ref="AE40:AE54" si="8">IF($AK$17=Y40,$AL$17,0)</f>
        <v>0</v>
      </c>
      <c r="AF40" s="167">
        <f t="shared" ref="AF40:AF54" si="9">IF($G$20=Y40,$H$20,0)</f>
        <v>0</v>
      </c>
      <c r="AG40" s="168">
        <f t="shared" ref="AG40:AG54" si="10">IF($Q$20=Y40,$R$20,0)</f>
        <v>0</v>
      </c>
      <c r="AH40" s="168">
        <f t="shared" ref="AH40:AH54" si="11">IF($AA$20=Y40,$AB$20,0)</f>
        <v>0</v>
      </c>
      <c r="AI40" s="168">
        <f t="shared" ref="AI40:AI54" si="12">IF($AK$20=Y40,$AL$20,0)</f>
        <v>0</v>
      </c>
      <c r="AJ40" s="167">
        <f t="shared" ref="AJ40:AJ54" si="13">IF($G$23=Y40,$H$23,0)</f>
        <v>0</v>
      </c>
      <c r="AK40" s="168">
        <f t="shared" ref="AK40:AK54" si="14">IF($Q$23=Y40,$R$23,0)</f>
        <v>0</v>
      </c>
      <c r="AL40" s="168">
        <f t="shared" ref="AL40:AL54" si="15">IF($AA$23=Y40,$AB$23,0)</f>
        <v>0</v>
      </c>
      <c r="AM40" s="168">
        <f t="shared" ref="AM40:AM54" si="16">IF($AK$23=Y40,$AL$23,0)</f>
        <v>0</v>
      </c>
      <c r="AN40" s="167">
        <f t="shared" ref="AN40:AN54" si="17">IF($G$26=Y40,$H$26,0)</f>
        <v>0</v>
      </c>
      <c r="AO40" s="168">
        <f t="shared" ref="AO40:AO54" si="18">IF($Q$26=Y40,$R$26,0)</f>
        <v>0</v>
      </c>
      <c r="AP40" s="168">
        <f t="shared" ref="AP40:AP54" si="19">IF($AA$26=Y40,$AB$26,0)</f>
        <v>0</v>
      </c>
      <c r="AQ40" s="168">
        <f t="shared" ref="AQ40:AQ54" si="20">IF($AK$26=Y40,$AL$26,0)</f>
        <v>0</v>
      </c>
      <c r="AR40" s="167">
        <f t="shared" ref="AR40:AR54" si="21">IF($G$29=Y40,$H$29,0)</f>
        <v>0</v>
      </c>
      <c r="AS40" s="168">
        <f t="shared" ref="AS40:AS54" si="22">IF($Q$29=Y40,$R$29,0)</f>
        <v>0</v>
      </c>
      <c r="AT40" s="168">
        <f t="shared" ref="AT40:AT54" si="23">IF($AA$29=Y40,$AB$29,0)</f>
        <v>0</v>
      </c>
      <c r="AU40" s="168">
        <f t="shared" ref="AU40:AU54" si="24">IF($AK$29=Y40,$AL$29,0)</f>
        <v>0</v>
      </c>
      <c r="AV40" s="167">
        <f t="shared" ref="AV40:AV54" si="25">IF($G$32=Y40,$H$32,0)</f>
        <v>0</v>
      </c>
      <c r="AW40" s="168">
        <f t="shared" ref="AW40:AW54" si="26">IF($Q$32=Y40,$R$32,0)</f>
        <v>0</v>
      </c>
      <c r="AX40" s="168">
        <f t="shared" ref="AX40:AX54" si="27">IF($AA$32=Y40,$AB$32,0)</f>
        <v>0</v>
      </c>
      <c r="AY40" s="168">
        <f t="shared" ref="AY40:AY54" si="28">IF($AK$32=Y40,$AL$32,0)</f>
        <v>0</v>
      </c>
      <c r="AZ40" s="167">
        <f t="shared" ref="AZ40:AZ54" si="29">SUM(AB40:AY40)</f>
        <v>0</v>
      </c>
      <c r="BA40" s="111" t="str">
        <f t="shared" ref="BA40:BA54" si="30">IF(AZ40=0,"",IF(OR(BC73="UL",BC73="NP"),BC73,IF(AZ40&lt;=BC73,"OK","OL")))</f>
        <v/>
      </c>
      <c r="BB40" s="210" t="str">
        <f t="shared" ref="BB40:BB54" si="31">IF(BA40="","",X40)</f>
        <v/>
      </c>
      <c r="BC40" s="211" t="str">
        <f t="shared" ref="BC40:BC54" si="32">BA40</f>
        <v/>
      </c>
      <c r="BD40" s="212" t="str">
        <f t="shared" ref="BD40:BD54" si="33">IF(OR(BA40="OK",BA40="OL",BA40="UL"),BC73,"")</f>
        <v/>
      </c>
      <c r="BE40" s="111">
        <f t="shared" ref="BE40:BE54" si="34">BE39+1</f>
        <v>3</v>
      </c>
      <c r="BF40" s="81" t="s">
        <v>2</v>
      </c>
      <c r="BG40" s="33"/>
    </row>
    <row r="41" spans="1:59" x14ac:dyDescent="0.2">
      <c r="A41" s="30">
        <f t="shared" ca="1" si="0"/>
        <v>4</v>
      </c>
      <c r="B41" s="40" t="s">
        <v>42</v>
      </c>
      <c r="C41" s="30">
        <f t="shared" ca="1" si="1"/>
        <v>4</v>
      </c>
      <c r="D41" s="111">
        <f t="shared" si="2"/>
        <v>4</v>
      </c>
      <c r="E41" s="81" t="s">
        <v>3</v>
      </c>
      <c r="F41" s="111">
        <f t="shared" si="2"/>
        <v>4</v>
      </c>
      <c r="G41" s="112"/>
      <c r="M41" s="111">
        <f>G23</f>
        <v>1</v>
      </c>
      <c r="N41" s="111">
        <f>Q23</f>
        <v>1</v>
      </c>
      <c r="O41" s="111">
        <f>AA23</f>
        <v>1</v>
      </c>
      <c r="P41" s="111">
        <f>AK23</f>
        <v>1</v>
      </c>
      <c r="S41" s="180">
        <f>B21</f>
        <v>0</v>
      </c>
      <c r="T41" s="180">
        <f>L21</f>
        <v>0</v>
      </c>
      <c r="U41" s="180">
        <f>V21</f>
        <v>0</v>
      </c>
      <c r="V41" s="180">
        <f>AF21</f>
        <v>0</v>
      </c>
      <c r="X41" s="81" t="s">
        <v>3</v>
      </c>
      <c r="Y41" s="111">
        <f t="shared" si="3"/>
        <v>4</v>
      </c>
      <c r="Z41" s="112"/>
      <c r="AA41" s="34" t="str">
        <f t="shared" si="4"/>
        <v/>
      </c>
      <c r="AB41" s="167">
        <f t="shared" si="5"/>
        <v>0</v>
      </c>
      <c r="AC41" s="168">
        <f t="shared" si="6"/>
        <v>0</v>
      </c>
      <c r="AD41" s="168">
        <f t="shared" si="7"/>
        <v>0</v>
      </c>
      <c r="AE41" s="168">
        <f t="shared" si="8"/>
        <v>0</v>
      </c>
      <c r="AF41" s="167">
        <f t="shared" si="9"/>
        <v>0</v>
      </c>
      <c r="AG41" s="168">
        <f t="shared" si="10"/>
        <v>0</v>
      </c>
      <c r="AH41" s="168">
        <f t="shared" si="11"/>
        <v>0</v>
      </c>
      <c r="AI41" s="168">
        <f t="shared" si="12"/>
        <v>0</v>
      </c>
      <c r="AJ41" s="167">
        <f t="shared" si="13"/>
        <v>0</v>
      </c>
      <c r="AK41" s="168">
        <f t="shared" si="14"/>
        <v>0</v>
      </c>
      <c r="AL41" s="168">
        <f t="shared" si="15"/>
        <v>0</v>
      </c>
      <c r="AM41" s="168">
        <f t="shared" si="16"/>
        <v>0</v>
      </c>
      <c r="AN41" s="167">
        <f t="shared" si="17"/>
        <v>0</v>
      </c>
      <c r="AO41" s="168">
        <f t="shared" si="18"/>
        <v>0</v>
      </c>
      <c r="AP41" s="168">
        <f t="shared" si="19"/>
        <v>0</v>
      </c>
      <c r="AQ41" s="168">
        <f t="shared" si="20"/>
        <v>0</v>
      </c>
      <c r="AR41" s="167">
        <f t="shared" si="21"/>
        <v>0</v>
      </c>
      <c r="AS41" s="168">
        <f t="shared" si="22"/>
        <v>0</v>
      </c>
      <c r="AT41" s="168">
        <f t="shared" si="23"/>
        <v>0</v>
      </c>
      <c r="AU41" s="168">
        <f t="shared" si="24"/>
        <v>0</v>
      </c>
      <c r="AV41" s="167">
        <f t="shared" si="25"/>
        <v>0</v>
      </c>
      <c r="AW41" s="168">
        <f t="shared" si="26"/>
        <v>0</v>
      </c>
      <c r="AX41" s="168">
        <f t="shared" si="27"/>
        <v>0</v>
      </c>
      <c r="AY41" s="168">
        <f t="shared" si="28"/>
        <v>0</v>
      </c>
      <c r="AZ41" s="167">
        <f t="shared" si="29"/>
        <v>0</v>
      </c>
      <c r="BA41" s="111" t="str">
        <f t="shared" si="30"/>
        <v/>
      </c>
      <c r="BB41" s="210" t="str">
        <f t="shared" si="31"/>
        <v/>
      </c>
      <c r="BC41" s="211" t="str">
        <f t="shared" si="32"/>
        <v/>
      </c>
      <c r="BD41" s="212" t="str">
        <f t="shared" si="33"/>
        <v/>
      </c>
      <c r="BE41" s="111">
        <f t="shared" si="34"/>
        <v>4</v>
      </c>
      <c r="BF41" s="81" t="s">
        <v>3</v>
      </c>
    </row>
    <row r="42" spans="1:59" ht="15.75" customHeight="1" x14ac:dyDescent="0.2">
      <c r="A42" s="30">
        <f t="shared" ca="1" si="0"/>
        <v>5</v>
      </c>
      <c r="B42" s="40" t="s">
        <v>46</v>
      </c>
      <c r="C42" s="30">
        <f t="shared" ca="1" si="1"/>
        <v>5</v>
      </c>
      <c r="D42" s="111">
        <f t="shared" si="2"/>
        <v>5</v>
      </c>
      <c r="E42" s="81" t="s">
        <v>4</v>
      </c>
      <c r="F42" s="111">
        <f t="shared" si="2"/>
        <v>5</v>
      </c>
      <c r="G42" s="112"/>
      <c r="I42" s="506">
        <f>COUNTIF(M39:P44,1)</f>
        <v>24</v>
      </c>
      <c r="M42" s="111">
        <f>G26</f>
        <v>1</v>
      </c>
      <c r="N42" s="111">
        <f>Q26</f>
        <v>1</v>
      </c>
      <c r="O42" s="111">
        <f>AA26</f>
        <v>1</v>
      </c>
      <c r="P42" s="111">
        <f>AK26</f>
        <v>1</v>
      </c>
      <c r="S42" s="111">
        <f>B22</f>
        <v>0</v>
      </c>
      <c r="T42" s="111">
        <f>L22</f>
        <v>0</v>
      </c>
      <c r="U42" s="111">
        <f>V22</f>
        <v>0</v>
      </c>
      <c r="V42" s="111">
        <f>AF22</f>
        <v>0</v>
      </c>
      <c r="X42" s="81" t="s">
        <v>4</v>
      </c>
      <c r="Y42" s="111">
        <f t="shared" si="3"/>
        <v>5</v>
      </c>
      <c r="Z42" s="112"/>
      <c r="AA42" s="34" t="str">
        <f t="shared" si="4"/>
        <v/>
      </c>
      <c r="AB42" s="167">
        <f t="shared" si="5"/>
        <v>0</v>
      </c>
      <c r="AC42" s="168">
        <f t="shared" si="6"/>
        <v>0</v>
      </c>
      <c r="AD42" s="168">
        <f t="shared" si="7"/>
        <v>0</v>
      </c>
      <c r="AE42" s="168">
        <f t="shared" si="8"/>
        <v>0</v>
      </c>
      <c r="AF42" s="167">
        <f t="shared" si="9"/>
        <v>0</v>
      </c>
      <c r="AG42" s="168">
        <f t="shared" si="10"/>
        <v>0</v>
      </c>
      <c r="AH42" s="168">
        <f t="shared" si="11"/>
        <v>0</v>
      </c>
      <c r="AI42" s="168">
        <f t="shared" si="12"/>
        <v>0</v>
      </c>
      <c r="AJ42" s="167">
        <f t="shared" si="13"/>
        <v>0</v>
      </c>
      <c r="AK42" s="168">
        <f t="shared" si="14"/>
        <v>0</v>
      </c>
      <c r="AL42" s="168">
        <f t="shared" si="15"/>
        <v>0</v>
      </c>
      <c r="AM42" s="168">
        <f t="shared" si="16"/>
        <v>0</v>
      </c>
      <c r="AN42" s="167">
        <f t="shared" si="17"/>
        <v>0</v>
      </c>
      <c r="AO42" s="168">
        <f t="shared" si="18"/>
        <v>0</v>
      </c>
      <c r="AP42" s="168">
        <f t="shared" si="19"/>
        <v>0</v>
      </c>
      <c r="AQ42" s="168">
        <f t="shared" si="20"/>
        <v>0</v>
      </c>
      <c r="AR42" s="167">
        <f t="shared" si="21"/>
        <v>0</v>
      </c>
      <c r="AS42" s="168">
        <f t="shared" si="22"/>
        <v>0</v>
      </c>
      <c r="AT42" s="168">
        <f t="shared" si="23"/>
        <v>0</v>
      </c>
      <c r="AU42" s="168">
        <f t="shared" si="24"/>
        <v>0</v>
      </c>
      <c r="AV42" s="167">
        <f t="shared" si="25"/>
        <v>0</v>
      </c>
      <c r="AW42" s="168">
        <f t="shared" si="26"/>
        <v>0</v>
      </c>
      <c r="AX42" s="168">
        <f t="shared" si="27"/>
        <v>0</v>
      </c>
      <c r="AY42" s="168">
        <f t="shared" si="28"/>
        <v>0</v>
      </c>
      <c r="AZ42" s="167">
        <f t="shared" si="29"/>
        <v>0</v>
      </c>
      <c r="BA42" s="111" t="str">
        <f t="shared" si="30"/>
        <v/>
      </c>
      <c r="BB42" s="210" t="str">
        <f t="shared" si="31"/>
        <v/>
      </c>
      <c r="BC42" s="211" t="str">
        <f t="shared" si="32"/>
        <v/>
      </c>
      <c r="BD42" s="212" t="str">
        <f t="shared" si="33"/>
        <v/>
      </c>
      <c r="BE42" s="111">
        <f t="shared" si="34"/>
        <v>5</v>
      </c>
      <c r="BF42" s="81" t="s">
        <v>4</v>
      </c>
    </row>
    <row r="43" spans="1:59" x14ac:dyDescent="0.2">
      <c r="A43" s="30">
        <f t="shared" ca="1" si="0"/>
        <v>6</v>
      </c>
      <c r="B43" s="40" t="s">
        <v>44</v>
      </c>
      <c r="C43" s="30">
        <f t="shared" ca="1" si="1"/>
        <v>6</v>
      </c>
      <c r="D43" s="111">
        <f t="shared" si="2"/>
        <v>6</v>
      </c>
      <c r="E43" s="81" t="s">
        <v>5</v>
      </c>
      <c r="F43" s="111">
        <f t="shared" si="2"/>
        <v>6</v>
      </c>
      <c r="G43" s="112"/>
      <c r="I43" s="516">
        <f>COUNTIF(M39:P44,21)+COUNTIF(M39:P44,22)+COUNTIF(M39:P44,23)+COUNTIF(M39:P44,24)</f>
        <v>0</v>
      </c>
      <c r="J43" s="506">
        <f>IF(OR(I43=0,I43+I42&lt;24),0,1)</f>
        <v>0</v>
      </c>
      <c r="K43" t="s">
        <v>287</v>
      </c>
      <c r="M43" s="111">
        <f>G29</f>
        <v>1</v>
      </c>
      <c r="N43" s="111">
        <f>Q29</f>
        <v>1</v>
      </c>
      <c r="O43" s="111">
        <f>AA29</f>
        <v>1</v>
      </c>
      <c r="P43" s="111">
        <f>AK29</f>
        <v>1</v>
      </c>
      <c r="S43" s="180">
        <f>B24</f>
        <v>0</v>
      </c>
      <c r="T43" s="180">
        <f>L24</f>
        <v>0</v>
      </c>
      <c r="U43" s="180">
        <f>V24</f>
        <v>0</v>
      </c>
      <c r="V43" s="180">
        <f>AF24</f>
        <v>0</v>
      </c>
      <c r="X43" s="81" t="s">
        <v>5</v>
      </c>
      <c r="Y43" s="111">
        <f t="shared" si="3"/>
        <v>6</v>
      </c>
      <c r="Z43" s="112"/>
      <c r="AA43" s="34" t="str">
        <f t="shared" si="4"/>
        <v/>
      </c>
      <c r="AB43" s="167">
        <f t="shared" si="5"/>
        <v>0</v>
      </c>
      <c r="AC43" s="168">
        <f t="shared" si="6"/>
        <v>0</v>
      </c>
      <c r="AD43" s="168">
        <f t="shared" si="7"/>
        <v>0</v>
      </c>
      <c r="AE43" s="168">
        <f t="shared" si="8"/>
        <v>0</v>
      </c>
      <c r="AF43" s="167">
        <f t="shared" si="9"/>
        <v>0</v>
      </c>
      <c r="AG43" s="168">
        <f t="shared" si="10"/>
        <v>0</v>
      </c>
      <c r="AH43" s="168">
        <f t="shared" si="11"/>
        <v>0</v>
      </c>
      <c r="AI43" s="168">
        <f t="shared" si="12"/>
        <v>0</v>
      </c>
      <c r="AJ43" s="167">
        <f t="shared" si="13"/>
        <v>0</v>
      </c>
      <c r="AK43" s="168">
        <f t="shared" si="14"/>
        <v>0</v>
      </c>
      <c r="AL43" s="168">
        <f t="shared" si="15"/>
        <v>0</v>
      </c>
      <c r="AM43" s="168">
        <f t="shared" si="16"/>
        <v>0</v>
      </c>
      <c r="AN43" s="167">
        <f t="shared" si="17"/>
        <v>0</v>
      </c>
      <c r="AO43" s="168">
        <f t="shared" si="18"/>
        <v>0</v>
      </c>
      <c r="AP43" s="168">
        <f t="shared" si="19"/>
        <v>0</v>
      </c>
      <c r="AQ43" s="168">
        <f t="shared" si="20"/>
        <v>0</v>
      </c>
      <c r="AR43" s="167">
        <f t="shared" si="21"/>
        <v>0</v>
      </c>
      <c r="AS43" s="168">
        <f t="shared" si="22"/>
        <v>0</v>
      </c>
      <c r="AT43" s="168">
        <f t="shared" si="23"/>
        <v>0</v>
      </c>
      <c r="AU43" s="168">
        <f t="shared" si="24"/>
        <v>0</v>
      </c>
      <c r="AV43" s="167">
        <f t="shared" si="25"/>
        <v>0</v>
      </c>
      <c r="AW43" s="168">
        <f t="shared" si="26"/>
        <v>0</v>
      </c>
      <c r="AX43" s="168">
        <f t="shared" si="27"/>
        <v>0</v>
      </c>
      <c r="AY43" s="168">
        <f t="shared" si="28"/>
        <v>0</v>
      </c>
      <c r="AZ43" s="167">
        <f t="shared" si="29"/>
        <v>0</v>
      </c>
      <c r="BA43" s="111" t="str">
        <f t="shared" si="30"/>
        <v/>
      </c>
      <c r="BB43" s="210" t="str">
        <f t="shared" si="31"/>
        <v/>
      </c>
      <c r="BC43" s="211" t="str">
        <f t="shared" si="32"/>
        <v/>
      </c>
      <c r="BD43" s="212" t="str">
        <f t="shared" si="33"/>
        <v/>
      </c>
      <c r="BE43" s="111">
        <f t="shared" si="34"/>
        <v>6</v>
      </c>
      <c r="BF43" s="81" t="s">
        <v>5</v>
      </c>
    </row>
    <row r="44" spans="1:59" ht="15.75" customHeight="1" x14ac:dyDescent="0.2">
      <c r="A44" s="30">
        <f t="shared" ca="1" si="0"/>
        <v>7</v>
      </c>
      <c r="B44" s="40" t="s">
        <v>43</v>
      </c>
      <c r="C44" s="30">
        <f t="shared" ca="1" si="1"/>
        <v>7</v>
      </c>
      <c r="D44" s="111">
        <f t="shared" si="2"/>
        <v>7</v>
      </c>
      <c r="E44" s="81" t="s">
        <v>6</v>
      </c>
      <c r="F44" s="111">
        <f t="shared" si="2"/>
        <v>7</v>
      </c>
      <c r="G44" s="113"/>
      <c r="M44" s="111">
        <f>G32</f>
        <v>1</v>
      </c>
      <c r="N44" s="111">
        <f>Q32</f>
        <v>1</v>
      </c>
      <c r="O44" s="111">
        <f>AA32</f>
        <v>1</v>
      </c>
      <c r="P44" s="111">
        <f>AK32</f>
        <v>1</v>
      </c>
      <c r="S44" s="111">
        <f>B25</f>
        <v>0</v>
      </c>
      <c r="T44" s="111">
        <f>L25</f>
        <v>0</v>
      </c>
      <c r="U44" s="111">
        <f>V25</f>
        <v>0</v>
      </c>
      <c r="V44" s="111">
        <f>AF25</f>
        <v>0</v>
      </c>
      <c r="X44" s="81" t="s">
        <v>6</v>
      </c>
      <c r="Y44" s="111">
        <f t="shared" si="3"/>
        <v>7</v>
      </c>
      <c r="Z44" s="113"/>
      <c r="AA44" s="34" t="str">
        <f t="shared" si="4"/>
        <v/>
      </c>
      <c r="AB44" s="167">
        <f t="shared" si="5"/>
        <v>0</v>
      </c>
      <c r="AC44" s="168">
        <f t="shared" si="6"/>
        <v>0</v>
      </c>
      <c r="AD44" s="168">
        <f t="shared" si="7"/>
        <v>0</v>
      </c>
      <c r="AE44" s="168">
        <f t="shared" si="8"/>
        <v>0</v>
      </c>
      <c r="AF44" s="167">
        <f t="shared" si="9"/>
        <v>0</v>
      </c>
      <c r="AG44" s="168">
        <f t="shared" si="10"/>
        <v>0</v>
      </c>
      <c r="AH44" s="168">
        <f t="shared" si="11"/>
        <v>0</v>
      </c>
      <c r="AI44" s="168">
        <f t="shared" si="12"/>
        <v>0</v>
      </c>
      <c r="AJ44" s="167">
        <f t="shared" si="13"/>
        <v>0</v>
      </c>
      <c r="AK44" s="168">
        <f t="shared" si="14"/>
        <v>0</v>
      </c>
      <c r="AL44" s="168">
        <f t="shared" si="15"/>
        <v>0</v>
      </c>
      <c r="AM44" s="168">
        <f t="shared" si="16"/>
        <v>0</v>
      </c>
      <c r="AN44" s="167">
        <f t="shared" si="17"/>
        <v>0</v>
      </c>
      <c r="AO44" s="168">
        <f t="shared" si="18"/>
        <v>0</v>
      </c>
      <c r="AP44" s="168">
        <f t="shared" si="19"/>
        <v>0</v>
      </c>
      <c r="AQ44" s="168">
        <f t="shared" si="20"/>
        <v>0</v>
      </c>
      <c r="AR44" s="167">
        <f t="shared" si="21"/>
        <v>0</v>
      </c>
      <c r="AS44" s="168">
        <f t="shared" si="22"/>
        <v>0</v>
      </c>
      <c r="AT44" s="168">
        <f t="shared" si="23"/>
        <v>0</v>
      </c>
      <c r="AU44" s="168">
        <f t="shared" si="24"/>
        <v>0</v>
      </c>
      <c r="AV44" s="167">
        <f t="shared" si="25"/>
        <v>0</v>
      </c>
      <c r="AW44" s="168">
        <f t="shared" si="26"/>
        <v>0</v>
      </c>
      <c r="AX44" s="168">
        <f t="shared" si="27"/>
        <v>0</v>
      </c>
      <c r="AY44" s="168">
        <f t="shared" si="28"/>
        <v>0</v>
      </c>
      <c r="AZ44" s="167">
        <f t="shared" si="29"/>
        <v>0</v>
      </c>
      <c r="BA44" s="111" t="str">
        <f t="shared" si="30"/>
        <v/>
      </c>
      <c r="BB44" s="210" t="str">
        <f t="shared" si="31"/>
        <v/>
      </c>
      <c r="BC44" s="211" t="str">
        <f t="shared" si="32"/>
        <v/>
      </c>
      <c r="BD44" s="212" t="str">
        <f t="shared" si="33"/>
        <v/>
      </c>
      <c r="BE44" s="111">
        <f t="shared" si="34"/>
        <v>7</v>
      </c>
      <c r="BF44" s="81" t="s">
        <v>6</v>
      </c>
    </row>
    <row r="45" spans="1:59" ht="13.5" customHeight="1" x14ac:dyDescent="0.2">
      <c r="A45" s="30">
        <f t="shared" ca="1" si="0"/>
        <v>8</v>
      </c>
      <c r="B45" s="40" t="s">
        <v>41</v>
      </c>
      <c r="C45" s="30">
        <f t="shared" ca="1" si="1"/>
        <v>8</v>
      </c>
      <c r="D45" s="111">
        <f t="shared" si="2"/>
        <v>8</v>
      </c>
      <c r="E45" s="81" t="s">
        <v>7</v>
      </c>
      <c r="F45" s="111">
        <f t="shared" si="2"/>
        <v>8</v>
      </c>
      <c r="G45" s="112"/>
      <c r="I45" s="165" t="s">
        <v>121</v>
      </c>
      <c r="J45" s="165" t="s">
        <v>122</v>
      </c>
      <c r="K45" s="154" t="s">
        <v>123</v>
      </c>
      <c r="L45" s="160" t="s">
        <v>124</v>
      </c>
      <c r="M45" s="162" t="s">
        <v>125</v>
      </c>
      <c r="N45" s="160" t="s">
        <v>126</v>
      </c>
      <c r="O45" s="160" t="s">
        <v>127</v>
      </c>
      <c r="P45" s="154" t="s">
        <v>122</v>
      </c>
      <c r="Q45" s="155" t="s">
        <v>122</v>
      </c>
      <c r="S45" s="180">
        <f>B27</f>
        <v>0</v>
      </c>
      <c r="T45" s="180">
        <f>L27</f>
        <v>0</v>
      </c>
      <c r="U45" s="180">
        <f>V27</f>
        <v>0</v>
      </c>
      <c r="V45" s="180">
        <f>AF27</f>
        <v>0</v>
      </c>
      <c r="X45" s="81" t="s">
        <v>7</v>
      </c>
      <c r="Y45" s="111">
        <f t="shared" si="3"/>
        <v>8</v>
      </c>
      <c r="Z45" s="112"/>
      <c r="AA45" s="34" t="str">
        <f t="shared" si="4"/>
        <v/>
      </c>
      <c r="AB45" s="167">
        <f t="shared" si="5"/>
        <v>0</v>
      </c>
      <c r="AC45" s="168">
        <f t="shared" si="6"/>
        <v>0</v>
      </c>
      <c r="AD45" s="168">
        <f t="shared" si="7"/>
        <v>0</v>
      </c>
      <c r="AE45" s="168">
        <f t="shared" si="8"/>
        <v>0</v>
      </c>
      <c r="AF45" s="167">
        <f t="shared" si="9"/>
        <v>0</v>
      </c>
      <c r="AG45" s="168">
        <f t="shared" si="10"/>
        <v>0</v>
      </c>
      <c r="AH45" s="168">
        <f t="shared" si="11"/>
        <v>0</v>
      </c>
      <c r="AI45" s="168">
        <f t="shared" si="12"/>
        <v>0</v>
      </c>
      <c r="AJ45" s="167">
        <f t="shared" si="13"/>
        <v>0</v>
      </c>
      <c r="AK45" s="168">
        <f t="shared" si="14"/>
        <v>0</v>
      </c>
      <c r="AL45" s="168">
        <f t="shared" si="15"/>
        <v>0</v>
      </c>
      <c r="AM45" s="168">
        <f t="shared" si="16"/>
        <v>0</v>
      </c>
      <c r="AN45" s="167">
        <f t="shared" si="17"/>
        <v>0</v>
      </c>
      <c r="AO45" s="168">
        <f t="shared" si="18"/>
        <v>0</v>
      </c>
      <c r="AP45" s="168">
        <f t="shared" si="19"/>
        <v>0</v>
      </c>
      <c r="AQ45" s="168">
        <f t="shared" si="20"/>
        <v>0</v>
      </c>
      <c r="AR45" s="167">
        <f t="shared" si="21"/>
        <v>0</v>
      </c>
      <c r="AS45" s="168">
        <f t="shared" si="22"/>
        <v>0</v>
      </c>
      <c r="AT45" s="168">
        <f t="shared" si="23"/>
        <v>0</v>
      </c>
      <c r="AU45" s="168">
        <f t="shared" si="24"/>
        <v>0</v>
      </c>
      <c r="AV45" s="167">
        <f t="shared" si="25"/>
        <v>0</v>
      </c>
      <c r="AW45" s="168">
        <f t="shared" si="26"/>
        <v>0</v>
      </c>
      <c r="AX45" s="168">
        <f t="shared" si="27"/>
        <v>0</v>
      </c>
      <c r="AY45" s="168">
        <f t="shared" si="28"/>
        <v>0</v>
      </c>
      <c r="AZ45" s="167">
        <f t="shared" si="29"/>
        <v>0</v>
      </c>
      <c r="BA45" s="111" t="str">
        <f t="shared" si="30"/>
        <v/>
      </c>
      <c r="BB45" s="210" t="str">
        <f t="shared" si="31"/>
        <v/>
      </c>
      <c r="BC45" s="211" t="str">
        <f t="shared" si="32"/>
        <v/>
      </c>
      <c r="BD45" s="212" t="str">
        <f t="shared" si="33"/>
        <v/>
      </c>
      <c r="BE45" s="111">
        <f t="shared" si="34"/>
        <v>8</v>
      </c>
      <c r="BF45" s="81" t="s">
        <v>7</v>
      </c>
    </row>
    <row r="46" spans="1:59" x14ac:dyDescent="0.2">
      <c r="A46" s="30">
        <f t="shared" ca="1" si="0"/>
        <v>9</v>
      </c>
      <c r="B46" s="40" t="s">
        <v>39</v>
      </c>
      <c r="C46" s="30">
        <f t="shared" ca="1" si="1"/>
        <v>9</v>
      </c>
      <c r="D46" s="111">
        <f t="shared" si="2"/>
        <v>9</v>
      </c>
      <c r="E46" s="81" t="s">
        <v>8</v>
      </c>
      <c r="F46" s="111">
        <f t="shared" si="2"/>
        <v>9</v>
      </c>
      <c r="G46" s="113"/>
      <c r="I46" s="163">
        <f>VLOOKUP(G17,$D$38:$E$67,2)</f>
        <v>0</v>
      </c>
      <c r="J46" s="156">
        <f>H17</f>
        <v>0</v>
      </c>
      <c r="K46" s="156">
        <f>I17</f>
        <v>0</v>
      </c>
      <c r="L46" s="156">
        <f>J17</f>
        <v>0</v>
      </c>
      <c r="M46" s="156">
        <f>D17</f>
        <v>0</v>
      </c>
      <c r="N46" s="157">
        <f>J18</f>
        <v>0</v>
      </c>
      <c r="O46" s="157">
        <f>J19</f>
        <v>0</v>
      </c>
      <c r="P46" s="157">
        <f>IF(G17=1,0,$D$9)</f>
        <v>0</v>
      </c>
      <c r="Q46" s="157" t="str">
        <f>IF(G17=1,"",IF(B17&gt;$D$10,"OL",B17))</f>
        <v/>
      </c>
      <c r="S46" s="111">
        <f>B28</f>
        <v>0</v>
      </c>
      <c r="T46" s="111">
        <f>L28</f>
        <v>0</v>
      </c>
      <c r="U46" s="111">
        <f>V28</f>
        <v>0</v>
      </c>
      <c r="V46" s="111">
        <f>AF28</f>
        <v>0</v>
      </c>
      <c r="X46" s="81" t="s">
        <v>8</v>
      </c>
      <c r="Y46" s="111">
        <f t="shared" si="3"/>
        <v>9</v>
      </c>
      <c r="Z46" s="113"/>
      <c r="AA46" s="34" t="str">
        <f t="shared" si="4"/>
        <v/>
      </c>
      <c r="AB46" s="167">
        <f t="shared" si="5"/>
        <v>0</v>
      </c>
      <c r="AC46" s="168">
        <f t="shared" si="6"/>
        <v>0</v>
      </c>
      <c r="AD46" s="168">
        <f t="shared" si="7"/>
        <v>0</v>
      </c>
      <c r="AE46" s="168">
        <f t="shared" si="8"/>
        <v>0</v>
      </c>
      <c r="AF46" s="167">
        <f t="shared" si="9"/>
        <v>0</v>
      </c>
      <c r="AG46" s="168">
        <f t="shared" si="10"/>
        <v>0</v>
      </c>
      <c r="AH46" s="168">
        <f t="shared" si="11"/>
        <v>0</v>
      </c>
      <c r="AI46" s="168">
        <f t="shared" si="12"/>
        <v>0</v>
      </c>
      <c r="AJ46" s="167">
        <f t="shared" si="13"/>
        <v>0</v>
      </c>
      <c r="AK46" s="168">
        <f t="shared" si="14"/>
        <v>0</v>
      </c>
      <c r="AL46" s="168">
        <f t="shared" si="15"/>
        <v>0</v>
      </c>
      <c r="AM46" s="168">
        <f t="shared" si="16"/>
        <v>0</v>
      </c>
      <c r="AN46" s="167">
        <f t="shared" si="17"/>
        <v>0</v>
      </c>
      <c r="AO46" s="168">
        <f t="shared" si="18"/>
        <v>0</v>
      </c>
      <c r="AP46" s="168">
        <f t="shared" si="19"/>
        <v>0</v>
      </c>
      <c r="AQ46" s="168">
        <f t="shared" si="20"/>
        <v>0</v>
      </c>
      <c r="AR46" s="167">
        <f t="shared" si="21"/>
        <v>0</v>
      </c>
      <c r="AS46" s="168">
        <f t="shared" si="22"/>
        <v>0</v>
      </c>
      <c r="AT46" s="168">
        <f t="shared" si="23"/>
        <v>0</v>
      </c>
      <c r="AU46" s="168">
        <f t="shared" si="24"/>
        <v>0</v>
      </c>
      <c r="AV46" s="167">
        <f t="shared" si="25"/>
        <v>0</v>
      </c>
      <c r="AW46" s="168">
        <f t="shared" si="26"/>
        <v>0</v>
      </c>
      <c r="AX46" s="168">
        <f t="shared" si="27"/>
        <v>0</v>
      </c>
      <c r="AY46" s="168">
        <f t="shared" si="28"/>
        <v>0</v>
      </c>
      <c r="AZ46" s="167">
        <f t="shared" si="29"/>
        <v>0</v>
      </c>
      <c r="BA46" s="111" t="str">
        <f t="shared" si="30"/>
        <v/>
      </c>
      <c r="BB46" s="210" t="str">
        <f t="shared" si="31"/>
        <v/>
      </c>
      <c r="BC46" s="211" t="str">
        <f t="shared" si="32"/>
        <v/>
      </c>
      <c r="BD46" s="212" t="str">
        <f t="shared" si="33"/>
        <v/>
      </c>
      <c r="BE46" s="111">
        <f t="shared" si="34"/>
        <v>9</v>
      </c>
      <c r="BF46" s="81" t="s">
        <v>8</v>
      </c>
    </row>
    <row r="47" spans="1:59" x14ac:dyDescent="0.2">
      <c r="A47" s="30">
        <f t="shared" ca="1" si="0"/>
        <v>10</v>
      </c>
      <c r="B47" s="41" t="s">
        <v>40</v>
      </c>
      <c r="C47" s="30">
        <f t="shared" ca="1" si="1"/>
        <v>10</v>
      </c>
      <c r="D47" s="111">
        <f t="shared" si="2"/>
        <v>10</v>
      </c>
      <c r="E47" s="81" t="s">
        <v>9</v>
      </c>
      <c r="F47" s="111">
        <f t="shared" si="2"/>
        <v>10</v>
      </c>
      <c r="G47" s="113"/>
      <c r="I47" s="172">
        <f>G20</f>
        <v>1</v>
      </c>
      <c r="J47" s="156">
        <f>H20</f>
        <v>0</v>
      </c>
      <c r="K47" s="156">
        <f>I20</f>
        <v>0</v>
      </c>
      <c r="L47" s="156">
        <f>J20</f>
        <v>0</v>
      </c>
      <c r="M47" s="156">
        <f>D20</f>
        <v>0</v>
      </c>
      <c r="N47" s="157">
        <f>J21</f>
        <v>0</v>
      </c>
      <c r="O47" s="157">
        <f>J22</f>
        <v>0</v>
      </c>
      <c r="P47" s="234">
        <f t="shared" ref="P47:P69" si="35">$D$9</f>
        <v>0</v>
      </c>
      <c r="Q47" s="157" t="str">
        <f>IF(G20=1,"",IF(B20&gt;$D$10,"OL",B20))</f>
        <v/>
      </c>
      <c r="S47" s="180">
        <f>B30</f>
        <v>0</v>
      </c>
      <c r="T47" s="180">
        <f>L30</f>
        <v>0</v>
      </c>
      <c r="U47" s="180">
        <f>V30</f>
        <v>0</v>
      </c>
      <c r="V47" s="180">
        <f>AF30</f>
        <v>0</v>
      </c>
      <c r="X47" s="81" t="s">
        <v>9</v>
      </c>
      <c r="Y47" s="111">
        <f t="shared" si="3"/>
        <v>10</v>
      </c>
      <c r="Z47" s="113"/>
      <c r="AA47" s="34" t="str">
        <f t="shared" si="4"/>
        <v/>
      </c>
      <c r="AB47" s="167">
        <f t="shared" si="5"/>
        <v>0</v>
      </c>
      <c r="AC47" s="168">
        <f t="shared" si="6"/>
        <v>0</v>
      </c>
      <c r="AD47" s="168">
        <f t="shared" si="7"/>
        <v>0</v>
      </c>
      <c r="AE47" s="168">
        <f t="shared" si="8"/>
        <v>0</v>
      </c>
      <c r="AF47" s="167">
        <f t="shared" si="9"/>
        <v>0</v>
      </c>
      <c r="AG47" s="168">
        <f t="shared" si="10"/>
        <v>0</v>
      </c>
      <c r="AH47" s="168">
        <f t="shared" si="11"/>
        <v>0</v>
      </c>
      <c r="AI47" s="168">
        <f t="shared" si="12"/>
        <v>0</v>
      </c>
      <c r="AJ47" s="167">
        <f t="shared" si="13"/>
        <v>0</v>
      </c>
      <c r="AK47" s="168">
        <f t="shared" si="14"/>
        <v>0</v>
      </c>
      <c r="AL47" s="168">
        <f t="shared" si="15"/>
        <v>0</v>
      </c>
      <c r="AM47" s="168">
        <f t="shared" si="16"/>
        <v>0</v>
      </c>
      <c r="AN47" s="167">
        <f t="shared" si="17"/>
        <v>0</v>
      </c>
      <c r="AO47" s="168">
        <f t="shared" si="18"/>
        <v>0</v>
      </c>
      <c r="AP47" s="168">
        <f t="shared" si="19"/>
        <v>0</v>
      </c>
      <c r="AQ47" s="168">
        <f t="shared" si="20"/>
        <v>0</v>
      </c>
      <c r="AR47" s="167">
        <f t="shared" si="21"/>
        <v>0</v>
      </c>
      <c r="AS47" s="168">
        <f t="shared" si="22"/>
        <v>0</v>
      </c>
      <c r="AT47" s="168">
        <f t="shared" si="23"/>
        <v>0</v>
      </c>
      <c r="AU47" s="168">
        <f t="shared" si="24"/>
        <v>0</v>
      </c>
      <c r="AV47" s="167">
        <f t="shared" si="25"/>
        <v>0</v>
      </c>
      <c r="AW47" s="168">
        <f t="shared" si="26"/>
        <v>0</v>
      </c>
      <c r="AX47" s="168">
        <f t="shared" si="27"/>
        <v>0</v>
      </c>
      <c r="AY47" s="168">
        <f t="shared" si="28"/>
        <v>0</v>
      </c>
      <c r="AZ47" s="167">
        <f t="shared" si="29"/>
        <v>0</v>
      </c>
      <c r="BA47" s="111" t="str">
        <f t="shared" si="30"/>
        <v/>
      </c>
      <c r="BB47" s="210" t="str">
        <f t="shared" si="31"/>
        <v/>
      </c>
      <c r="BC47" s="211" t="str">
        <f t="shared" si="32"/>
        <v/>
      </c>
      <c r="BD47" s="212" t="str">
        <f t="shared" si="33"/>
        <v/>
      </c>
      <c r="BE47" s="111">
        <f t="shared" si="34"/>
        <v>10</v>
      </c>
      <c r="BF47" s="81" t="s">
        <v>9</v>
      </c>
    </row>
    <row r="48" spans="1:59" x14ac:dyDescent="0.2">
      <c r="A48" s="29"/>
      <c r="D48" s="111">
        <f t="shared" si="2"/>
        <v>11</v>
      </c>
      <c r="E48" s="81" t="s">
        <v>10</v>
      </c>
      <c r="F48" s="111">
        <f t="shared" si="2"/>
        <v>11</v>
      </c>
      <c r="G48" s="112"/>
      <c r="I48" s="172">
        <f>G23</f>
        <v>1</v>
      </c>
      <c r="J48" s="156">
        <f>H23</f>
        <v>0</v>
      </c>
      <c r="K48" s="156">
        <f>I23</f>
        <v>0</v>
      </c>
      <c r="L48" s="156">
        <f>J23</f>
        <v>0</v>
      </c>
      <c r="M48" s="156">
        <f>D23</f>
        <v>0</v>
      </c>
      <c r="N48" s="157">
        <f>J24</f>
        <v>0</v>
      </c>
      <c r="O48" s="497">
        <f>J25</f>
        <v>0</v>
      </c>
      <c r="P48" s="234">
        <f t="shared" si="35"/>
        <v>0</v>
      </c>
      <c r="Q48" s="157" t="str">
        <f>IF(G23=1,"",IF(B23&gt;$D$10,"OL",B23))</f>
        <v/>
      </c>
      <c r="S48" s="111">
        <f>B31</f>
        <v>0</v>
      </c>
      <c r="T48" s="111">
        <f>L31</f>
        <v>0</v>
      </c>
      <c r="U48" s="111">
        <f>V31</f>
        <v>0</v>
      </c>
      <c r="V48" s="111">
        <f>AF31</f>
        <v>0</v>
      </c>
      <c r="X48" s="81" t="s">
        <v>10</v>
      </c>
      <c r="Y48" s="111">
        <f t="shared" si="3"/>
        <v>11</v>
      </c>
      <c r="Z48" s="112"/>
      <c r="AA48" s="34" t="str">
        <f t="shared" si="4"/>
        <v/>
      </c>
      <c r="AB48" s="167">
        <f t="shared" si="5"/>
        <v>0</v>
      </c>
      <c r="AC48" s="168">
        <f t="shared" si="6"/>
        <v>0</v>
      </c>
      <c r="AD48" s="168">
        <f t="shared" si="7"/>
        <v>0</v>
      </c>
      <c r="AE48" s="168">
        <f t="shared" si="8"/>
        <v>0</v>
      </c>
      <c r="AF48" s="167">
        <f t="shared" si="9"/>
        <v>0</v>
      </c>
      <c r="AG48" s="168">
        <f t="shared" si="10"/>
        <v>0</v>
      </c>
      <c r="AH48" s="168">
        <f t="shared" si="11"/>
        <v>0</v>
      </c>
      <c r="AI48" s="168">
        <f t="shared" si="12"/>
        <v>0</v>
      </c>
      <c r="AJ48" s="167">
        <f t="shared" si="13"/>
        <v>0</v>
      </c>
      <c r="AK48" s="168">
        <f t="shared" si="14"/>
        <v>0</v>
      </c>
      <c r="AL48" s="168">
        <f t="shared" si="15"/>
        <v>0</v>
      </c>
      <c r="AM48" s="168">
        <f t="shared" si="16"/>
        <v>0</v>
      </c>
      <c r="AN48" s="167">
        <f t="shared" si="17"/>
        <v>0</v>
      </c>
      <c r="AO48" s="168">
        <f t="shared" si="18"/>
        <v>0</v>
      </c>
      <c r="AP48" s="168">
        <f t="shared" si="19"/>
        <v>0</v>
      </c>
      <c r="AQ48" s="168">
        <f t="shared" si="20"/>
        <v>0</v>
      </c>
      <c r="AR48" s="167">
        <f t="shared" si="21"/>
        <v>0</v>
      </c>
      <c r="AS48" s="168">
        <f t="shared" si="22"/>
        <v>0</v>
      </c>
      <c r="AT48" s="168">
        <f t="shared" si="23"/>
        <v>0</v>
      </c>
      <c r="AU48" s="168">
        <f t="shared" si="24"/>
        <v>0</v>
      </c>
      <c r="AV48" s="167">
        <f t="shared" si="25"/>
        <v>0</v>
      </c>
      <c r="AW48" s="168">
        <f t="shared" si="26"/>
        <v>0</v>
      </c>
      <c r="AX48" s="168">
        <f t="shared" si="27"/>
        <v>0</v>
      </c>
      <c r="AY48" s="168">
        <f t="shared" si="28"/>
        <v>0</v>
      </c>
      <c r="AZ48" s="167">
        <f t="shared" si="29"/>
        <v>0</v>
      </c>
      <c r="BA48" s="111" t="str">
        <f t="shared" si="30"/>
        <v/>
      </c>
      <c r="BB48" s="210" t="str">
        <f t="shared" si="31"/>
        <v/>
      </c>
      <c r="BC48" s="211" t="str">
        <f t="shared" si="32"/>
        <v/>
      </c>
      <c r="BD48" s="212" t="str">
        <f t="shared" si="33"/>
        <v/>
      </c>
      <c r="BE48" s="111">
        <f t="shared" si="34"/>
        <v>11</v>
      </c>
      <c r="BF48" s="495" t="s">
        <v>10</v>
      </c>
      <c r="BG48">
        <f>IF(BB48="",0,1)</f>
        <v>0</v>
      </c>
    </row>
    <row r="49" spans="4:60" x14ac:dyDescent="0.2">
      <c r="D49" s="111">
        <f t="shared" si="2"/>
        <v>12</v>
      </c>
      <c r="E49" s="81" t="s">
        <v>34</v>
      </c>
      <c r="F49" s="111">
        <f t="shared" si="2"/>
        <v>12</v>
      </c>
      <c r="G49" s="112"/>
      <c r="I49" s="172">
        <f>G26</f>
        <v>1</v>
      </c>
      <c r="J49" s="156">
        <f>H26</f>
        <v>0</v>
      </c>
      <c r="K49" s="156">
        <f>I26</f>
        <v>0</v>
      </c>
      <c r="L49" s="156">
        <f>J26</f>
        <v>0</v>
      </c>
      <c r="M49" s="156">
        <f>D26</f>
        <v>0</v>
      </c>
      <c r="N49" s="157">
        <f>J27</f>
        <v>0</v>
      </c>
      <c r="O49" s="157">
        <f>J28</f>
        <v>0</v>
      </c>
      <c r="P49" s="234">
        <f t="shared" si="35"/>
        <v>0</v>
      </c>
      <c r="Q49" s="157" t="str">
        <f>IF(G26=1,"",IF(B26&gt;$D$10,"OL",B26))</f>
        <v/>
      </c>
      <c r="S49" s="180">
        <f>B33</f>
        <v>0</v>
      </c>
      <c r="T49" s="180">
        <f>L33</f>
        <v>0</v>
      </c>
      <c r="U49" s="180">
        <f>V33</f>
        <v>0</v>
      </c>
      <c r="V49" s="180">
        <f>AF33</f>
        <v>0</v>
      </c>
      <c r="X49" s="81" t="s">
        <v>34</v>
      </c>
      <c r="Y49" s="111">
        <f t="shared" si="3"/>
        <v>12</v>
      </c>
      <c r="Z49" s="112"/>
      <c r="AA49" s="34" t="str">
        <f t="shared" si="4"/>
        <v/>
      </c>
      <c r="AB49" s="167">
        <f>IF($G$17=Y49,$H$17,0)</f>
        <v>0</v>
      </c>
      <c r="AC49" s="168">
        <f t="shared" si="6"/>
        <v>0</v>
      </c>
      <c r="AD49" s="168">
        <f t="shared" si="7"/>
        <v>0</v>
      </c>
      <c r="AE49" s="168">
        <f t="shared" si="8"/>
        <v>0</v>
      </c>
      <c r="AF49" s="167">
        <f t="shared" si="9"/>
        <v>0</v>
      </c>
      <c r="AG49" s="168">
        <f t="shared" si="10"/>
        <v>0</v>
      </c>
      <c r="AH49" s="168">
        <f t="shared" si="11"/>
        <v>0</v>
      </c>
      <c r="AI49" s="168">
        <f t="shared" si="12"/>
        <v>0</v>
      </c>
      <c r="AJ49" s="167">
        <f t="shared" si="13"/>
        <v>0</v>
      </c>
      <c r="AK49" s="168">
        <f t="shared" si="14"/>
        <v>0</v>
      </c>
      <c r="AL49" s="168">
        <f t="shared" si="15"/>
        <v>0</v>
      </c>
      <c r="AM49" s="168">
        <f t="shared" si="16"/>
        <v>0</v>
      </c>
      <c r="AN49" s="167">
        <f t="shared" si="17"/>
        <v>0</v>
      </c>
      <c r="AO49" s="168">
        <f t="shared" si="18"/>
        <v>0</v>
      </c>
      <c r="AP49" s="168">
        <f t="shared" si="19"/>
        <v>0</v>
      </c>
      <c r="AQ49" s="168">
        <f t="shared" si="20"/>
        <v>0</v>
      </c>
      <c r="AR49" s="167">
        <f t="shared" si="21"/>
        <v>0</v>
      </c>
      <c r="AS49" s="168">
        <f t="shared" si="22"/>
        <v>0</v>
      </c>
      <c r="AT49" s="168">
        <f t="shared" si="23"/>
        <v>0</v>
      </c>
      <c r="AU49" s="168">
        <f t="shared" si="24"/>
        <v>0</v>
      </c>
      <c r="AV49" s="167">
        <f t="shared" si="25"/>
        <v>0</v>
      </c>
      <c r="AW49" s="168">
        <f t="shared" si="26"/>
        <v>0</v>
      </c>
      <c r="AX49" s="168">
        <f t="shared" si="27"/>
        <v>0</v>
      </c>
      <c r="AY49" s="168">
        <f t="shared" si="28"/>
        <v>0</v>
      </c>
      <c r="AZ49" s="167">
        <f t="shared" si="29"/>
        <v>0</v>
      </c>
      <c r="BA49" s="111" t="str">
        <f t="shared" si="30"/>
        <v/>
      </c>
      <c r="BB49" s="210" t="str">
        <f t="shared" si="31"/>
        <v/>
      </c>
      <c r="BC49" s="211" t="str">
        <f t="shared" si="32"/>
        <v/>
      </c>
      <c r="BD49" s="212" t="str">
        <f t="shared" si="33"/>
        <v/>
      </c>
      <c r="BE49" s="111">
        <f t="shared" si="34"/>
        <v>12</v>
      </c>
      <c r="BF49" s="495" t="s">
        <v>34</v>
      </c>
      <c r="BG49">
        <f t="shared" ref="BG49:BG61" si="36">IF(BB49="",0,1)</f>
        <v>0</v>
      </c>
    </row>
    <row r="50" spans="4:60" ht="14.25" customHeight="1" x14ac:dyDescent="0.2">
      <c r="D50" s="111">
        <f t="shared" si="2"/>
        <v>13</v>
      </c>
      <c r="E50" s="81" t="s">
        <v>35</v>
      </c>
      <c r="F50" s="111">
        <f t="shared" si="2"/>
        <v>13</v>
      </c>
      <c r="G50" s="112"/>
      <c r="I50" s="172">
        <f>G29</f>
        <v>1</v>
      </c>
      <c r="J50" s="156">
        <f>H29</f>
        <v>0</v>
      </c>
      <c r="K50" s="156">
        <f>I29</f>
        <v>0</v>
      </c>
      <c r="L50" s="156">
        <f>J29</f>
        <v>0</v>
      </c>
      <c r="M50" s="156">
        <f>D29</f>
        <v>0</v>
      </c>
      <c r="N50" s="157">
        <f>J30</f>
        <v>0</v>
      </c>
      <c r="O50" s="157">
        <f>J31</f>
        <v>0</v>
      </c>
      <c r="P50" s="234">
        <f t="shared" si="35"/>
        <v>0</v>
      </c>
      <c r="Q50" s="157" t="str">
        <f>IF(G29=1,"",IF(B29&gt;$D$10,"OL",B29))</f>
        <v/>
      </c>
      <c r="S50" s="111">
        <f>B34</f>
        <v>0</v>
      </c>
      <c r="T50" s="111">
        <f>L34</f>
        <v>0</v>
      </c>
      <c r="U50" s="111">
        <f>V34</f>
        <v>0</v>
      </c>
      <c r="V50" s="111">
        <f>AF34</f>
        <v>0</v>
      </c>
      <c r="X50" s="81" t="s">
        <v>35</v>
      </c>
      <c r="Y50" s="111">
        <f t="shared" si="3"/>
        <v>13</v>
      </c>
      <c r="Z50" s="112"/>
      <c r="AA50" s="34" t="str">
        <f t="shared" si="4"/>
        <v/>
      </c>
      <c r="AB50" s="167">
        <f t="shared" si="5"/>
        <v>0</v>
      </c>
      <c r="AC50" s="168">
        <f t="shared" si="6"/>
        <v>0</v>
      </c>
      <c r="AD50" s="168">
        <f t="shared" si="7"/>
        <v>0</v>
      </c>
      <c r="AE50" s="168">
        <f t="shared" si="8"/>
        <v>0</v>
      </c>
      <c r="AF50" s="167">
        <f t="shared" si="9"/>
        <v>0</v>
      </c>
      <c r="AG50" s="168">
        <f t="shared" si="10"/>
        <v>0</v>
      </c>
      <c r="AH50" s="168">
        <f t="shared" si="11"/>
        <v>0</v>
      </c>
      <c r="AI50" s="168">
        <f t="shared" si="12"/>
        <v>0</v>
      </c>
      <c r="AJ50" s="167">
        <f t="shared" si="13"/>
        <v>0</v>
      </c>
      <c r="AK50" s="168">
        <f t="shared" si="14"/>
        <v>0</v>
      </c>
      <c r="AL50" s="168">
        <f t="shared" si="15"/>
        <v>0</v>
      </c>
      <c r="AM50" s="168">
        <f t="shared" si="16"/>
        <v>0</v>
      </c>
      <c r="AN50" s="167">
        <f t="shared" si="17"/>
        <v>0</v>
      </c>
      <c r="AO50" s="168">
        <f t="shared" si="18"/>
        <v>0</v>
      </c>
      <c r="AP50" s="168">
        <f t="shared" si="19"/>
        <v>0</v>
      </c>
      <c r="AQ50" s="168">
        <f t="shared" si="20"/>
        <v>0</v>
      </c>
      <c r="AR50" s="167">
        <f t="shared" si="21"/>
        <v>0</v>
      </c>
      <c r="AS50" s="168">
        <f t="shared" si="22"/>
        <v>0</v>
      </c>
      <c r="AT50" s="168">
        <f t="shared" si="23"/>
        <v>0</v>
      </c>
      <c r="AU50" s="168">
        <f t="shared" si="24"/>
        <v>0</v>
      </c>
      <c r="AV50" s="167">
        <f t="shared" si="25"/>
        <v>0</v>
      </c>
      <c r="AW50" s="168">
        <f t="shared" si="26"/>
        <v>0</v>
      </c>
      <c r="AX50" s="168">
        <f t="shared" si="27"/>
        <v>0</v>
      </c>
      <c r="AY50" s="168">
        <f t="shared" si="28"/>
        <v>0</v>
      </c>
      <c r="AZ50" s="167">
        <f t="shared" si="29"/>
        <v>0</v>
      </c>
      <c r="BA50" s="111" t="str">
        <f t="shared" si="30"/>
        <v/>
      </c>
      <c r="BB50" s="210" t="str">
        <f t="shared" si="31"/>
        <v/>
      </c>
      <c r="BC50" s="211" t="str">
        <f t="shared" si="32"/>
        <v/>
      </c>
      <c r="BD50" s="212" t="str">
        <f t="shared" si="33"/>
        <v/>
      </c>
      <c r="BE50" s="111">
        <f t="shared" si="34"/>
        <v>13</v>
      </c>
      <c r="BF50" s="495" t="s">
        <v>35</v>
      </c>
      <c r="BG50">
        <f>IF(BB50="",0,1)</f>
        <v>0</v>
      </c>
    </row>
    <row r="51" spans="4:60" x14ac:dyDescent="0.2">
      <c r="D51" s="111">
        <f t="shared" si="2"/>
        <v>14</v>
      </c>
      <c r="E51" s="81" t="s">
        <v>11</v>
      </c>
      <c r="F51" s="111">
        <f t="shared" si="2"/>
        <v>14</v>
      </c>
      <c r="G51" s="112"/>
      <c r="I51" s="174">
        <f>VLOOKUP(G32,$D$38:$E$67,2)</f>
        <v>0</v>
      </c>
      <c r="J51" s="159">
        <f>H32</f>
        <v>0</v>
      </c>
      <c r="K51" s="159">
        <f>I32</f>
        <v>0</v>
      </c>
      <c r="L51" s="159">
        <f>J32</f>
        <v>0</v>
      </c>
      <c r="M51" s="159">
        <f>D32</f>
        <v>0</v>
      </c>
      <c r="N51" s="158">
        <f>J33</f>
        <v>0</v>
      </c>
      <c r="O51" s="158">
        <f>J34</f>
        <v>0</v>
      </c>
      <c r="P51" s="235">
        <f t="shared" si="35"/>
        <v>0</v>
      </c>
      <c r="Q51" s="158" t="str">
        <f>IF(G32=1,"",IF(B32&gt;$D$10,"OL",B32))</f>
        <v/>
      </c>
      <c r="S51" s="178" t="s">
        <v>126</v>
      </c>
      <c r="X51" s="81" t="s">
        <v>11</v>
      </c>
      <c r="Y51" s="111">
        <f t="shared" si="3"/>
        <v>14</v>
      </c>
      <c r="Z51" s="112"/>
      <c r="AA51" s="34" t="str">
        <f t="shared" si="4"/>
        <v/>
      </c>
      <c r="AB51" s="167">
        <f t="shared" si="5"/>
        <v>0</v>
      </c>
      <c r="AC51" s="168">
        <f t="shared" si="6"/>
        <v>0</v>
      </c>
      <c r="AD51" s="168">
        <f t="shared" si="7"/>
        <v>0</v>
      </c>
      <c r="AE51" s="168">
        <f t="shared" si="8"/>
        <v>0</v>
      </c>
      <c r="AF51" s="167">
        <f t="shared" si="9"/>
        <v>0</v>
      </c>
      <c r="AG51" s="168">
        <f t="shared" si="10"/>
        <v>0</v>
      </c>
      <c r="AH51" s="168">
        <f t="shared" si="11"/>
        <v>0</v>
      </c>
      <c r="AI51" s="168">
        <f t="shared" si="12"/>
        <v>0</v>
      </c>
      <c r="AJ51" s="167">
        <f t="shared" si="13"/>
        <v>0</v>
      </c>
      <c r="AK51" s="168">
        <f t="shared" si="14"/>
        <v>0</v>
      </c>
      <c r="AL51" s="168">
        <f t="shared" si="15"/>
        <v>0</v>
      </c>
      <c r="AM51" s="168">
        <f t="shared" si="16"/>
        <v>0</v>
      </c>
      <c r="AN51" s="167">
        <f t="shared" si="17"/>
        <v>0</v>
      </c>
      <c r="AO51" s="168">
        <f t="shared" si="18"/>
        <v>0</v>
      </c>
      <c r="AP51" s="168">
        <f t="shared" si="19"/>
        <v>0</v>
      </c>
      <c r="AQ51" s="168">
        <f t="shared" si="20"/>
        <v>0</v>
      </c>
      <c r="AR51" s="167">
        <f t="shared" si="21"/>
        <v>0</v>
      </c>
      <c r="AS51" s="168">
        <f t="shared" si="22"/>
        <v>0</v>
      </c>
      <c r="AT51" s="168">
        <f t="shared" si="23"/>
        <v>0</v>
      </c>
      <c r="AU51" s="168">
        <f t="shared" si="24"/>
        <v>0</v>
      </c>
      <c r="AV51" s="167">
        <f t="shared" si="25"/>
        <v>0</v>
      </c>
      <c r="AW51" s="168">
        <f t="shared" si="26"/>
        <v>0</v>
      </c>
      <c r="AX51" s="168">
        <f t="shared" si="27"/>
        <v>0</v>
      </c>
      <c r="AY51" s="168">
        <f t="shared" si="28"/>
        <v>0</v>
      </c>
      <c r="AZ51" s="167">
        <f t="shared" si="29"/>
        <v>0</v>
      </c>
      <c r="BA51" s="111" t="str">
        <f t="shared" si="30"/>
        <v/>
      </c>
      <c r="BB51" s="210" t="str">
        <f t="shared" si="31"/>
        <v/>
      </c>
      <c r="BC51" s="211" t="str">
        <f t="shared" si="32"/>
        <v/>
      </c>
      <c r="BD51" s="212" t="str">
        <f t="shared" si="33"/>
        <v/>
      </c>
      <c r="BE51" s="111">
        <f t="shared" si="34"/>
        <v>14</v>
      </c>
      <c r="BF51" s="495" t="s">
        <v>11</v>
      </c>
      <c r="BG51">
        <f t="shared" si="36"/>
        <v>0</v>
      </c>
    </row>
    <row r="52" spans="4:60" x14ac:dyDescent="0.2">
      <c r="D52" s="111">
        <f t="shared" si="2"/>
        <v>15</v>
      </c>
      <c r="E52" s="81" t="s">
        <v>12</v>
      </c>
      <c r="F52" s="111">
        <f t="shared" si="2"/>
        <v>15</v>
      </c>
      <c r="G52" s="112"/>
      <c r="I52" s="164">
        <f>VLOOKUP(Q17,$D$38:$E$67,2)</f>
        <v>0</v>
      </c>
      <c r="J52" s="156">
        <f>R17</f>
        <v>0</v>
      </c>
      <c r="K52" s="156">
        <f>S17</f>
        <v>0</v>
      </c>
      <c r="L52" s="156">
        <f>T17</f>
        <v>0</v>
      </c>
      <c r="M52" s="156">
        <f>N17</f>
        <v>0</v>
      </c>
      <c r="N52" s="157">
        <f>T18</f>
        <v>0</v>
      </c>
      <c r="O52" s="157">
        <f>T19</f>
        <v>0</v>
      </c>
      <c r="P52" s="234">
        <f t="shared" si="35"/>
        <v>0</v>
      </c>
      <c r="Q52" s="157" t="str">
        <f>IF(Q17=1,"",IF(L17&gt;$D$10,"OL",L17))</f>
        <v/>
      </c>
      <c r="S52">
        <f>COUNTIF(S55:V60,"NP")</f>
        <v>0</v>
      </c>
      <c r="T52" t="s">
        <v>36</v>
      </c>
      <c r="X52" s="81" t="s">
        <v>12</v>
      </c>
      <c r="Y52" s="111">
        <f t="shared" si="3"/>
        <v>15</v>
      </c>
      <c r="Z52" s="112"/>
      <c r="AA52" s="34" t="str">
        <f t="shared" si="4"/>
        <v/>
      </c>
      <c r="AB52" s="167">
        <f t="shared" si="5"/>
        <v>0</v>
      </c>
      <c r="AC52" s="168">
        <f t="shared" si="6"/>
        <v>0</v>
      </c>
      <c r="AD52" s="168">
        <f t="shared" si="7"/>
        <v>0</v>
      </c>
      <c r="AE52" s="168">
        <f t="shared" si="8"/>
        <v>0</v>
      </c>
      <c r="AF52" s="167">
        <f t="shared" si="9"/>
        <v>0</v>
      </c>
      <c r="AG52" s="168">
        <f t="shared" si="10"/>
        <v>0</v>
      </c>
      <c r="AH52" s="168">
        <f t="shared" si="11"/>
        <v>0</v>
      </c>
      <c r="AI52" s="168">
        <f t="shared" si="12"/>
        <v>0</v>
      </c>
      <c r="AJ52" s="167">
        <f t="shared" si="13"/>
        <v>0</v>
      </c>
      <c r="AK52" s="168">
        <f t="shared" si="14"/>
        <v>0</v>
      </c>
      <c r="AL52" s="168">
        <f t="shared" si="15"/>
        <v>0</v>
      </c>
      <c r="AM52" s="168">
        <f t="shared" si="16"/>
        <v>0</v>
      </c>
      <c r="AN52" s="167">
        <f t="shared" si="17"/>
        <v>0</v>
      </c>
      <c r="AO52" s="168">
        <f t="shared" si="18"/>
        <v>0</v>
      </c>
      <c r="AP52" s="168">
        <f t="shared" si="19"/>
        <v>0</v>
      </c>
      <c r="AQ52" s="168">
        <f t="shared" si="20"/>
        <v>0</v>
      </c>
      <c r="AR52" s="167">
        <f t="shared" si="21"/>
        <v>0</v>
      </c>
      <c r="AS52" s="168">
        <f t="shared" si="22"/>
        <v>0</v>
      </c>
      <c r="AT52" s="168">
        <f t="shared" si="23"/>
        <v>0</v>
      </c>
      <c r="AU52" s="168">
        <f t="shared" si="24"/>
        <v>0</v>
      </c>
      <c r="AV52" s="167">
        <f t="shared" si="25"/>
        <v>0</v>
      </c>
      <c r="AW52" s="168">
        <f t="shared" si="26"/>
        <v>0</v>
      </c>
      <c r="AX52" s="168">
        <f t="shared" si="27"/>
        <v>0</v>
      </c>
      <c r="AY52" s="168">
        <f t="shared" si="28"/>
        <v>0</v>
      </c>
      <c r="AZ52" s="167">
        <f t="shared" si="29"/>
        <v>0</v>
      </c>
      <c r="BA52" s="111" t="str">
        <f t="shared" si="30"/>
        <v/>
      </c>
      <c r="BB52" s="210" t="str">
        <f t="shared" si="31"/>
        <v/>
      </c>
      <c r="BC52" s="211" t="str">
        <f t="shared" si="32"/>
        <v/>
      </c>
      <c r="BD52" s="212" t="str">
        <f t="shared" si="33"/>
        <v/>
      </c>
      <c r="BE52" s="111">
        <f t="shared" si="34"/>
        <v>15</v>
      </c>
      <c r="BF52" s="495" t="s">
        <v>12</v>
      </c>
      <c r="BG52">
        <f t="shared" si="36"/>
        <v>0</v>
      </c>
    </row>
    <row r="53" spans="4:60" x14ac:dyDescent="0.2">
      <c r="D53" s="111">
        <f t="shared" si="2"/>
        <v>16</v>
      </c>
      <c r="E53" s="81" t="s">
        <v>13</v>
      </c>
      <c r="F53" s="111">
        <f t="shared" si="2"/>
        <v>16</v>
      </c>
      <c r="G53" s="112"/>
      <c r="I53" s="172">
        <f>Q20</f>
        <v>1</v>
      </c>
      <c r="J53" s="156">
        <f>R20</f>
        <v>0</v>
      </c>
      <c r="K53" s="156">
        <f>S20</f>
        <v>0</v>
      </c>
      <c r="L53" s="156">
        <f>T20</f>
        <v>0</v>
      </c>
      <c r="M53" s="156">
        <f>N20</f>
        <v>0</v>
      </c>
      <c r="N53" s="157">
        <f>T21</f>
        <v>0</v>
      </c>
      <c r="O53" s="157">
        <f>T22</f>
        <v>0</v>
      </c>
      <c r="P53" s="234">
        <f t="shared" si="35"/>
        <v>0</v>
      </c>
      <c r="Q53" s="157" t="str">
        <f>IF(Q20=1,"",IF(L20&gt;$D$10,"OL",L20))</f>
        <v/>
      </c>
      <c r="S53">
        <f>COUNTIF(S55:V60,1)</f>
        <v>0</v>
      </c>
      <c r="T53" t="s">
        <v>103</v>
      </c>
      <c r="X53" s="81" t="s">
        <v>13</v>
      </c>
      <c r="Y53" s="111">
        <f t="shared" si="3"/>
        <v>16</v>
      </c>
      <c r="Z53" s="112"/>
      <c r="AA53" s="34" t="str">
        <f t="shared" si="4"/>
        <v/>
      </c>
      <c r="AB53" s="167">
        <f t="shared" si="5"/>
        <v>0</v>
      </c>
      <c r="AC53" s="168">
        <f t="shared" si="6"/>
        <v>0</v>
      </c>
      <c r="AD53" s="168">
        <f t="shared" si="7"/>
        <v>0</v>
      </c>
      <c r="AE53" s="168">
        <f t="shared" si="8"/>
        <v>0</v>
      </c>
      <c r="AF53" s="167">
        <f t="shared" si="9"/>
        <v>0</v>
      </c>
      <c r="AG53" s="168">
        <f t="shared" si="10"/>
        <v>0</v>
      </c>
      <c r="AH53" s="168">
        <f t="shared" si="11"/>
        <v>0</v>
      </c>
      <c r="AI53" s="168">
        <f t="shared" si="12"/>
        <v>0</v>
      </c>
      <c r="AJ53" s="167">
        <f t="shared" si="13"/>
        <v>0</v>
      </c>
      <c r="AK53" s="168">
        <f t="shared" si="14"/>
        <v>0</v>
      </c>
      <c r="AL53" s="168">
        <f t="shared" si="15"/>
        <v>0</v>
      </c>
      <c r="AM53" s="168">
        <f t="shared" si="16"/>
        <v>0</v>
      </c>
      <c r="AN53" s="167">
        <f t="shared" si="17"/>
        <v>0</v>
      </c>
      <c r="AO53" s="168">
        <f t="shared" si="18"/>
        <v>0</v>
      </c>
      <c r="AP53" s="168">
        <f t="shared" si="19"/>
        <v>0</v>
      </c>
      <c r="AQ53" s="168">
        <f t="shared" si="20"/>
        <v>0</v>
      </c>
      <c r="AR53" s="167">
        <f t="shared" si="21"/>
        <v>0</v>
      </c>
      <c r="AS53" s="168">
        <f t="shared" si="22"/>
        <v>0</v>
      </c>
      <c r="AT53" s="168">
        <f t="shared" si="23"/>
        <v>0</v>
      </c>
      <c r="AU53" s="168">
        <f t="shared" si="24"/>
        <v>0</v>
      </c>
      <c r="AV53" s="167">
        <f t="shared" si="25"/>
        <v>0</v>
      </c>
      <c r="AW53" s="168">
        <f t="shared" si="26"/>
        <v>0</v>
      </c>
      <c r="AX53" s="168">
        <f t="shared" si="27"/>
        <v>0</v>
      </c>
      <c r="AY53" s="168">
        <f t="shared" si="28"/>
        <v>0</v>
      </c>
      <c r="AZ53" s="167">
        <f t="shared" si="29"/>
        <v>0</v>
      </c>
      <c r="BA53" s="111" t="str">
        <f t="shared" si="30"/>
        <v/>
      </c>
      <c r="BB53" s="210" t="str">
        <f t="shared" si="31"/>
        <v/>
      </c>
      <c r="BC53" s="211" t="str">
        <f t="shared" si="32"/>
        <v/>
      </c>
      <c r="BD53" s="212" t="str">
        <f t="shared" si="33"/>
        <v/>
      </c>
      <c r="BE53" s="111">
        <f t="shared" si="34"/>
        <v>16</v>
      </c>
      <c r="BF53" s="495" t="s">
        <v>13</v>
      </c>
      <c r="BG53">
        <f t="shared" si="36"/>
        <v>0</v>
      </c>
    </row>
    <row r="54" spans="4:60" x14ac:dyDescent="0.2">
      <c r="D54" s="111">
        <f t="shared" si="2"/>
        <v>17</v>
      </c>
      <c r="E54" s="81" t="s">
        <v>76</v>
      </c>
      <c r="F54" s="111">
        <f t="shared" si="2"/>
        <v>17</v>
      </c>
      <c r="G54" s="112"/>
      <c r="I54" s="172">
        <f>Q23</f>
        <v>1</v>
      </c>
      <c r="J54" s="156">
        <f>R23</f>
        <v>0</v>
      </c>
      <c r="K54" s="156">
        <f>S23</f>
        <v>0</v>
      </c>
      <c r="L54" s="156">
        <f>T23</f>
        <v>0</v>
      </c>
      <c r="M54" s="156">
        <f>N23</f>
        <v>0</v>
      </c>
      <c r="N54" s="157">
        <f>T24</f>
        <v>0</v>
      </c>
      <c r="O54" s="157">
        <f>T25</f>
        <v>0</v>
      </c>
      <c r="P54" s="234">
        <f t="shared" si="35"/>
        <v>0</v>
      </c>
      <c r="Q54" s="157" t="str">
        <f>IF(Q23=1,"",IF(L23&gt;$D$10,"OL",L23))</f>
        <v/>
      </c>
      <c r="S54">
        <f>COUNTIF(S55:V60,2)</f>
        <v>0</v>
      </c>
      <c r="T54" t="s">
        <v>107</v>
      </c>
      <c r="X54" s="81" t="s">
        <v>76</v>
      </c>
      <c r="Y54" s="111">
        <f t="shared" si="3"/>
        <v>17</v>
      </c>
      <c r="Z54" s="112"/>
      <c r="AA54" s="34" t="str">
        <f t="shared" si="4"/>
        <v/>
      </c>
      <c r="AB54" s="167">
        <f t="shared" si="5"/>
        <v>0</v>
      </c>
      <c r="AC54" s="168">
        <f t="shared" si="6"/>
        <v>0</v>
      </c>
      <c r="AD54" s="168">
        <f t="shared" si="7"/>
        <v>0</v>
      </c>
      <c r="AE54" s="168">
        <f t="shared" si="8"/>
        <v>0</v>
      </c>
      <c r="AF54" s="167">
        <f t="shared" si="9"/>
        <v>0</v>
      </c>
      <c r="AG54" s="168">
        <f t="shared" si="10"/>
        <v>0</v>
      </c>
      <c r="AH54" s="168">
        <f t="shared" si="11"/>
        <v>0</v>
      </c>
      <c r="AI54" s="168">
        <f t="shared" si="12"/>
        <v>0</v>
      </c>
      <c r="AJ54" s="167">
        <f t="shared" si="13"/>
        <v>0</v>
      </c>
      <c r="AK54" s="168">
        <f t="shared" si="14"/>
        <v>0</v>
      </c>
      <c r="AL54" s="168">
        <f t="shared" si="15"/>
        <v>0</v>
      </c>
      <c r="AM54" s="168">
        <f t="shared" si="16"/>
        <v>0</v>
      </c>
      <c r="AN54" s="167">
        <f t="shared" si="17"/>
        <v>0</v>
      </c>
      <c r="AO54" s="168">
        <f t="shared" si="18"/>
        <v>0</v>
      </c>
      <c r="AP54" s="168">
        <f t="shared" si="19"/>
        <v>0</v>
      </c>
      <c r="AQ54" s="168">
        <f t="shared" si="20"/>
        <v>0</v>
      </c>
      <c r="AR54" s="167">
        <f t="shared" si="21"/>
        <v>0</v>
      </c>
      <c r="AS54" s="168">
        <f t="shared" si="22"/>
        <v>0</v>
      </c>
      <c r="AT54" s="168">
        <f t="shared" si="23"/>
        <v>0</v>
      </c>
      <c r="AU54" s="168">
        <f t="shared" si="24"/>
        <v>0</v>
      </c>
      <c r="AV54" s="167">
        <f t="shared" si="25"/>
        <v>0</v>
      </c>
      <c r="AW54" s="168">
        <f t="shared" si="26"/>
        <v>0</v>
      </c>
      <c r="AX54" s="168">
        <f t="shared" si="27"/>
        <v>0</v>
      </c>
      <c r="AY54" s="168">
        <f t="shared" si="28"/>
        <v>0</v>
      </c>
      <c r="AZ54" s="167">
        <f t="shared" si="29"/>
        <v>0</v>
      </c>
      <c r="BA54" s="111" t="str">
        <f t="shared" si="30"/>
        <v/>
      </c>
      <c r="BB54" s="210" t="str">
        <f t="shared" si="31"/>
        <v/>
      </c>
      <c r="BC54" s="211" t="str">
        <f t="shared" si="32"/>
        <v/>
      </c>
      <c r="BD54" s="212" t="str">
        <f t="shared" si="33"/>
        <v/>
      </c>
      <c r="BE54" s="111">
        <f t="shared" si="34"/>
        <v>17</v>
      </c>
      <c r="BF54" s="495" t="s">
        <v>76</v>
      </c>
      <c r="BG54">
        <f t="shared" si="36"/>
        <v>0</v>
      </c>
    </row>
    <row r="55" spans="4:60" x14ac:dyDescent="0.2">
      <c r="D55" s="111">
        <f t="shared" ref="D55:D62" si="37">D54+1</f>
        <v>18</v>
      </c>
      <c r="E55" s="81" t="s">
        <v>14</v>
      </c>
      <c r="F55" s="111">
        <f t="shared" si="2"/>
        <v>18</v>
      </c>
      <c r="G55" s="112"/>
      <c r="I55" s="172">
        <f>Q26</f>
        <v>1</v>
      </c>
      <c r="J55" s="156">
        <f>R26</f>
        <v>0</v>
      </c>
      <c r="K55" s="156">
        <f>S26</f>
        <v>0</v>
      </c>
      <c r="L55" s="156">
        <f>T26</f>
        <v>0</v>
      </c>
      <c r="M55" s="156">
        <f>N26</f>
        <v>0</v>
      </c>
      <c r="N55" s="157">
        <f>T27</f>
        <v>0</v>
      </c>
      <c r="O55" s="157">
        <f>T28</f>
        <v>0</v>
      </c>
      <c r="P55" s="234">
        <f t="shared" si="35"/>
        <v>0</v>
      </c>
      <c r="Q55" s="157" t="str">
        <f>IF(Q26=1,"",IF(L26&gt;$D$10,"OL",L26))</f>
        <v/>
      </c>
      <c r="S55" s="181">
        <f>S39</f>
        <v>0</v>
      </c>
      <c r="T55" s="182">
        <f>T39</f>
        <v>0</v>
      </c>
      <c r="U55" s="182">
        <f>U39</f>
        <v>0</v>
      </c>
      <c r="V55" s="183">
        <f>V39</f>
        <v>0</v>
      </c>
      <c r="X55" s="81" t="s">
        <v>14</v>
      </c>
      <c r="Y55" s="111">
        <f t="shared" ref="Y55:Y64" si="38">Y54+1</f>
        <v>18</v>
      </c>
      <c r="Z55" s="112"/>
      <c r="AA55" s="34" t="str">
        <f t="shared" ref="AA55:AA64" si="39">BA55</f>
        <v/>
      </c>
      <c r="AB55" s="167">
        <f t="shared" ref="AB55:AB64" si="40">IF($G$17=Y55,$H$17,0)</f>
        <v>0</v>
      </c>
      <c r="AC55" s="168">
        <f t="shared" ref="AC55:AC64" si="41">IF($Q$17=Y55,$R$17,0)</f>
        <v>0</v>
      </c>
      <c r="AD55" s="168">
        <f t="shared" ref="AD55:AD64" si="42">IF($AA$17=Y55,$AB$17,0)</f>
        <v>0</v>
      </c>
      <c r="AE55" s="168">
        <f t="shared" ref="AE55:AE64" si="43">IF($AK$17=Y55,$AL$17,0)</f>
        <v>0</v>
      </c>
      <c r="AF55" s="167">
        <f t="shared" ref="AF55:AF64" si="44">IF($G$20=Y55,$H$20,0)</f>
        <v>0</v>
      </c>
      <c r="AG55" s="168">
        <f t="shared" ref="AG55:AG64" si="45">IF($Q$20=Y55,$R$20,0)</f>
        <v>0</v>
      </c>
      <c r="AH55" s="168">
        <f t="shared" ref="AH55:AH64" si="46">IF($AA$20=Y55,$AB$20,0)</f>
        <v>0</v>
      </c>
      <c r="AI55" s="168">
        <f t="shared" ref="AI55:AI64" si="47">IF($AK$20=Y55,$AL$20,0)</f>
        <v>0</v>
      </c>
      <c r="AJ55" s="167">
        <f t="shared" ref="AJ55:AJ64" si="48">IF($G$23=Y55,$H$23,0)</f>
        <v>0</v>
      </c>
      <c r="AK55" s="168">
        <f t="shared" ref="AK55:AK64" si="49">IF($Q$23=Y55,$R$23,0)</f>
        <v>0</v>
      </c>
      <c r="AL55" s="168">
        <f t="shared" ref="AL55:AL64" si="50">IF($AA$23=Y55,$AB$23,0)</f>
        <v>0</v>
      </c>
      <c r="AM55" s="168">
        <f t="shared" ref="AM55:AM64" si="51">IF($AK$23=Y55,$AL$23,0)</f>
        <v>0</v>
      </c>
      <c r="AN55" s="167">
        <f t="shared" ref="AN55:AN64" si="52">IF($G$26=Y55,$H$26,0)</f>
        <v>0</v>
      </c>
      <c r="AO55" s="168">
        <f t="shared" ref="AO55:AO64" si="53">IF($Q$26=Y55,$R$26,0)</f>
        <v>0</v>
      </c>
      <c r="AP55" s="168">
        <f t="shared" ref="AP55:AP64" si="54">IF($AA$26=Y55,$AB$26,0)</f>
        <v>0</v>
      </c>
      <c r="AQ55" s="168">
        <f t="shared" ref="AQ55:AQ64" si="55">IF($AK$26=Y55,$AL$26,0)</f>
        <v>0</v>
      </c>
      <c r="AR55" s="167">
        <f t="shared" ref="AR55:AR64" si="56">IF($G$29=Y55,$H$29,0)</f>
        <v>0</v>
      </c>
      <c r="AS55" s="168">
        <f t="shared" ref="AS55:AS64" si="57">IF($Q$29=Y55,$R$29,0)</f>
        <v>0</v>
      </c>
      <c r="AT55" s="168">
        <f t="shared" ref="AT55:AT64" si="58">IF($AA$29=Y55,$AB$29,0)</f>
        <v>0</v>
      </c>
      <c r="AU55" s="168">
        <f t="shared" ref="AU55:AU64" si="59">IF($AK$29=Y55,$AL$29,0)</f>
        <v>0</v>
      </c>
      <c r="AV55" s="167">
        <f t="shared" ref="AV55:AV64" si="60">IF($G$32=Y55,$H$32,0)</f>
        <v>0</v>
      </c>
      <c r="AW55" s="168">
        <f t="shared" ref="AW55:AW64" si="61">IF($Q$32=Y55,$R$32,0)</f>
        <v>0</v>
      </c>
      <c r="AX55" s="168">
        <f t="shared" ref="AX55:AX64" si="62">IF($AA$32=Y55,$AB$32,0)</f>
        <v>0</v>
      </c>
      <c r="AY55" s="168">
        <f t="shared" ref="AY55:AY64" si="63">IF($AK$32=Y55,$AL$32,0)</f>
        <v>0</v>
      </c>
      <c r="AZ55" s="167">
        <f t="shared" ref="AZ55:AZ64" si="64">SUM(AB55:AY55)</f>
        <v>0</v>
      </c>
      <c r="BA55" s="111" t="str">
        <f t="shared" ref="BA55:BA64" si="65">IF(AZ55=0,"",IF(OR(BC88="UL",BC88="NP"),BC88,IF(AZ55&lt;=BC88,"OK","OL")))</f>
        <v/>
      </c>
      <c r="BB55" s="210" t="str">
        <f t="shared" ref="BB55:BB64" si="66">IF(BA55="","",X55)</f>
        <v/>
      </c>
      <c r="BC55" s="211" t="str">
        <f t="shared" ref="BC55:BC64" si="67">BA55</f>
        <v/>
      </c>
      <c r="BD55" s="212" t="str">
        <f t="shared" ref="BD55:BD64" si="68">IF(OR(BA55="OK",BA55="OL",BA55="UL"),BC88,"")</f>
        <v/>
      </c>
      <c r="BE55" s="111">
        <f t="shared" ref="BE55:BE64" si="69">BE54+1</f>
        <v>18</v>
      </c>
      <c r="BF55" s="495" t="s">
        <v>14</v>
      </c>
      <c r="BG55">
        <f t="shared" si="36"/>
        <v>0</v>
      </c>
    </row>
    <row r="56" spans="4:60" x14ac:dyDescent="0.2">
      <c r="D56" s="111">
        <f t="shared" si="37"/>
        <v>19</v>
      </c>
      <c r="E56" s="81" t="s">
        <v>15</v>
      </c>
      <c r="F56" s="111">
        <f t="shared" ref="F56:F64" si="70">F55+1</f>
        <v>19</v>
      </c>
      <c r="G56" s="112"/>
      <c r="I56" s="172">
        <f>Q29</f>
        <v>1</v>
      </c>
      <c r="J56" s="156">
        <f>R29</f>
        <v>0</v>
      </c>
      <c r="K56" s="156">
        <f>S29</f>
        <v>0</v>
      </c>
      <c r="L56" s="156">
        <f>T29</f>
        <v>0</v>
      </c>
      <c r="M56" s="156">
        <f>N29</f>
        <v>0</v>
      </c>
      <c r="N56" s="157">
        <f>T30</f>
        <v>0</v>
      </c>
      <c r="O56" s="157">
        <f>T31</f>
        <v>0</v>
      </c>
      <c r="P56" s="234">
        <f t="shared" si="35"/>
        <v>0</v>
      </c>
      <c r="Q56" s="157" t="str">
        <f>IF(Q29=1,"",IF(L29&gt;$D$10,"OL",L29))</f>
        <v/>
      </c>
      <c r="S56" s="184">
        <f>S41</f>
        <v>0</v>
      </c>
      <c r="T56" s="178">
        <f>T41</f>
        <v>0</v>
      </c>
      <c r="U56" s="178">
        <f>U41</f>
        <v>0</v>
      </c>
      <c r="V56" s="185">
        <f>V41</f>
        <v>0</v>
      </c>
      <c r="X56" s="81" t="s">
        <v>15</v>
      </c>
      <c r="Y56" s="111">
        <f t="shared" si="38"/>
        <v>19</v>
      </c>
      <c r="Z56" s="112"/>
      <c r="AA56" s="34" t="str">
        <f t="shared" si="39"/>
        <v/>
      </c>
      <c r="AB56" s="167">
        <f t="shared" si="40"/>
        <v>0</v>
      </c>
      <c r="AC56" s="168">
        <f t="shared" si="41"/>
        <v>0</v>
      </c>
      <c r="AD56" s="168">
        <f t="shared" si="42"/>
        <v>0</v>
      </c>
      <c r="AE56" s="168">
        <f t="shared" si="43"/>
        <v>0</v>
      </c>
      <c r="AF56" s="167">
        <f t="shared" si="44"/>
        <v>0</v>
      </c>
      <c r="AG56" s="168">
        <f t="shared" si="45"/>
        <v>0</v>
      </c>
      <c r="AH56" s="168">
        <f t="shared" si="46"/>
        <v>0</v>
      </c>
      <c r="AI56" s="168">
        <f t="shared" si="47"/>
        <v>0</v>
      </c>
      <c r="AJ56" s="167">
        <f t="shared" si="48"/>
        <v>0</v>
      </c>
      <c r="AK56" s="168">
        <f t="shared" si="49"/>
        <v>0</v>
      </c>
      <c r="AL56" s="168">
        <f t="shared" si="50"/>
        <v>0</v>
      </c>
      <c r="AM56" s="168">
        <f t="shared" si="51"/>
        <v>0</v>
      </c>
      <c r="AN56" s="167">
        <f t="shared" si="52"/>
        <v>0</v>
      </c>
      <c r="AO56" s="168">
        <f t="shared" si="53"/>
        <v>0</v>
      </c>
      <c r="AP56" s="168">
        <f t="shared" si="54"/>
        <v>0</v>
      </c>
      <c r="AQ56" s="168">
        <f t="shared" si="55"/>
        <v>0</v>
      </c>
      <c r="AR56" s="167">
        <f t="shared" si="56"/>
        <v>0</v>
      </c>
      <c r="AS56" s="168">
        <f t="shared" si="57"/>
        <v>0</v>
      </c>
      <c r="AT56" s="168">
        <f t="shared" si="58"/>
        <v>0</v>
      </c>
      <c r="AU56" s="168">
        <f t="shared" si="59"/>
        <v>0</v>
      </c>
      <c r="AV56" s="167">
        <f t="shared" si="60"/>
        <v>0</v>
      </c>
      <c r="AW56" s="168">
        <f t="shared" si="61"/>
        <v>0</v>
      </c>
      <c r="AX56" s="168">
        <f t="shared" si="62"/>
        <v>0</v>
      </c>
      <c r="AY56" s="168">
        <f t="shared" si="63"/>
        <v>0</v>
      </c>
      <c r="AZ56" s="167">
        <f t="shared" si="64"/>
        <v>0</v>
      </c>
      <c r="BA56" s="111" t="str">
        <f t="shared" si="65"/>
        <v/>
      </c>
      <c r="BB56" s="210" t="str">
        <f t="shared" si="66"/>
        <v/>
      </c>
      <c r="BC56" s="211" t="str">
        <f t="shared" si="67"/>
        <v/>
      </c>
      <c r="BD56" s="212" t="str">
        <f t="shared" si="68"/>
        <v/>
      </c>
      <c r="BE56" s="111">
        <f t="shared" si="69"/>
        <v>19</v>
      </c>
      <c r="BF56" s="495" t="s">
        <v>15</v>
      </c>
      <c r="BG56">
        <f t="shared" si="36"/>
        <v>0</v>
      </c>
    </row>
    <row r="57" spans="4:60" x14ac:dyDescent="0.2">
      <c r="D57" s="111">
        <f t="shared" si="37"/>
        <v>20</v>
      </c>
      <c r="E57" s="81" t="s">
        <v>16</v>
      </c>
      <c r="F57" s="111">
        <f t="shared" si="70"/>
        <v>20</v>
      </c>
      <c r="G57" s="113"/>
      <c r="I57" s="173">
        <f>Q32</f>
        <v>1</v>
      </c>
      <c r="J57" s="159">
        <f>R32</f>
        <v>0</v>
      </c>
      <c r="K57" s="159">
        <f>S32</f>
        <v>0</v>
      </c>
      <c r="L57" s="159">
        <f>T32</f>
        <v>0</v>
      </c>
      <c r="M57" s="159">
        <f>N32</f>
        <v>0</v>
      </c>
      <c r="N57" s="158">
        <f>T33</f>
        <v>0</v>
      </c>
      <c r="O57" s="158">
        <f>T34</f>
        <v>0</v>
      </c>
      <c r="P57" s="235">
        <f t="shared" si="35"/>
        <v>0</v>
      </c>
      <c r="Q57" s="158" t="str">
        <f>IF(Q32=1,"",IF(L32&gt;$D$10,"OL",L32))</f>
        <v/>
      </c>
      <c r="S57" s="184">
        <f>S43</f>
        <v>0</v>
      </c>
      <c r="T57" s="178">
        <f>T43</f>
        <v>0</v>
      </c>
      <c r="U57" s="178">
        <f>U43</f>
        <v>0</v>
      </c>
      <c r="V57" s="185">
        <f>V43</f>
        <v>0</v>
      </c>
      <c r="X57" s="81" t="s">
        <v>16</v>
      </c>
      <c r="Y57" s="111">
        <f t="shared" si="38"/>
        <v>20</v>
      </c>
      <c r="Z57" s="113"/>
      <c r="AA57" s="34" t="str">
        <f t="shared" si="39"/>
        <v/>
      </c>
      <c r="AB57" s="167">
        <f t="shared" si="40"/>
        <v>0</v>
      </c>
      <c r="AC57" s="168">
        <f t="shared" si="41"/>
        <v>0</v>
      </c>
      <c r="AD57" s="168">
        <f t="shared" si="42"/>
        <v>0</v>
      </c>
      <c r="AE57" s="168">
        <f t="shared" si="43"/>
        <v>0</v>
      </c>
      <c r="AF57" s="167">
        <f t="shared" si="44"/>
        <v>0</v>
      </c>
      <c r="AG57" s="168">
        <f t="shared" si="45"/>
        <v>0</v>
      </c>
      <c r="AH57" s="168">
        <f t="shared" si="46"/>
        <v>0</v>
      </c>
      <c r="AI57" s="168">
        <f t="shared" si="47"/>
        <v>0</v>
      </c>
      <c r="AJ57" s="167">
        <f t="shared" si="48"/>
        <v>0</v>
      </c>
      <c r="AK57" s="168">
        <f t="shared" si="49"/>
        <v>0</v>
      </c>
      <c r="AL57" s="168">
        <f t="shared" si="50"/>
        <v>0</v>
      </c>
      <c r="AM57" s="168">
        <f t="shared" si="51"/>
        <v>0</v>
      </c>
      <c r="AN57" s="167">
        <f t="shared" si="52"/>
        <v>0</v>
      </c>
      <c r="AO57" s="168">
        <f t="shared" si="53"/>
        <v>0</v>
      </c>
      <c r="AP57" s="168">
        <f t="shared" si="54"/>
        <v>0</v>
      </c>
      <c r="AQ57" s="168">
        <f t="shared" si="55"/>
        <v>0</v>
      </c>
      <c r="AR57" s="167">
        <f t="shared" si="56"/>
        <v>0</v>
      </c>
      <c r="AS57" s="168">
        <f t="shared" si="57"/>
        <v>0</v>
      </c>
      <c r="AT57" s="168">
        <f t="shared" si="58"/>
        <v>0</v>
      </c>
      <c r="AU57" s="168">
        <f t="shared" si="59"/>
        <v>0</v>
      </c>
      <c r="AV57" s="167">
        <f t="shared" si="60"/>
        <v>0</v>
      </c>
      <c r="AW57" s="168">
        <f t="shared" si="61"/>
        <v>0</v>
      </c>
      <c r="AX57" s="168">
        <f t="shared" si="62"/>
        <v>0</v>
      </c>
      <c r="AY57" s="168">
        <f t="shared" si="63"/>
        <v>0</v>
      </c>
      <c r="AZ57" s="167">
        <f t="shared" si="64"/>
        <v>0</v>
      </c>
      <c r="BA57" s="111" t="str">
        <f t="shared" si="65"/>
        <v/>
      </c>
      <c r="BB57" s="210" t="str">
        <f t="shared" si="66"/>
        <v/>
      </c>
      <c r="BC57" s="211" t="str">
        <f t="shared" si="67"/>
        <v/>
      </c>
      <c r="BD57" s="212" t="str">
        <f t="shared" si="68"/>
        <v/>
      </c>
      <c r="BE57" s="111">
        <f t="shared" si="69"/>
        <v>20</v>
      </c>
      <c r="BF57" s="81" t="s">
        <v>16</v>
      </c>
    </row>
    <row r="58" spans="4:60" x14ac:dyDescent="0.2">
      <c r="D58" s="111">
        <f t="shared" si="37"/>
        <v>21</v>
      </c>
      <c r="E58" s="81" t="s">
        <v>17</v>
      </c>
      <c r="F58" s="111">
        <f t="shared" si="70"/>
        <v>21</v>
      </c>
      <c r="G58" s="112"/>
      <c r="I58" s="172">
        <f>AA17</f>
        <v>1</v>
      </c>
      <c r="J58" s="157">
        <f>AB17</f>
        <v>0</v>
      </c>
      <c r="K58" s="157">
        <f>AC17</f>
        <v>0</v>
      </c>
      <c r="L58" s="157">
        <f>AD17</f>
        <v>0</v>
      </c>
      <c r="M58" s="156">
        <f>X17</f>
        <v>0</v>
      </c>
      <c r="N58" s="157">
        <f>AD18</f>
        <v>0</v>
      </c>
      <c r="O58" s="157">
        <f>AD19</f>
        <v>0</v>
      </c>
      <c r="P58" s="234">
        <f t="shared" si="35"/>
        <v>0</v>
      </c>
      <c r="Q58" s="157" t="str">
        <f>IF(AA17=1,"",IF(V17&gt;$D$10,"OL",V17))</f>
        <v/>
      </c>
      <c r="S58" s="184">
        <f>S45</f>
        <v>0</v>
      </c>
      <c r="T58" s="178">
        <f>T45</f>
        <v>0</v>
      </c>
      <c r="U58" s="178">
        <f>U45</f>
        <v>0</v>
      </c>
      <c r="V58" s="185">
        <f>V45</f>
        <v>0</v>
      </c>
      <c r="X58" s="81" t="s">
        <v>17</v>
      </c>
      <c r="Y58" s="111">
        <f t="shared" si="38"/>
        <v>21</v>
      </c>
      <c r="Z58" s="112"/>
      <c r="AA58" s="34" t="str">
        <f t="shared" si="39"/>
        <v/>
      </c>
      <c r="AB58" s="167">
        <f t="shared" si="40"/>
        <v>0</v>
      </c>
      <c r="AC58" s="168">
        <f t="shared" si="41"/>
        <v>0</v>
      </c>
      <c r="AD58" s="168">
        <f t="shared" si="42"/>
        <v>0</v>
      </c>
      <c r="AE58" s="168">
        <f t="shared" si="43"/>
        <v>0</v>
      </c>
      <c r="AF58" s="167">
        <f t="shared" si="44"/>
        <v>0</v>
      </c>
      <c r="AG58" s="168">
        <f t="shared" si="45"/>
        <v>0</v>
      </c>
      <c r="AH58" s="168">
        <f t="shared" si="46"/>
        <v>0</v>
      </c>
      <c r="AI58" s="168">
        <f t="shared" si="47"/>
        <v>0</v>
      </c>
      <c r="AJ58" s="167">
        <f t="shared" si="48"/>
        <v>0</v>
      </c>
      <c r="AK58" s="168">
        <f t="shared" si="49"/>
        <v>0</v>
      </c>
      <c r="AL58" s="168">
        <f t="shared" si="50"/>
        <v>0</v>
      </c>
      <c r="AM58" s="168">
        <f t="shared" si="51"/>
        <v>0</v>
      </c>
      <c r="AN58" s="167">
        <f t="shared" si="52"/>
        <v>0</v>
      </c>
      <c r="AO58" s="168">
        <f t="shared" si="53"/>
        <v>0</v>
      </c>
      <c r="AP58" s="168">
        <f t="shared" si="54"/>
        <v>0</v>
      </c>
      <c r="AQ58" s="168">
        <f t="shared" si="55"/>
        <v>0</v>
      </c>
      <c r="AR58" s="167">
        <f t="shared" si="56"/>
        <v>0</v>
      </c>
      <c r="AS58" s="168">
        <f t="shared" si="57"/>
        <v>0</v>
      </c>
      <c r="AT58" s="168">
        <f t="shared" si="58"/>
        <v>0</v>
      </c>
      <c r="AU58" s="168">
        <f t="shared" si="59"/>
        <v>0</v>
      </c>
      <c r="AV58" s="167">
        <f t="shared" si="60"/>
        <v>0</v>
      </c>
      <c r="AW58" s="168">
        <f t="shared" si="61"/>
        <v>0</v>
      </c>
      <c r="AX58" s="168">
        <f t="shared" si="62"/>
        <v>0</v>
      </c>
      <c r="AY58" s="168">
        <f t="shared" si="63"/>
        <v>0</v>
      </c>
      <c r="AZ58" s="167">
        <f t="shared" si="64"/>
        <v>0</v>
      </c>
      <c r="BA58" s="111" t="str">
        <f t="shared" si="65"/>
        <v/>
      </c>
      <c r="BB58" s="210" t="str">
        <f t="shared" si="66"/>
        <v/>
      </c>
      <c r="BC58" s="211" t="str">
        <f t="shared" si="67"/>
        <v/>
      </c>
      <c r="BD58" s="212" t="str">
        <f t="shared" si="68"/>
        <v/>
      </c>
      <c r="BE58" s="111">
        <f t="shared" si="69"/>
        <v>21</v>
      </c>
      <c r="BF58" s="495" t="s">
        <v>17</v>
      </c>
      <c r="BG58">
        <f>IF(BB58="",0,1)</f>
        <v>0</v>
      </c>
      <c r="BH58">
        <f>IF(BB58="",0,1)</f>
        <v>0</v>
      </c>
    </row>
    <row r="59" spans="4:60" x14ac:dyDescent="0.2">
      <c r="D59" s="387">
        <f>D58+1</f>
        <v>22</v>
      </c>
      <c r="E59" s="81" t="s">
        <v>18</v>
      </c>
      <c r="F59" s="129">
        <f t="shared" si="70"/>
        <v>22</v>
      </c>
      <c r="G59" s="112"/>
      <c r="I59" s="172">
        <f>AA20</f>
        <v>1</v>
      </c>
      <c r="J59" s="157">
        <f>AB20</f>
        <v>0</v>
      </c>
      <c r="K59" s="157">
        <f>AC20</f>
        <v>0</v>
      </c>
      <c r="L59" s="157">
        <f>AD20</f>
        <v>0</v>
      </c>
      <c r="M59" s="156">
        <f>X20</f>
        <v>0</v>
      </c>
      <c r="N59" s="157">
        <f>AD21</f>
        <v>0</v>
      </c>
      <c r="O59" s="157">
        <f>AD22</f>
        <v>0</v>
      </c>
      <c r="P59" s="234">
        <f t="shared" si="35"/>
        <v>0</v>
      </c>
      <c r="Q59" s="157" t="str">
        <f>IF(AA20=1,"",IF(V20&gt;$D$10,"OL",V20))</f>
        <v/>
      </c>
      <c r="S59" s="184">
        <f>S47</f>
        <v>0</v>
      </c>
      <c r="T59" s="178">
        <f>T47</f>
        <v>0</v>
      </c>
      <c r="U59" s="178">
        <f>U47</f>
        <v>0</v>
      </c>
      <c r="V59" s="185">
        <f>V47</f>
        <v>0</v>
      </c>
      <c r="X59" s="81" t="s">
        <v>18</v>
      </c>
      <c r="Y59" s="129">
        <f t="shared" si="38"/>
        <v>22</v>
      </c>
      <c r="Z59" s="112"/>
      <c r="AA59" s="34" t="str">
        <f t="shared" si="39"/>
        <v/>
      </c>
      <c r="AB59" s="167">
        <f t="shared" si="40"/>
        <v>0</v>
      </c>
      <c r="AC59" s="168">
        <f t="shared" si="41"/>
        <v>0</v>
      </c>
      <c r="AD59" s="168">
        <f t="shared" si="42"/>
        <v>0</v>
      </c>
      <c r="AE59" s="168">
        <f t="shared" si="43"/>
        <v>0</v>
      </c>
      <c r="AF59" s="167">
        <f t="shared" si="44"/>
        <v>0</v>
      </c>
      <c r="AG59" s="168">
        <f t="shared" si="45"/>
        <v>0</v>
      </c>
      <c r="AH59" s="168">
        <f t="shared" si="46"/>
        <v>0</v>
      </c>
      <c r="AI59" s="168">
        <f t="shared" si="47"/>
        <v>0</v>
      </c>
      <c r="AJ59" s="167">
        <f t="shared" si="48"/>
        <v>0</v>
      </c>
      <c r="AK59" s="168">
        <f t="shared" si="49"/>
        <v>0</v>
      </c>
      <c r="AL59" s="168">
        <f t="shared" si="50"/>
        <v>0</v>
      </c>
      <c r="AM59" s="168">
        <f t="shared" si="51"/>
        <v>0</v>
      </c>
      <c r="AN59" s="167">
        <f t="shared" si="52"/>
        <v>0</v>
      </c>
      <c r="AO59" s="168">
        <f t="shared" si="53"/>
        <v>0</v>
      </c>
      <c r="AP59" s="168">
        <f t="shared" si="54"/>
        <v>0</v>
      </c>
      <c r="AQ59" s="168">
        <f t="shared" si="55"/>
        <v>0</v>
      </c>
      <c r="AR59" s="167">
        <f t="shared" si="56"/>
        <v>0</v>
      </c>
      <c r="AS59" s="168">
        <f t="shared" si="57"/>
        <v>0</v>
      </c>
      <c r="AT59" s="168">
        <f t="shared" si="58"/>
        <v>0</v>
      </c>
      <c r="AU59" s="168">
        <f t="shared" si="59"/>
        <v>0</v>
      </c>
      <c r="AV59" s="167">
        <f t="shared" si="60"/>
        <v>0</v>
      </c>
      <c r="AW59" s="168">
        <f t="shared" si="61"/>
        <v>0</v>
      </c>
      <c r="AX59" s="168">
        <f t="shared" si="62"/>
        <v>0</v>
      </c>
      <c r="AY59" s="168">
        <f t="shared" si="63"/>
        <v>0</v>
      </c>
      <c r="AZ59" s="167">
        <f t="shared" si="64"/>
        <v>0</v>
      </c>
      <c r="BA59" s="111" t="str">
        <f>IF(AZ59=0,"",IF(OR(BC92="UL",BC92="NP"),BC92,IF(AZ59&lt;=BC92,"OK","OL")))</f>
        <v/>
      </c>
      <c r="BB59" s="210" t="str">
        <f t="shared" si="66"/>
        <v/>
      </c>
      <c r="BC59" s="211" t="str">
        <f t="shared" si="67"/>
        <v/>
      </c>
      <c r="BD59" s="212" t="str">
        <f>IF(OR(BA59="OK",BA59="OL",BA59="UL"),BC92,"")</f>
        <v/>
      </c>
      <c r="BE59" s="386">
        <f t="shared" si="69"/>
        <v>22</v>
      </c>
      <c r="BF59" s="495" t="s">
        <v>18</v>
      </c>
      <c r="BG59">
        <f t="shared" si="36"/>
        <v>0</v>
      </c>
      <c r="BH59">
        <f>IF(BB59="",0,1)</f>
        <v>0</v>
      </c>
    </row>
    <row r="60" spans="4:60" x14ac:dyDescent="0.2">
      <c r="D60" s="111">
        <f t="shared" si="37"/>
        <v>23</v>
      </c>
      <c r="E60" s="81" t="s">
        <v>77</v>
      </c>
      <c r="F60" s="111">
        <f t="shared" si="70"/>
        <v>23</v>
      </c>
      <c r="G60" s="112"/>
      <c r="I60" s="172">
        <f>AA23</f>
        <v>1</v>
      </c>
      <c r="J60" s="157">
        <f>AB23</f>
        <v>0</v>
      </c>
      <c r="K60" s="157">
        <f>AC23</f>
        <v>0</v>
      </c>
      <c r="L60" s="157">
        <f>AD23</f>
        <v>0</v>
      </c>
      <c r="M60" s="156">
        <f>X23</f>
        <v>0</v>
      </c>
      <c r="N60" s="157">
        <f>AD24</f>
        <v>0</v>
      </c>
      <c r="O60" s="157">
        <f>AD25</f>
        <v>0</v>
      </c>
      <c r="P60" s="234">
        <f t="shared" si="35"/>
        <v>0</v>
      </c>
      <c r="Q60" s="157" t="str">
        <f>IF(AA23=1,"",IF(V23&gt;$D$10,"OL",V23))</f>
        <v/>
      </c>
      <c r="S60" s="186">
        <f>S49</f>
        <v>0</v>
      </c>
      <c r="T60" s="187">
        <f>T49</f>
        <v>0</v>
      </c>
      <c r="U60" s="187">
        <f>U49</f>
        <v>0</v>
      </c>
      <c r="V60" s="188">
        <f>V49</f>
        <v>0</v>
      </c>
      <c r="X60" s="81" t="s">
        <v>77</v>
      </c>
      <c r="Y60" s="111">
        <f t="shared" si="38"/>
        <v>23</v>
      </c>
      <c r="Z60" s="112"/>
      <c r="AA60" s="34" t="str">
        <f t="shared" si="39"/>
        <v/>
      </c>
      <c r="AB60" s="167">
        <f t="shared" si="40"/>
        <v>0</v>
      </c>
      <c r="AC60" s="168">
        <f t="shared" si="41"/>
        <v>0</v>
      </c>
      <c r="AD60" s="168">
        <f t="shared" si="42"/>
        <v>0</v>
      </c>
      <c r="AE60" s="168">
        <f t="shared" si="43"/>
        <v>0</v>
      </c>
      <c r="AF60" s="167">
        <f t="shared" si="44"/>
        <v>0</v>
      </c>
      <c r="AG60" s="168">
        <f t="shared" si="45"/>
        <v>0</v>
      </c>
      <c r="AH60" s="168">
        <f t="shared" si="46"/>
        <v>0</v>
      </c>
      <c r="AI60" s="168">
        <f t="shared" si="47"/>
        <v>0</v>
      </c>
      <c r="AJ60" s="167">
        <f t="shared" si="48"/>
        <v>0</v>
      </c>
      <c r="AK60" s="168">
        <f t="shared" si="49"/>
        <v>0</v>
      </c>
      <c r="AL60" s="168">
        <f t="shared" si="50"/>
        <v>0</v>
      </c>
      <c r="AM60" s="168">
        <f t="shared" si="51"/>
        <v>0</v>
      </c>
      <c r="AN60" s="167">
        <f t="shared" si="52"/>
        <v>0</v>
      </c>
      <c r="AO60" s="168">
        <f t="shared" si="53"/>
        <v>0</v>
      </c>
      <c r="AP60" s="168">
        <f t="shared" si="54"/>
        <v>0</v>
      </c>
      <c r="AQ60" s="168">
        <f t="shared" si="55"/>
        <v>0</v>
      </c>
      <c r="AR60" s="167">
        <f t="shared" si="56"/>
        <v>0</v>
      </c>
      <c r="AS60" s="168">
        <f t="shared" si="57"/>
        <v>0</v>
      </c>
      <c r="AT60" s="168">
        <f t="shared" si="58"/>
        <v>0</v>
      </c>
      <c r="AU60" s="168">
        <f t="shared" si="59"/>
        <v>0</v>
      </c>
      <c r="AV60" s="167">
        <f t="shared" si="60"/>
        <v>0</v>
      </c>
      <c r="AW60" s="168">
        <f t="shared" si="61"/>
        <v>0</v>
      </c>
      <c r="AX60" s="168">
        <f t="shared" si="62"/>
        <v>0</v>
      </c>
      <c r="AY60" s="168">
        <f t="shared" si="63"/>
        <v>0</v>
      </c>
      <c r="AZ60" s="167">
        <f t="shared" si="64"/>
        <v>0</v>
      </c>
      <c r="BA60" s="111" t="str">
        <f t="shared" si="65"/>
        <v/>
      </c>
      <c r="BB60" s="210" t="str">
        <f t="shared" si="66"/>
        <v/>
      </c>
      <c r="BC60" s="211" t="str">
        <f t="shared" si="67"/>
        <v/>
      </c>
      <c r="BD60" s="212" t="str">
        <f t="shared" si="68"/>
        <v/>
      </c>
      <c r="BE60" s="111">
        <f t="shared" si="69"/>
        <v>23</v>
      </c>
      <c r="BF60" s="495" t="s">
        <v>77</v>
      </c>
      <c r="BG60">
        <f t="shared" si="36"/>
        <v>0</v>
      </c>
      <c r="BH60">
        <f>IF(BB60="",0,1)</f>
        <v>0</v>
      </c>
    </row>
    <row r="61" spans="4:60" x14ac:dyDescent="0.2">
      <c r="D61" s="386">
        <f t="shared" si="37"/>
        <v>24</v>
      </c>
      <c r="E61" s="81" t="s">
        <v>19</v>
      </c>
      <c r="F61" s="111">
        <f t="shared" si="70"/>
        <v>24</v>
      </c>
      <c r="G61" s="112"/>
      <c r="I61" s="172">
        <f>AA26</f>
        <v>1</v>
      </c>
      <c r="J61" s="157">
        <f>AB26</f>
        <v>0</v>
      </c>
      <c r="K61" s="157">
        <f>AC26</f>
        <v>0</v>
      </c>
      <c r="L61" s="157">
        <f>AD26</f>
        <v>0</v>
      </c>
      <c r="M61" s="156">
        <f>X26</f>
        <v>0</v>
      </c>
      <c r="N61" s="157">
        <f>AD27</f>
        <v>0</v>
      </c>
      <c r="O61" s="157">
        <f>AD28</f>
        <v>0</v>
      </c>
      <c r="P61" s="234">
        <f t="shared" si="35"/>
        <v>0</v>
      </c>
      <c r="Q61" s="157" t="str">
        <f>IF(AA26=1,"",IF(V26&gt;$D$10,"OL",V26))</f>
        <v/>
      </c>
      <c r="S61" s="190" t="s">
        <v>135</v>
      </c>
      <c r="X61" s="81" t="s">
        <v>19</v>
      </c>
      <c r="Y61" s="111">
        <f t="shared" si="38"/>
        <v>24</v>
      </c>
      <c r="Z61" s="112"/>
      <c r="AA61" s="34" t="str">
        <f t="shared" si="39"/>
        <v/>
      </c>
      <c r="AB61" s="167">
        <f t="shared" si="40"/>
        <v>0</v>
      </c>
      <c r="AC61" s="168">
        <f t="shared" si="41"/>
        <v>0</v>
      </c>
      <c r="AD61" s="168">
        <f t="shared" si="42"/>
        <v>0</v>
      </c>
      <c r="AE61" s="168">
        <f t="shared" si="43"/>
        <v>0</v>
      </c>
      <c r="AF61" s="167">
        <f t="shared" si="44"/>
        <v>0</v>
      </c>
      <c r="AG61" s="168">
        <f t="shared" si="45"/>
        <v>0</v>
      </c>
      <c r="AH61" s="168">
        <f t="shared" si="46"/>
        <v>0</v>
      </c>
      <c r="AI61" s="168">
        <f t="shared" si="47"/>
        <v>0</v>
      </c>
      <c r="AJ61" s="167">
        <f t="shared" si="48"/>
        <v>0</v>
      </c>
      <c r="AK61" s="168">
        <f t="shared" si="49"/>
        <v>0</v>
      </c>
      <c r="AL61" s="168">
        <f t="shared" si="50"/>
        <v>0</v>
      </c>
      <c r="AM61" s="168">
        <f t="shared" si="51"/>
        <v>0</v>
      </c>
      <c r="AN61" s="167">
        <f t="shared" si="52"/>
        <v>0</v>
      </c>
      <c r="AO61" s="168">
        <f t="shared" si="53"/>
        <v>0</v>
      </c>
      <c r="AP61" s="168">
        <f t="shared" si="54"/>
        <v>0</v>
      </c>
      <c r="AQ61" s="168">
        <f t="shared" si="55"/>
        <v>0</v>
      </c>
      <c r="AR61" s="167">
        <f t="shared" si="56"/>
        <v>0</v>
      </c>
      <c r="AS61" s="168">
        <f t="shared" si="57"/>
        <v>0</v>
      </c>
      <c r="AT61" s="168">
        <f t="shared" si="58"/>
        <v>0</v>
      </c>
      <c r="AU61" s="168">
        <f t="shared" si="59"/>
        <v>0</v>
      </c>
      <c r="AV61" s="167">
        <f t="shared" si="60"/>
        <v>0</v>
      </c>
      <c r="AW61" s="168">
        <f t="shared" si="61"/>
        <v>0</v>
      </c>
      <c r="AX61" s="168">
        <f t="shared" si="62"/>
        <v>0</v>
      </c>
      <c r="AY61" s="168">
        <f t="shared" si="63"/>
        <v>0</v>
      </c>
      <c r="AZ61" s="167">
        <f t="shared" si="64"/>
        <v>0</v>
      </c>
      <c r="BA61" s="111" t="str">
        <f t="shared" si="65"/>
        <v/>
      </c>
      <c r="BB61" s="210" t="str">
        <f t="shared" si="66"/>
        <v/>
      </c>
      <c r="BC61" s="211" t="str">
        <f t="shared" si="67"/>
        <v/>
      </c>
      <c r="BD61" s="212" t="str">
        <f t="shared" si="68"/>
        <v/>
      </c>
      <c r="BE61" s="111">
        <f t="shared" si="69"/>
        <v>24</v>
      </c>
      <c r="BF61" s="495" t="s">
        <v>19</v>
      </c>
      <c r="BG61">
        <f t="shared" si="36"/>
        <v>0</v>
      </c>
      <c r="BH61">
        <f>IF(BB61="",0,1)</f>
        <v>0</v>
      </c>
    </row>
    <row r="62" spans="4:60" x14ac:dyDescent="0.2">
      <c r="D62" s="111">
        <f t="shared" si="37"/>
        <v>25</v>
      </c>
      <c r="E62" s="81" t="s">
        <v>20</v>
      </c>
      <c r="F62" s="111">
        <f t="shared" si="70"/>
        <v>25</v>
      </c>
      <c r="G62" s="113"/>
      <c r="I62" s="172">
        <f>AA29</f>
        <v>1</v>
      </c>
      <c r="J62" s="157">
        <f>AB29</f>
        <v>0</v>
      </c>
      <c r="K62" s="157">
        <f>AC29</f>
        <v>0</v>
      </c>
      <c r="L62" s="157">
        <f>AD29</f>
        <v>0</v>
      </c>
      <c r="M62" s="156">
        <f>X29</f>
        <v>0</v>
      </c>
      <c r="N62" s="157">
        <f>AD30</f>
        <v>0</v>
      </c>
      <c r="O62" s="157">
        <f>AD31</f>
        <v>0</v>
      </c>
      <c r="P62" s="234">
        <f t="shared" si="35"/>
        <v>0</v>
      </c>
      <c r="Q62" s="157" t="str">
        <f>IF(AA29=1,"",IF(V29&gt;$D$10,"OL",V29))</f>
        <v/>
      </c>
      <c r="S62">
        <f>COUNTIF(S65:V70,"NP")</f>
        <v>0</v>
      </c>
      <c r="T62" t="s">
        <v>36</v>
      </c>
      <c r="X62" s="81" t="s">
        <v>20</v>
      </c>
      <c r="Y62" s="111">
        <f t="shared" si="38"/>
        <v>25</v>
      </c>
      <c r="Z62" s="113"/>
      <c r="AA62" s="34" t="str">
        <f t="shared" si="39"/>
        <v/>
      </c>
      <c r="AB62" s="167">
        <f t="shared" si="40"/>
        <v>0</v>
      </c>
      <c r="AC62" s="168">
        <f t="shared" si="41"/>
        <v>0</v>
      </c>
      <c r="AD62" s="168">
        <f t="shared" si="42"/>
        <v>0</v>
      </c>
      <c r="AE62" s="168">
        <f t="shared" si="43"/>
        <v>0</v>
      </c>
      <c r="AF62" s="167">
        <f t="shared" si="44"/>
        <v>0</v>
      </c>
      <c r="AG62" s="168">
        <f t="shared" si="45"/>
        <v>0</v>
      </c>
      <c r="AH62" s="168">
        <f t="shared" si="46"/>
        <v>0</v>
      </c>
      <c r="AI62" s="168">
        <f t="shared" si="47"/>
        <v>0</v>
      </c>
      <c r="AJ62" s="167">
        <f t="shared" si="48"/>
        <v>0</v>
      </c>
      <c r="AK62" s="168">
        <f t="shared" si="49"/>
        <v>0</v>
      </c>
      <c r="AL62" s="168">
        <f t="shared" si="50"/>
        <v>0</v>
      </c>
      <c r="AM62" s="168">
        <f t="shared" si="51"/>
        <v>0</v>
      </c>
      <c r="AN62" s="167">
        <f t="shared" si="52"/>
        <v>0</v>
      </c>
      <c r="AO62" s="168">
        <f t="shared" si="53"/>
        <v>0</v>
      </c>
      <c r="AP62" s="168">
        <f t="shared" si="54"/>
        <v>0</v>
      </c>
      <c r="AQ62" s="168">
        <f t="shared" si="55"/>
        <v>0</v>
      </c>
      <c r="AR62" s="167">
        <f t="shared" si="56"/>
        <v>0</v>
      </c>
      <c r="AS62" s="168">
        <f t="shared" si="57"/>
        <v>0</v>
      </c>
      <c r="AT62" s="168">
        <f t="shared" si="58"/>
        <v>0</v>
      </c>
      <c r="AU62" s="168">
        <f t="shared" si="59"/>
        <v>0</v>
      </c>
      <c r="AV62" s="167">
        <f t="shared" si="60"/>
        <v>0</v>
      </c>
      <c r="AW62" s="168">
        <f t="shared" si="61"/>
        <v>0</v>
      </c>
      <c r="AX62" s="168">
        <f t="shared" si="62"/>
        <v>0</v>
      </c>
      <c r="AY62" s="168">
        <f t="shared" si="63"/>
        <v>0</v>
      </c>
      <c r="AZ62" s="167">
        <f t="shared" si="64"/>
        <v>0</v>
      </c>
      <c r="BA62" s="111" t="str">
        <f t="shared" si="65"/>
        <v/>
      </c>
      <c r="BB62" s="210" t="str">
        <f t="shared" si="66"/>
        <v/>
      </c>
      <c r="BC62" s="211" t="str">
        <f t="shared" si="67"/>
        <v/>
      </c>
      <c r="BD62" s="212" t="str">
        <f t="shared" si="68"/>
        <v/>
      </c>
      <c r="BE62" s="111">
        <f t="shared" si="69"/>
        <v>25</v>
      </c>
      <c r="BF62" s="81" t="s">
        <v>20</v>
      </c>
    </row>
    <row r="63" spans="4:60" x14ac:dyDescent="0.2">
      <c r="D63" s="111">
        <f>D62+1</f>
        <v>26</v>
      </c>
      <c r="E63" s="81" t="s">
        <v>33</v>
      </c>
      <c r="F63" s="111">
        <f t="shared" si="70"/>
        <v>26</v>
      </c>
      <c r="G63" s="113"/>
      <c r="I63" s="173">
        <f>AA32</f>
        <v>1</v>
      </c>
      <c r="J63" s="158">
        <f>AB32</f>
        <v>0</v>
      </c>
      <c r="K63" s="158">
        <f>AC32</f>
        <v>0</v>
      </c>
      <c r="L63" s="158">
        <f>AD32</f>
        <v>0</v>
      </c>
      <c r="M63" s="159">
        <f>X32</f>
        <v>0</v>
      </c>
      <c r="N63" s="158">
        <f>AD33</f>
        <v>0</v>
      </c>
      <c r="O63" s="158">
        <f>AD34</f>
        <v>0</v>
      </c>
      <c r="P63" s="235">
        <f t="shared" si="35"/>
        <v>0</v>
      </c>
      <c r="Q63" s="158" t="str">
        <f>IF(AA32=1,"",IF(V32&gt;$D$10,"OL",V32))</f>
        <v/>
      </c>
      <c r="S63">
        <f>COUNTIF(S65:V70,1)</f>
        <v>0</v>
      </c>
      <c r="T63" t="s">
        <v>103</v>
      </c>
      <c r="X63" s="81" t="s">
        <v>33</v>
      </c>
      <c r="Y63" s="111">
        <f t="shared" si="38"/>
        <v>26</v>
      </c>
      <c r="Z63" s="113"/>
      <c r="AA63" s="34" t="str">
        <f t="shared" si="39"/>
        <v/>
      </c>
      <c r="AB63" s="167">
        <f t="shared" si="40"/>
        <v>0</v>
      </c>
      <c r="AC63" s="168">
        <f t="shared" si="41"/>
        <v>0</v>
      </c>
      <c r="AD63" s="168">
        <f t="shared" si="42"/>
        <v>0</v>
      </c>
      <c r="AE63" s="168">
        <f t="shared" si="43"/>
        <v>0</v>
      </c>
      <c r="AF63" s="167">
        <f t="shared" si="44"/>
        <v>0</v>
      </c>
      <c r="AG63" s="168">
        <f t="shared" si="45"/>
        <v>0</v>
      </c>
      <c r="AH63" s="168">
        <f t="shared" si="46"/>
        <v>0</v>
      </c>
      <c r="AI63" s="168">
        <f t="shared" si="47"/>
        <v>0</v>
      </c>
      <c r="AJ63" s="167">
        <f t="shared" si="48"/>
        <v>0</v>
      </c>
      <c r="AK63" s="168">
        <f t="shared" si="49"/>
        <v>0</v>
      </c>
      <c r="AL63" s="168">
        <f t="shared" si="50"/>
        <v>0</v>
      </c>
      <c r="AM63" s="168">
        <f t="shared" si="51"/>
        <v>0</v>
      </c>
      <c r="AN63" s="167">
        <f t="shared" si="52"/>
        <v>0</v>
      </c>
      <c r="AO63" s="168">
        <f t="shared" si="53"/>
        <v>0</v>
      </c>
      <c r="AP63" s="168">
        <f t="shared" si="54"/>
        <v>0</v>
      </c>
      <c r="AQ63" s="168">
        <f t="shared" si="55"/>
        <v>0</v>
      </c>
      <c r="AR63" s="167">
        <f t="shared" si="56"/>
        <v>0</v>
      </c>
      <c r="AS63" s="168">
        <f t="shared" si="57"/>
        <v>0</v>
      </c>
      <c r="AT63" s="168">
        <f t="shared" si="58"/>
        <v>0</v>
      </c>
      <c r="AU63" s="168">
        <f t="shared" si="59"/>
        <v>0</v>
      </c>
      <c r="AV63" s="167">
        <f t="shared" si="60"/>
        <v>0</v>
      </c>
      <c r="AW63" s="168">
        <f t="shared" si="61"/>
        <v>0</v>
      </c>
      <c r="AX63" s="168">
        <f t="shared" si="62"/>
        <v>0</v>
      </c>
      <c r="AY63" s="168">
        <f t="shared" si="63"/>
        <v>0</v>
      </c>
      <c r="AZ63" s="167">
        <f t="shared" si="64"/>
        <v>0</v>
      </c>
      <c r="BA63" s="111" t="str">
        <f t="shared" si="65"/>
        <v/>
      </c>
      <c r="BB63" s="210" t="str">
        <f t="shared" si="66"/>
        <v/>
      </c>
      <c r="BC63" s="211" t="str">
        <f t="shared" si="67"/>
        <v/>
      </c>
      <c r="BD63" s="212" t="str">
        <f t="shared" si="68"/>
        <v/>
      </c>
      <c r="BE63" s="111">
        <f t="shared" si="69"/>
        <v>26</v>
      </c>
      <c r="BF63" s="81" t="s">
        <v>33</v>
      </c>
    </row>
    <row r="64" spans="4:60" x14ac:dyDescent="0.2">
      <c r="D64" s="111">
        <f>D63+1</f>
        <v>27</v>
      </c>
      <c r="E64" s="81" t="s">
        <v>32</v>
      </c>
      <c r="F64" s="111">
        <f t="shared" si="70"/>
        <v>27</v>
      </c>
      <c r="G64" s="113"/>
      <c r="I64" s="172">
        <f>AK17</f>
        <v>1</v>
      </c>
      <c r="J64" s="157">
        <f>AL17</f>
        <v>0</v>
      </c>
      <c r="K64" s="157">
        <f>AM17</f>
        <v>0</v>
      </c>
      <c r="L64" s="157">
        <f>AN17</f>
        <v>0</v>
      </c>
      <c r="M64" s="156">
        <f>AH17</f>
        <v>0</v>
      </c>
      <c r="N64" s="157">
        <f>AN18</f>
        <v>0</v>
      </c>
      <c r="O64" s="157">
        <f>AN19</f>
        <v>0</v>
      </c>
      <c r="P64" s="234">
        <f t="shared" si="35"/>
        <v>0</v>
      </c>
      <c r="Q64" s="157" t="str">
        <f>IF(AK17=1,"",IF(AF17&gt;$D$10,"OL",AF17))</f>
        <v/>
      </c>
      <c r="S64">
        <f>COUNTIF(S65:V70,2)</f>
        <v>0</v>
      </c>
      <c r="T64" t="s">
        <v>107</v>
      </c>
      <c r="X64" s="81" t="s">
        <v>32</v>
      </c>
      <c r="Y64" s="111">
        <f t="shared" si="38"/>
        <v>27</v>
      </c>
      <c r="Z64" s="113"/>
      <c r="AA64" s="34" t="str">
        <f t="shared" si="39"/>
        <v/>
      </c>
      <c r="AB64" s="167">
        <f t="shared" si="40"/>
        <v>0</v>
      </c>
      <c r="AC64" s="168">
        <f t="shared" si="41"/>
        <v>0</v>
      </c>
      <c r="AD64" s="168">
        <f t="shared" si="42"/>
        <v>0</v>
      </c>
      <c r="AE64" s="168">
        <f t="shared" si="43"/>
        <v>0</v>
      </c>
      <c r="AF64" s="167">
        <f t="shared" si="44"/>
        <v>0</v>
      </c>
      <c r="AG64" s="168">
        <f t="shared" si="45"/>
        <v>0</v>
      </c>
      <c r="AH64" s="168">
        <f t="shared" si="46"/>
        <v>0</v>
      </c>
      <c r="AI64" s="168">
        <f t="shared" si="47"/>
        <v>0</v>
      </c>
      <c r="AJ64" s="167">
        <f t="shared" si="48"/>
        <v>0</v>
      </c>
      <c r="AK64" s="168">
        <f t="shared" si="49"/>
        <v>0</v>
      </c>
      <c r="AL64" s="168">
        <f t="shared" si="50"/>
        <v>0</v>
      </c>
      <c r="AM64" s="168">
        <f t="shared" si="51"/>
        <v>0</v>
      </c>
      <c r="AN64" s="167">
        <f t="shared" si="52"/>
        <v>0</v>
      </c>
      <c r="AO64" s="168">
        <f t="shared" si="53"/>
        <v>0</v>
      </c>
      <c r="AP64" s="168">
        <f t="shared" si="54"/>
        <v>0</v>
      </c>
      <c r="AQ64" s="168">
        <f t="shared" si="55"/>
        <v>0</v>
      </c>
      <c r="AR64" s="167">
        <f t="shared" si="56"/>
        <v>0</v>
      </c>
      <c r="AS64" s="168">
        <f t="shared" si="57"/>
        <v>0</v>
      </c>
      <c r="AT64" s="168">
        <f t="shared" si="58"/>
        <v>0</v>
      </c>
      <c r="AU64" s="168">
        <f t="shared" si="59"/>
        <v>0</v>
      </c>
      <c r="AV64" s="167">
        <f t="shared" si="60"/>
        <v>0</v>
      </c>
      <c r="AW64" s="168">
        <f t="shared" si="61"/>
        <v>0</v>
      </c>
      <c r="AX64" s="168">
        <f t="shared" si="62"/>
        <v>0</v>
      </c>
      <c r="AY64" s="168">
        <f t="shared" si="63"/>
        <v>0</v>
      </c>
      <c r="AZ64" s="167">
        <f t="shared" si="64"/>
        <v>0</v>
      </c>
      <c r="BA64" s="111" t="str">
        <f t="shared" si="65"/>
        <v/>
      </c>
      <c r="BB64" s="210" t="str">
        <f t="shared" si="66"/>
        <v/>
      </c>
      <c r="BC64" s="211" t="str">
        <f t="shared" si="67"/>
        <v/>
      </c>
      <c r="BD64" s="212" t="str">
        <f t="shared" si="68"/>
        <v/>
      </c>
      <c r="BE64" s="111">
        <f t="shared" si="69"/>
        <v>27</v>
      </c>
      <c r="BF64" s="81" t="s">
        <v>32</v>
      </c>
    </row>
    <row r="65" spans="1:60" x14ac:dyDescent="0.2">
      <c r="D65" s="111"/>
      <c r="E65" s="81"/>
      <c r="F65" s="111"/>
      <c r="G65" s="113"/>
      <c r="I65" s="172">
        <f>AK20</f>
        <v>1</v>
      </c>
      <c r="J65" s="157">
        <f>AL20</f>
        <v>0</v>
      </c>
      <c r="K65" s="157">
        <f>AM20</f>
        <v>0</v>
      </c>
      <c r="L65" s="157">
        <f>AN20</f>
        <v>0</v>
      </c>
      <c r="M65" s="156">
        <f>AH20</f>
        <v>0</v>
      </c>
      <c r="N65" s="157">
        <f>AN21</f>
        <v>0</v>
      </c>
      <c r="O65" s="157">
        <f>AN22</f>
        <v>0</v>
      </c>
      <c r="P65" s="234">
        <f t="shared" si="35"/>
        <v>0</v>
      </c>
      <c r="Q65" s="157" t="str">
        <f>IF(AK20=1,"",IF(AF20&gt;$D$10,"OL",AF20))</f>
        <v/>
      </c>
      <c r="S65" s="191">
        <f>S40</f>
        <v>0</v>
      </c>
      <c r="T65" s="192">
        <f>T40</f>
        <v>0</v>
      </c>
      <c r="U65" s="192">
        <f>U40</f>
        <v>0</v>
      </c>
      <c r="V65" s="193">
        <f>V40</f>
        <v>0</v>
      </c>
      <c r="X65" s="81"/>
      <c r="Y65" s="111"/>
      <c r="Z65" s="113"/>
      <c r="AB65" s="167"/>
      <c r="AC65" s="168"/>
      <c r="AD65" s="168"/>
      <c r="AE65" s="168"/>
      <c r="AF65" s="167"/>
      <c r="AG65" s="168"/>
      <c r="AH65" s="168"/>
      <c r="AI65" s="168"/>
      <c r="AJ65" s="167"/>
      <c r="AK65" s="168"/>
      <c r="AL65" s="168"/>
      <c r="AM65" s="168"/>
      <c r="AN65" s="167"/>
      <c r="AO65" s="168"/>
      <c r="AP65" s="168"/>
      <c r="AQ65" s="168"/>
      <c r="AR65" s="167"/>
      <c r="AS65" s="168"/>
      <c r="AT65" s="168"/>
      <c r="AU65" s="168"/>
      <c r="AV65" s="167"/>
      <c r="AW65" s="168"/>
      <c r="AX65" s="168"/>
      <c r="AY65" s="168"/>
      <c r="AZ65" s="167"/>
      <c r="BA65" s="111"/>
      <c r="BB65" s="210"/>
      <c r="BC65" s="211"/>
      <c r="BD65" s="212"/>
      <c r="BE65" s="111"/>
      <c r="BG65" s="445">
        <f>SUM(BG48:BG61)</f>
        <v>0</v>
      </c>
      <c r="BH65" s="445">
        <f>SUM(BH48:BH61)</f>
        <v>0</v>
      </c>
    </row>
    <row r="66" spans="1:60" x14ac:dyDescent="0.2">
      <c r="D66" s="111"/>
      <c r="E66" s="81"/>
      <c r="F66" s="111"/>
      <c r="G66" s="113"/>
      <c r="I66" s="172">
        <f>AK23</f>
        <v>1</v>
      </c>
      <c r="J66" s="157">
        <f>AL23</f>
        <v>0</v>
      </c>
      <c r="K66" s="157">
        <f>AM23</f>
        <v>0</v>
      </c>
      <c r="L66" s="157">
        <f>AN23</f>
        <v>0</v>
      </c>
      <c r="M66" s="156">
        <f>AH23</f>
        <v>0</v>
      </c>
      <c r="N66" s="157">
        <f>AN24</f>
        <v>0</v>
      </c>
      <c r="O66" s="157">
        <f>AN25</f>
        <v>0</v>
      </c>
      <c r="P66" s="234">
        <f t="shared" si="35"/>
        <v>0</v>
      </c>
      <c r="Q66" s="157" t="str">
        <f>IF(AK23=1,"",IF(AF23&gt;$D$10,"OL",AF23))</f>
        <v/>
      </c>
      <c r="S66" s="194">
        <f>S42</f>
        <v>0</v>
      </c>
      <c r="T66" s="190">
        <f>T42</f>
        <v>0</v>
      </c>
      <c r="U66" s="190">
        <f>U42</f>
        <v>0</v>
      </c>
      <c r="V66" s="195">
        <f>V42</f>
        <v>0</v>
      </c>
      <c r="X66" s="81"/>
      <c r="Y66" s="111"/>
      <c r="Z66" s="113"/>
      <c r="AB66" s="167"/>
      <c r="AC66" s="168"/>
      <c r="AD66" s="168"/>
      <c r="AE66" s="168"/>
      <c r="AF66" s="167"/>
      <c r="AG66" s="168"/>
      <c r="AH66" s="168"/>
      <c r="AI66" s="168"/>
      <c r="AJ66" s="167"/>
      <c r="AK66" s="168"/>
      <c r="AL66" s="168"/>
      <c r="AM66" s="168"/>
      <c r="AN66" s="167"/>
      <c r="AO66" s="168"/>
      <c r="AP66" s="168"/>
      <c r="AQ66" s="168"/>
      <c r="AR66" s="167"/>
      <c r="AS66" s="168"/>
      <c r="AT66" s="168"/>
      <c r="AU66" s="168"/>
      <c r="AV66" s="167"/>
      <c r="AW66" s="168"/>
      <c r="AX66" s="168"/>
      <c r="AY66" s="168"/>
      <c r="AZ66" s="167"/>
      <c r="BA66" s="111"/>
      <c r="BB66" s="210"/>
      <c r="BC66" s="211"/>
      <c r="BD66" s="212"/>
      <c r="BE66" s="111"/>
    </row>
    <row r="67" spans="1:60" x14ac:dyDescent="0.2">
      <c r="D67" s="111"/>
      <c r="E67" s="81"/>
      <c r="F67" s="111"/>
      <c r="G67" s="113"/>
      <c r="I67" s="172">
        <f>AK26</f>
        <v>1</v>
      </c>
      <c r="J67" s="157">
        <f>AL26</f>
        <v>0</v>
      </c>
      <c r="K67" s="157">
        <f>AM26</f>
        <v>0</v>
      </c>
      <c r="L67" s="157">
        <f>AN26</f>
        <v>0</v>
      </c>
      <c r="M67" s="156">
        <f>AH26</f>
        <v>0</v>
      </c>
      <c r="N67" s="157">
        <f>AN27</f>
        <v>0</v>
      </c>
      <c r="O67" s="157">
        <f>AN28</f>
        <v>0</v>
      </c>
      <c r="P67" s="234">
        <f t="shared" si="35"/>
        <v>0</v>
      </c>
      <c r="Q67" s="157" t="str">
        <f>IF(AK26=1,"",IF(AF26&gt;$D$10,"OL",AF26))</f>
        <v/>
      </c>
      <c r="S67" s="194">
        <f>S44</f>
        <v>0</v>
      </c>
      <c r="T67" s="190">
        <f>T44</f>
        <v>0</v>
      </c>
      <c r="U67" s="190">
        <f>U44</f>
        <v>0</v>
      </c>
      <c r="V67" s="195">
        <f>V44</f>
        <v>0</v>
      </c>
      <c r="X67" s="81"/>
      <c r="Y67" s="111"/>
      <c r="Z67" s="113"/>
      <c r="AB67" s="167"/>
      <c r="AC67" s="168"/>
      <c r="AD67" s="168"/>
      <c r="AE67" s="168"/>
      <c r="AF67" s="167"/>
      <c r="AG67" s="168"/>
      <c r="AH67" s="168"/>
      <c r="AI67" s="168"/>
      <c r="AJ67" s="167"/>
      <c r="AK67" s="168"/>
      <c r="AL67" s="168"/>
      <c r="AM67" s="168"/>
      <c r="AN67" s="167"/>
      <c r="AO67" s="168"/>
      <c r="AP67" s="168"/>
      <c r="AQ67" s="168"/>
      <c r="AR67" s="167"/>
      <c r="AS67" s="168"/>
      <c r="AT67" s="168"/>
      <c r="AU67" s="168"/>
      <c r="AV67" s="167"/>
      <c r="AW67" s="168"/>
      <c r="AX67" s="168"/>
      <c r="AY67" s="168"/>
      <c r="AZ67" s="167"/>
      <c r="BA67" s="111"/>
      <c r="BB67" s="210"/>
      <c r="BC67" s="211"/>
      <c r="BD67" s="212"/>
      <c r="BE67" s="111"/>
    </row>
    <row r="68" spans="1:60" x14ac:dyDescent="0.2">
      <c r="I68" s="172">
        <f>AK29</f>
        <v>1</v>
      </c>
      <c r="J68" s="157">
        <f>AL29</f>
        <v>0</v>
      </c>
      <c r="K68" s="157">
        <f>AM29</f>
        <v>0</v>
      </c>
      <c r="L68" s="157">
        <f>AN29</f>
        <v>0</v>
      </c>
      <c r="M68" s="156">
        <f>AH29</f>
        <v>0</v>
      </c>
      <c r="N68" s="157">
        <f>AN30</f>
        <v>0</v>
      </c>
      <c r="O68" s="157">
        <f>AN31</f>
        <v>0</v>
      </c>
      <c r="P68" s="234">
        <f t="shared" si="35"/>
        <v>0</v>
      </c>
      <c r="Q68" s="157" t="str">
        <f>IF(AK29=1,"",IF(AF29&gt;$D$10,"OL",AF29))</f>
        <v/>
      </c>
      <c r="S68" s="194">
        <f>S46</f>
        <v>0</v>
      </c>
      <c r="T68" s="190">
        <f>T46</f>
        <v>0</v>
      </c>
      <c r="U68" s="190">
        <f>U46</f>
        <v>0</v>
      </c>
      <c r="V68" s="195">
        <f>V46</f>
        <v>0</v>
      </c>
      <c r="AA68" s="34">
        <f t="shared" si="4"/>
        <v>0</v>
      </c>
      <c r="BA68" s="189">
        <f>COUNTIF(BA39:BA64,"NP")</f>
        <v>0</v>
      </c>
      <c r="BB68" s="178" t="s">
        <v>36</v>
      </c>
    </row>
    <row r="69" spans="1:60" x14ac:dyDescent="0.2">
      <c r="A69" s="33"/>
      <c r="B69" s="33"/>
      <c r="C69" s="33"/>
      <c r="D69" s="33"/>
      <c r="E69" s="33"/>
      <c r="F69" s="33"/>
      <c r="H69" s="170"/>
      <c r="I69" s="173">
        <f>AK32</f>
        <v>1</v>
      </c>
      <c r="J69" s="158">
        <f>AL32</f>
        <v>0</v>
      </c>
      <c r="K69" s="158">
        <f>AM32</f>
        <v>0</v>
      </c>
      <c r="L69" s="158">
        <f>AN32</f>
        <v>0</v>
      </c>
      <c r="M69" s="159">
        <f>AH32</f>
        <v>0</v>
      </c>
      <c r="N69" s="158">
        <f>AN33</f>
        <v>0</v>
      </c>
      <c r="O69" s="158">
        <f>AN34</f>
        <v>0</v>
      </c>
      <c r="P69" s="235">
        <f t="shared" si="35"/>
        <v>0</v>
      </c>
      <c r="Q69" s="158" t="str">
        <f>IF(AK32=1,"",IF(AF32&gt;$D$10,"OL",AF32))</f>
        <v/>
      </c>
      <c r="S69" s="194">
        <f>S48</f>
        <v>0</v>
      </c>
      <c r="T69" s="190">
        <f>T48</f>
        <v>0</v>
      </c>
      <c r="U69" s="190">
        <f>U48</f>
        <v>0</v>
      </c>
      <c r="V69" s="195">
        <f>V48</f>
        <v>0</v>
      </c>
      <c r="AA69" s="34">
        <f t="shared" si="4"/>
        <v>0</v>
      </c>
      <c r="BA69" s="189">
        <f>COUNTIF(BA39:BA64,"OL")</f>
        <v>0</v>
      </c>
      <c r="BB69" s="178" t="s">
        <v>136</v>
      </c>
    </row>
    <row r="70" spans="1:60" ht="13.5" thickBot="1" x14ac:dyDescent="0.25">
      <c r="A70" s="170"/>
      <c r="B70" s="170"/>
      <c r="C70" s="170"/>
      <c r="D70" s="170"/>
      <c r="E70" s="170"/>
      <c r="F70" s="170"/>
      <c r="H70" s="170"/>
      <c r="J70" s="175"/>
      <c r="K70" s="33"/>
      <c r="L70" s="175"/>
      <c r="N70" s="176"/>
      <c r="O70" s="178"/>
      <c r="P70" s="177"/>
      <c r="Q70" s="179"/>
      <c r="S70" s="196">
        <f>S50</f>
        <v>0</v>
      </c>
      <c r="T70" s="197">
        <f>T50</f>
        <v>0</v>
      </c>
      <c r="U70" s="197">
        <f>U50</f>
        <v>0</v>
      </c>
      <c r="V70" s="198">
        <f>V50</f>
        <v>0</v>
      </c>
    </row>
    <row r="71" spans="1:60" ht="13.5" thickBot="1" x14ac:dyDescent="0.25">
      <c r="A71" s="170"/>
      <c r="B71" s="122"/>
      <c r="C71" s="122"/>
      <c r="D71" s="122"/>
      <c r="E71" s="122"/>
      <c r="F71" s="170"/>
      <c r="H71" s="170"/>
      <c r="S71" s="176" t="s">
        <v>132</v>
      </c>
      <c r="X71" s="80"/>
      <c r="Y71" s="111">
        <v>1</v>
      </c>
      <c r="Z71" s="111"/>
      <c r="AA71" s="34">
        <v>506.4</v>
      </c>
      <c r="AB71" s="150"/>
      <c r="AC71" s="151" t="s">
        <v>120</v>
      </c>
      <c r="AD71" s="152">
        <v>1</v>
      </c>
      <c r="AE71" s="153"/>
      <c r="AF71" s="150"/>
      <c r="AG71" s="151" t="s">
        <v>120</v>
      </c>
      <c r="AH71" s="152">
        <f>AD71+1</f>
        <v>2</v>
      </c>
      <c r="AI71" s="153"/>
      <c r="AJ71" s="150"/>
      <c r="AK71" s="151" t="s">
        <v>120</v>
      </c>
      <c r="AL71" s="152">
        <f>AH71+1</f>
        <v>3</v>
      </c>
      <c r="AM71" s="153"/>
      <c r="AN71" s="150"/>
      <c r="AO71" s="151" t="s">
        <v>120</v>
      </c>
      <c r="AP71" s="152">
        <f>AL71+1</f>
        <v>4</v>
      </c>
      <c r="AQ71" s="153"/>
      <c r="AR71" s="150"/>
      <c r="AS71" s="151" t="s">
        <v>120</v>
      </c>
      <c r="AT71" s="152">
        <f>AP71+1</f>
        <v>5</v>
      </c>
      <c r="AU71" s="153"/>
      <c r="AV71" s="150"/>
      <c r="AW71" s="151" t="s">
        <v>120</v>
      </c>
      <c r="AX71" s="152">
        <f>AT71+1</f>
        <v>6</v>
      </c>
      <c r="AY71" s="153"/>
      <c r="AZ71" t="s">
        <v>128</v>
      </c>
      <c r="BA71" t="s">
        <v>29</v>
      </c>
      <c r="BB71" t="s">
        <v>36</v>
      </c>
      <c r="BC71" s="169" t="s">
        <v>129</v>
      </c>
    </row>
    <row r="72" spans="1:60" x14ac:dyDescent="0.2">
      <c r="A72" s="170"/>
      <c r="B72" s="122"/>
      <c r="C72" s="122"/>
      <c r="D72" s="122"/>
      <c r="E72" s="122"/>
      <c r="F72" s="170"/>
      <c r="H72" s="170"/>
      <c r="S72">
        <f>COUNTIF(S75:V80,"NP")</f>
        <v>0</v>
      </c>
      <c r="T72" t="s">
        <v>36</v>
      </c>
      <c r="X72" s="81" t="s">
        <v>1</v>
      </c>
      <c r="Y72" s="111">
        <f>Y71+1</f>
        <v>2</v>
      </c>
      <c r="Z72" s="112"/>
      <c r="AA72" s="341">
        <f>IF($D$11&lt;0,0,IF($D$11&lt;=2,$D$11,IF(Z72="SFM",2,3)))</f>
        <v>0</v>
      </c>
      <c r="AB72" s="342">
        <f>IF(AND($H$19&lt;&gt;1,$G$17=Y72),$J$17,0)</f>
        <v>0</v>
      </c>
      <c r="AC72" s="343">
        <f>IF(AND($R$19&lt;&gt;1,$Q$17=Y72),$T$17,0)</f>
        <v>0</v>
      </c>
      <c r="AD72" s="343">
        <f>IF(AND($AB$19&lt;&gt;1,$AA$17=Y72),$AD$17,0)</f>
        <v>0</v>
      </c>
      <c r="AE72" s="343">
        <f>IF(AND($AL$19&lt;&gt;1,$AK$17=Y72),$AN$17,0)</f>
        <v>0</v>
      </c>
      <c r="AF72" s="342">
        <f>IF(AND($H$22&lt;&gt;1,$G$20=Y72),$J$20,0)</f>
        <v>0</v>
      </c>
      <c r="AG72" s="343">
        <f>IF(AND($R$22&lt;&gt;1,$Q$20=Y72),$T$20,0)</f>
        <v>0</v>
      </c>
      <c r="AH72" s="343">
        <f>IF(AND($AB$22&lt;&gt;1,$AA$20=Y72),$AD$20,0)</f>
        <v>0</v>
      </c>
      <c r="AI72" s="343">
        <f>IF(AND($AL$22&lt;&gt;1,$AK$20=Y72),$AN$20,0)</f>
        <v>0</v>
      </c>
      <c r="AJ72" s="342">
        <f>IF(AND($H$25&lt;&gt;1,$G$23=Y72),$J$23,0)</f>
        <v>0</v>
      </c>
      <c r="AK72" s="343">
        <f>IF(AND($R$25&lt;&gt;1,$Q$23=Y72),$T$23,0)</f>
        <v>0</v>
      </c>
      <c r="AL72" s="343">
        <f>IF(AND($AB$25&lt;&gt;1,$AA$23=Y72),$AD$23,0)</f>
        <v>0</v>
      </c>
      <c r="AM72" s="343">
        <f>IF(AND($AL$25&lt;&gt;1,$AK$23=Y72),$AN$23,0)</f>
        <v>0</v>
      </c>
      <c r="AN72" s="342">
        <f>IF(AND($H$28&lt;&gt;1,$G$26=Y72),$J$26,0)</f>
        <v>0</v>
      </c>
      <c r="AO72" s="343">
        <f>IF(AND($R$28&lt;&gt;1,$Q$26=Y72),$T$26,0)</f>
        <v>0</v>
      </c>
      <c r="AP72" s="343">
        <f>IF(AND($AB$28&lt;&gt;1,$AA$26=Y72),$AD$26,0)</f>
        <v>0</v>
      </c>
      <c r="AQ72" s="343">
        <f>IF(AND($AL$28&lt;&gt;1,$AK$26=Y72),$AN$26,0)</f>
        <v>0</v>
      </c>
      <c r="AR72" s="342">
        <f>IF(AND($H$31&lt;&gt;1,$G$29=Y72),$J$29,0)</f>
        <v>0</v>
      </c>
      <c r="AS72" s="343">
        <f>IF(AND($R$31&lt;&gt;1,$Q$29=Y72),$T$29,0)</f>
        <v>0</v>
      </c>
      <c r="AT72" s="343">
        <f>IF(AND($AB$31&lt;&gt;1,$AA$29=Y72),$AD$29,0)</f>
        <v>0</v>
      </c>
      <c r="AU72" s="343">
        <f>IF(AND($AL$31&lt;&gt;1,$AK$29=Y72),$AN$29,0)</f>
        <v>0</v>
      </c>
      <c r="AV72" s="342">
        <f>IF(AND($H$34&lt;&gt;1,$G$32=Y72),$J$32,0)</f>
        <v>0</v>
      </c>
      <c r="AW72" s="343">
        <f>IF(AND($R$34&lt;&gt;1,$Q$32=Y72),$T$32,0)</f>
        <v>0</v>
      </c>
      <c r="AX72" s="343">
        <f>IF(AND($AB$34&lt;&gt;1,$AA$32=Y72),$AD$32,0)</f>
        <v>0</v>
      </c>
      <c r="AY72" s="344">
        <f>IF(AND($AL$34&lt;&gt;1,$AK$32=Y72),$AN$32,0)</f>
        <v>0</v>
      </c>
      <c r="AZ72" s="168">
        <f t="shared" ref="AZ72:AZ87" si="71">MAX(AB72:AY72)</f>
        <v>0</v>
      </c>
      <c r="BA72" s="157" t="b">
        <f t="shared" ref="BA72:BA87" si="72">COUNTIF(AB72:AY72,"UL")&gt;0</f>
        <v>0</v>
      </c>
      <c r="BB72" s="157" t="b">
        <f t="shared" ref="BB72:BB87" si="73">COUNTIF(AB72:AY72,"NP")&gt;0</f>
        <v>0</v>
      </c>
      <c r="BC72" s="168">
        <f>IF(BB72=TRUE,"NP",IF(BA72=TRUE,"UL",AZ72*AA72))</f>
        <v>0</v>
      </c>
    </row>
    <row r="73" spans="1:60" x14ac:dyDescent="0.2">
      <c r="A73" s="224"/>
      <c r="B73" s="225" t="s">
        <v>141</v>
      </c>
      <c r="C73" s="225" t="s">
        <v>143</v>
      </c>
      <c r="D73" s="225" t="s">
        <v>141</v>
      </c>
      <c r="E73" s="225" t="s">
        <v>144</v>
      </c>
      <c r="F73" s="224" t="s">
        <v>142</v>
      </c>
      <c r="G73" s="225" t="s">
        <v>141</v>
      </c>
      <c r="H73" s="225" t="s">
        <v>144</v>
      </c>
      <c r="I73" s="224" t="s">
        <v>142</v>
      </c>
      <c r="J73" s="225" t="s">
        <v>141</v>
      </c>
      <c r="K73" s="225" t="s">
        <v>144</v>
      </c>
      <c r="L73" s="224" t="s">
        <v>142</v>
      </c>
      <c r="M73" s="225" t="s">
        <v>141</v>
      </c>
      <c r="N73" s="225" t="s">
        <v>144</v>
      </c>
      <c r="O73" s="224" t="s">
        <v>142</v>
      </c>
      <c r="S73">
        <f>COUNTIF(S75:V80,1)</f>
        <v>0</v>
      </c>
      <c r="T73" t="s">
        <v>137</v>
      </c>
      <c r="X73" s="81" t="s">
        <v>2</v>
      </c>
      <c r="Y73" s="111">
        <f t="shared" ref="Y73:Y87" si="74">Y72+1</f>
        <v>3</v>
      </c>
      <c r="Z73" s="112"/>
      <c r="AA73" s="341">
        <f t="shared" ref="AA73:AA97" si="75">IF($D$11&lt;0,0,IF($D$11&lt;=2,$D$11,IF(Z73="SFM",2,3)))</f>
        <v>0</v>
      </c>
      <c r="AB73" s="342">
        <f t="shared" ref="AB73:AB87" si="76">IF(AND($H$19&lt;&gt;1,$G$17=Y73),$J$17,0)</f>
        <v>0</v>
      </c>
      <c r="AC73" s="343">
        <f t="shared" ref="AC73:AC87" si="77">IF(AND($R$19&lt;&gt;1,$Q$17=Y73),$T$17,0)</f>
        <v>0</v>
      </c>
      <c r="AD73" s="343">
        <f t="shared" ref="AD73:AD87" si="78">IF(AND($AB$19&lt;&gt;1,$AA$17=Y73),$AD$17,0)</f>
        <v>0</v>
      </c>
      <c r="AE73" s="343">
        <f t="shared" ref="AE73:AE87" si="79">IF(AND($AL$19&lt;&gt;1,$AK$17=Y73),$AN$17,0)</f>
        <v>0</v>
      </c>
      <c r="AF73" s="342">
        <f t="shared" ref="AF73:AF87" si="80">IF(AND($H$22&lt;&gt;1,$G$20=Y73),$J$20,0)</f>
        <v>0</v>
      </c>
      <c r="AG73" s="343">
        <f t="shared" ref="AG73:AG87" si="81">IF(AND($R$22&lt;&gt;1,$Q$20=Y73),$T$20,0)</f>
        <v>0</v>
      </c>
      <c r="AH73" s="343">
        <f t="shared" ref="AH73:AH87" si="82">IF(AND($AB$22&lt;&gt;1,$AA$20=Y73),$AD$20,0)</f>
        <v>0</v>
      </c>
      <c r="AI73" s="343">
        <f t="shared" ref="AI73:AI87" si="83">IF(AND($AL$22&lt;&gt;1,$AK$20=Y73),$AN$20,0)</f>
        <v>0</v>
      </c>
      <c r="AJ73" s="342">
        <f t="shared" ref="AJ73:AJ87" si="84">IF(AND($H$25&lt;&gt;1,$G$23=Y73),$J$23,0)</f>
        <v>0</v>
      </c>
      <c r="AK73" s="343">
        <f t="shared" ref="AK73:AK87" si="85">IF(AND($R$25&lt;&gt;1,$Q$23=Y73),$T$23,0)</f>
        <v>0</v>
      </c>
      <c r="AL73" s="343">
        <f t="shared" ref="AL73:AL87" si="86">IF(AND($AB$25&lt;&gt;1,$AA$23=Y73),$AD$23,0)</f>
        <v>0</v>
      </c>
      <c r="AM73" s="343">
        <f t="shared" ref="AM73:AM87" si="87">IF(AND($AL$25&lt;&gt;1,$AK$23=Y73),$AN$23,0)</f>
        <v>0</v>
      </c>
      <c r="AN73" s="342">
        <f t="shared" ref="AN73:AN87" si="88">IF(AND($H$28&lt;&gt;1,$G$26=Y73),$J$26,0)</f>
        <v>0</v>
      </c>
      <c r="AO73" s="343">
        <f t="shared" ref="AO73:AO87" si="89">IF(AND($R$28&lt;&gt;1,$Q$26=Y73),$T$26,0)</f>
        <v>0</v>
      </c>
      <c r="AP73" s="343">
        <f t="shared" ref="AP73:AP87" si="90">IF(AND($AB$28&lt;&gt;1,$AA$26=Y73),$AD$26,0)</f>
        <v>0</v>
      </c>
      <c r="AQ73" s="343">
        <f t="shared" ref="AQ73:AQ87" si="91">IF(AND($AL$28&lt;&gt;1,$AK$26=Y73),$AN$26,0)</f>
        <v>0</v>
      </c>
      <c r="AR73" s="342">
        <f t="shared" ref="AR73:AR87" si="92">IF(AND($H$31&lt;&gt;1,$G$29=Y73),$J$29,0)</f>
        <v>0</v>
      </c>
      <c r="AS73" s="343">
        <f t="shared" ref="AS73:AS87" si="93">IF(AND($R$31&lt;&gt;1,$Q$29=Y73),$T$29,0)</f>
        <v>0</v>
      </c>
      <c r="AT73" s="343">
        <f t="shared" ref="AT73:AT87" si="94">IF(AND($AB$31&lt;&gt;1,$AA$29=Y73),$AD$29,0)</f>
        <v>0</v>
      </c>
      <c r="AU73" s="343">
        <f t="shared" ref="AU73:AU87" si="95">IF(AND($AL$31&lt;&gt;1,$AK$29=Y73),$AN$29,0)</f>
        <v>0</v>
      </c>
      <c r="AV73" s="342">
        <f t="shared" ref="AV73:AV87" si="96">IF(AND($H$34&lt;&gt;1,$G$32=Y73),$J$32,0)</f>
        <v>0</v>
      </c>
      <c r="AW73" s="343">
        <f t="shared" ref="AW73:AW87" si="97">IF(AND($R$34&lt;&gt;1,$Q$32=Y73),$T$32,0)</f>
        <v>0</v>
      </c>
      <c r="AX73" s="343">
        <f t="shared" ref="AX73:AX87" si="98">IF(AND($AB$34&lt;&gt;1,$AA$32=Y73),$AD$32,0)</f>
        <v>0</v>
      </c>
      <c r="AY73" s="345">
        <f t="shared" ref="AY73:AY87" si="99">IF(AND($AL$34&lt;&gt;1,$AK$32=Y73),$AN$32,0)</f>
        <v>0</v>
      </c>
      <c r="AZ73" s="168">
        <f t="shared" si="71"/>
        <v>0</v>
      </c>
      <c r="BA73" s="157" t="b">
        <f t="shared" si="72"/>
        <v>0</v>
      </c>
      <c r="BB73" s="157" t="b">
        <f t="shared" si="73"/>
        <v>0</v>
      </c>
      <c r="BC73" s="168">
        <f t="shared" ref="BC73:BC87" si="100">IF(BB73=TRUE,"NP",IF(BA73=TRUE,"UL",AZ73*AA73))</f>
        <v>0</v>
      </c>
    </row>
    <row r="74" spans="1:60" x14ac:dyDescent="0.2">
      <c r="A74" s="216"/>
      <c r="B74" s="226" t="str">
        <f>IF(B17&gt;$D$10,"","Level "&amp;B17)</f>
        <v/>
      </c>
      <c r="C74" s="227"/>
      <c r="D74" s="228"/>
      <c r="E74" s="229" t="str">
        <f>IF(F74=0,"","Occ.")</f>
        <v/>
      </c>
      <c r="F74" s="227">
        <f>VLOOKUP(G17,$D$38:$E$67,2)</f>
        <v>0</v>
      </c>
      <c r="G74" s="228"/>
      <c r="H74" s="229" t="str">
        <f>IF(I74=0,"","Occ.")</f>
        <v/>
      </c>
      <c r="I74" s="227">
        <f>VLOOKUP(Q17,$D$38:$E$67,2)</f>
        <v>0</v>
      </c>
      <c r="J74" s="228"/>
      <c r="K74" s="229" t="str">
        <f>IF(L74=0,"","Occ.")</f>
        <v/>
      </c>
      <c r="L74" s="229">
        <f>VLOOKUP(AA17,$D$38:$E$67,2)</f>
        <v>0</v>
      </c>
      <c r="M74" s="228"/>
      <c r="N74" s="229" t="str">
        <f>IF(O74=0,"","Occ.")</f>
        <v/>
      </c>
      <c r="O74" s="227">
        <f>VLOOKUP(AK17,$D$38:$E$67,2)</f>
        <v>0</v>
      </c>
      <c r="S74">
        <f>COUNTIF(S75:V80,2)</f>
        <v>0</v>
      </c>
      <c r="T74" t="s">
        <v>138</v>
      </c>
      <c r="X74" s="81" t="s">
        <v>3</v>
      </c>
      <c r="Y74" s="111">
        <f t="shared" si="74"/>
        <v>4</v>
      </c>
      <c r="Z74" s="112"/>
      <c r="AA74" s="341">
        <f t="shared" si="75"/>
        <v>0</v>
      </c>
      <c r="AB74" s="342">
        <f t="shared" si="76"/>
        <v>0</v>
      </c>
      <c r="AC74" s="343">
        <f t="shared" si="77"/>
        <v>0</v>
      </c>
      <c r="AD74" s="343">
        <f>IF(AND($AB$19&lt;&gt;1,$AA$17=Y74),$AD$17,0)</f>
        <v>0</v>
      </c>
      <c r="AE74" s="343">
        <f t="shared" si="79"/>
        <v>0</v>
      </c>
      <c r="AF74" s="342">
        <f t="shared" si="80"/>
        <v>0</v>
      </c>
      <c r="AG74" s="343">
        <f t="shared" si="81"/>
        <v>0</v>
      </c>
      <c r="AH74" s="343">
        <f t="shared" si="82"/>
        <v>0</v>
      </c>
      <c r="AI74" s="343">
        <f t="shared" si="83"/>
        <v>0</v>
      </c>
      <c r="AJ74" s="342">
        <f t="shared" si="84"/>
        <v>0</v>
      </c>
      <c r="AK74" s="343">
        <f t="shared" si="85"/>
        <v>0</v>
      </c>
      <c r="AL74" s="343">
        <f t="shared" si="86"/>
        <v>0</v>
      </c>
      <c r="AM74" s="343">
        <f t="shared" si="87"/>
        <v>0</v>
      </c>
      <c r="AN74" s="342">
        <f t="shared" si="88"/>
        <v>0</v>
      </c>
      <c r="AO74" s="343">
        <f t="shared" si="89"/>
        <v>0</v>
      </c>
      <c r="AP74" s="343">
        <f t="shared" si="90"/>
        <v>0</v>
      </c>
      <c r="AQ74" s="343">
        <f t="shared" si="91"/>
        <v>0</v>
      </c>
      <c r="AR74" s="342">
        <f t="shared" si="92"/>
        <v>0</v>
      </c>
      <c r="AS74" s="343">
        <f t="shared" si="93"/>
        <v>0</v>
      </c>
      <c r="AT74" s="343">
        <f t="shared" si="94"/>
        <v>0</v>
      </c>
      <c r="AU74" s="343">
        <f t="shared" si="95"/>
        <v>0</v>
      </c>
      <c r="AV74" s="342">
        <f t="shared" si="96"/>
        <v>0</v>
      </c>
      <c r="AW74" s="343">
        <f t="shared" si="97"/>
        <v>0</v>
      </c>
      <c r="AX74" s="343">
        <f t="shared" si="98"/>
        <v>0</v>
      </c>
      <c r="AY74" s="345">
        <f t="shared" si="99"/>
        <v>0</v>
      </c>
      <c r="AZ74" s="168">
        <f t="shared" si="71"/>
        <v>0</v>
      </c>
      <c r="BA74" s="157" t="b">
        <f t="shared" si="72"/>
        <v>0</v>
      </c>
      <c r="BB74" s="157" t="b">
        <f t="shared" si="73"/>
        <v>0</v>
      </c>
      <c r="BC74" s="168">
        <f t="shared" si="100"/>
        <v>0</v>
      </c>
    </row>
    <row r="75" spans="1:60" x14ac:dyDescent="0.2">
      <c r="A75" s="217" t="str">
        <f>IF(B17&gt;$D$10,"","Area")</f>
        <v/>
      </c>
      <c r="B75" s="230">
        <f>IF(OR(AR17="NP",AR17="OL"),AR17,IF(OR(D75="SPA",G75="SPA",J75="SPA",M75="SPA"),"SPA",AR17))</f>
        <v>0</v>
      </c>
      <c r="C75" s="222"/>
      <c r="D75" s="230" t="str">
        <f>IF(H19=3,"OK",IF(H19=2,"SPA",IF(H19=1,"OL",IF(H19=0,"",H19))))</f>
        <v/>
      </c>
      <c r="E75" s="223">
        <f>H17</f>
        <v>0</v>
      </c>
      <c r="F75" s="222">
        <f>J17</f>
        <v>0</v>
      </c>
      <c r="G75" s="230" t="str">
        <f>IF(R19=3,"OK",IF(R19=2,"SPA",IF(R19=1,"OL",IF(R19=0,"",R19))))</f>
        <v/>
      </c>
      <c r="H75" s="223">
        <f>R17</f>
        <v>0</v>
      </c>
      <c r="I75" s="222">
        <f>T17</f>
        <v>0</v>
      </c>
      <c r="J75" s="230" t="str">
        <f>IF(AB19=3,"OK",IF(AB19=2,"SPA",IF(AB19=1,"OL",IF(AB19=0,"",AB19))))</f>
        <v/>
      </c>
      <c r="K75" s="223">
        <f>AB17</f>
        <v>0</v>
      </c>
      <c r="L75" s="223">
        <f>AD17</f>
        <v>0</v>
      </c>
      <c r="M75" s="230" t="str">
        <f>IF(AL19=3,"OK",IF(AL19=2,"SPA",IF(AL19=1,"OL",IF(AL19=0,"",AL19))))</f>
        <v/>
      </c>
      <c r="N75" s="223">
        <f>AL17</f>
        <v>0</v>
      </c>
      <c r="O75" s="222">
        <f>AN17</f>
        <v>0</v>
      </c>
      <c r="Q75" s="217"/>
      <c r="S75" s="199">
        <f>H19</f>
        <v>0</v>
      </c>
      <c r="T75" s="201">
        <f>R19</f>
        <v>0</v>
      </c>
      <c r="U75" s="201">
        <f>AB19</f>
        <v>0</v>
      </c>
      <c r="V75" s="205">
        <f>AL19</f>
        <v>0</v>
      </c>
      <c r="X75" s="81" t="s">
        <v>4</v>
      </c>
      <c r="Y75" s="111">
        <f t="shared" si="74"/>
        <v>5</v>
      </c>
      <c r="Z75" s="112"/>
      <c r="AA75" s="341">
        <f t="shared" si="75"/>
        <v>0</v>
      </c>
      <c r="AB75" s="342">
        <f t="shared" si="76"/>
        <v>0</v>
      </c>
      <c r="AC75" s="343">
        <f t="shared" si="77"/>
        <v>0</v>
      </c>
      <c r="AD75" s="343">
        <f t="shared" si="78"/>
        <v>0</v>
      </c>
      <c r="AE75" s="343">
        <f t="shared" si="79"/>
        <v>0</v>
      </c>
      <c r="AF75" s="342">
        <f t="shared" si="80"/>
        <v>0</v>
      </c>
      <c r="AG75" s="343">
        <f t="shared" si="81"/>
        <v>0</v>
      </c>
      <c r="AH75" s="343">
        <f t="shared" si="82"/>
        <v>0</v>
      </c>
      <c r="AI75" s="343">
        <f t="shared" si="83"/>
        <v>0</v>
      </c>
      <c r="AJ75" s="342">
        <f t="shared" si="84"/>
        <v>0</v>
      </c>
      <c r="AK75" s="343">
        <f t="shared" si="85"/>
        <v>0</v>
      </c>
      <c r="AL75" s="343">
        <f t="shared" si="86"/>
        <v>0</v>
      </c>
      <c r="AM75" s="343">
        <f t="shared" si="87"/>
        <v>0</v>
      </c>
      <c r="AN75" s="342">
        <f t="shared" si="88"/>
        <v>0</v>
      </c>
      <c r="AO75" s="343">
        <f t="shared" si="89"/>
        <v>0</v>
      </c>
      <c r="AP75" s="343">
        <f t="shared" si="90"/>
        <v>0</v>
      </c>
      <c r="AQ75" s="343">
        <f t="shared" si="91"/>
        <v>0</v>
      </c>
      <c r="AR75" s="342">
        <f t="shared" si="92"/>
        <v>0</v>
      </c>
      <c r="AS75" s="343">
        <f t="shared" si="93"/>
        <v>0</v>
      </c>
      <c r="AT75" s="343">
        <f t="shared" si="94"/>
        <v>0</v>
      </c>
      <c r="AU75" s="343">
        <f t="shared" si="95"/>
        <v>0</v>
      </c>
      <c r="AV75" s="342">
        <f t="shared" si="96"/>
        <v>0</v>
      </c>
      <c r="AW75" s="343">
        <f t="shared" si="97"/>
        <v>0</v>
      </c>
      <c r="AX75" s="343">
        <f t="shared" si="98"/>
        <v>0</v>
      </c>
      <c r="AY75" s="345">
        <f t="shared" si="99"/>
        <v>0</v>
      </c>
      <c r="AZ75" s="168">
        <f t="shared" si="71"/>
        <v>0</v>
      </c>
      <c r="BA75" s="157" t="b">
        <f t="shared" si="72"/>
        <v>0</v>
      </c>
      <c r="BB75" s="157" t="b">
        <f t="shared" si="73"/>
        <v>0</v>
      </c>
      <c r="BC75" s="168">
        <f t="shared" si="100"/>
        <v>0</v>
      </c>
    </row>
    <row r="76" spans="1:60" x14ac:dyDescent="0.2">
      <c r="A76" s="217" t="str">
        <f>IF(B17&gt;$D$10,"","Height")</f>
        <v/>
      </c>
      <c r="B76" s="215">
        <f>IF(OR($D$7=1,$D$9&lt;=0,$D$10&lt;=0),0,IF(OR(D76="NP",G76="NP",J76="NP",M76="NP"),"NP",IF(OR(D76="OL",G76="OL",J76="OL",M76="OL"),"OL",IF(OR(D76="SPH",G76="SPH",J76="SPH",M76="SPH"),"SPH",IF(AND(D76=0,D76=0,G76=0,J76=0,M76=0),"","OK")))))</f>
        <v>0</v>
      </c>
      <c r="C76" s="214"/>
      <c r="D76" s="215">
        <f>IF(B18=1,"OL",IF(B18=2,"SPH",IF(B18=3,"OK",B18)))</f>
        <v>0</v>
      </c>
      <c r="E76" s="171">
        <f>IF(F74=0,0,$D$9)</f>
        <v>0</v>
      </c>
      <c r="F76" s="214">
        <f>J18</f>
        <v>0</v>
      </c>
      <c r="G76" s="215">
        <f>IF(L18=1,"OL",IF(L18=2,"SPH",IF(L18=3,"OK",L18)))</f>
        <v>0</v>
      </c>
      <c r="H76" s="171">
        <f>IF(I74=0,0,$D$9)</f>
        <v>0</v>
      </c>
      <c r="I76" s="214">
        <f>T18</f>
        <v>0</v>
      </c>
      <c r="J76" s="215">
        <f>IF(V18=1,"OL",IF(V18=2,"SPH",IF(V18=3,"OK",V18)))</f>
        <v>0</v>
      </c>
      <c r="K76" s="171">
        <f>IF(L74=0,0,$D$9)</f>
        <v>0</v>
      </c>
      <c r="L76" s="171">
        <f>AD18</f>
        <v>0</v>
      </c>
      <c r="M76" s="215">
        <f>IF(AF18=1,"OL",IF(AF18=2,"SPH",IF(AF18=3,"OK",AF18)))</f>
        <v>0</v>
      </c>
      <c r="N76" s="171">
        <f>IF(O74=0,0,$D$9)</f>
        <v>0</v>
      </c>
      <c r="O76" s="214">
        <f>AN18</f>
        <v>0</v>
      </c>
      <c r="Q76" s="217"/>
      <c r="S76" s="200">
        <f>H22</f>
        <v>0</v>
      </c>
      <c r="T76" s="202">
        <f>R22</f>
        <v>0</v>
      </c>
      <c r="U76" s="202">
        <f>AB22</f>
        <v>0</v>
      </c>
      <c r="V76" s="206">
        <f>AL22</f>
        <v>0</v>
      </c>
      <c r="X76" s="81" t="s">
        <v>5</v>
      </c>
      <c r="Y76" s="111">
        <f t="shared" si="74"/>
        <v>6</v>
      </c>
      <c r="Z76" s="112"/>
      <c r="AA76" s="341">
        <f t="shared" si="75"/>
        <v>0</v>
      </c>
      <c r="AB76" s="342">
        <f t="shared" si="76"/>
        <v>0</v>
      </c>
      <c r="AC76" s="343">
        <f t="shared" si="77"/>
        <v>0</v>
      </c>
      <c r="AD76" s="343">
        <f t="shared" si="78"/>
        <v>0</v>
      </c>
      <c r="AE76" s="343">
        <f t="shared" si="79"/>
        <v>0</v>
      </c>
      <c r="AF76" s="342">
        <f t="shared" si="80"/>
        <v>0</v>
      </c>
      <c r="AG76" s="343">
        <f t="shared" si="81"/>
        <v>0</v>
      </c>
      <c r="AH76" s="343">
        <f t="shared" si="82"/>
        <v>0</v>
      </c>
      <c r="AI76" s="343">
        <f t="shared" si="83"/>
        <v>0</v>
      </c>
      <c r="AJ76" s="342">
        <f t="shared" si="84"/>
        <v>0</v>
      </c>
      <c r="AK76" s="343">
        <f t="shared" si="85"/>
        <v>0</v>
      </c>
      <c r="AL76" s="343">
        <f t="shared" si="86"/>
        <v>0</v>
      </c>
      <c r="AM76" s="343">
        <f t="shared" si="87"/>
        <v>0</v>
      </c>
      <c r="AN76" s="342">
        <f t="shared" si="88"/>
        <v>0</v>
      </c>
      <c r="AO76" s="343">
        <f t="shared" si="89"/>
        <v>0</v>
      </c>
      <c r="AP76" s="343">
        <f t="shared" si="90"/>
        <v>0</v>
      </c>
      <c r="AQ76" s="343">
        <f t="shared" si="91"/>
        <v>0</v>
      </c>
      <c r="AR76" s="342">
        <f t="shared" si="92"/>
        <v>0</v>
      </c>
      <c r="AS76" s="343">
        <f t="shared" si="93"/>
        <v>0</v>
      </c>
      <c r="AT76" s="343">
        <f t="shared" si="94"/>
        <v>0</v>
      </c>
      <c r="AU76" s="343">
        <f t="shared" si="95"/>
        <v>0</v>
      </c>
      <c r="AV76" s="342">
        <f t="shared" si="96"/>
        <v>0</v>
      </c>
      <c r="AW76" s="343">
        <f t="shared" si="97"/>
        <v>0</v>
      </c>
      <c r="AX76" s="343">
        <f t="shared" si="98"/>
        <v>0</v>
      </c>
      <c r="AY76" s="345">
        <f t="shared" si="99"/>
        <v>0</v>
      </c>
      <c r="AZ76" s="168">
        <f>MAX(AB76:AY76)</f>
        <v>0</v>
      </c>
      <c r="BA76" s="157" t="b">
        <f t="shared" si="72"/>
        <v>0</v>
      </c>
      <c r="BB76" s="157" t="b">
        <f t="shared" si="73"/>
        <v>0</v>
      </c>
      <c r="BC76" s="168">
        <f t="shared" si="100"/>
        <v>0</v>
      </c>
    </row>
    <row r="77" spans="1:60" x14ac:dyDescent="0.2">
      <c r="A77" s="217" t="str">
        <f>IF(B17&gt;$D$10,"","Stories")</f>
        <v/>
      </c>
      <c r="B77" s="215">
        <f>IF(OR($D$7=1,$D$9&lt;=0,$D$10&lt;=0),0,IF(OR(D77="NP",G77="NP",J77="NP",M77="NP"),"NP",IF(OR(D77="OL",G77="OL",J77="OL",M77="OL"),"OL",IF(OR(D77="SPS",G77="SPS",J77="SPS",M77="SPS"),"SPS",IF(AND(D77=0,D77=0,G77=0,J77=0,M77=0),"","OK")))))</f>
        <v>0</v>
      </c>
      <c r="C77" s="214"/>
      <c r="D77" s="215">
        <f>IF(B19=1,"OL",IF(B19=2,"SPS",IF(B19=3,"OK",B19)))</f>
        <v>0</v>
      </c>
      <c r="E77" s="171" t="str">
        <f>Q46</f>
        <v/>
      </c>
      <c r="F77" s="214">
        <f>O46</f>
        <v>0</v>
      </c>
      <c r="G77" s="215">
        <f>IF(L19=1,"OL",IF(L19=2,"SPS",IF(L19=3,"OK",L19)))</f>
        <v>0</v>
      </c>
      <c r="H77" s="171" t="str">
        <f>Q52</f>
        <v/>
      </c>
      <c r="I77" s="214">
        <f>O52</f>
        <v>0</v>
      </c>
      <c r="J77" s="215">
        <f>IF(V19=1,"OL",IF(V19=2,"SPS",IF(V19=3,"OK",V19)))</f>
        <v>0</v>
      </c>
      <c r="K77" s="171" t="str">
        <f>Q58</f>
        <v/>
      </c>
      <c r="L77" s="171">
        <f>O58</f>
        <v>0</v>
      </c>
      <c r="M77" s="215">
        <f>IF(AF19=1,"OL",IF(AF19=2,"SPS",IF(AF19=3,"OK",AF19)))</f>
        <v>0</v>
      </c>
      <c r="N77" s="171" t="str">
        <f>Q64</f>
        <v/>
      </c>
      <c r="O77" s="214">
        <f>O64</f>
        <v>0</v>
      </c>
      <c r="Q77" s="217"/>
      <c r="S77" s="200">
        <f>H25</f>
        <v>0</v>
      </c>
      <c r="T77" s="202">
        <f>R25</f>
        <v>0</v>
      </c>
      <c r="U77" s="202">
        <f>AB25</f>
        <v>0</v>
      </c>
      <c r="V77" s="206">
        <f>AL25</f>
        <v>0</v>
      </c>
      <c r="X77" s="81" t="s">
        <v>6</v>
      </c>
      <c r="Y77" s="111">
        <f t="shared" si="74"/>
        <v>7</v>
      </c>
      <c r="Z77" s="113"/>
      <c r="AA77" s="341">
        <f t="shared" si="75"/>
        <v>0</v>
      </c>
      <c r="AB77" s="342">
        <f t="shared" si="76"/>
        <v>0</v>
      </c>
      <c r="AC77" s="343">
        <f t="shared" si="77"/>
        <v>0</v>
      </c>
      <c r="AD77" s="343">
        <f t="shared" si="78"/>
        <v>0</v>
      </c>
      <c r="AE77" s="343">
        <f t="shared" si="79"/>
        <v>0</v>
      </c>
      <c r="AF77" s="342">
        <f t="shared" si="80"/>
        <v>0</v>
      </c>
      <c r="AG77" s="343">
        <f t="shared" si="81"/>
        <v>0</v>
      </c>
      <c r="AH77" s="343">
        <f t="shared" si="82"/>
        <v>0</v>
      </c>
      <c r="AI77" s="343">
        <f t="shared" si="83"/>
        <v>0</v>
      </c>
      <c r="AJ77" s="342">
        <f t="shared" si="84"/>
        <v>0</v>
      </c>
      <c r="AK77" s="343">
        <f t="shared" si="85"/>
        <v>0</v>
      </c>
      <c r="AL77" s="343">
        <f t="shared" si="86"/>
        <v>0</v>
      </c>
      <c r="AM77" s="343">
        <f t="shared" si="87"/>
        <v>0</v>
      </c>
      <c r="AN77" s="342">
        <f t="shared" si="88"/>
        <v>0</v>
      </c>
      <c r="AO77" s="343">
        <f t="shared" si="89"/>
        <v>0</v>
      </c>
      <c r="AP77" s="343">
        <f t="shared" si="90"/>
        <v>0</v>
      </c>
      <c r="AQ77" s="343">
        <f t="shared" si="91"/>
        <v>0</v>
      </c>
      <c r="AR77" s="342">
        <f t="shared" si="92"/>
        <v>0</v>
      </c>
      <c r="AS77" s="343">
        <f t="shared" si="93"/>
        <v>0</v>
      </c>
      <c r="AT77" s="343">
        <f t="shared" si="94"/>
        <v>0</v>
      </c>
      <c r="AU77" s="343">
        <f t="shared" si="95"/>
        <v>0</v>
      </c>
      <c r="AV77" s="342">
        <f t="shared" si="96"/>
        <v>0</v>
      </c>
      <c r="AW77" s="343">
        <f t="shared" si="97"/>
        <v>0</v>
      </c>
      <c r="AX77" s="343">
        <f t="shared" si="98"/>
        <v>0</v>
      </c>
      <c r="AY77" s="345">
        <f t="shared" si="99"/>
        <v>0</v>
      </c>
      <c r="AZ77" s="168">
        <f t="shared" si="71"/>
        <v>0</v>
      </c>
      <c r="BA77" s="157" t="b">
        <f t="shared" si="72"/>
        <v>0</v>
      </c>
      <c r="BB77" s="157" t="b">
        <f t="shared" si="73"/>
        <v>0</v>
      </c>
      <c r="BC77" s="168">
        <f t="shared" si="100"/>
        <v>0</v>
      </c>
    </row>
    <row r="78" spans="1:60" x14ac:dyDescent="0.2">
      <c r="A78" s="216"/>
      <c r="B78" s="226" t="str">
        <f>IF(B20&gt;$D$10,"","Level "&amp;B20)</f>
        <v/>
      </c>
      <c r="C78" s="227"/>
      <c r="D78" s="228"/>
      <c r="E78" s="229" t="str">
        <f>IF(F78=0,"","Occ.")</f>
        <v/>
      </c>
      <c r="F78" s="227">
        <f>VLOOKUP(G20,$D$38:$E$67,2)</f>
        <v>0</v>
      </c>
      <c r="G78" s="228"/>
      <c r="H78" s="229" t="str">
        <f>IF(I78=0,"","Occ.")</f>
        <v/>
      </c>
      <c r="I78" s="227">
        <f>VLOOKUP(Q20,$D$38:$E$67,2)</f>
        <v>0</v>
      </c>
      <c r="J78" s="228"/>
      <c r="K78" s="229" t="str">
        <f>IF(L78=0,"","Occ.")</f>
        <v/>
      </c>
      <c r="L78" s="229">
        <f>VLOOKUP(AA20,$D$38:$E$67,2)</f>
        <v>0</v>
      </c>
      <c r="M78" s="228"/>
      <c r="N78" s="229" t="str">
        <f>IF(O78=0,"","Occ.")</f>
        <v/>
      </c>
      <c r="O78" s="227">
        <f>VLOOKUP(AK20,$D$38:$E$67,2)</f>
        <v>0</v>
      </c>
      <c r="Q78" s="217"/>
      <c r="S78" s="200">
        <f>H28</f>
        <v>0</v>
      </c>
      <c r="T78" s="202">
        <f>R28</f>
        <v>0</v>
      </c>
      <c r="U78" s="202">
        <f>AB28</f>
        <v>0</v>
      </c>
      <c r="V78" s="206">
        <f>AL28</f>
        <v>0</v>
      </c>
      <c r="X78" s="81" t="s">
        <v>7</v>
      </c>
      <c r="Y78" s="111">
        <f t="shared" si="74"/>
        <v>8</v>
      </c>
      <c r="Z78" s="112"/>
      <c r="AA78" s="341">
        <f t="shared" si="75"/>
        <v>0</v>
      </c>
      <c r="AB78" s="342">
        <f t="shared" si="76"/>
        <v>0</v>
      </c>
      <c r="AC78" s="343">
        <f t="shared" si="77"/>
        <v>0</v>
      </c>
      <c r="AD78" s="343">
        <f t="shared" si="78"/>
        <v>0</v>
      </c>
      <c r="AE78" s="343">
        <f t="shared" si="79"/>
        <v>0</v>
      </c>
      <c r="AF78" s="342">
        <f t="shared" si="80"/>
        <v>0</v>
      </c>
      <c r="AG78" s="343">
        <f t="shared" si="81"/>
        <v>0</v>
      </c>
      <c r="AH78" s="343">
        <f t="shared" si="82"/>
        <v>0</v>
      </c>
      <c r="AI78" s="343">
        <f t="shared" si="83"/>
        <v>0</v>
      </c>
      <c r="AJ78" s="342">
        <f t="shared" si="84"/>
        <v>0</v>
      </c>
      <c r="AK78" s="343">
        <f t="shared" si="85"/>
        <v>0</v>
      </c>
      <c r="AL78" s="343">
        <f t="shared" si="86"/>
        <v>0</v>
      </c>
      <c r="AM78" s="343">
        <f t="shared" si="87"/>
        <v>0</v>
      </c>
      <c r="AN78" s="342">
        <f t="shared" si="88"/>
        <v>0</v>
      </c>
      <c r="AO78" s="343">
        <f t="shared" si="89"/>
        <v>0</v>
      </c>
      <c r="AP78" s="343">
        <f t="shared" si="90"/>
        <v>0</v>
      </c>
      <c r="AQ78" s="343">
        <f t="shared" si="91"/>
        <v>0</v>
      </c>
      <c r="AR78" s="342">
        <f t="shared" si="92"/>
        <v>0</v>
      </c>
      <c r="AS78" s="343">
        <f t="shared" si="93"/>
        <v>0</v>
      </c>
      <c r="AT78" s="343">
        <f t="shared" si="94"/>
        <v>0</v>
      </c>
      <c r="AU78" s="343">
        <f t="shared" si="95"/>
        <v>0</v>
      </c>
      <c r="AV78" s="342">
        <f t="shared" si="96"/>
        <v>0</v>
      </c>
      <c r="AW78" s="343">
        <f t="shared" si="97"/>
        <v>0</v>
      </c>
      <c r="AX78" s="343">
        <f t="shared" si="98"/>
        <v>0</v>
      </c>
      <c r="AY78" s="345">
        <f t="shared" si="99"/>
        <v>0</v>
      </c>
      <c r="AZ78" s="168">
        <f t="shared" si="71"/>
        <v>0</v>
      </c>
      <c r="BA78" s="157" t="b">
        <f t="shared" si="72"/>
        <v>0</v>
      </c>
      <c r="BB78" s="157" t="b">
        <f t="shared" si="73"/>
        <v>0</v>
      </c>
      <c r="BC78" s="168">
        <f t="shared" si="100"/>
        <v>0</v>
      </c>
    </row>
    <row r="79" spans="1:60" x14ac:dyDescent="0.2">
      <c r="A79" s="217" t="str">
        <f>IF(B20&gt;$D$10,"","Area")</f>
        <v/>
      </c>
      <c r="B79" s="230">
        <f>IF(OR(AR20="NP",AR20="OL"),AR20,IF(OR(D79="SPA",G79="SPA",J79="SPA",M79="SPA"),"SPA",AR20))</f>
        <v>0</v>
      </c>
      <c r="C79" s="222"/>
      <c r="D79" s="230" t="str">
        <f>IF(H22=3,"OK",IF(H22=2,"SPA",IF(H22=1,"OL",IF(H22=0,"",H22))))</f>
        <v/>
      </c>
      <c r="E79" s="223">
        <f>H20</f>
        <v>0</v>
      </c>
      <c r="F79" s="222">
        <f>J20</f>
        <v>0</v>
      </c>
      <c r="G79" s="230" t="str">
        <f>IF(R22=3,"OK",IF(R22=2,"SPA",IF(R22=1,"OL",IF(R22=0,"",R22))))</f>
        <v/>
      </c>
      <c r="H79" s="223">
        <f>R20</f>
        <v>0</v>
      </c>
      <c r="I79" s="222">
        <f>T20</f>
        <v>0</v>
      </c>
      <c r="J79" s="230" t="str">
        <f>IF(AB22=3,"OK",IF(AB22=2,"SPA",IF(AB22=1,"OL",IF(AB22=0,"",AB22))))</f>
        <v/>
      </c>
      <c r="K79" s="223">
        <f>AB20</f>
        <v>0</v>
      </c>
      <c r="L79" s="223">
        <f>AD20</f>
        <v>0</v>
      </c>
      <c r="M79" s="230" t="str">
        <f>IF(AL22=3,"OK",IF(AL22=2,"SPA",IF(AL22=1,"OL",IF(AL22=0,"",AL22))))</f>
        <v/>
      </c>
      <c r="N79" s="223">
        <f>AL20</f>
        <v>0</v>
      </c>
      <c r="O79" s="222">
        <f>AN20</f>
        <v>0</v>
      </c>
      <c r="Q79" s="217"/>
      <c r="S79" s="200">
        <f>H31</f>
        <v>0</v>
      </c>
      <c r="T79" s="202">
        <f>R31</f>
        <v>0</v>
      </c>
      <c r="U79" s="202">
        <f>AB31</f>
        <v>0</v>
      </c>
      <c r="V79" s="206">
        <f>AL31</f>
        <v>0</v>
      </c>
      <c r="X79" s="81" t="s">
        <v>8</v>
      </c>
      <c r="Y79" s="111">
        <f t="shared" si="74"/>
        <v>9</v>
      </c>
      <c r="Z79" s="113"/>
      <c r="AA79" s="341">
        <f t="shared" si="75"/>
        <v>0</v>
      </c>
      <c r="AB79" s="342">
        <f t="shared" si="76"/>
        <v>0</v>
      </c>
      <c r="AC79" s="343">
        <f t="shared" si="77"/>
        <v>0</v>
      </c>
      <c r="AD79" s="343">
        <f t="shared" si="78"/>
        <v>0</v>
      </c>
      <c r="AE79" s="343">
        <f t="shared" si="79"/>
        <v>0</v>
      </c>
      <c r="AF79" s="342">
        <f t="shared" si="80"/>
        <v>0</v>
      </c>
      <c r="AG79" s="343">
        <f t="shared" si="81"/>
        <v>0</v>
      </c>
      <c r="AH79" s="343">
        <f t="shared" si="82"/>
        <v>0</v>
      </c>
      <c r="AI79" s="343">
        <f t="shared" si="83"/>
        <v>0</v>
      </c>
      <c r="AJ79" s="342">
        <f t="shared" si="84"/>
        <v>0</v>
      </c>
      <c r="AK79" s="343">
        <f t="shared" si="85"/>
        <v>0</v>
      </c>
      <c r="AL79" s="343">
        <f t="shared" si="86"/>
        <v>0</v>
      </c>
      <c r="AM79" s="343">
        <f t="shared" si="87"/>
        <v>0</v>
      </c>
      <c r="AN79" s="342">
        <f t="shared" si="88"/>
        <v>0</v>
      </c>
      <c r="AO79" s="343">
        <f t="shared" si="89"/>
        <v>0</v>
      </c>
      <c r="AP79" s="343">
        <f t="shared" si="90"/>
        <v>0</v>
      </c>
      <c r="AQ79" s="343">
        <f t="shared" si="91"/>
        <v>0</v>
      </c>
      <c r="AR79" s="342">
        <f t="shared" si="92"/>
        <v>0</v>
      </c>
      <c r="AS79" s="343">
        <f t="shared" si="93"/>
        <v>0</v>
      </c>
      <c r="AT79" s="343">
        <f t="shared" si="94"/>
        <v>0</v>
      </c>
      <c r="AU79" s="343">
        <f t="shared" si="95"/>
        <v>0</v>
      </c>
      <c r="AV79" s="342">
        <f t="shared" si="96"/>
        <v>0</v>
      </c>
      <c r="AW79" s="343">
        <f t="shared" si="97"/>
        <v>0</v>
      </c>
      <c r="AX79" s="343">
        <f t="shared" si="98"/>
        <v>0</v>
      </c>
      <c r="AY79" s="345">
        <f t="shared" si="99"/>
        <v>0</v>
      </c>
      <c r="AZ79" s="168">
        <f t="shared" si="71"/>
        <v>0</v>
      </c>
      <c r="BA79" s="157" t="b">
        <f t="shared" si="72"/>
        <v>0</v>
      </c>
      <c r="BB79" s="157" t="b">
        <f t="shared" si="73"/>
        <v>0</v>
      </c>
      <c r="BC79" s="168">
        <f t="shared" si="100"/>
        <v>0</v>
      </c>
    </row>
    <row r="80" spans="1:60" x14ac:dyDescent="0.2">
      <c r="A80" s="217" t="str">
        <f>IF(B20&gt;$D$10,"","Height")</f>
        <v/>
      </c>
      <c r="B80" s="215">
        <f>IF(OR($D$7=1,$D$9&lt;=0,$D$10&lt;=0),0,IF(OR(D80="NP",G80="NP",J80="NP",M80="NP"),"NP",IF(OR(D80="OL",G80="OL",J80="OL",M80="OL"),"OL",IF(OR(D80="SPH",G80="SPH",J80="SPH",M80="SPH"),"SPH",IF(AND(D80=0,D80=0,G80=0,J80=0,M80=0),"","OK")))))</f>
        <v>0</v>
      </c>
      <c r="C80" s="214"/>
      <c r="D80" s="215">
        <f>IF(B21=1,"OL",IF(B21=2,"SPH",IF(B21=3,"OK",B21)))</f>
        <v>0</v>
      </c>
      <c r="E80" s="171">
        <f>IF(F78=0,0,$D$9)</f>
        <v>0</v>
      </c>
      <c r="F80" s="214">
        <f>J21</f>
        <v>0</v>
      </c>
      <c r="G80" s="215">
        <f>IF(L21=1,"OL",IF(L21=2,"SPH",IF(L21=3,"OK",L21)))</f>
        <v>0</v>
      </c>
      <c r="H80" s="171">
        <f>IF(I78=0,0,$D$9)</f>
        <v>0</v>
      </c>
      <c r="I80" s="214">
        <f>T21</f>
        <v>0</v>
      </c>
      <c r="J80" s="215">
        <f>IF(V21=1,"OL",IF(V21=2,"SPH",IF(V21=3,"OK",V21)))</f>
        <v>0</v>
      </c>
      <c r="K80" s="171">
        <f>IF(L78=0,0,$D$9)</f>
        <v>0</v>
      </c>
      <c r="L80" s="171">
        <f>AD21</f>
        <v>0</v>
      </c>
      <c r="M80" s="215">
        <f>IF(AF21=1,"OL",IF(AF21=2,"SPH",IF(AF21=3,"OK",AF21)))</f>
        <v>0</v>
      </c>
      <c r="N80" s="171">
        <f>IF(O78=0,0,$D$9)</f>
        <v>0</v>
      </c>
      <c r="O80" s="214">
        <f>AN21</f>
        <v>0</v>
      </c>
      <c r="Q80" s="217"/>
      <c r="S80" s="204">
        <f>H34</f>
        <v>0</v>
      </c>
      <c r="T80" s="203">
        <f>R34</f>
        <v>0</v>
      </c>
      <c r="U80" s="203">
        <f>AB34</f>
        <v>0</v>
      </c>
      <c r="V80" s="207">
        <f>AL34</f>
        <v>0</v>
      </c>
      <c r="X80" s="81" t="s">
        <v>9</v>
      </c>
      <c r="Y80" s="111">
        <f t="shared" si="74"/>
        <v>10</v>
      </c>
      <c r="Z80" s="113"/>
      <c r="AA80" s="341">
        <f t="shared" si="75"/>
        <v>0</v>
      </c>
      <c r="AB80" s="342">
        <f t="shared" si="76"/>
        <v>0</v>
      </c>
      <c r="AC80" s="343">
        <f t="shared" si="77"/>
        <v>0</v>
      </c>
      <c r="AD80" s="343">
        <f t="shared" si="78"/>
        <v>0</v>
      </c>
      <c r="AE80" s="343">
        <f t="shared" si="79"/>
        <v>0</v>
      </c>
      <c r="AF80" s="342">
        <f t="shared" si="80"/>
        <v>0</v>
      </c>
      <c r="AG80" s="343">
        <f t="shared" si="81"/>
        <v>0</v>
      </c>
      <c r="AH80" s="343">
        <f t="shared" si="82"/>
        <v>0</v>
      </c>
      <c r="AI80" s="343">
        <f t="shared" si="83"/>
        <v>0</v>
      </c>
      <c r="AJ80" s="342">
        <f t="shared" si="84"/>
        <v>0</v>
      </c>
      <c r="AK80" s="343">
        <f t="shared" si="85"/>
        <v>0</v>
      </c>
      <c r="AL80" s="343">
        <f t="shared" si="86"/>
        <v>0</v>
      </c>
      <c r="AM80" s="343">
        <f t="shared" si="87"/>
        <v>0</v>
      </c>
      <c r="AN80" s="342">
        <f t="shared" si="88"/>
        <v>0</v>
      </c>
      <c r="AO80" s="343">
        <f t="shared" si="89"/>
        <v>0</v>
      </c>
      <c r="AP80" s="343">
        <f t="shared" si="90"/>
        <v>0</v>
      </c>
      <c r="AQ80" s="343">
        <f t="shared" si="91"/>
        <v>0</v>
      </c>
      <c r="AR80" s="342">
        <f t="shared" si="92"/>
        <v>0</v>
      </c>
      <c r="AS80" s="343">
        <f t="shared" si="93"/>
        <v>0</v>
      </c>
      <c r="AT80" s="343">
        <f t="shared" si="94"/>
        <v>0</v>
      </c>
      <c r="AU80" s="343">
        <f t="shared" si="95"/>
        <v>0</v>
      </c>
      <c r="AV80" s="342">
        <f t="shared" si="96"/>
        <v>0</v>
      </c>
      <c r="AW80" s="343">
        <f t="shared" si="97"/>
        <v>0</v>
      </c>
      <c r="AX80" s="343">
        <f t="shared" si="98"/>
        <v>0</v>
      </c>
      <c r="AY80" s="345">
        <f t="shared" si="99"/>
        <v>0</v>
      </c>
      <c r="AZ80" s="168">
        <f t="shared" si="71"/>
        <v>0</v>
      </c>
      <c r="BA80" s="157" t="b">
        <f t="shared" si="72"/>
        <v>0</v>
      </c>
      <c r="BB80" s="157" t="b">
        <f t="shared" si="73"/>
        <v>0</v>
      </c>
      <c r="BC80" s="168">
        <f t="shared" si="100"/>
        <v>0</v>
      </c>
    </row>
    <row r="81" spans="1:56" x14ac:dyDescent="0.2">
      <c r="A81" s="217" t="str">
        <f>IF(B20&gt;$D$10,"","Stories")</f>
        <v/>
      </c>
      <c r="B81" s="215">
        <f>IF(OR($D$7=1,$D$9&lt;=0,$D$10&lt;=0),0,IF(OR(D81="NP",G81="NP",J81="NP",M81="NP"),"NP",IF(OR(D81="OL",G81="OL",J81="OL",M81="OL"),"OL",IF(OR(D81="SPS",G81="SPS",J81="SPS",M81="SPS"),"SPS",IF(AND(D81=0,D81=0,G81=0,J81=0,M81=0),"","OK")))))</f>
        <v>0</v>
      </c>
      <c r="C81" s="214"/>
      <c r="D81" s="215">
        <f>IF(B22=1,"OL",IF(B22=2,"SPS",IF(B22=3,"OK",B22)))</f>
        <v>0</v>
      </c>
      <c r="E81" s="171" t="str">
        <f>Q47</f>
        <v/>
      </c>
      <c r="F81" s="214">
        <f>O47</f>
        <v>0</v>
      </c>
      <c r="G81" s="215">
        <f>IF(L22=1,"OL",IF(L22=2,"SPS",IF(L22=3,"OK",L22)))</f>
        <v>0</v>
      </c>
      <c r="H81" s="171" t="str">
        <f>Q53</f>
        <v/>
      </c>
      <c r="I81" s="214">
        <f>O53</f>
        <v>0</v>
      </c>
      <c r="J81" s="215">
        <f>IF(V22=1,"OL",IF(V22=2,"SPS",IF(V22=3,"OK",V22)))</f>
        <v>0</v>
      </c>
      <c r="K81" s="171" t="str">
        <f>Q59</f>
        <v/>
      </c>
      <c r="L81" s="171">
        <f>O59</f>
        <v>0</v>
      </c>
      <c r="M81" s="215">
        <f>IF(AF22=1,"OL",IF(AF22=2,"SPS",IF(AF22=3,"OK",AF22)))</f>
        <v>0</v>
      </c>
      <c r="N81" s="171" t="str">
        <f>Q65</f>
        <v/>
      </c>
      <c r="O81" s="214">
        <f>O65</f>
        <v>0</v>
      </c>
      <c r="Q81" s="217"/>
      <c r="X81" s="81" t="s">
        <v>10</v>
      </c>
      <c r="Y81" s="111">
        <f t="shared" si="74"/>
        <v>11</v>
      </c>
      <c r="Z81" s="112"/>
      <c r="AA81" s="341">
        <f t="shared" si="75"/>
        <v>0</v>
      </c>
      <c r="AB81" s="342">
        <f t="shared" si="76"/>
        <v>0</v>
      </c>
      <c r="AC81" s="343">
        <f t="shared" si="77"/>
        <v>0</v>
      </c>
      <c r="AD81" s="343">
        <f t="shared" si="78"/>
        <v>0</v>
      </c>
      <c r="AE81" s="343">
        <f t="shared" si="79"/>
        <v>0</v>
      </c>
      <c r="AF81" s="342">
        <f t="shared" si="80"/>
        <v>0</v>
      </c>
      <c r="AG81" s="343">
        <f t="shared" si="81"/>
        <v>0</v>
      </c>
      <c r="AH81" s="343">
        <f t="shared" si="82"/>
        <v>0</v>
      </c>
      <c r="AI81" s="343">
        <f t="shared" si="83"/>
        <v>0</v>
      </c>
      <c r="AJ81" s="342">
        <f t="shared" si="84"/>
        <v>0</v>
      </c>
      <c r="AK81" s="343">
        <f t="shared" si="85"/>
        <v>0</v>
      </c>
      <c r="AL81" s="343">
        <f t="shared" si="86"/>
        <v>0</v>
      </c>
      <c r="AM81" s="343">
        <f t="shared" si="87"/>
        <v>0</v>
      </c>
      <c r="AN81" s="342">
        <f t="shared" si="88"/>
        <v>0</v>
      </c>
      <c r="AO81" s="343">
        <f t="shared" si="89"/>
        <v>0</v>
      </c>
      <c r="AP81" s="343">
        <f t="shared" si="90"/>
        <v>0</v>
      </c>
      <c r="AQ81" s="343">
        <f t="shared" si="91"/>
        <v>0</v>
      </c>
      <c r="AR81" s="342">
        <f t="shared" si="92"/>
        <v>0</v>
      </c>
      <c r="AS81" s="343">
        <f t="shared" si="93"/>
        <v>0</v>
      </c>
      <c r="AT81" s="343">
        <f t="shared" si="94"/>
        <v>0</v>
      </c>
      <c r="AU81" s="343">
        <f t="shared" si="95"/>
        <v>0</v>
      </c>
      <c r="AV81" s="342">
        <f t="shared" si="96"/>
        <v>0</v>
      </c>
      <c r="AW81" s="343">
        <f t="shared" si="97"/>
        <v>0</v>
      </c>
      <c r="AX81" s="343">
        <f t="shared" si="98"/>
        <v>0</v>
      </c>
      <c r="AY81" s="345">
        <f t="shared" si="99"/>
        <v>0</v>
      </c>
      <c r="AZ81" s="168">
        <f t="shared" si="71"/>
        <v>0</v>
      </c>
      <c r="BA81" s="157" t="b">
        <f t="shared" si="72"/>
        <v>0</v>
      </c>
      <c r="BB81" s="157" t="b">
        <f t="shared" si="73"/>
        <v>0</v>
      </c>
      <c r="BC81" s="168">
        <f t="shared" si="100"/>
        <v>0</v>
      </c>
    </row>
    <row r="82" spans="1:56" x14ac:dyDescent="0.2">
      <c r="A82" s="216"/>
      <c r="B82" s="226" t="str">
        <f>IF(B23&gt;$D$10,"","Level "&amp;B23)</f>
        <v/>
      </c>
      <c r="C82" s="227"/>
      <c r="D82" s="228"/>
      <c r="E82" s="229" t="str">
        <f>IF(F82=0,"","Occ.")</f>
        <v/>
      </c>
      <c r="F82" s="227">
        <f>VLOOKUP(G23,$D$38:$E$67,2)</f>
        <v>0</v>
      </c>
      <c r="G82" s="228"/>
      <c r="H82" s="229" t="str">
        <f>IF(I82=0,"","Occ.")</f>
        <v/>
      </c>
      <c r="I82" s="227">
        <f>VLOOKUP(Q23,$D$38:$E$67,2)</f>
        <v>0</v>
      </c>
      <c r="J82" s="228"/>
      <c r="K82" s="229" t="str">
        <f>IF(L82=0,"","Occ.")</f>
        <v/>
      </c>
      <c r="L82" s="229">
        <f>VLOOKUP(AA23,$D$38:$E$67,2)</f>
        <v>0</v>
      </c>
      <c r="M82" s="228"/>
      <c r="N82" s="229" t="str">
        <f>IF(O82=0,"","Occ.")</f>
        <v/>
      </c>
      <c r="O82" s="227">
        <f>VLOOKUP(AK23,$D$38:$E$67,2)</f>
        <v>0</v>
      </c>
      <c r="Q82" s="217"/>
      <c r="X82" s="81" t="s">
        <v>34</v>
      </c>
      <c r="Y82" s="111">
        <f t="shared" si="74"/>
        <v>12</v>
      </c>
      <c r="Z82" s="112"/>
      <c r="AA82" s="341">
        <f t="shared" si="75"/>
        <v>0</v>
      </c>
      <c r="AB82" s="342">
        <f t="shared" si="76"/>
        <v>0</v>
      </c>
      <c r="AC82" s="343">
        <f t="shared" si="77"/>
        <v>0</v>
      </c>
      <c r="AD82" s="343">
        <f t="shared" si="78"/>
        <v>0</v>
      </c>
      <c r="AE82" s="343">
        <f t="shared" si="79"/>
        <v>0</v>
      </c>
      <c r="AF82" s="342">
        <f t="shared" si="80"/>
        <v>0</v>
      </c>
      <c r="AG82" s="343">
        <f t="shared" si="81"/>
        <v>0</v>
      </c>
      <c r="AH82" s="343">
        <f t="shared" si="82"/>
        <v>0</v>
      </c>
      <c r="AI82" s="343">
        <f t="shared" si="83"/>
        <v>0</v>
      </c>
      <c r="AJ82" s="342">
        <f t="shared" si="84"/>
        <v>0</v>
      </c>
      <c r="AK82" s="343">
        <f t="shared" si="85"/>
        <v>0</v>
      </c>
      <c r="AL82" s="343">
        <f t="shared" si="86"/>
        <v>0</v>
      </c>
      <c r="AM82" s="343">
        <f t="shared" si="87"/>
        <v>0</v>
      </c>
      <c r="AN82" s="342">
        <f t="shared" si="88"/>
        <v>0</v>
      </c>
      <c r="AO82" s="343">
        <f t="shared" si="89"/>
        <v>0</v>
      </c>
      <c r="AP82" s="343">
        <f t="shared" si="90"/>
        <v>0</v>
      </c>
      <c r="AQ82" s="343">
        <f t="shared" si="91"/>
        <v>0</v>
      </c>
      <c r="AR82" s="342">
        <f t="shared" si="92"/>
        <v>0</v>
      </c>
      <c r="AS82" s="343">
        <f t="shared" si="93"/>
        <v>0</v>
      </c>
      <c r="AT82" s="343">
        <f t="shared" si="94"/>
        <v>0</v>
      </c>
      <c r="AU82" s="343">
        <f t="shared" si="95"/>
        <v>0</v>
      </c>
      <c r="AV82" s="342">
        <f t="shared" si="96"/>
        <v>0</v>
      </c>
      <c r="AW82" s="343">
        <f t="shared" si="97"/>
        <v>0</v>
      </c>
      <c r="AX82" s="343">
        <f t="shared" si="98"/>
        <v>0</v>
      </c>
      <c r="AY82" s="345">
        <f t="shared" si="99"/>
        <v>0</v>
      </c>
      <c r="AZ82" s="168">
        <f t="shared" si="71"/>
        <v>0</v>
      </c>
      <c r="BA82" s="157" t="b">
        <f t="shared" si="72"/>
        <v>0</v>
      </c>
      <c r="BB82" s="157" t="b">
        <f t="shared" si="73"/>
        <v>0</v>
      </c>
      <c r="BC82" s="168">
        <f t="shared" si="100"/>
        <v>0</v>
      </c>
    </row>
    <row r="83" spans="1:56" x14ac:dyDescent="0.2">
      <c r="A83" s="217" t="str">
        <f>IF(B23&gt;$D$10,"","Area")</f>
        <v/>
      </c>
      <c r="B83" s="230">
        <f>IF(OR(AR23="NP",AR23="OL"),AR23,IF(OR(D83="SPA",G83="SPA",J83="SPA",M83="SPA"),"SPA",AR23))</f>
        <v>0</v>
      </c>
      <c r="C83" s="222"/>
      <c r="D83" s="230" t="str">
        <f>IF(H25=3,"OK",IF(H25=2,"SPA",IF(H25=1,"OL",IF(H25=0,"",H25))))</f>
        <v/>
      </c>
      <c r="E83" s="223">
        <f>H23</f>
        <v>0</v>
      </c>
      <c r="F83" s="222">
        <f>J23</f>
        <v>0</v>
      </c>
      <c r="G83" s="230" t="str">
        <f>IF(R25=3,"OK",IF(R25=2,"SPA",IF(R25=1,"OL",IF(R25=0,"",R25))))</f>
        <v/>
      </c>
      <c r="H83" s="223">
        <f>R23</f>
        <v>0</v>
      </c>
      <c r="I83" s="222">
        <f>T23</f>
        <v>0</v>
      </c>
      <c r="J83" s="230" t="str">
        <f>IF(AB25=3,"OK",IF(AB25=2,"SPA",IF(AB25=1,"OL",IF(AB25=0,"",AB25))))</f>
        <v/>
      </c>
      <c r="K83" s="223">
        <f>AB23</f>
        <v>0</v>
      </c>
      <c r="L83" s="223">
        <f>AD23</f>
        <v>0</v>
      </c>
      <c r="M83" s="230" t="str">
        <f>IF(AL25=3,"OK",IF(AL25=2,"SPA",IF(AL25=1,"OL",IF(AL25=0,"",AL25))))</f>
        <v/>
      </c>
      <c r="N83" s="223">
        <f>AL23</f>
        <v>0</v>
      </c>
      <c r="O83" s="222">
        <f>AN23</f>
        <v>0</v>
      </c>
      <c r="Q83" s="217"/>
      <c r="S83" s="213" t="s">
        <v>134</v>
      </c>
      <c r="T83" s="213"/>
      <c r="X83" s="81" t="s">
        <v>35</v>
      </c>
      <c r="Y83" s="111">
        <f t="shared" si="74"/>
        <v>13</v>
      </c>
      <c r="Z83" s="112"/>
      <c r="AA83" s="341">
        <f t="shared" si="75"/>
        <v>0</v>
      </c>
      <c r="AB83" s="342">
        <f t="shared" si="76"/>
        <v>0</v>
      </c>
      <c r="AC83" s="343">
        <f t="shared" si="77"/>
        <v>0</v>
      </c>
      <c r="AD83" s="343">
        <f t="shared" si="78"/>
        <v>0</v>
      </c>
      <c r="AE83" s="343">
        <f t="shared" si="79"/>
        <v>0</v>
      </c>
      <c r="AF83" s="342">
        <f t="shared" si="80"/>
        <v>0</v>
      </c>
      <c r="AG83" s="343">
        <f t="shared" si="81"/>
        <v>0</v>
      </c>
      <c r="AH83" s="343">
        <f t="shared" si="82"/>
        <v>0</v>
      </c>
      <c r="AI83" s="343">
        <f t="shared" si="83"/>
        <v>0</v>
      </c>
      <c r="AJ83" s="342">
        <f t="shared" si="84"/>
        <v>0</v>
      </c>
      <c r="AK83" s="343">
        <f t="shared" si="85"/>
        <v>0</v>
      </c>
      <c r="AL83" s="343">
        <f t="shared" si="86"/>
        <v>0</v>
      </c>
      <c r="AM83" s="343">
        <f t="shared" si="87"/>
        <v>0</v>
      </c>
      <c r="AN83" s="342">
        <f t="shared" si="88"/>
        <v>0</v>
      </c>
      <c r="AO83" s="343">
        <f t="shared" si="89"/>
        <v>0</v>
      </c>
      <c r="AP83" s="343">
        <f t="shared" si="90"/>
        <v>0</v>
      </c>
      <c r="AQ83" s="343">
        <f t="shared" si="91"/>
        <v>0</v>
      </c>
      <c r="AR83" s="342">
        <f t="shared" si="92"/>
        <v>0</v>
      </c>
      <c r="AS83" s="343">
        <f t="shared" si="93"/>
        <v>0</v>
      </c>
      <c r="AT83" s="343">
        <f t="shared" si="94"/>
        <v>0</v>
      </c>
      <c r="AU83" s="343">
        <f t="shared" si="95"/>
        <v>0</v>
      </c>
      <c r="AV83" s="342">
        <f t="shared" si="96"/>
        <v>0</v>
      </c>
      <c r="AW83" s="343">
        <f t="shared" si="97"/>
        <v>0</v>
      </c>
      <c r="AX83" s="343">
        <f t="shared" si="98"/>
        <v>0</v>
      </c>
      <c r="AY83" s="345">
        <f t="shared" si="99"/>
        <v>0</v>
      </c>
      <c r="AZ83" s="168">
        <f t="shared" si="71"/>
        <v>0</v>
      </c>
      <c r="BA83" s="157" t="b">
        <f t="shared" si="72"/>
        <v>0</v>
      </c>
      <c r="BB83" s="157" t="b">
        <f t="shared" si="73"/>
        <v>0</v>
      </c>
      <c r="BC83" s="168">
        <f t="shared" si="100"/>
        <v>0</v>
      </c>
    </row>
    <row r="84" spans="1:56" x14ac:dyDescent="0.2">
      <c r="A84" s="217" t="str">
        <f>IF(B23&gt;$D$10,"","Height")</f>
        <v/>
      </c>
      <c r="B84" s="215">
        <f>IF(OR($D$7=1,$D$9&lt;=0,$D$10&lt;=0),0,IF(OR(D84="NP",G84="NP",J84="NP",M84="NP"),"NP",IF(OR(D84="OL",G84="OL",J84="OL",M84="OL"),"OL",IF(OR(D84="SPH",G84="SPH",J84="SPH",M84="SPH"),"SPH",IF(AND(D84=0,D84=0,G84=0,J84=0,M84=0),"","OK")))))</f>
        <v>0</v>
      </c>
      <c r="C84" s="214"/>
      <c r="D84" s="215">
        <f>IF(B24=1,"OL",IF(B24=2,"SPH",IF(B24=3,"OK",B24)))</f>
        <v>0</v>
      </c>
      <c r="E84" s="171">
        <f>IF(F82=0,0,$D$9)</f>
        <v>0</v>
      </c>
      <c r="F84" s="498">
        <f>J24</f>
        <v>0</v>
      </c>
      <c r="G84" s="215">
        <f>IF(L24=1,"OL",IF(L24=2,"SPH",IF(L24=3,"OK",L24)))</f>
        <v>0</v>
      </c>
      <c r="H84" s="171">
        <f>IF(I82=0,0,$D$9)</f>
        <v>0</v>
      </c>
      <c r="I84" s="214">
        <f>T24</f>
        <v>0</v>
      </c>
      <c r="J84" s="215">
        <f>IF(V24=1,"OL",IF(V24=2,"SPH",IF(V24=3,"OK",V24)))</f>
        <v>0</v>
      </c>
      <c r="K84" s="171">
        <f>IF(L82=0,0,$D$9)</f>
        <v>0</v>
      </c>
      <c r="L84" s="171">
        <f>AD24</f>
        <v>0</v>
      </c>
      <c r="M84" s="215">
        <f>IF(AF24=1,"OL",IF(AF24=2,"SPH",IF(AF24=3,"OK",AF24)))</f>
        <v>0</v>
      </c>
      <c r="N84" s="171">
        <f>IF(O82=0,0,$D$9)</f>
        <v>0</v>
      </c>
      <c r="O84" s="214">
        <f>AN24</f>
        <v>0</v>
      </c>
      <c r="Q84" s="217"/>
      <c r="S84" s="213"/>
      <c r="T84" s="213"/>
      <c r="X84" s="81" t="s">
        <v>11</v>
      </c>
      <c r="Y84" s="111">
        <f t="shared" si="74"/>
        <v>14</v>
      </c>
      <c r="Z84" s="112"/>
      <c r="AA84" s="341">
        <f t="shared" si="75"/>
        <v>0</v>
      </c>
      <c r="AB84" s="342">
        <f t="shared" si="76"/>
        <v>0</v>
      </c>
      <c r="AC84" s="343">
        <f t="shared" si="77"/>
        <v>0</v>
      </c>
      <c r="AD84" s="343">
        <f t="shared" si="78"/>
        <v>0</v>
      </c>
      <c r="AE84" s="343">
        <f t="shared" si="79"/>
        <v>0</v>
      </c>
      <c r="AF84" s="342">
        <f t="shared" si="80"/>
        <v>0</v>
      </c>
      <c r="AG84" s="343">
        <f t="shared" si="81"/>
        <v>0</v>
      </c>
      <c r="AH84" s="343">
        <f t="shared" si="82"/>
        <v>0</v>
      </c>
      <c r="AI84" s="343">
        <f t="shared" si="83"/>
        <v>0</v>
      </c>
      <c r="AJ84" s="342">
        <f t="shared" si="84"/>
        <v>0</v>
      </c>
      <c r="AK84" s="343">
        <f t="shared" si="85"/>
        <v>0</v>
      </c>
      <c r="AL84" s="343">
        <f t="shared" si="86"/>
        <v>0</v>
      </c>
      <c r="AM84" s="343">
        <f t="shared" si="87"/>
        <v>0</v>
      </c>
      <c r="AN84" s="342">
        <f t="shared" si="88"/>
        <v>0</v>
      </c>
      <c r="AO84" s="343">
        <f t="shared" si="89"/>
        <v>0</v>
      </c>
      <c r="AP84" s="343">
        <f t="shared" si="90"/>
        <v>0</v>
      </c>
      <c r="AQ84" s="343">
        <f t="shared" si="91"/>
        <v>0</v>
      </c>
      <c r="AR84" s="342">
        <f t="shared" si="92"/>
        <v>0</v>
      </c>
      <c r="AS84" s="343">
        <f t="shared" si="93"/>
        <v>0</v>
      </c>
      <c r="AT84" s="343">
        <f t="shared" si="94"/>
        <v>0</v>
      </c>
      <c r="AU84" s="343">
        <f t="shared" si="95"/>
        <v>0</v>
      </c>
      <c r="AV84" s="342">
        <f t="shared" si="96"/>
        <v>0</v>
      </c>
      <c r="AW84" s="343">
        <f t="shared" si="97"/>
        <v>0</v>
      </c>
      <c r="AX84" s="343">
        <f t="shared" si="98"/>
        <v>0</v>
      </c>
      <c r="AY84" s="345">
        <f t="shared" si="99"/>
        <v>0</v>
      </c>
      <c r="AZ84" s="168">
        <f t="shared" si="71"/>
        <v>0</v>
      </c>
      <c r="BA84" s="157" t="b">
        <f t="shared" si="72"/>
        <v>0</v>
      </c>
      <c r="BB84" s="157" t="b">
        <f t="shared" si="73"/>
        <v>0</v>
      </c>
      <c r="BC84" s="168">
        <f t="shared" si="100"/>
        <v>0</v>
      </c>
    </row>
    <row r="85" spans="1:56" x14ac:dyDescent="0.2">
      <c r="A85" s="217" t="str">
        <f>IF(B23&gt;$D$10,"","Stories")</f>
        <v/>
      </c>
      <c r="B85" s="215">
        <f>IF(OR($D$7=1,$D$9&lt;=0,$D$10&lt;=0),0,IF(OR(D85="NP",G85="NP",J85="NP",M85="NP"),"NP",IF(OR(D85="OL",G85="OL",J85="OL",M85="OL"),"OL",IF(OR(D85="SPS",G85="SPS",J85="SPS",M85="SPS"),"SPS",IF(AND(D85=0,D85=0,G85=0,J85=0,M85=0),"","OK")))))</f>
        <v>0</v>
      </c>
      <c r="C85" s="214"/>
      <c r="D85" s="215">
        <f>IF(B25=1,"OL",IF(B25=2,"SPS",IF(B25=3,"OK",B25)))</f>
        <v>0</v>
      </c>
      <c r="E85" s="171" t="str">
        <f>Q48</f>
        <v/>
      </c>
      <c r="F85" s="498">
        <f>O48</f>
        <v>0</v>
      </c>
      <c r="G85" s="215">
        <f>IF(L25=1,"OL",IF(L25=2,"SPS",IF(L25=3,"OK",L25)))</f>
        <v>0</v>
      </c>
      <c r="H85" s="171" t="str">
        <f>Q54</f>
        <v/>
      </c>
      <c r="I85" s="214">
        <f>O54</f>
        <v>0</v>
      </c>
      <c r="J85" s="215">
        <f>IF(V25=1,"OL",IF(V25=2,"SPS",IF(V25=3,"OK",V25)))</f>
        <v>0</v>
      </c>
      <c r="K85" s="171" t="str">
        <f>Q60</f>
        <v/>
      </c>
      <c r="L85" s="171">
        <f>O60</f>
        <v>0</v>
      </c>
      <c r="M85" s="215">
        <f>IF(AF25=1,"OL",IF(AF25=2,"SPS",IF(AF25=3,"OK",AF25)))</f>
        <v>0</v>
      </c>
      <c r="N85" s="171" t="str">
        <f>Q66</f>
        <v/>
      </c>
      <c r="O85" s="214">
        <f>O66</f>
        <v>0</v>
      </c>
      <c r="Q85" s="217"/>
      <c r="S85" s="213" t="s">
        <v>132</v>
      </c>
      <c r="T85" s="190">
        <f>IF(OR($D$7=1,$D$9&lt;=0,$D$10&lt;=0,$S$93=1,$T$93=0),0,IF(OR(BA68&gt;0,S72&gt;0,AR35&gt;0),"NP",IF(OR(BA69&gt;0,S73&gt;0,AR36&gt;0,AS15&gt;AR15),"OL",IF(S74&gt;0,"SPA","OK"))))</f>
        <v>0</v>
      </c>
      <c r="X85" s="81" t="s">
        <v>12</v>
      </c>
      <c r="Y85" s="111">
        <f t="shared" si="74"/>
        <v>15</v>
      </c>
      <c r="Z85" s="112"/>
      <c r="AA85" s="341">
        <f t="shared" si="75"/>
        <v>0</v>
      </c>
      <c r="AB85" s="342">
        <f t="shared" si="76"/>
        <v>0</v>
      </c>
      <c r="AC85" s="343">
        <f t="shared" si="77"/>
        <v>0</v>
      </c>
      <c r="AD85" s="343">
        <f t="shared" si="78"/>
        <v>0</v>
      </c>
      <c r="AE85" s="343">
        <f t="shared" si="79"/>
        <v>0</v>
      </c>
      <c r="AF85" s="342">
        <f t="shared" si="80"/>
        <v>0</v>
      </c>
      <c r="AG85" s="343">
        <f t="shared" si="81"/>
        <v>0</v>
      </c>
      <c r="AH85" s="343">
        <f t="shared" si="82"/>
        <v>0</v>
      </c>
      <c r="AI85" s="343">
        <f t="shared" si="83"/>
        <v>0</v>
      </c>
      <c r="AJ85" s="342">
        <f t="shared" si="84"/>
        <v>0</v>
      </c>
      <c r="AK85" s="343">
        <f t="shared" si="85"/>
        <v>0</v>
      </c>
      <c r="AL85" s="343">
        <f t="shared" si="86"/>
        <v>0</v>
      </c>
      <c r="AM85" s="343">
        <f t="shared" si="87"/>
        <v>0</v>
      </c>
      <c r="AN85" s="342">
        <f t="shared" si="88"/>
        <v>0</v>
      </c>
      <c r="AO85" s="343">
        <f t="shared" si="89"/>
        <v>0</v>
      </c>
      <c r="AP85" s="343">
        <f t="shared" si="90"/>
        <v>0</v>
      </c>
      <c r="AQ85" s="343">
        <f t="shared" si="91"/>
        <v>0</v>
      </c>
      <c r="AR85" s="342">
        <f t="shared" si="92"/>
        <v>0</v>
      </c>
      <c r="AS85" s="343">
        <f t="shared" si="93"/>
        <v>0</v>
      </c>
      <c r="AT85" s="343">
        <f t="shared" si="94"/>
        <v>0</v>
      </c>
      <c r="AU85" s="343">
        <f t="shared" si="95"/>
        <v>0</v>
      </c>
      <c r="AV85" s="342">
        <f t="shared" si="96"/>
        <v>0</v>
      </c>
      <c r="AW85" s="343">
        <f t="shared" si="97"/>
        <v>0</v>
      </c>
      <c r="AX85" s="343">
        <f t="shared" si="98"/>
        <v>0</v>
      </c>
      <c r="AY85" s="345">
        <f t="shared" si="99"/>
        <v>0</v>
      </c>
      <c r="AZ85" s="168">
        <f t="shared" si="71"/>
        <v>0</v>
      </c>
      <c r="BA85" s="157" t="b">
        <f t="shared" si="72"/>
        <v>0</v>
      </c>
      <c r="BB85" s="157" t="b">
        <f t="shared" si="73"/>
        <v>0</v>
      </c>
      <c r="BC85" s="168">
        <f t="shared" si="100"/>
        <v>0</v>
      </c>
    </row>
    <row r="86" spans="1:56" x14ac:dyDescent="0.2">
      <c r="A86" s="216"/>
      <c r="B86" s="226" t="str">
        <f>IF(B26&gt;$D$10,"","Level "&amp;B26)</f>
        <v/>
      </c>
      <c r="C86" s="227"/>
      <c r="D86" s="228"/>
      <c r="E86" s="229" t="str">
        <f>IF(F86=0,"","Occ.")</f>
        <v/>
      </c>
      <c r="F86" s="227">
        <f>VLOOKUP(G26,$D$38:$E$67,2)</f>
        <v>0</v>
      </c>
      <c r="G86" s="228"/>
      <c r="H86" s="229" t="str">
        <f>IF(I86=0,"","Occ.")</f>
        <v/>
      </c>
      <c r="I86" s="227">
        <f>VLOOKUP(Q26,$D$38:$E$67,2)</f>
        <v>0</v>
      </c>
      <c r="J86" s="228"/>
      <c r="K86" s="229" t="str">
        <f>IF(L86=0,"","Occ.")</f>
        <v/>
      </c>
      <c r="L86" s="229">
        <f>VLOOKUP(AA26,$D$38:$E$67,2)</f>
        <v>0</v>
      </c>
      <c r="M86" s="228"/>
      <c r="N86" s="229" t="str">
        <f>IF(O86=0,"","Occ.")</f>
        <v/>
      </c>
      <c r="O86" s="227">
        <f>VLOOKUP(AK26,$D$38:$E$67,2)</f>
        <v>0</v>
      </c>
      <c r="Q86" s="217"/>
      <c r="S86" s="213" t="s">
        <v>126</v>
      </c>
      <c r="T86" s="190">
        <f>IF(OR($D$7=1,$D$9&lt;=0,$D$10&lt;=0,$S$93=1,$T$93=0),0,IF(S52&gt;0,"NP",IF(S53&gt;0,"OL",IF(S54&gt;0,"SPH","OK"))))</f>
        <v>0</v>
      </c>
      <c r="X86" s="81" t="s">
        <v>13</v>
      </c>
      <c r="Y86" s="111">
        <f t="shared" si="74"/>
        <v>16</v>
      </c>
      <c r="Z86" s="112">
        <f>IF(AND(ChaCha!$B$7=FALSE,ChaCha!$B$8=TRUE),Info!$D$11,0)</f>
        <v>0</v>
      </c>
      <c r="AA86" s="341">
        <f t="shared" si="75"/>
        <v>0</v>
      </c>
      <c r="AB86" s="342">
        <f t="shared" si="76"/>
        <v>0</v>
      </c>
      <c r="AC86" s="343">
        <f t="shared" si="77"/>
        <v>0</v>
      </c>
      <c r="AD86" s="343">
        <f t="shared" si="78"/>
        <v>0</v>
      </c>
      <c r="AE86" s="343">
        <f t="shared" si="79"/>
        <v>0</v>
      </c>
      <c r="AF86" s="342">
        <f t="shared" si="80"/>
        <v>0</v>
      </c>
      <c r="AG86" s="343">
        <f t="shared" si="81"/>
        <v>0</v>
      </c>
      <c r="AH86" s="343">
        <f t="shared" si="82"/>
        <v>0</v>
      </c>
      <c r="AI86" s="343">
        <f t="shared" si="83"/>
        <v>0</v>
      </c>
      <c r="AJ86" s="342">
        <f t="shared" si="84"/>
        <v>0</v>
      </c>
      <c r="AK86" s="343">
        <f t="shared" si="85"/>
        <v>0</v>
      </c>
      <c r="AL86" s="343">
        <f t="shared" si="86"/>
        <v>0</v>
      </c>
      <c r="AM86" s="343">
        <f t="shared" si="87"/>
        <v>0</v>
      </c>
      <c r="AN86" s="342">
        <f t="shared" si="88"/>
        <v>0</v>
      </c>
      <c r="AO86" s="343">
        <f t="shared" si="89"/>
        <v>0</v>
      </c>
      <c r="AP86" s="343">
        <f t="shared" si="90"/>
        <v>0</v>
      </c>
      <c r="AQ86" s="343">
        <f t="shared" si="91"/>
        <v>0</v>
      </c>
      <c r="AR86" s="342">
        <f t="shared" si="92"/>
        <v>0</v>
      </c>
      <c r="AS86" s="343">
        <f t="shared" si="93"/>
        <v>0</v>
      </c>
      <c r="AT86" s="343">
        <f t="shared" si="94"/>
        <v>0</v>
      </c>
      <c r="AU86" s="343">
        <f t="shared" si="95"/>
        <v>0</v>
      </c>
      <c r="AV86" s="342">
        <f t="shared" si="96"/>
        <v>0</v>
      </c>
      <c r="AW86" s="343">
        <f t="shared" si="97"/>
        <v>0</v>
      </c>
      <c r="AX86" s="343">
        <f t="shared" si="98"/>
        <v>0</v>
      </c>
      <c r="AY86" s="345">
        <f t="shared" si="99"/>
        <v>0</v>
      </c>
      <c r="AZ86" s="168">
        <f t="shared" si="71"/>
        <v>0</v>
      </c>
      <c r="BA86" s="157" t="b">
        <f t="shared" si="72"/>
        <v>0</v>
      </c>
      <c r="BB86" s="157" t="b">
        <f t="shared" si="73"/>
        <v>0</v>
      </c>
      <c r="BC86" s="168">
        <f>IF(BB86=TRUE,"NP",IF(BA86=TRUE,"UL",IF(Z86=0,AZ86*AA86,Z86*AZ86)))</f>
        <v>0</v>
      </c>
      <c r="BD86" s="404"/>
    </row>
    <row r="87" spans="1:56" x14ac:dyDescent="0.2">
      <c r="A87" s="217" t="str">
        <f>IF(B26&gt;$D$10,"","Area")</f>
        <v/>
      </c>
      <c r="B87" s="230">
        <f>IF(OR(AR26="NP",AR26="OL"),AR26,IF(OR(D87="SPA",G87="SPA",J87="SPA",M87="SPA"),"SPA",AR26))</f>
        <v>0</v>
      </c>
      <c r="C87" s="222"/>
      <c r="D87" s="230" t="str">
        <f>IF(H28=3,"OK",IF(H28=2,"SPA",IF(H28=1,"OL",IF(H28=0,"",H28))))</f>
        <v/>
      </c>
      <c r="E87" s="223">
        <f>H26</f>
        <v>0</v>
      </c>
      <c r="F87" s="222">
        <f>J26</f>
        <v>0</v>
      </c>
      <c r="G87" s="230" t="str">
        <f>IF(R28=3,"OK",IF(R28=2,"SPA",IF(R28=1,"OL",IF(R28=0,"",R28))))</f>
        <v/>
      </c>
      <c r="H87" s="223">
        <f>R26</f>
        <v>0</v>
      </c>
      <c r="I87" s="222">
        <f>T26</f>
        <v>0</v>
      </c>
      <c r="J87" s="230" t="str">
        <f>IF(AB28=3,"OK",IF(AB28=2,"SPA",IF(AB28=1,"OL",IF(AB28=0,"",AB28))))</f>
        <v/>
      </c>
      <c r="K87" s="223">
        <f>AB26</f>
        <v>0</v>
      </c>
      <c r="L87" s="223">
        <f>AD26</f>
        <v>0</v>
      </c>
      <c r="M87" s="230" t="str">
        <f>IF(AL28=3,"OK",IF(AL28=2,"SPA",IF(AL28=1,"OL",IF(AL28=0,"",AL28))))</f>
        <v/>
      </c>
      <c r="N87" s="223">
        <f>AL26</f>
        <v>0</v>
      </c>
      <c r="O87" s="222">
        <f>AN26</f>
        <v>0</v>
      </c>
      <c r="Q87" s="217"/>
      <c r="S87" s="213" t="s">
        <v>133</v>
      </c>
      <c r="T87" s="190">
        <f>IF(OR($D$7=1,$D$9&lt;=0,$D$10&lt;=0,$S$93=1,$T$93=0),0,IF(S62&gt;0,"NP",IF(S63&gt;0,"OL",IF(S64&gt;0,"SPS","OK"))))</f>
        <v>0</v>
      </c>
      <c r="X87" s="81" t="s">
        <v>76</v>
      </c>
      <c r="Y87" s="111">
        <f t="shared" si="74"/>
        <v>17</v>
      </c>
      <c r="Z87" s="112"/>
      <c r="AA87" s="341">
        <f t="shared" si="75"/>
        <v>0</v>
      </c>
      <c r="AB87" s="342">
        <f t="shared" si="76"/>
        <v>0</v>
      </c>
      <c r="AC87" s="343">
        <f t="shared" si="77"/>
        <v>0</v>
      </c>
      <c r="AD87" s="343">
        <f t="shared" si="78"/>
        <v>0</v>
      </c>
      <c r="AE87" s="343">
        <f t="shared" si="79"/>
        <v>0</v>
      </c>
      <c r="AF87" s="342">
        <f t="shared" si="80"/>
        <v>0</v>
      </c>
      <c r="AG87" s="343">
        <f t="shared" si="81"/>
        <v>0</v>
      </c>
      <c r="AH87" s="343">
        <f t="shared" si="82"/>
        <v>0</v>
      </c>
      <c r="AI87" s="343">
        <f t="shared" si="83"/>
        <v>0</v>
      </c>
      <c r="AJ87" s="342">
        <f t="shared" si="84"/>
        <v>0</v>
      </c>
      <c r="AK87" s="343">
        <f t="shared" si="85"/>
        <v>0</v>
      </c>
      <c r="AL87" s="343">
        <f t="shared" si="86"/>
        <v>0</v>
      </c>
      <c r="AM87" s="343">
        <f t="shared" si="87"/>
        <v>0</v>
      </c>
      <c r="AN87" s="342">
        <f t="shared" si="88"/>
        <v>0</v>
      </c>
      <c r="AO87" s="343">
        <f t="shared" si="89"/>
        <v>0</v>
      </c>
      <c r="AP87" s="343">
        <f t="shared" si="90"/>
        <v>0</v>
      </c>
      <c r="AQ87" s="343">
        <f t="shared" si="91"/>
        <v>0</v>
      </c>
      <c r="AR87" s="342">
        <f t="shared" si="92"/>
        <v>0</v>
      </c>
      <c r="AS87" s="343">
        <f t="shared" si="93"/>
        <v>0</v>
      </c>
      <c r="AT87" s="343">
        <f t="shared" si="94"/>
        <v>0</v>
      </c>
      <c r="AU87" s="343">
        <f t="shared" si="95"/>
        <v>0</v>
      </c>
      <c r="AV87" s="342">
        <f t="shared" si="96"/>
        <v>0</v>
      </c>
      <c r="AW87" s="343">
        <f t="shared" si="97"/>
        <v>0</v>
      </c>
      <c r="AX87" s="343">
        <f t="shared" si="98"/>
        <v>0</v>
      </c>
      <c r="AY87" s="345">
        <f t="shared" si="99"/>
        <v>0</v>
      </c>
      <c r="AZ87" s="168">
        <f t="shared" si="71"/>
        <v>0</v>
      </c>
      <c r="BA87" s="157" t="b">
        <f t="shared" si="72"/>
        <v>0</v>
      </c>
      <c r="BB87" s="157" t="b">
        <f t="shared" si="73"/>
        <v>0</v>
      </c>
      <c r="BC87" s="168">
        <f t="shared" si="100"/>
        <v>0</v>
      </c>
    </row>
    <row r="88" spans="1:56" x14ac:dyDescent="0.2">
      <c r="A88" s="217" t="str">
        <f>IF(B26&gt;$D$10,"","Height")</f>
        <v/>
      </c>
      <c r="B88" s="215">
        <f>IF(OR($D$7=1,$D$9&lt;=0,$D$10&lt;=0),0,IF(OR(D88="NP",G88="NP",J88="NP",M88="NP"),"NP",IF(OR(D88="OL",G88="OL",J88="OL",M88="OL"),"OL",IF(OR(D88="SPH",G88="SPH",J88="SPH",M88="SPH"),"SPH",IF(AND(D88=0,D88=0,G88=0,J88=0,M88=0),"","OK")))))</f>
        <v>0</v>
      </c>
      <c r="C88" s="214"/>
      <c r="D88" s="215">
        <f>IF(B27=1,"OL",IF(B27=2,"SPH",IF(B27=3,"OK",B27)))</f>
        <v>0</v>
      </c>
      <c r="E88" s="171">
        <f>IF(F86=0,0,$D$9)</f>
        <v>0</v>
      </c>
      <c r="F88" s="214">
        <f>J27</f>
        <v>0</v>
      </c>
      <c r="G88" s="215">
        <f>IF(L27=1,"OL",IF(L27=2,"SPH",IF(L27=3,"OK",L27)))</f>
        <v>0</v>
      </c>
      <c r="H88" s="171">
        <f>IF(I86=0,0,$D$9)</f>
        <v>0</v>
      </c>
      <c r="I88" s="214">
        <f>U27</f>
        <v>0</v>
      </c>
      <c r="J88" s="215">
        <f>IF(V27=1,"OL",IF(V27=2,"SPH",IF(V27=3,"OK",V27)))</f>
        <v>0</v>
      </c>
      <c r="K88" s="171">
        <f>IF(L86=0,0,$D$9)</f>
        <v>0</v>
      </c>
      <c r="L88" s="171">
        <f>AD27</f>
        <v>0</v>
      </c>
      <c r="M88" s="215">
        <f>IF(AF27=1,"OL",IF(AF27=2,"SPH",IF(AF27=3,"OK",AF27)))</f>
        <v>0</v>
      </c>
      <c r="N88" s="171">
        <f>IF(O86=0,0,$D$9)</f>
        <v>0</v>
      </c>
      <c r="O88" s="214">
        <f>AN27</f>
        <v>0</v>
      </c>
      <c r="Q88" s="217"/>
      <c r="X88" s="81" t="s">
        <v>14</v>
      </c>
      <c r="Y88" s="111">
        <f t="shared" ref="Y88:Y97" si="101">Y87+1</f>
        <v>18</v>
      </c>
      <c r="Z88" s="112"/>
      <c r="AA88" s="341">
        <f t="shared" si="75"/>
        <v>0</v>
      </c>
      <c r="AB88" s="342">
        <f t="shared" ref="AB88:AB93" si="102">IF(AND($H$19&lt;&gt;1,$G$17=Y88),$J$17,0)</f>
        <v>0</v>
      </c>
      <c r="AC88" s="343">
        <f t="shared" ref="AC88:AC97" si="103">IF(AND($R$19&lt;&gt;1,$Q$17=Y88),$T$17,0)</f>
        <v>0</v>
      </c>
      <c r="AD88" s="343">
        <f t="shared" ref="AD88:AD93" si="104">IF(AND($AB$19&lt;&gt;1,$AA$17=Y88),$AD$17,0)</f>
        <v>0</v>
      </c>
      <c r="AE88" s="343">
        <f t="shared" ref="AE88:AE93" si="105">IF(AND($AL$19&lt;&gt;1,$AK$17=Y88),$AN$17,0)</f>
        <v>0</v>
      </c>
      <c r="AF88" s="342">
        <f t="shared" ref="AF88:AF93" si="106">IF(AND($H$22&lt;&gt;1,$G$20=Y88),$J$20,0)</f>
        <v>0</v>
      </c>
      <c r="AG88" s="343">
        <f t="shared" ref="AG88:AG93" si="107">IF(AND($R$22&lt;&gt;1,$Q$20=Y88),$T$20,0)</f>
        <v>0</v>
      </c>
      <c r="AH88" s="343">
        <f t="shared" ref="AH88:AH93" si="108">IF(AND($AB$22&lt;&gt;1,$AA$20=Y88),$AD$20,0)</f>
        <v>0</v>
      </c>
      <c r="AI88" s="343">
        <f t="shared" ref="AI88:AI93" si="109">IF(AND($AL$22&lt;&gt;1,$AK$20=Y88),$AN$20,0)</f>
        <v>0</v>
      </c>
      <c r="AJ88" s="342">
        <f t="shared" ref="AJ88:AJ93" si="110">IF(AND($H$25&lt;&gt;1,$G$23=Y88),$J$23,0)</f>
        <v>0</v>
      </c>
      <c r="AK88" s="343">
        <f t="shared" ref="AK88:AK93" si="111">IF(AND($R$25&lt;&gt;1,$Q$23=Y88),$T$23,0)</f>
        <v>0</v>
      </c>
      <c r="AL88" s="343">
        <f t="shared" ref="AL88:AL93" si="112">IF(AND($AB$25&lt;&gt;1,$AA$23=Y88),$AD$23,0)</f>
        <v>0</v>
      </c>
      <c r="AM88" s="343">
        <f t="shared" ref="AM88:AM93" si="113">IF(AND($AL$25&lt;&gt;1,$AK$23=Y88),$AN$23,0)</f>
        <v>0</v>
      </c>
      <c r="AN88" s="342">
        <f t="shared" ref="AN88:AN93" si="114">IF(AND($H$28&lt;&gt;1,$G$26=Y88),$J$26,0)</f>
        <v>0</v>
      </c>
      <c r="AO88" s="343">
        <f t="shared" ref="AO88:AO93" si="115">IF(AND($R$28&lt;&gt;1,$Q$26=Y88),$T$26,0)</f>
        <v>0</v>
      </c>
      <c r="AP88" s="343">
        <f t="shared" ref="AP88:AP93" si="116">IF(AND($AB$28&lt;&gt;1,$AA$26=Y88),$AD$26,0)</f>
        <v>0</v>
      </c>
      <c r="AQ88" s="343">
        <f t="shared" ref="AQ88:AQ93" si="117">IF(AND($AL$28&lt;&gt;1,$AK$26=Y88),$AN$26,0)</f>
        <v>0</v>
      </c>
      <c r="AR88" s="342">
        <f t="shared" ref="AR88:AR93" si="118">IF(AND($H$31&lt;&gt;1,$G$29=Y88),$J$29,0)</f>
        <v>0</v>
      </c>
      <c r="AS88" s="343">
        <f t="shared" ref="AS88:AS93" si="119">IF(AND($R$31&lt;&gt;1,$Q$29=Y88),$T$29,0)</f>
        <v>0</v>
      </c>
      <c r="AT88" s="343">
        <f t="shared" ref="AT88:AT93" si="120">IF(AND($AB$31&lt;&gt;1,$AA$29=Y88),$AD$29,0)</f>
        <v>0</v>
      </c>
      <c r="AU88" s="343">
        <f t="shared" ref="AU88:AU93" si="121">IF(AND($AL$31&lt;&gt;1,$AK$29=Y88),$AN$29,0)</f>
        <v>0</v>
      </c>
      <c r="AV88" s="342">
        <f t="shared" ref="AV88:AV93" si="122">IF(AND($H$34&lt;&gt;1,$G$32=Y88),$J$32,0)</f>
        <v>0</v>
      </c>
      <c r="AW88" s="343">
        <f t="shared" ref="AW88:AW93" si="123">IF(AND($R$34&lt;&gt;1,$Q$32=Y88),$T$32,0)</f>
        <v>0</v>
      </c>
      <c r="AX88" s="343">
        <f t="shared" ref="AX88:AX93" si="124">IF(AND($AB$34&lt;&gt;1,$AA$32=Y88),$AD$32,0)</f>
        <v>0</v>
      </c>
      <c r="AY88" s="345">
        <f t="shared" ref="AY88:AY93" si="125">IF(AND($AL$34&lt;&gt;1,$AK$32=Y88),$AN$32,0)</f>
        <v>0</v>
      </c>
      <c r="AZ88" s="168">
        <f t="shared" ref="AZ88:AZ93" si="126">MAX(AB88:AY88)</f>
        <v>0</v>
      </c>
      <c r="BA88" s="157" t="b">
        <f t="shared" ref="BA88:BA93" si="127">COUNTIF(AB88:AY88,"UL")&gt;0</f>
        <v>0</v>
      </c>
      <c r="BB88" s="157" t="b">
        <f t="shared" ref="BB88:BB93" si="128">COUNTIF(AB88:AY88,"NP")&gt;0</f>
        <v>0</v>
      </c>
      <c r="BC88" s="168">
        <f>IF(BB88=TRUE,"NP",IF(BA88=TRUE,"UL",AZ88*AA88))</f>
        <v>0</v>
      </c>
    </row>
    <row r="89" spans="1:56" x14ac:dyDescent="0.2">
      <c r="A89" s="217" t="str">
        <f>IF(B26&gt;$D$10,"","Stories")</f>
        <v/>
      </c>
      <c r="B89" s="215">
        <f>IF(OR($D$7=1,$D$9&lt;=0,$D$10&lt;=0),0,IF(OR(D89="NP",G89="NP",J89="NP",M89="NP"),"NP",IF(OR(D89="OL",G89="OL",J89="OL",M89="OL"),"OL",IF(OR(D89="SPS",G89="SPS",J89="SPS",M89="SPS"),"SPS",IF(AND(D89=0,D89=0,G89=0,J89=0,M89=0),"","OK")))))</f>
        <v>0</v>
      </c>
      <c r="C89" s="214"/>
      <c r="D89" s="215">
        <f>IF(B28=1,"OL",IF(B28=2,"SPS",IF(B28=3,"OK",B28)))</f>
        <v>0</v>
      </c>
      <c r="E89" s="171" t="str">
        <f>Q49</f>
        <v/>
      </c>
      <c r="F89" s="214">
        <f>O49</f>
        <v>0</v>
      </c>
      <c r="G89" s="215">
        <f>IF(L28=1,"OL",IF(L28=2,"SPS",IF(L28=3,"OK",L28)))</f>
        <v>0</v>
      </c>
      <c r="H89" s="171" t="str">
        <f>Q55</f>
        <v/>
      </c>
      <c r="I89" s="214">
        <f>O55</f>
        <v>0</v>
      </c>
      <c r="J89" s="215">
        <f>IF(V28=1,"OL",IF(V28=2,"SPS",IF(V28=3,"OK",V28)))</f>
        <v>0</v>
      </c>
      <c r="K89" s="171" t="str">
        <f>Q61</f>
        <v/>
      </c>
      <c r="L89" s="171">
        <f>O61</f>
        <v>0</v>
      </c>
      <c r="M89" s="215">
        <f>IF(AF28=1,"OL",IF(AF28=2,"SPS",IF(AF28=3,"OK",AF28)))</f>
        <v>0</v>
      </c>
      <c r="N89" s="171" t="str">
        <f>Q67</f>
        <v/>
      </c>
      <c r="O89" s="214">
        <f>O67</f>
        <v>0</v>
      </c>
      <c r="Q89" s="217"/>
      <c r="X89" s="81" t="s">
        <v>15</v>
      </c>
      <c r="Y89" s="111">
        <f t="shared" si="101"/>
        <v>19</v>
      </c>
      <c r="Z89" s="112"/>
      <c r="AA89" s="341">
        <f t="shared" si="75"/>
        <v>0</v>
      </c>
      <c r="AB89" s="342">
        <f t="shared" si="102"/>
        <v>0</v>
      </c>
      <c r="AC89" s="343">
        <f t="shared" si="103"/>
        <v>0</v>
      </c>
      <c r="AD89" s="343">
        <f t="shared" si="104"/>
        <v>0</v>
      </c>
      <c r="AE89" s="343">
        <f t="shared" si="105"/>
        <v>0</v>
      </c>
      <c r="AF89" s="342">
        <f t="shared" si="106"/>
        <v>0</v>
      </c>
      <c r="AG89" s="343">
        <f t="shared" si="107"/>
        <v>0</v>
      </c>
      <c r="AH89" s="343">
        <f t="shared" si="108"/>
        <v>0</v>
      </c>
      <c r="AI89" s="343">
        <f t="shared" si="109"/>
        <v>0</v>
      </c>
      <c r="AJ89" s="342">
        <f t="shared" si="110"/>
        <v>0</v>
      </c>
      <c r="AK89" s="343">
        <f t="shared" si="111"/>
        <v>0</v>
      </c>
      <c r="AL89" s="343">
        <f t="shared" si="112"/>
        <v>0</v>
      </c>
      <c r="AM89" s="343">
        <f t="shared" si="113"/>
        <v>0</v>
      </c>
      <c r="AN89" s="342">
        <f t="shared" si="114"/>
        <v>0</v>
      </c>
      <c r="AO89" s="343">
        <f t="shared" si="115"/>
        <v>0</v>
      </c>
      <c r="AP89" s="343">
        <f t="shared" si="116"/>
        <v>0</v>
      </c>
      <c r="AQ89" s="343">
        <f t="shared" si="117"/>
        <v>0</v>
      </c>
      <c r="AR89" s="342">
        <f t="shared" si="118"/>
        <v>0</v>
      </c>
      <c r="AS89" s="343">
        <f t="shared" si="119"/>
        <v>0</v>
      </c>
      <c r="AT89" s="343">
        <f t="shared" si="120"/>
        <v>0</v>
      </c>
      <c r="AU89" s="343">
        <f t="shared" si="121"/>
        <v>0</v>
      </c>
      <c r="AV89" s="342">
        <f t="shared" si="122"/>
        <v>0</v>
      </c>
      <c r="AW89" s="343">
        <f t="shared" si="123"/>
        <v>0</v>
      </c>
      <c r="AX89" s="343">
        <f t="shared" si="124"/>
        <v>0</v>
      </c>
      <c r="AY89" s="345">
        <f t="shared" si="125"/>
        <v>0</v>
      </c>
      <c r="AZ89" s="168">
        <f t="shared" si="126"/>
        <v>0</v>
      </c>
      <c r="BA89" s="157" t="b">
        <f t="shared" si="127"/>
        <v>0</v>
      </c>
      <c r="BB89" s="157" t="b">
        <f t="shared" si="128"/>
        <v>0</v>
      </c>
      <c r="BC89" s="168">
        <f>IF(BB89=TRUE,"NP",IF(BA89=TRUE,"UL",AZ89*AA89))</f>
        <v>0</v>
      </c>
    </row>
    <row r="90" spans="1:56" x14ac:dyDescent="0.2">
      <c r="A90" s="216"/>
      <c r="B90" s="226" t="str">
        <f>IF(B29&gt;$D$10,"","Level "&amp;B29)</f>
        <v/>
      </c>
      <c r="C90" s="227"/>
      <c r="D90" s="228"/>
      <c r="E90" s="229" t="str">
        <f>IF(F90=0,"","Occ.")</f>
        <v/>
      </c>
      <c r="F90" s="227">
        <f>VLOOKUP(G29,$D$38:$E$67,2)</f>
        <v>0</v>
      </c>
      <c r="G90" s="228"/>
      <c r="H90" s="229" t="str">
        <f>IF(I90=0,"","Occ.")</f>
        <v/>
      </c>
      <c r="I90" s="227">
        <f>VLOOKUP(Q29,$D$38:$E$67,2)</f>
        <v>0</v>
      </c>
      <c r="J90" s="228"/>
      <c r="K90" s="229" t="str">
        <f>IF(L90=0,"","Occ.")</f>
        <v/>
      </c>
      <c r="L90" s="229">
        <f>VLOOKUP(AA29,$D$38:$E$67,2)</f>
        <v>0</v>
      </c>
      <c r="M90" s="228"/>
      <c r="N90" s="229" t="str">
        <f>IF(O90=0,"","Occ.")</f>
        <v/>
      </c>
      <c r="O90" s="227">
        <f>VLOOKUP(AK29,$D$38:$E$67,2)</f>
        <v>0</v>
      </c>
      <c r="Q90" s="217"/>
      <c r="X90" s="81" t="s">
        <v>16</v>
      </c>
      <c r="Y90" s="111">
        <f t="shared" si="101"/>
        <v>20</v>
      </c>
      <c r="Z90" s="113"/>
      <c r="AA90" s="341">
        <f t="shared" si="75"/>
        <v>0</v>
      </c>
      <c r="AB90" s="342">
        <f t="shared" si="102"/>
        <v>0</v>
      </c>
      <c r="AC90" s="343">
        <f t="shared" si="103"/>
        <v>0</v>
      </c>
      <c r="AD90" s="343">
        <f t="shared" si="104"/>
        <v>0</v>
      </c>
      <c r="AE90" s="343">
        <f t="shared" si="105"/>
        <v>0</v>
      </c>
      <c r="AF90" s="342">
        <f t="shared" si="106"/>
        <v>0</v>
      </c>
      <c r="AG90" s="343">
        <f t="shared" si="107"/>
        <v>0</v>
      </c>
      <c r="AH90" s="343">
        <f t="shared" si="108"/>
        <v>0</v>
      </c>
      <c r="AI90" s="343">
        <f t="shared" si="109"/>
        <v>0</v>
      </c>
      <c r="AJ90" s="342">
        <f t="shared" si="110"/>
        <v>0</v>
      </c>
      <c r="AK90" s="343">
        <f t="shared" si="111"/>
        <v>0</v>
      </c>
      <c r="AL90" s="343">
        <f t="shared" si="112"/>
        <v>0</v>
      </c>
      <c r="AM90" s="343">
        <f t="shared" si="113"/>
        <v>0</v>
      </c>
      <c r="AN90" s="342">
        <f t="shared" si="114"/>
        <v>0</v>
      </c>
      <c r="AO90" s="343">
        <f t="shared" si="115"/>
        <v>0</v>
      </c>
      <c r="AP90" s="343">
        <f t="shared" si="116"/>
        <v>0</v>
      </c>
      <c r="AQ90" s="343">
        <f t="shared" si="117"/>
        <v>0</v>
      </c>
      <c r="AR90" s="342">
        <f t="shared" si="118"/>
        <v>0</v>
      </c>
      <c r="AS90" s="343">
        <f t="shared" si="119"/>
        <v>0</v>
      </c>
      <c r="AT90" s="343">
        <f t="shared" si="120"/>
        <v>0</v>
      </c>
      <c r="AU90" s="343">
        <f t="shared" si="121"/>
        <v>0</v>
      </c>
      <c r="AV90" s="342">
        <f t="shared" si="122"/>
        <v>0</v>
      </c>
      <c r="AW90" s="343">
        <f t="shared" si="123"/>
        <v>0</v>
      </c>
      <c r="AX90" s="343">
        <f t="shared" si="124"/>
        <v>0</v>
      </c>
      <c r="AY90" s="345">
        <f t="shared" si="125"/>
        <v>0</v>
      </c>
      <c r="AZ90" s="168">
        <f t="shared" si="126"/>
        <v>0</v>
      </c>
      <c r="BA90" s="157" t="b">
        <f t="shared" si="127"/>
        <v>0</v>
      </c>
      <c r="BB90" s="157" t="b">
        <f t="shared" si="128"/>
        <v>0</v>
      </c>
      <c r="BC90" s="168">
        <f>IF(BB90=TRUE,"NP",IF(BA90=TRUE,"UL",AZ90*AA90))</f>
        <v>0</v>
      </c>
    </row>
    <row r="91" spans="1:56" x14ac:dyDescent="0.2">
      <c r="A91" s="217" t="str">
        <f>IF(B29&gt;$D$10,"","Area")</f>
        <v/>
      </c>
      <c r="B91" s="230">
        <f>IF(OR(AR29="NP",AR29="OL"),AR29,IF(OR(D91="SPA",G91="SPA",J91="SPA",M91="SPA"),"SPA",AR29))</f>
        <v>0</v>
      </c>
      <c r="C91" s="222"/>
      <c r="D91" s="230" t="str">
        <f>IF(H31=3,"OK",IF(H31=2,"SPA",IF(H31=1,"OL",IF(H31=0,"",H31))))</f>
        <v/>
      </c>
      <c r="E91" s="223">
        <f>H29</f>
        <v>0</v>
      </c>
      <c r="F91" s="222">
        <f>J29</f>
        <v>0</v>
      </c>
      <c r="G91" s="230" t="str">
        <f>IF(R31=3,"OK",IF(R31=2,"SPA",IF(R31=1,"OL",IF(R31=0,"",R31))))</f>
        <v/>
      </c>
      <c r="H91" s="223">
        <f>R29</f>
        <v>0</v>
      </c>
      <c r="I91" s="222">
        <f>T29</f>
        <v>0</v>
      </c>
      <c r="J91" s="230" t="str">
        <f>IF(AB31=3,"OK",IF(AB31=2,"SPA",IF(AB31=1,"OL",IF(AB31=0,"",AB31))))</f>
        <v/>
      </c>
      <c r="K91" s="223">
        <f>AB29</f>
        <v>0</v>
      </c>
      <c r="L91" s="223">
        <f>AD29</f>
        <v>0</v>
      </c>
      <c r="M91" s="230" t="str">
        <f>IF(AL31=3,"OK",IF(AL31=2,"SPA",IF(AL31=1,"OL",IF(AL31=0,"",AL31))))</f>
        <v/>
      </c>
      <c r="N91" s="223">
        <f>AL29</f>
        <v>0</v>
      </c>
      <c r="O91" s="222">
        <f>AN29</f>
        <v>0</v>
      </c>
      <c r="Q91" s="217"/>
      <c r="S91" s="351" t="s">
        <v>172</v>
      </c>
      <c r="T91" s="351" t="s">
        <v>172</v>
      </c>
      <c r="X91" s="81" t="s">
        <v>17</v>
      </c>
      <c r="Y91" s="111">
        <f t="shared" si="101"/>
        <v>21</v>
      </c>
      <c r="Z91" s="112">
        <f>IF(AND(ChaCha!$B$7=FALSE,ChaCha!$B$8=TRUE),Info!$D$11,0)</f>
        <v>0</v>
      </c>
      <c r="AA91" s="341">
        <f t="shared" si="75"/>
        <v>0</v>
      </c>
      <c r="AB91" s="342">
        <f t="shared" si="102"/>
        <v>0</v>
      </c>
      <c r="AC91" s="343">
        <f t="shared" si="103"/>
        <v>0</v>
      </c>
      <c r="AD91" s="343">
        <f t="shared" si="104"/>
        <v>0</v>
      </c>
      <c r="AE91" s="343">
        <f t="shared" si="105"/>
        <v>0</v>
      </c>
      <c r="AF91" s="342">
        <f t="shared" si="106"/>
        <v>0</v>
      </c>
      <c r="AG91" s="343">
        <f t="shared" si="107"/>
        <v>0</v>
      </c>
      <c r="AH91" s="343">
        <f t="shared" si="108"/>
        <v>0</v>
      </c>
      <c r="AI91" s="343">
        <f t="shared" si="109"/>
        <v>0</v>
      </c>
      <c r="AJ91" s="342">
        <f t="shared" si="110"/>
        <v>0</v>
      </c>
      <c r="AK91" s="343">
        <f t="shared" si="111"/>
        <v>0</v>
      </c>
      <c r="AL91" s="343">
        <f t="shared" si="112"/>
        <v>0</v>
      </c>
      <c r="AM91" s="343">
        <f t="shared" si="113"/>
        <v>0</v>
      </c>
      <c r="AN91" s="342">
        <f t="shared" si="114"/>
        <v>0</v>
      </c>
      <c r="AO91" s="343">
        <f t="shared" si="115"/>
        <v>0</v>
      </c>
      <c r="AP91" s="343">
        <f t="shared" si="116"/>
        <v>0</v>
      </c>
      <c r="AQ91" s="343">
        <f t="shared" si="117"/>
        <v>0</v>
      </c>
      <c r="AR91" s="342">
        <f t="shared" si="118"/>
        <v>0</v>
      </c>
      <c r="AS91" s="343">
        <f t="shared" si="119"/>
        <v>0</v>
      </c>
      <c r="AT91" s="343">
        <f t="shared" si="120"/>
        <v>0</v>
      </c>
      <c r="AU91" s="343">
        <f t="shared" si="121"/>
        <v>0</v>
      </c>
      <c r="AV91" s="342">
        <f t="shared" si="122"/>
        <v>0</v>
      </c>
      <c r="AW91" s="343">
        <f t="shared" si="123"/>
        <v>0</v>
      </c>
      <c r="AX91" s="343">
        <f t="shared" si="124"/>
        <v>0</v>
      </c>
      <c r="AY91" s="345">
        <f t="shared" si="125"/>
        <v>0</v>
      </c>
      <c r="AZ91" s="168">
        <f t="shared" si="126"/>
        <v>0</v>
      </c>
      <c r="BA91" s="157" t="b">
        <f t="shared" si="127"/>
        <v>0</v>
      </c>
      <c r="BB91" s="157" t="b">
        <f t="shared" si="128"/>
        <v>0</v>
      </c>
      <c r="BC91" s="168">
        <f>IF(BB91=TRUE,"NP",IF(BA91=TRUE,"UL",IF(Z91=0,AZ91*AA91,Z91*AZ91)))</f>
        <v>0</v>
      </c>
      <c r="BD91" s="404"/>
    </row>
    <row r="92" spans="1:56" x14ac:dyDescent="0.2">
      <c r="A92" s="217" t="str">
        <f>IF(B29&gt;$D$10,"","Height")</f>
        <v/>
      </c>
      <c r="B92" s="215">
        <f>IF(OR($D$7=1,$D$9&lt;=0,$D$10&lt;=0),0,IF(OR(D92="NP",G92="NP",J92="NP",M92="NP"),"NP",IF(OR(D92="OL",G92="OL",J92="OL",M92="OL"),"OL",IF(OR(D92="SPH",G92="SPH",J92="SPH",M92="SPH"),"SPH",IF(AND(D92=0,D92=0,G92=0,J92=0,M92=0),"","OK")))))</f>
        <v>0</v>
      </c>
      <c r="C92" s="214"/>
      <c r="D92" s="215">
        <f>IF(B30=1,"OL",IF(B30=2,"SPH",IF(B30=3,"OK",B30)))</f>
        <v>0</v>
      </c>
      <c r="E92" s="171">
        <f>IF(F90=0,0,$D$9)</f>
        <v>0</v>
      </c>
      <c r="F92" s="214">
        <f>J30</f>
        <v>0</v>
      </c>
      <c r="G92" s="215">
        <f>IF(L30=1,"OL",IF(L30=2,"SPH",IF(L30=3,"OK",L30)))</f>
        <v>0</v>
      </c>
      <c r="H92" s="171">
        <f>IF(I90=0,0,$D$9)</f>
        <v>0</v>
      </c>
      <c r="I92" s="214">
        <f>T30</f>
        <v>0</v>
      </c>
      <c r="J92" s="215">
        <f>IF(V30=1,"OL",IF(V30=2,"SPH",IF(V30=3,"OK",V30)))</f>
        <v>0</v>
      </c>
      <c r="K92" s="171">
        <f>IF(L90=0,0,$D$9)</f>
        <v>0</v>
      </c>
      <c r="L92" s="171">
        <f>AD30</f>
        <v>0</v>
      </c>
      <c r="M92" s="215">
        <f>IF(AF30=1,"OL",IF(AF30=2,"SPH",IF(AF30=3,"OK",AF30)))</f>
        <v>0</v>
      </c>
      <c r="N92" s="171">
        <f>IF(O90=0,0,$D$9)</f>
        <v>0</v>
      </c>
      <c r="O92" s="214">
        <f>AN30</f>
        <v>0</v>
      </c>
      <c r="Q92" s="217"/>
      <c r="S92" s="351" t="s">
        <v>173</v>
      </c>
      <c r="T92" s="351" t="s">
        <v>174</v>
      </c>
      <c r="X92" s="81" t="s">
        <v>18</v>
      </c>
      <c r="Y92" s="129">
        <f t="shared" si="101"/>
        <v>22</v>
      </c>
      <c r="Z92" s="112">
        <f>IF(AND(ChaCha!$B$7=FALSE,ChaCha!$B$8=TRUE),Info!$D$11,0)</f>
        <v>0</v>
      </c>
      <c r="AA92" s="341">
        <f>IF($D$11&lt;0,0,IF($D$11&lt;=2,$D$11,IF(Z92="SFM",2,3)))</f>
        <v>0</v>
      </c>
      <c r="AB92" s="342">
        <f t="shared" si="102"/>
        <v>0</v>
      </c>
      <c r="AC92" s="343">
        <f t="shared" si="103"/>
        <v>0</v>
      </c>
      <c r="AD92" s="343">
        <f t="shared" si="104"/>
        <v>0</v>
      </c>
      <c r="AE92" s="343">
        <f t="shared" si="105"/>
        <v>0</v>
      </c>
      <c r="AF92" s="342">
        <f t="shared" si="106"/>
        <v>0</v>
      </c>
      <c r="AG92" s="343">
        <f t="shared" si="107"/>
        <v>0</v>
      </c>
      <c r="AH92" s="343">
        <f t="shared" si="108"/>
        <v>0</v>
      </c>
      <c r="AI92" s="343">
        <f t="shared" si="109"/>
        <v>0</v>
      </c>
      <c r="AJ92" s="342">
        <f t="shared" si="110"/>
        <v>0</v>
      </c>
      <c r="AK92" s="343">
        <f t="shared" si="111"/>
        <v>0</v>
      </c>
      <c r="AL92" s="343">
        <f t="shared" si="112"/>
        <v>0</v>
      </c>
      <c r="AM92" s="343">
        <f t="shared" si="113"/>
        <v>0</v>
      </c>
      <c r="AN92" s="342">
        <f t="shared" si="114"/>
        <v>0</v>
      </c>
      <c r="AO92" s="343">
        <f t="shared" si="115"/>
        <v>0</v>
      </c>
      <c r="AP92" s="343">
        <f t="shared" si="116"/>
        <v>0</v>
      </c>
      <c r="AQ92" s="343">
        <f t="shared" si="117"/>
        <v>0</v>
      </c>
      <c r="AR92" s="342">
        <f t="shared" si="118"/>
        <v>0</v>
      </c>
      <c r="AS92" s="343">
        <f t="shared" si="119"/>
        <v>0</v>
      </c>
      <c r="AT92" s="343">
        <f t="shared" si="120"/>
        <v>0</v>
      </c>
      <c r="AU92" s="343">
        <f t="shared" si="121"/>
        <v>0</v>
      </c>
      <c r="AV92" s="342">
        <f t="shared" si="122"/>
        <v>0</v>
      </c>
      <c r="AW92" s="343">
        <f t="shared" si="123"/>
        <v>0</v>
      </c>
      <c r="AX92" s="343">
        <f t="shared" si="124"/>
        <v>0</v>
      </c>
      <c r="AY92" s="345">
        <f t="shared" si="125"/>
        <v>0</v>
      </c>
      <c r="AZ92" s="168">
        <f>MAX(AB92:AY92)</f>
        <v>0</v>
      </c>
      <c r="BA92" s="157" t="b">
        <f t="shared" si="127"/>
        <v>0</v>
      </c>
      <c r="BB92" s="157" t="b">
        <f t="shared" si="128"/>
        <v>0</v>
      </c>
      <c r="BC92" s="168">
        <f>IF(BB92=TRUE,"NP",IF(BA92=TRUE,"UL",IF(Z92=0,AZ92*AA92,Z92*AZ92)))</f>
        <v>0</v>
      </c>
      <c r="BD92" s="404"/>
    </row>
    <row r="93" spans="1:56" x14ac:dyDescent="0.2">
      <c r="A93" s="217" t="str">
        <f>IF(B29&gt;$D$10,"","Stories")</f>
        <v/>
      </c>
      <c r="B93" s="215">
        <f>IF(OR($D$7=1,$D$9&lt;=0,$D$10&lt;=0),0,IF(OR(D93="NP",G93="NP",J93="NP",M93="NP"),"NP",IF(OR(D93="OL",G93="OL",J93="OL",M93="OL"),"OL",IF(OR(D93="SPS",G93="SPS",J93="SPS",M93="SPS"),"SPS",IF(AND(D93=0,D93=0,G93=0,J93=0,M93=0),"","OK")))))</f>
        <v>0</v>
      </c>
      <c r="C93" s="214"/>
      <c r="D93" s="215">
        <f>IF(B31=1,"OL",IF(B31=2,"SPS",IF(B31=3,"OK",B31)))</f>
        <v>0</v>
      </c>
      <c r="E93" s="171" t="str">
        <f>Q50</f>
        <v/>
      </c>
      <c r="F93" s="214">
        <f>O50</f>
        <v>0</v>
      </c>
      <c r="G93" s="215">
        <f>IF(L31=1,"OL",IF(L31=2,"SPS",IF(L31=3,"OK",L31)))</f>
        <v>0</v>
      </c>
      <c r="H93" s="171" t="str">
        <f>Q56</f>
        <v/>
      </c>
      <c r="I93" s="214">
        <f>O56</f>
        <v>0</v>
      </c>
      <c r="J93" s="215">
        <f>IF(V31=1,"OL",IF(V31=2,"SPS",IF(V31=3,"OK",V31)))</f>
        <v>0</v>
      </c>
      <c r="K93" s="171" t="str">
        <f>Q62</f>
        <v/>
      </c>
      <c r="L93" s="171">
        <f>O62</f>
        <v>0</v>
      </c>
      <c r="M93" s="215">
        <f>IF(AF31=1,"OL",IF(AF31=2,"SPS",IF(AF31=3,"OK",AF31)))</f>
        <v>0</v>
      </c>
      <c r="N93" s="171" t="str">
        <f>Q68</f>
        <v/>
      </c>
      <c r="O93" s="214">
        <f>O68</f>
        <v>0</v>
      </c>
      <c r="Q93" s="217"/>
      <c r="S93" s="398">
        <f>MAX(G17,G20,G23,G26,G29,G32,Q17,Q20,Q23,Q26,Q29,Q32,AA17,AA20,AA23,AA26,AA29,AA32,AK17,AK20,AK23,AK26,AK29,AK32)</f>
        <v>1</v>
      </c>
      <c r="T93" s="352">
        <f>MAX(H17,H20,H23,H26,H29,H32,R17,R20,R23,R26,R29,R32,AB17,AB20,AB23,AB26,AB29,AB32,AL17,AL20,AL23,AL26,AL29,AL32)</f>
        <v>0</v>
      </c>
      <c r="X93" s="81" t="s">
        <v>77</v>
      </c>
      <c r="Y93" s="111">
        <f t="shared" si="101"/>
        <v>23</v>
      </c>
      <c r="Z93" s="112">
        <f>IF(AND(ChaCha!$B$7=FALSE,ChaCha!$B$8=TRUE),Info!$D$11,0)</f>
        <v>0</v>
      </c>
      <c r="AA93" s="341">
        <f t="shared" si="75"/>
        <v>0</v>
      </c>
      <c r="AB93" s="342">
        <f t="shared" si="102"/>
        <v>0</v>
      </c>
      <c r="AC93" s="343">
        <f t="shared" si="103"/>
        <v>0</v>
      </c>
      <c r="AD93" s="343">
        <f t="shared" si="104"/>
        <v>0</v>
      </c>
      <c r="AE93" s="343">
        <f t="shared" si="105"/>
        <v>0</v>
      </c>
      <c r="AF93" s="342">
        <f t="shared" si="106"/>
        <v>0</v>
      </c>
      <c r="AG93" s="343">
        <f t="shared" si="107"/>
        <v>0</v>
      </c>
      <c r="AH93" s="343">
        <f t="shared" si="108"/>
        <v>0</v>
      </c>
      <c r="AI93" s="343">
        <f t="shared" si="109"/>
        <v>0</v>
      </c>
      <c r="AJ93" s="342">
        <f t="shared" si="110"/>
        <v>0</v>
      </c>
      <c r="AK93" s="343">
        <f t="shared" si="111"/>
        <v>0</v>
      </c>
      <c r="AL93" s="343">
        <f t="shared" si="112"/>
        <v>0</v>
      </c>
      <c r="AM93" s="343">
        <f t="shared" si="113"/>
        <v>0</v>
      </c>
      <c r="AN93" s="342">
        <f t="shared" si="114"/>
        <v>0</v>
      </c>
      <c r="AO93" s="343">
        <f t="shared" si="115"/>
        <v>0</v>
      </c>
      <c r="AP93" s="343">
        <f t="shared" si="116"/>
        <v>0</v>
      </c>
      <c r="AQ93" s="343">
        <f t="shared" si="117"/>
        <v>0</v>
      </c>
      <c r="AR93" s="342">
        <f t="shared" si="118"/>
        <v>0</v>
      </c>
      <c r="AS93" s="343">
        <f t="shared" si="119"/>
        <v>0</v>
      </c>
      <c r="AT93" s="343">
        <f t="shared" si="120"/>
        <v>0</v>
      </c>
      <c r="AU93" s="343">
        <f t="shared" si="121"/>
        <v>0</v>
      </c>
      <c r="AV93" s="342">
        <f t="shared" si="122"/>
        <v>0</v>
      </c>
      <c r="AW93" s="343">
        <f t="shared" si="123"/>
        <v>0</v>
      </c>
      <c r="AX93" s="343">
        <f t="shared" si="124"/>
        <v>0</v>
      </c>
      <c r="AY93" s="345">
        <f t="shared" si="125"/>
        <v>0</v>
      </c>
      <c r="AZ93" s="168">
        <f t="shared" si="126"/>
        <v>0</v>
      </c>
      <c r="BA93" s="157" t="b">
        <f t="shared" si="127"/>
        <v>0</v>
      </c>
      <c r="BB93" s="157" t="b">
        <f t="shared" si="128"/>
        <v>0</v>
      </c>
      <c r="BC93" s="168">
        <f>IF(BB93=TRUE,"NP",IF(BA93=TRUE,"UL",IF(Z93=0,AZ93*AA93,Z93*AZ93)))</f>
        <v>0</v>
      </c>
      <c r="BD93" s="404"/>
    </row>
    <row r="94" spans="1:56" x14ac:dyDescent="0.2">
      <c r="A94" s="216"/>
      <c r="B94" s="226" t="str">
        <f>IF(B32&gt;$D$10,"","Level "&amp;B32)</f>
        <v/>
      </c>
      <c r="C94" s="227"/>
      <c r="D94" s="228"/>
      <c r="E94" s="229" t="str">
        <f>IF(F94=0,"","Occ.")</f>
        <v/>
      </c>
      <c r="F94" s="227">
        <f>VLOOKUP(G32,$D$38:$E$67,2)</f>
        <v>0</v>
      </c>
      <c r="G94" s="228"/>
      <c r="H94" s="229" t="str">
        <f>IF(I94=0,"","Occ.")</f>
        <v/>
      </c>
      <c r="I94" s="227">
        <f>VLOOKUP(Q32,$D$38:$E$67,2)</f>
        <v>0</v>
      </c>
      <c r="J94" s="228"/>
      <c r="K94" s="229" t="str">
        <f>IF(L94=0,"","Occ.")</f>
        <v/>
      </c>
      <c r="L94" s="229">
        <f>VLOOKUP(AA32,$D$38:$E$67,2)</f>
        <v>0</v>
      </c>
      <c r="M94" s="228"/>
      <c r="N94" s="229" t="str">
        <f>IF(O94=0,"","Occ.")</f>
        <v/>
      </c>
      <c r="O94" s="227">
        <f>VLOOKUP(AK32,$D$38:$E$67,2)</f>
        <v>0</v>
      </c>
      <c r="Q94" s="217"/>
      <c r="X94" s="81" t="s">
        <v>19</v>
      </c>
      <c r="Y94" s="111">
        <f t="shared" si="101"/>
        <v>24</v>
      </c>
      <c r="Z94" s="112">
        <f>IF(AND(ChaCha!$B$7=FALSE,ChaCha!$B$8=TRUE),Info!$D$11,0)</f>
        <v>0</v>
      </c>
      <c r="AA94" s="341">
        <f t="shared" si="75"/>
        <v>0</v>
      </c>
      <c r="AB94" s="342">
        <f>IF(AND($H$19&lt;&gt;1,$G$17=Y94),$J$17,0)</f>
        <v>0</v>
      </c>
      <c r="AC94" s="343">
        <f t="shared" si="103"/>
        <v>0</v>
      </c>
      <c r="AD94" s="343">
        <f>IF(AND($AB$19&lt;&gt;1,$AA$17=Y94),$AD$17,0)</f>
        <v>0</v>
      </c>
      <c r="AE94" s="343">
        <f>IF(AND($AL$19&lt;&gt;1,$AK$17=Y94),$AN$17,0)</f>
        <v>0</v>
      </c>
      <c r="AF94" s="342">
        <f>IF(AND($H$22&lt;&gt;1,$G$20=Y94),$J$20,0)</f>
        <v>0</v>
      </c>
      <c r="AG94" s="343">
        <f>IF(AND($R$22&lt;&gt;1,$Q$20=Y94),$T$20,0)</f>
        <v>0</v>
      </c>
      <c r="AH94" s="343">
        <f>IF(AND($AB$22&lt;&gt;1,$AA$20=Y94),$AD$20,0)</f>
        <v>0</v>
      </c>
      <c r="AI94" s="343">
        <f>IF(AND($AL$22&lt;&gt;1,$AK$20=Y94),$AN$20,0)</f>
        <v>0</v>
      </c>
      <c r="AJ94" s="342">
        <f>IF(AND($H$25&lt;&gt;1,$G$23=Y94),$J$23,0)</f>
        <v>0</v>
      </c>
      <c r="AK94" s="343">
        <f>IF(AND($R$25&lt;&gt;1,$Q$23=Y94),$T$23,0)</f>
        <v>0</v>
      </c>
      <c r="AL94" s="343">
        <f>IF(AND($AB$25&lt;&gt;1,$AA$23=Y94),$AD$23,0)</f>
        <v>0</v>
      </c>
      <c r="AM94" s="343">
        <f>IF(AND($AL$25&lt;&gt;1,$AK$23=Y94),$AN$23,0)</f>
        <v>0</v>
      </c>
      <c r="AN94" s="342">
        <f>IF(AND($H$28&lt;&gt;1,$G$26=Y94),$J$26,0)</f>
        <v>0</v>
      </c>
      <c r="AO94" s="343">
        <f>IF(AND($R$28&lt;&gt;1,$Q$26=Y94),$T$26,0)</f>
        <v>0</v>
      </c>
      <c r="AP94" s="343">
        <f>IF(AND($AB$28&lt;&gt;1,$AA$26=Y94),$AD$26,0)</f>
        <v>0</v>
      </c>
      <c r="AQ94" s="343">
        <f>IF(AND($AL$28&lt;&gt;1,$AK$26=Y94),$AN$26,0)</f>
        <v>0</v>
      </c>
      <c r="AR94" s="342">
        <f>IF(AND($H$31&lt;&gt;1,$G$29=Y94),$J$29,0)</f>
        <v>0</v>
      </c>
      <c r="AS94" s="343">
        <f>IF(AND($R$31&lt;&gt;1,$Q$29=Y94),$T$29,0)</f>
        <v>0</v>
      </c>
      <c r="AT94" s="343">
        <f>IF(AND($AB$31&lt;&gt;1,$AA$29=Y94),$AD$29,0)</f>
        <v>0</v>
      </c>
      <c r="AU94" s="343">
        <f>IF(AND($AL$31&lt;&gt;1,$AK$29=Y94),$AN$29,0)</f>
        <v>0</v>
      </c>
      <c r="AV94" s="342">
        <f>IF(AND($H$34&lt;&gt;1,$G$32=Y94),$J$32,0)</f>
        <v>0</v>
      </c>
      <c r="AW94" s="343">
        <f>IF(AND($R$34&lt;&gt;1,$Q$32=Y94),$T$32,0)</f>
        <v>0</v>
      </c>
      <c r="AX94" s="343">
        <f>IF(AND($AB$34&lt;&gt;1,$AA$32=Y94),$AD$32,0)</f>
        <v>0</v>
      </c>
      <c r="AY94" s="345">
        <f>IF(AND($AL$34&lt;&gt;1,$AK$32=Y94),$AN$32,0)</f>
        <v>0</v>
      </c>
      <c r="AZ94" s="168">
        <f>MAX(AB94:AY94)</f>
        <v>0</v>
      </c>
      <c r="BA94" s="157" t="b">
        <f>COUNTIF(AB94:AY94,"UL")&gt;0</f>
        <v>0</v>
      </c>
      <c r="BB94" s="157" t="b">
        <f>COUNTIF(AB94:AY94,"NP")&gt;0</f>
        <v>0</v>
      </c>
      <c r="BC94" s="168">
        <f>IF(BB94=TRUE,"NP",IF(BA94=TRUE,"UL",IF(Z94=0,AZ94*AA94,Z94*AZ94)))</f>
        <v>0</v>
      </c>
      <c r="BD94" s="404"/>
    </row>
    <row r="95" spans="1:56" x14ac:dyDescent="0.2">
      <c r="A95" s="217" t="str">
        <f>IF(B32&gt;$D$10,"","Area")</f>
        <v/>
      </c>
      <c r="B95" s="230">
        <f>IF(OR(AR32="NP",AR32="OL"),AR32,IF(OR(D95="SPA",G95="SPA",J95="SPA",M95="SPA"),"SPA",AR32))</f>
        <v>0</v>
      </c>
      <c r="C95" s="222"/>
      <c r="D95" s="230" t="str">
        <f>IF(H34=3,"OK",IF(H34=2,"SPA",IF(H34=1,"OL",IF(H34=0,"",H34))))</f>
        <v/>
      </c>
      <c r="E95" s="223">
        <f>H32</f>
        <v>0</v>
      </c>
      <c r="F95" s="222">
        <f>J32</f>
        <v>0</v>
      </c>
      <c r="G95" s="230" t="str">
        <f>IF(R34=3,"OK",IF(R34=2,"SPA",IF(R34=1,"OL",IF(R34=0,"",R34))))</f>
        <v/>
      </c>
      <c r="H95" s="223">
        <f>R32</f>
        <v>0</v>
      </c>
      <c r="I95" s="222">
        <f>T32</f>
        <v>0</v>
      </c>
      <c r="J95" s="230" t="str">
        <f>IF(AB34=3,"OK",IF(AB34=2,"SPA",IF(AB34=1,"OL",IF(AB34=0,"",AB34))))</f>
        <v/>
      </c>
      <c r="K95" s="223">
        <f>AB32</f>
        <v>0</v>
      </c>
      <c r="L95" s="223">
        <f>AD32</f>
        <v>0</v>
      </c>
      <c r="M95" s="230" t="str">
        <f>IF(AL34=3,"OK",IF(AL34=2,"SPA",IF(AL34=1,"OL",IF(AL34=0,"",AL34))))</f>
        <v/>
      </c>
      <c r="N95" s="223">
        <f>AL32</f>
        <v>0</v>
      </c>
      <c r="O95" s="222">
        <f>AN32</f>
        <v>0</v>
      </c>
      <c r="Q95" s="217"/>
      <c r="T95" s="223"/>
      <c r="X95" s="81" t="s">
        <v>20</v>
      </c>
      <c r="Y95" s="111">
        <f t="shared" si="101"/>
        <v>25</v>
      </c>
      <c r="Z95" s="113"/>
      <c r="AA95" s="341">
        <f t="shared" si="75"/>
        <v>0</v>
      </c>
      <c r="AB95" s="342">
        <f>IF(AND($H$19&lt;&gt;1,$G$17=Y95),$J$17,0)</f>
        <v>0</v>
      </c>
      <c r="AC95" s="343">
        <f t="shared" si="103"/>
        <v>0</v>
      </c>
      <c r="AD95" s="343">
        <f>IF(AND($AB$19&lt;&gt;1,$AA$17=Y95),$AD$17,0)</f>
        <v>0</v>
      </c>
      <c r="AE95" s="343">
        <f>IF(AND($AL$19&lt;&gt;1,$AK$17=Y95),$AN$17,0)</f>
        <v>0</v>
      </c>
      <c r="AF95" s="342">
        <f>IF(AND($H$22&lt;&gt;1,$G$20=Y95),$J$20,0)</f>
        <v>0</v>
      </c>
      <c r="AG95" s="343">
        <f>IF(AND($R$22&lt;&gt;1,$Q$20=Y95),$T$20,0)</f>
        <v>0</v>
      </c>
      <c r="AH95" s="343">
        <f>IF(AND($AB$22&lt;&gt;1,$AA$20=Y95),$AD$20,0)</f>
        <v>0</v>
      </c>
      <c r="AI95" s="343">
        <f>IF(AND($AL$22&lt;&gt;1,$AK$20=Y95),$AN$20,0)</f>
        <v>0</v>
      </c>
      <c r="AJ95" s="342">
        <f>IF(AND($H$25&lt;&gt;1,$G$23=Y95),$J$23,0)</f>
        <v>0</v>
      </c>
      <c r="AK95" s="343">
        <f>IF(AND($R$25&lt;&gt;1,$Q$23=Y95),$T$23,0)</f>
        <v>0</v>
      </c>
      <c r="AL95" s="343">
        <f>IF(AND($AB$25&lt;&gt;1,$AA$23=Y95),$AD$23,0)</f>
        <v>0</v>
      </c>
      <c r="AM95" s="343">
        <f>IF(AND($AL$25&lt;&gt;1,$AK$23=Y95),$AN$23,0)</f>
        <v>0</v>
      </c>
      <c r="AN95" s="342">
        <f>IF(AND($H$28&lt;&gt;1,$G$26=Y95),$J$26,0)</f>
        <v>0</v>
      </c>
      <c r="AO95" s="343">
        <f>IF(AND($R$28&lt;&gt;1,$Q$26=Y95),$T$26,0)</f>
        <v>0</v>
      </c>
      <c r="AP95" s="343">
        <f>IF(AND($AB$28&lt;&gt;1,$AA$26=Y95),$AD$26,0)</f>
        <v>0</v>
      </c>
      <c r="AQ95" s="343">
        <f>IF(AND($AL$28&lt;&gt;1,$AK$26=Y95),$AN$26,0)</f>
        <v>0</v>
      </c>
      <c r="AR95" s="342">
        <f>IF(AND($H$31&lt;&gt;1,$G$29=Y95),$J$29,0)</f>
        <v>0</v>
      </c>
      <c r="AS95" s="343">
        <f>IF(AND($R$31&lt;&gt;1,$Q$29=Y95),$T$29,0)</f>
        <v>0</v>
      </c>
      <c r="AT95" s="343">
        <f>IF(AND($AB$31&lt;&gt;1,$AA$29=Y95),$AD$29,0)</f>
        <v>0</v>
      </c>
      <c r="AU95" s="343">
        <f>IF(AND($AL$31&lt;&gt;1,$AK$29=Y95),$AN$29,0)</f>
        <v>0</v>
      </c>
      <c r="AV95" s="342">
        <f>IF(AND($H$34&lt;&gt;1,$G$32=Y95),$J$32,0)</f>
        <v>0</v>
      </c>
      <c r="AW95" s="343">
        <f>IF(AND($R$34&lt;&gt;1,$Q$32=Y95),$T$32,0)</f>
        <v>0</v>
      </c>
      <c r="AX95" s="343">
        <f>IF(AND($AB$34&lt;&gt;1,$AA$32=Y95),$AD$32,0)</f>
        <v>0</v>
      </c>
      <c r="AY95" s="345">
        <f>IF(AND($AL$34&lt;&gt;1,$AK$32=Y95),$AN$32,0)</f>
        <v>0</v>
      </c>
      <c r="AZ95" s="168">
        <f>MAX(AB95:AY95)</f>
        <v>0</v>
      </c>
      <c r="BA95" s="157" t="b">
        <f>COUNTIF(AB95:AY95,"UL")&gt;0</f>
        <v>0</v>
      </c>
      <c r="BB95" s="157" t="b">
        <f>COUNTIF(AB95:AY95,"NP")&gt;0</f>
        <v>0</v>
      </c>
      <c r="BC95" s="168">
        <f>IF(BB95=TRUE,"NP",IF(BA95=TRUE,"UL",AZ95*AA95))</f>
        <v>0</v>
      </c>
    </row>
    <row r="96" spans="1:56" x14ac:dyDescent="0.2">
      <c r="A96" s="217" t="str">
        <f>IF(B32&gt;$D$10,"","Height")</f>
        <v/>
      </c>
      <c r="B96" s="215">
        <f>IF(OR($D$7=1,$D$9&lt;=0,$D$10&lt;=0),0,IF(OR(D96="NP",G96="NP",J96="NP",M96="NP"),"NP",IF(OR(D96="OL",G96="OL",J96="OL",M96="OL"),"OL",IF(OR(D96="SPH",G96="SPH",J96="SPH",M96="SPH"),"SPH",IF(AND(D96=0,D96=0,G96=0,J96=0,M96=0),"","OK")))))</f>
        <v>0</v>
      </c>
      <c r="C96" s="222"/>
      <c r="D96" s="215">
        <f>IF(B33=1,"OL",IF(B33=2,"SPH",IF(B33=3,"OK",B33)))</f>
        <v>0</v>
      </c>
      <c r="E96" s="171">
        <f>IF(F94=0,0,$D$9)</f>
        <v>0</v>
      </c>
      <c r="F96" s="214">
        <f>J33</f>
        <v>0</v>
      </c>
      <c r="G96" s="215">
        <f>IF(L33=1,"OL",IF(L33=2,"SPH",IF(L33=3,"OK",L33)))</f>
        <v>0</v>
      </c>
      <c r="H96" s="171">
        <f>IF(I94=0,0,$D$9)</f>
        <v>0</v>
      </c>
      <c r="I96" s="214">
        <f>T33</f>
        <v>0</v>
      </c>
      <c r="J96" s="215">
        <f>IF(V33=1,"OL",IF(V33=2,"SPH",IF(V33=3,"OK",V33)))</f>
        <v>0</v>
      </c>
      <c r="K96" s="171">
        <f>IF(L94=0,0,$D$9)</f>
        <v>0</v>
      </c>
      <c r="L96" s="171">
        <f>AD33</f>
        <v>0</v>
      </c>
      <c r="M96" s="215">
        <f>IF(AF33=1,"OL",IF(AF33=2,"SPH",IF(AF33=3,"OK",AF33)))</f>
        <v>0</v>
      </c>
      <c r="N96" s="171">
        <f>IF(O94=0,0,$D$9)</f>
        <v>0</v>
      </c>
      <c r="O96" s="214">
        <f>AN33</f>
        <v>0</v>
      </c>
      <c r="Q96" s="217"/>
      <c r="X96" s="81" t="s">
        <v>33</v>
      </c>
      <c r="Y96" s="111">
        <f t="shared" si="101"/>
        <v>26</v>
      </c>
      <c r="Z96" s="113"/>
      <c r="AA96" s="341">
        <f t="shared" si="75"/>
        <v>0</v>
      </c>
      <c r="AB96" s="342">
        <f>IF(AND($H$19&lt;&gt;1,$G$17=Y96),$J$17,0)</f>
        <v>0</v>
      </c>
      <c r="AC96" s="343">
        <f t="shared" si="103"/>
        <v>0</v>
      </c>
      <c r="AD96" s="343">
        <f>IF(AND($AB$19&lt;&gt;1,$AA$17=Y96),$AD$17,0)</f>
        <v>0</v>
      </c>
      <c r="AE96" s="343">
        <f>IF(AND($AL$19&lt;&gt;1,$AK$17=Y96),$AN$17,0)</f>
        <v>0</v>
      </c>
      <c r="AF96" s="342">
        <f>IF(AND($H$22&lt;&gt;1,$G$20=Y96),$J$20,0)</f>
        <v>0</v>
      </c>
      <c r="AG96" s="343">
        <f>IF(AND($R$22&lt;&gt;1,$Q$20=Y96),$T$20,0)</f>
        <v>0</v>
      </c>
      <c r="AH96" s="343">
        <f>IF(AND($AB$22&lt;&gt;1,$AA$20=Y96),$AD$20,0)</f>
        <v>0</v>
      </c>
      <c r="AI96" s="343">
        <f>IF(AND($AL$22&lt;&gt;1,$AK$20=Y96),$AN$20,0)</f>
        <v>0</v>
      </c>
      <c r="AJ96" s="342">
        <f>IF(AND($H$25&lt;&gt;1,$G$23=Y96),$J$23,0)</f>
        <v>0</v>
      </c>
      <c r="AK96" s="343">
        <f>IF(AND($R$25&lt;&gt;1,$Q$23=Y96),$T$23,0)</f>
        <v>0</v>
      </c>
      <c r="AL96" s="343">
        <f>IF(AND($AB$25&lt;&gt;1,$AA$23=Y96),$AD$23,0)</f>
        <v>0</v>
      </c>
      <c r="AM96" s="343">
        <f>IF(AND($AL$25&lt;&gt;1,$AK$23=Y96),$AN$23,0)</f>
        <v>0</v>
      </c>
      <c r="AN96" s="342">
        <f>IF(AND($H$28&lt;&gt;1,$G$26=Y96),$J$26,0)</f>
        <v>0</v>
      </c>
      <c r="AO96" s="343">
        <f>IF(AND($R$28&lt;&gt;1,$Q$26=Y96),$T$26,0)</f>
        <v>0</v>
      </c>
      <c r="AP96" s="343">
        <f>IF(AND($AB$28&lt;&gt;1,$AA$26=Y96),$AD$26,0)</f>
        <v>0</v>
      </c>
      <c r="AQ96" s="343">
        <f>IF(AND($AL$28&lt;&gt;1,$AK$26=Y96),$AN$26,0)</f>
        <v>0</v>
      </c>
      <c r="AR96" s="342">
        <f>IF(AND($H$31&lt;&gt;1,$G$29=Y96),$J$29,0)</f>
        <v>0</v>
      </c>
      <c r="AS96" s="343">
        <f>IF(AND($R$31&lt;&gt;1,$Q$29=Y96),$T$29,0)</f>
        <v>0</v>
      </c>
      <c r="AT96" s="343">
        <f>IF(AND($AB$31&lt;&gt;1,$AA$29=Y96),$AD$29,0)</f>
        <v>0</v>
      </c>
      <c r="AU96" s="343">
        <f>IF(AND($AL$31&lt;&gt;1,$AK$29=Y96),$AN$29,0)</f>
        <v>0</v>
      </c>
      <c r="AV96" s="342">
        <f>IF(AND($H$34&lt;&gt;1,$G$32=Y96),$J$32,0)</f>
        <v>0</v>
      </c>
      <c r="AW96" s="343">
        <f>IF(AND($R$34&lt;&gt;1,$Q$32=Y96),$T$32,0)</f>
        <v>0</v>
      </c>
      <c r="AX96" s="343">
        <f>IF(AND($AB$34&lt;&gt;1,$AA$32=Y96),$AD$32,0)</f>
        <v>0</v>
      </c>
      <c r="AY96" s="345">
        <f>IF(AND($AL$34&lt;&gt;1,$AK$32=Y96),$AN$32,0)</f>
        <v>0</v>
      </c>
      <c r="AZ96" s="168">
        <f>MAX(AB96:AY96)</f>
        <v>0</v>
      </c>
      <c r="BA96" s="157" t="b">
        <f>COUNTIF(AB96:AY96,"UL")&gt;0</f>
        <v>0</v>
      </c>
      <c r="BB96" s="157" t="b">
        <f>COUNTIF(AB96:AY96,"NP")&gt;0</f>
        <v>0</v>
      </c>
      <c r="BC96" s="168">
        <f>IF(BB96=TRUE,"NP",IF(BA96=TRUE,"UL",AZ96*AA96))</f>
        <v>0</v>
      </c>
    </row>
    <row r="97" spans="1:55" x14ac:dyDescent="0.2">
      <c r="A97" s="218" t="str">
        <f>IF(B32&gt;$D$10,"","Stories")</f>
        <v/>
      </c>
      <c r="B97" s="233">
        <f>IF(OR($D$7=1,$D$9&lt;=0,$D$10&lt;=0),0,IF(OR(D97="NP",G97="NP",J97="NP",M97="NP"),"NP",IF(OR(D97="OL",G97="OL",J97="OL",M97="OL"),"OL",IF(OR(D97="SPS",G97="SPS",J97="SPS",M97="SPS"),"SPS",IF(AND(D97=0,D97=0,G97=0,J97=0,M97=0),"","OK")))))</f>
        <v>0</v>
      </c>
      <c r="C97" s="219"/>
      <c r="D97" s="220">
        <f>IF(B34=1,"OL",IF(B34=2,"SPS",IF(B34=3,"OK",B34)))</f>
        <v>0</v>
      </c>
      <c r="E97" s="218" t="str">
        <f>Q51</f>
        <v/>
      </c>
      <c r="F97" s="219">
        <f>O51</f>
        <v>0</v>
      </c>
      <c r="G97" s="220">
        <f>IF(L34=1,"OL",IF(L34=2,"SPS",IF(L34=3,"OK",L34)))</f>
        <v>0</v>
      </c>
      <c r="H97" s="218" t="str">
        <f>Q57</f>
        <v/>
      </c>
      <c r="I97" s="219">
        <f>O57</f>
        <v>0</v>
      </c>
      <c r="J97" s="220">
        <f>IF(V34=1,"OL",IF(V34=2,"SPS",IF(V34=3,"OK",V34)))</f>
        <v>0</v>
      </c>
      <c r="K97" s="218" t="str">
        <f>Q63</f>
        <v/>
      </c>
      <c r="L97" s="218">
        <f>O63</f>
        <v>0</v>
      </c>
      <c r="M97" s="220">
        <f>IF(AF34=1,"OL",IF(AF34=2,"SPS",IF(AF34=3,"OK",AF34)))</f>
        <v>0</v>
      </c>
      <c r="N97" s="218" t="str">
        <f>Q69</f>
        <v/>
      </c>
      <c r="O97" s="219">
        <f>O69</f>
        <v>0</v>
      </c>
      <c r="Q97" s="217"/>
      <c r="X97" s="81" t="s">
        <v>32</v>
      </c>
      <c r="Y97" s="111">
        <f t="shared" si="101"/>
        <v>27</v>
      </c>
      <c r="Z97" s="113"/>
      <c r="AA97" s="341">
        <f t="shared" si="75"/>
        <v>0</v>
      </c>
      <c r="AB97" s="342">
        <f>IF(AND($H$19&lt;&gt;1,$G$17=Y97),$J$17,0)</f>
        <v>0</v>
      </c>
      <c r="AC97" s="343">
        <f t="shared" si="103"/>
        <v>0</v>
      </c>
      <c r="AD97" s="343">
        <f>IF(AND($AB$19&lt;&gt;1,$AA$17=Y97),$AD$17,0)</f>
        <v>0</v>
      </c>
      <c r="AE97" s="343">
        <f>IF(AND($AL$19&lt;&gt;1,$AK$17=Y97),$AN$17,0)</f>
        <v>0</v>
      </c>
      <c r="AF97" s="342">
        <f>IF(AND($H$22&lt;&gt;1,$G$20=Y97),$J$20,0)</f>
        <v>0</v>
      </c>
      <c r="AG97" s="343">
        <f>IF(AND($R$22&lt;&gt;1,$Q$20=Y97),$T$20,0)</f>
        <v>0</v>
      </c>
      <c r="AH97" s="343">
        <f>IF(AND($AB$22&lt;&gt;1,$AA$20=Y97),$AD$20,0)</f>
        <v>0</v>
      </c>
      <c r="AI97" s="343">
        <f>IF(AND($AL$22&lt;&gt;1,$AK$20=Y97),$AN$20,0)</f>
        <v>0</v>
      </c>
      <c r="AJ97" s="342">
        <f>IF(AND($H$25&lt;&gt;1,$G$23=Y97),$J$23,0)</f>
        <v>0</v>
      </c>
      <c r="AK97" s="343">
        <f>IF(AND($R$25&lt;&gt;1,$Q$23=Y97),$T$23,0)</f>
        <v>0</v>
      </c>
      <c r="AL97" s="343">
        <f>IF(AND($AB$25&lt;&gt;1,$AA$23=Y97),$AD$23,0)</f>
        <v>0</v>
      </c>
      <c r="AM97" s="343">
        <f>IF(AND($AL$25&lt;&gt;1,$AK$23=Y97),$AN$23,0)</f>
        <v>0</v>
      </c>
      <c r="AN97" s="342">
        <f>IF(AND($H$28&lt;&gt;1,$G$26=Y97),$J$26,0)</f>
        <v>0</v>
      </c>
      <c r="AO97" s="343">
        <f>IF(AND($R$28&lt;&gt;1,$Q$26=Y97),$T$26,0)</f>
        <v>0</v>
      </c>
      <c r="AP97" s="343">
        <f>IF(AND($AB$28&lt;&gt;1,$AA$26=Y97),$AD$26,0)</f>
        <v>0</v>
      </c>
      <c r="AQ97" s="343">
        <f>IF(AND($AL$28&lt;&gt;1,$AK$26=Y97),$AN$26,0)</f>
        <v>0</v>
      </c>
      <c r="AR97" s="342">
        <f>IF(AND($H$31&lt;&gt;1,$G$29=Y97),$J$29,0)</f>
        <v>0</v>
      </c>
      <c r="AS97" s="343">
        <f>IF(AND($R$31&lt;&gt;1,$Q$29=Y97),$T$29,0)</f>
        <v>0</v>
      </c>
      <c r="AT97" s="343">
        <f>IF(AND($AB$31&lt;&gt;1,$AA$29=Y97),$AD$29,0)</f>
        <v>0</v>
      </c>
      <c r="AU97" s="343">
        <f>IF(AND($AL$31&lt;&gt;1,$AK$29=Y97),$AN$29,0)</f>
        <v>0</v>
      </c>
      <c r="AV97" s="342">
        <f>IF(AND($H$34&lt;&gt;1,$G$32=Y97),$J$32,0)</f>
        <v>0</v>
      </c>
      <c r="AW97" s="343">
        <f>IF(AND($R$34&lt;&gt;1,$Q$32=Y97),$T$32,0)</f>
        <v>0</v>
      </c>
      <c r="AX97" s="343">
        <f>IF(AND($AB$34&lt;&gt;1,$AA$32=Y97),$AD$32,0)</f>
        <v>0</v>
      </c>
      <c r="AY97" s="345">
        <f>IF(AND($AL$34&lt;&gt;1,$AK$32=Y97),$AN$32,0)</f>
        <v>0</v>
      </c>
      <c r="AZ97" s="168">
        <f>MAX(AB97:AY97)</f>
        <v>0</v>
      </c>
      <c r="BA97" s="157" t="b">
        <f>COUNTIF(AB97:AY97,"UL")&gt;0</f>
        <v>0</v>
      </c>
      <c r="BB97" s="157" t="b">
        <f>COUNTIF(AB97:AY97,"NP")&gt;0</f>
        <v>0</v>
      </c>
      <c r="BC97" s="168">
        <f>IF(BB97=TRUE,"NP",IF(BA97=TRUE,"UL",AZ97*AA97))</f>
        <v>0</v>
      </c>
    </row>
    <row r="98" spans="1:55" x14ac:dyDescent="0.2">
      <c r="A98" s="170"/>
      <c r="B98" s="170"/>
      <c r="C98" s="170"/>
      <c r="D98" s="170"/>
      <c r="E98" s="170"/>
      <c r="F98" s="170"/>
      <c r="H98" s="170"/>
      <c r="X98" s="81"/>
      <c r="Y98" s="111"/>
      <c r="Z98" s="113"/>
      <c r="AA98" s="341"/>
      <c r="AB98" s="342"/>
      <c r="AC98" s="343"/>
      <c r="AD98" s="343"/>
      <c r="AE98" s="343"/>
      <c r="AF98" s="342"/>
      <c r="AG98" s="343"/>
      <c r="AH98" s="343"/>
      <c r="AI98" s="343"/>
      <c r="AJ98" s="342"/>
      <c r="AK98" s="343"/>
      <c r="AL98" s="343"/>
      <c r="AM98" s="343"/>
      <c r="AN98" s="342"/>
      <c r="AO98" s="343"/>
      <c r="AP98" s="343"/>
      <c r="AQ98" s="343"/>
      <c r="AR98" s="342"/>
      <c r="AS98" s="343"/>
      <c r="AT98" s="343"/>
      <c r="AU98" s="343"/>
      <c r="AV98" s="342"/>
      <c r="AW98" s="343"/>
      <c r="AX98" s="343"/>
      <c r="AY98" s="345"/>
      <c r="AZ98" s="168"/>
      <c r="BA98" s="157"/>
      <c r="BB98" s="157"/>
      <c r="BC98" s="168"/>
    </row>
    <row r="99" spans="1:55" x14ac:dyDescent="0.2">
      <c r="A99" s="170"/>
      <c r="B99" s="170"/>
      <c r="C99" s="170"/>
      <c r="D99" s="170"/>
      <c r="E99" s="170"/>
      <c r="F99" s="170"/>
      <c r="H99" s="170"/>
      <c r="X99" s="81"/>
      <c r="Y99" s="111"/>
      <c r="Z99" s="113"/>
      <c r="AA99" s="341"/>
      <c r="AB99" s="342"/>
      <c r="AC99" s="343"/>
      <c r="AD99" s="343"/>
      <c r="AE99" s="343"/>
      <c r="AF99" s="342"/>
      <c r="AG99" s="343"/>
      <c r="AH99" s="343"/>
      <c r="AI99" s="343"/>
      <c r="AJ99" s="342"/>
      <c r="AK99" s="343"/>
      <c r="AL99" s="343"/>
      <c r="AM99" s="343"/>
      <c r="AN99" s="342"/>
      <c r="AO99" s="343"/>
      <c r="AP99" s="343"/>
      <c r="AQ99" s="343"/>
      <c r="AR99" s="342"/>
      <c r="AS99" s="343"/>
      <c r="AT99" s="343"/>
      <c r="AU99" s="343"/>
      <c r="AV99" s="342"/>
      <c r="AW99" s="343"/>
      <c r="AX99" s="343"/>
      <c r="AY99" s="345"/>
      <c r="AZ99" s="168"/>
      <c r="BA99" s="157"/>
      <c r="BB99" s="157"/>
      <c r="BC99" s="168"/>
    </row>
    <row r="100" spans="1:55" x14ac:dyDescent="0.2">
      <c r="A100" s="170"/>
      <c r="B100" s="170"/>
      <c r="C100" s="170"/>
      <c r="D100" s="170"/>
      <c r="E100" s="170"/>
      <c r="F100" s="170"/>
      <c r="H100" s="170"/>
      <c r="X100" s="81"/>
      <c r="Y100" s="111"/>
      <c r="Z100" s="113"/>
      <c r="AA100" s="341"/>
      <c r="AB100" s="342"/>
      <c r="AC100" s="343"/>
      <c r="AD100" s="343"/>
      <c r="AE100" s="343"/>
      <c r="AF100" s="342"/>
      <c r="AG100" s="343"/>
      <c r="AH100" s="343"/>
      <c r="AI100" s="343"/>
      <c r="AJ100" s="342"/>
      <c r="AK100" s="343"/>
      <c r="AL100" s="343"/>
      <c r="AM100" s="343"/>
      <c r="AN100" s="342"/>
      <c r="AO100" s="343"/>
      <c r="AP100" s="343"/>
      <c r="AQ100" s="343"/>
      <c r="AR100" s="342"/>
      <c r="AS100" s="343"/>
      <c r="AT100" s="343"/>
      <c r="AU100" s="343"/>
      <c r="AV100" s="342"/>
      <c r="AW100" s="343"/>
      <c r="AX100" s="343"/>
      <c r="AY100" s="345"/>
      <c r="AZ100" s="168"/>
      <c r="BA100" s="157"/>
      <c r="BB100" s="157"/>
      <c r="BC100" s="168"/>
    </row>
    <row r="101" spans="1:55" x14ac:dyDescent="0.2">
      <c r="A101" s="170">
        <v>0</v>
      </c>
      <c r="B101" s="170">
        <v>0</v>
      </c>
      <c r="C101" s="170">
        <v>0</v>
      </c>
      <c r="D101" s="170"/>
      <c r="E101" s="170"/>
      <c r="F101" s="170"/>
      <c r="H101" s="170"/>
      <c r="L101" s="170"/>
      <c r="V101" s="170"/>
      <c r="AF101" s="170"/>
    </row>
    <row r="102" spans="1:55" x14ac:dyDescent="0.2">
      <c r="A102" s="170"/>
      <c r="B102" s="170"/>
      <c r="C102" s="170"/>
      <c r="D102" s="170"/>
      <c r="E102" s="170"/>
      <c r="F102" s="170"/>
      <c r="H102" s="170"/>
      <c r="K102" s="346" t="s">
        <v>169</v>
      </c>
      <c r="L102" s="350"/>
      <c r="M102" s="116">
        <f>COUNTIF(ChaCha!AF23:AF51,0)</f>
        <v>29</v>
      </c>
      <c r="N102" t="s">
        <v>278</v>
      </c>
      <c r="V102" s="170"/>
      <c r="AF102" s="170"/>
    </row>
    <row r="103" spans="1:55" x14ac:dyDescent="0.2">
      <c r="A103" s="170"/>
      <c r="B103" s="170"/>
      <c r="C103" s="170"/>
      <c r="D103" s="170"/>
      <c r="E103" s="170"/>
      <c r="F103" s="170"/>
      <c r="H103" s="170"/>
      <c r="J103" s="488" t="s">
        <v>275</v>
      </c>
      <c r="K103" s="488" t="s">
        <v>276</v>
      </c>
      <c r="L103" s="350"/>
      <c r="V103" s="170"/>
      <c r="AF103" s="170"/>
    </row>
    <row r="104" spans="1:55" x14ac:dyDescent="0.2">
      <c r="A104" s="170"/>
      <c r="B104" s="170">
        <v>0</v>
      </c>
      <c r="C104" s="296">
        <v>0</v>
      </c>
      <c r="D104" s="296">
        <v>45</v>
      </c>
      <c r="E104" s="296">
        <v>0</v>
      </c>
      <c r="F104" s="170"/>
      <c r="G104" s="490"/>
      <c r="H104" s="170"/>
      <c r="I104" s="116" t="str">
        <f>IF(M102&gt;27,J104,K104)</f>
        <v>506.2.3</v>
      </c>
      <c r="J104" s="492" t="s">
        <v>274</v>
      </c>
      <c r="K104" s="492" t="s">
        <v>277</v>
      </c>
      <c r="L104" s="350" t="str">
        <f>IF(AND(AS15&gt;AR15,D10&gt;1),"*Building Area is Overlimit per Sec."&amp;I104,"")</f>
        <v/>
      </c>
      <c r="V104" s="170"/>
      <c r="AF104" s="170"/>
    </row>
    <row r="105" spans="1:55" x14ac:dyDescent="0.2">
      <c r="A105" s="170"/>
      <c r="B105" s="170"/>
      <c r="C105" s="296">
        <v>15</v>
      </c>
      <c r="D105" s="296">
        <v>0</v>
      </c>
      <c r="E105" s="296">
        <v>0</v>
      </c>
      <c r="F105" s="170"/>
      <c r="G105" s="491">
        <f>ChaCha!AB11-MAX(ChaCha!H11,ChaCha!N11,ChaCha!T11,ChaCha!Z11)</f>
        <v>0</v>
      </c>
      <c r="H105" s="52" t="s">
        <v>280</v>
      </c>
      <c r="I105" t="str">
        <f t="shared" ref="I105:I110" si="129">IF(G105=0,J105,K105)</f>
        <v>506.2.3</v>
      </c>
      <c r="J105" s="492" t="s">
        <v>274</v>
      </c>
      <c r="K105" s="492" t="s">
        <v>279</v>
      </c>
      <c r="L105" s="350" t="str">
        <f>IF(AR17="OL","*Level "&amp;B17&amp;" Area is Overlimit per Sec."&amp;I105,"")</f>
        <v/>
      </c>
      <c r="V105" s="170"/>
      <c r="AF105" s="170"/>
    </row>
    <row r="106" spans="1:55" x14ac:dyDescent="0.2">
      <c r="A106" s="170"/>
      <c r="B106" s="170"/>
      <c r="C106" s="296">
        <v>16</v>
      </c>
      <c r="D106" s="296">
        <v>0</v>
      </c>
      <c r="E106" s="296">
        <v>0</v>
      </c>
      <c r="F106" s="170"/>
      <c r="G106" s="491">
        <f>ChaCha!AB13-MAX(ChaCha!H13,ChaCha!N13,ChaCha!T13,ChaCha!Z13)</f>
        <v>0</v>
      </c>
      <c r="H106" s="52" t="s">
        <v>280</v>
      </c>
      <c r="I106" t="str">
        <f t="shared" si="129"/>
        <v>506.2.3</v>
      </c>
      <c r="J106" s="492" t="s">
        <v>274</v>
      </c>
      <c r="K106" s="492" t="s">
        <v>279</v>
      </c>
      <c r="L106" s="350" t="str">
        <f>IF(AR20="OL","*Level "&amp;B20&amp;" Area is Overlimit per Sec."&amp;I106,"")</f>
        <v/>
      </c>
      <c r="V106" s="170"/>
      <c r="AF106" s="170"/>
    </row>
    <row r="107" spans="1:55" x14ac:dyDescent="0.2">
      <c r="A107" s="170"/>
      <c r="B107" s="170"/>
      <c r="C107" s="170"/>
      <c r="D107" s="170"/>
      <c r="E107" s="170"/>
      <c r="F107" s="170"/>
      <c r="G107" s="491">
        <f>ChaCha!AB15-MAX(ChaCha!H15,ChaCha!N15,ChaCha!T15,ChaCha!Z15)</f>
        <v>0</v>
      </c>
      <c r="H107" s="52" t="s">
        <v>280</v>
      </c>
      <c r="I107" t="str">
        <f t="shared" si="129"/>
        <v>506.2.3</v>
      </c>
      <c r="J107" s="492" t="s">
        <v>274</v>
      </c>
      <c r="K107" s="492" t="s">
        <v>279</v>
      </c>
      <c r="L107" s="350" t="str">
        <f>IF(AR23="OL","*Level "&amp;B23&amp;" Area is Overlimit per Sec."&amp;I107,"")</f>
        <v/>
      </c>
      <c r="V107" s="170"/>
      <c r="AF107" s="170"/>
    </row>
    <row r="108" spans="1:55" x14ac:dyDescent="0.2">
      <c r="A108" s="170"/>
      <c r="B108" s="170"/>
      <c r="C108" s="170"/>
      <c r="D108" s="170"/>
      <c r="E108" s="170"/>
      <c r="F108" s="170"/>
      <c r="G108" s="491">
        <f>ChaCha!AB17-MAX(ChaCha!H17,ChaCha!N17,ChaCha!T17,ChaCha!Z17)</f>
        <v>0</v>
      </c>
      <c r="H108" s="52" t="s">
        <v>280</v>
      </c>
      <c r="I108" t="str">
        <f t="shared" si="129"/>
        <v>506.2.3</v>
      </c>
      <c r="J108" s="492" t="s">
        <v>274</v>
      </c>
      <c r="K108" s="492" t="s">
        <v>279</v>
      </c>
      <c r="L108" s="350" t="str">
        <f>IF(AR26="OL","*Level "&amp;B26&amp;" Area is Overlimit per Sec."&amp;I108,"")</f>
        <v/>
      </c>
      <c r="V108" s="170"/>
      <c r="AF108" s="170"/>
    </row>
    <row r="109" spans="1:55" x14ac:dyDescent="0.2">
      <c r="A109" s="170"/>
      <c r="B109" s="170"/>
      <c r="C109" s="170"/>
      <c r="D109" s="170"/>
      <c r="E109" s="170"/>
      <c r="F109" s="170"/>
      <c r="G109" s="491">
        <f>ChaCha!AB19-MAX(ChaCha!H19,ChaCha!N19,ChaCha!T19,ChaCha!Z19)</f>
        <v>0</v>
      </c>
      <c r="H109" s="52" t="s">
        <v>280</v>
      </c>
      <c r="I109" t="str">
        <f t="shared" si="129"/>
        <v>506.2.3</v>
      </c>
      <c r="J109" s="492" t="s">
        <v>274</v>
      </c>
      <c r="K109" s="492" t="s">
        <v>279</v>
      </c>
      <c r="L109" s="350" t="str">
        <f>IF(AR29="OL","*Level "&amp;B29&amp;" Area is Overlimit per Sec."&amp;I109,"")</f>
        <v/>
      </c>
      <c r="V109" s="170"/>
      <c r="AF109" s="170"/>
    </row>
    <row r="110" spans="1:55" x14ac:dyDescent="0.2">
      <c r="A110" s="170"/>
      <c r="B110" s="170"/>
      <c r="C110" s="170"/>
      <c r="D110" s="170"/>
      <c r="E110" s="170"/>
      <c r="F110" s="170"/>
      <c r="G110" s="491">
        <f>ChaCha!AB21-MAX(ChaCha!H21,ChaCha!N21,ChaCha!T21,ChaCha!Z21)</f>
        <v>0</v>
      </c>
      <c r="H110" s="52" t="s">
        <v>280</v>
      </c>
      <c r="I110" t="str">
        <f t="shared" si="129"/>
        <v>506.2.3</v>
      </c>
      <c r="J110" s="492" t="s">
        <v>274</v>
      </c>
      <c r="K110" s="492" t="s">
        <v>279</v>
      </c>
      <c r="L110" s="350" t="str">
        <f>IF(AR32="OL","*Level "&amp;B32&amp;" Area is Overlimit per Sec."&amp;I110,"")</f>
        <v/>
      </c>
      <c r="V110" s="170"/>
      <c r="AF110" s="170"/>
    </row>
    <row r="111" spans="1:55" x14ac:dyDescent="0.2">
      <c r="A111" s="170"/>
      <c r="B111" s="170"/>
      <c r="C111" s="170"/>
      <c r="D111" s="170"/>
      <c r="E111" s="170"/>
      <c r="F111" s="52" t="s">
        <v>281</v>
      </c>
      <c r="G111" s="493">
        <f>IF(AND(ChaCha!B7=FALSE,ChaCha!B8=TRUE,BH65&gt;0),1,0)</f>
        <v>0</v>
      </c>
      <c r="H111" s="52"/>
      <c r="L111" s="350" t="str">
        <f>IF(AND(G111=1,G112=1), "*For R Occup. Groups New Building Number of stories limit to 4 per T.504.4","")</f>
        <v/>
      </c>
      <c r="V111" s="170"/>
      <c r="AF111" s="170"/>
    </row>
    <row r="112" spans="1:55" x14ac:dyDescent="0.2">
      <c r="A112" s="170"/>
      <c r="B112" s="170"/>
      <c r="C112" s="170"/>
      <c r="D112" s="170"/>
      <c r="E112" s="170"/>
      <c r="F112" s="52" t="s">
        <v>282</v>
      </c>
      <c r="G112" s="34">
        <f>IF(OR(ChaCha!G2=2,ChaCha!G2=3),1,0)</f>
        <v>0</v>
      </c>
      <c r="H112" s="170"/>
      <c r="L112" s="350" t="str">
        <f>IF(AND(G113=1,G114=1), "*Check Chapter 9 for new building sprinkler requirements","")</f>
        <v/>
      </c>
      <c r="V112" s="170"/>
      <c r="AF112" s="170"/>
    </row>
    <row r="113" spans="1:32" x14ac:dyDescent="0.2">
      <c r="A113" s="170"/>
      <c r="B113" s="170"/>
      <c r="C113" s="170"/>
      <c r="D113" s="170"/>
      <c r="E113" s="170"/>
      <c r="F113" s="52" t="s">
        <v>283</v>
      </c>
      <c r="G113" s="493">
        <f>IF(AND(ChaCha!B7=FALSE,ChaCha!B8=FALSE,ChaCha!B9=FALSE),1,0)</f>
        <v>1</v>
      </c>
      <c r="H113" s="170"/>
      <c r="L113" s="523" t="str">
        <f>IF(Info!J43=0,"",IF(AND(ChaCha!B7=FALSE,ChaCha!B8=FALSE,ChaCha!B9=FALSE),"*New Group R occupancies are req'd sprinkler system per Sec. 903.2.8",""))</f>
        <v/>
      </c>
      <c r="V113" s="170"/>
      <c r="AF113" s="170"/>
    </row>
    <row r="114" spans="1:32" x14ac:dyDescent="0.2">
      <c r="A114" s="170"/>
      <c r="B114" s="170"/>
      <c r="C114" s="170"/>
      <c r="D114" s="170"/>
      <c r="E114" s="170"/>
      <c r="F114" s="52" t="s">
        <v>284</v>
      </c>
      <c r="G114" s="34">
        <f>IF(BG65=0,0,1)</f>
        <v>0</v>
      </c>
      <c r="H114" s="170"/>
      <c r="L114" s="170"/>
      <c r="V114" s="170"/>
      <c r="AF114" s="170"/>
    </row>
    <row r="115" spans="1:32" x14ac:dyDescent="0.2">
      <c r="A115" s="170"/>
      <c r="B115" s="170"/>
      <c r="C115" s="170"/>
      <c r="D115" s="170"/>
      <c r="E115" s="170"/>
      <c r="F115" s="170"/>
      <c r="G115" s="489"/>
      <c r="H115" s="170"/>
      <c r="L115" s="494" t="str">
        <f>CONCATENATE(L104,L105,L106,L107,L108,L109,L110,L111,L112,L113)</f>
        <v/>
      </c>
      <c r="V115" s="170"/>
      <c r="AF115" s="170"/>
    </row>
    <row r="116" spans="1:32" x14ac:dyDescent="0.2">
      <c r="A116" s="170"/>
      <c r="B116" s="170"/>
      <c r="C116" s="170"/>
      <c r="D116" s="170"/>
      <c r="E116" s="170"/>
      <c r="F116" s="170"/>
      <c r="H116" s="170"/>
      <c r="L116" s="170"/>
      <c r="V116" s="170"/>
      <c r="AF116" s="170"/>
    </row>
    <row r="117" spans="1:32" x14ac:dyDescent="0.2">
      <c r="L117" t="s">
        <v>170</v>
      </c>
    </row>
    <row r="118" spans="1:32" x14ac:dyDescent="0.2">
      <c r="B118" s="170"/>
      <c r="L118" t="s">
        <v>289</v>
      </c>
      <c r="V118" s="170"/>
      <c r="AF118" s="170"/>
    </row>
    <row r="119" spans="1:32" x14ac:dyDescent="0.2">
      <c r="B119" s="170"/>
      <c r="L119" t="s">
        <v>290</v>
      </c>
      <c r="V119" s="170"/>
      <c r="AF119" s="170"/>
    </row>
    <row r="120" spans="1:32" x14ac:dyDescent="0.2">
      <c r="L120" t="s">
        <v>291</v>
      </c>
    </row>
    <row r="121" spans="1:32" x14ac:dyDescent="0.2">
      <c r="B121" s="170"/>
      <c r="L121" t="s">
        <v>292</v>
      </c>
      <c r="V121" s="170"/>
      <c r="AF121" s="170"/>
    </row>
    <row r="122" spans="1:32" x14ac:dyDescent="0.2">
      <c r="B122" s="170"/>
      <c r="L122" t="s">
        <v>293</v>
      </c>
      <c r="V122" s="170"/>
      <c r="AF122" s="170"/>
    </row>
    <row r="123" spans="1:32" x14ac:dyDescent="0.2">
      <c r="L123" t="s">
        <v>294</v>
      </c>
    </row>
    <row r="124" spans="1:32" x14ac:dyDescent="0.2">
      <c r="L124" t="s">
        <v>295</v>
      </c>
    </row>
    <row r="125" spans="1:32" x14ac:dyDescent="0.2">
      <c r="L125" t="s">
        <v>295</v>
      </c>
    </row>
    <row r="126" spans="1:32" x14ac:dyDescent="0.2">
      <c r="L126" t="s">
        <v>295</v>
      </c>
    </row>
    <row r="127" spans="1:32" x14ac:dyDescent="0.2">
      <c r="L127" t="s">
        <v>296</v>
      </c>
    </row>
    <row r="129" spans="12:12" x14ac:dyDescent="0.2">
      <c r="L129" s="350" t="str">
        <f>CONCATENATE(L118,L119,L120,L121,L122,L123,L124,L125,L126,L127)</f>
        <v xml:space="preserve">*Building Area is Overlimit per Sec. 506.2.3 *Level 1 Area is Overlimit per Sec.508.4.2 *Level 2 Area is Overlimit per Sec.508.4.2 *Level 3 Area is Overlimit per Sec.508.4.2 *Level 4 Area is Overlimit per Sec.508.4.2 *Level 5 Area is Overlimit per Sec.508.4.2 *Level 6 Area is Overlimit per Sec.508.4.2 *Level 6 Area is Overlimit per Sec.508.4.2 *Level 6 Area is Overlimit per Sec.508.4.2 *Level 6 Area is Overlimit per Sec.508.r.2 </v>
      </c>
    </row>
  </sheetData>
  <sheetProtection password="C9BC" sheet="1" selectLockedCells="1" selectUnlockedCells="1"/>
  <customSheetViews>
    <customSheetView guid="{C99C1093-CC5A-409C-96B5-E63635B6002F}" state="hidden">
      <selection activeCell="D1" sqref="D1"/>
      <pageMargins left="0.75" right="0.75" top="1" bottom="1" header="0.5" footer="0.5"/>
      <pageSetup orientation="portrait" horizontalDpi="1200" verticalDpi="1200" r:id="rId1"/>
      <headerFooter alignWithMargins="0"/>
    </customSheetView>
    <customSheetView guid="{3F9818B9-F253-4053-A33A-0CFC1B854133}" state="hidden" topLeftCell="B1">
      <selection activeCell="K106" sqref="K106"/>
      <pageMargins left="0.75" right="0.75" top="1" bottom="1" header="0.5" footer="0.5"/>
      <pageSetup orientation="portrait" horizontalDpi="1200" verticalDpi="1200" r:id="rId2"/>
      <headerFooter alignWithMargins="0"/>
    </customSheetView>
    <customSheetView guid="{356F0F3B-80AF-47CC-8087-F17A73F87B6E}" state="hidden" topLeftCell="A85">
      <selection activeCell="L115" sqref="L115"/>
      <pageMargins left="0.75" right="0.75" top="1" bottom="1" header="0.5" footer="0.5"/>
      <pageSetup orientation="portrait" horizontalDpi="1200" verticalDpi="1200" r:id="rId3"/>
      <headerFooter alignWithMargins="0"/>
    </customSheetView>
    <customSheetView guid="{09F76BC5-26ED-495D-B8F5-83F6B4183195}" state="hidden" topLeftCell="B1">
      <selection activeCell="K106" sqref="K106"/>
      <pageMargins left="0.75" right="0.75" top="1" bottom="1" header="0.5" footer="0.5"/>
      <pageSetup orientation="portrait" horizontalDpi="1200" verticalDpi="1200" r:id="rId4"/>
      <headerFooter alignWithMargins="0"/>
    </customSheetView>
    <customSheetView guid="{02979AA6-E421-4F39-B9A0-7166087A5EF9}" state="hidden">
      <selection activeCell="D1" sqref="D1"/>
      <pageMargins left="0.75" right="0.75" top="1" bottom="1" header="0.5" footer="0.5"/>
      <pageSetup orientation="portrait" horizontalDpi="1200" verticalDpi="1200" r:id="rId5"/>
      <headerFooter alignWithMargins="0"/>
    </customSheetView>
  </customSheetViews>
  <phoneticPr fontId="5" type="noConversion"/>
  <conditionalFormatting sqref="B20 K20:L20 U20:V20 AE20:AF20">
    <cfRule type="expression" dxfId="9" priority="5" stopIfTrue="1">
      <formula>$B$20&gt;$D$10</formula>
    </cfRule>
  </conditionalFormatting>
  <conditionalFormatting sqref="B23 K23:L23 U23:V23 AE23:AF23">
    <cfRule type="expression" dxfId="8" priority="4" stopIfTrue="1">
      <formula>$B$23&gt;$D$10</formula>
    </cfRule>
  </conditionalFormatting>
  <conditionalFormatting sqref="B26 K26:L26 U26:V26 AE26:AF26">
    <cfRule type="expression" dxfId="7" priority="3" stopIfTrue="1">
      <formula>$B$26&gt;$D$10</formula>
    </cfRule>
  </conditionalFormatting>
  <conditionalFormatting sqref="B29 K29:L29 U29:V29 AE29:AF29">
    <cfRule type="expression" dxfId="6" priority="2" stopIfTrue="1">
      <formula>$B$29&gt;$D$10</formula>
    </cfRule>
  </conditionalFormatting>
  <conditionalFormatting sqref="B32 K32:L32 U32:V32 AE32:AF32">
    <cfRule type="expression" dxfId="5" priority="1" stopIfTrue="1">
      <formula>$B$32&gt;$D$10</formula>
    </cfRule>
  </conditionalFormatting>
  <conditionalFormatting sqref="B104:E106">
    <cfRule type="cellIs" dxfId="4" priority="7" stopIfTrue="1" operator="equal">
      <formula>""</formula>
    </cfRule>
  </conditionalFormatting>
  <conditionalFormatting sqref="B17:AN17 C20:J20 M20:T20 W20:AD20 AG20:AN20 C23:J23 M23:T23 W23:AD23 AG23:AN23 C26:J26 M26:T26 W26:AD26 AG26:AN26 C29:J29 M29:T29 W29:AD29 AG29:AN29 C32:J32 M32:T32 W32:AD32 AG32:AN32 B71:E71">
    <cfRule type="expression" dxfId="3" priority="6" stopIfTrue="1">
      <formula>$B$17&gt;$D$10</formula>
    </cfRule>
  </conditionalFormatting>
  <pageMargins left="0.75" right="0.75" top="1" bottom="1" header="0.5" footer="0.5"/>
  <pageSetup orientation="portrait" horizontalDpi="1200" verticalDpi="1200" r:id="rId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59"/>
  <sheetViews>
    <sheetView showGridLines="0" topLeftCell="A19" workbookViewId="0">
      <selection activeCell="B1" sqref="B1"/>
    </sheetView>
  </sheetViews>
  <sheetFormatPr defaultRowHeight="12.75" x14ac:dyDescent="0.2"/>
  <cols>
    <col min="1" max="1" width="10.140625" style="1" customWidth="1"/>
    <col min="2" max="11" width="9.140625" style="1" customWidth="1"/>
  </cols>
  <sheetData>
    <row r="1" spans="1:23" ht="16.5" thickBot="1" x14ac:dyDescent="0.3">
      <c r="A1" s="413">
        <v>2006</v>
      </c>
      <c r="B1" s="6"/>
      <c r="C1" s="541" t="s">
        <v>21</v>
      </c>
      <c r="D1" s="545"/>
      <c r="E1" s="545"/>
      <c r="F1" s="545"/>
      <c r="G1" s="545"/>
      <c r="H1" s="545"/>
      <c r="I1" s="545"/>
      <c r="J1" s="545"/>
      <c r="K1" s="542"/>
      <c r="M1" s="413">
        <v>2009</v>
      </c>
      <c r="N1" s="6"/>
      <c r="O1" s="541" t="s">
        <v>21</v>
      </c>
      <c r="P1" s="545"/>
      <c r="Q1" s="545"/>
      <c r="R1" s="545"/>
      <c r="S1" s="545"/>
      <c r="T1" s="545"/>
      <c r="U1" s="545"/>
      <c r="V1" s="545"/>
      <c r="W1" s="542"/>
    </row>
    <row r="2" spans="1:23" ht="13.5" thickBot="1" x14ac:dyDescent="0.25">
      <c r="A2" s="7"/>
      <c r="B2" s="8"/>
      <c r="C2" s="541" t="s">
        <v>22</v>
      </c>
      <c r="D2" s="542"/>
      <c r="E2" s="541" t="s">
        <v>23</v>
      </c>
      <c r="F2" s="542"/>
      <c r="G2" s="541" t="s">
        <v>24</v>
      </c>
      <c r="H2" s="542"/>
      <c r="I2" s="4" t="s">
        <v>25</v>
      </c>
      <c r="J2" s="541" t="s">
        <v>26</v>
      </c>
      <c r="K2" s="542"/>
      <c r="M2" s="7"/>
      <c r="N2" s="8"/>
      <c r="O2" s="541" t="s">
        <v>22</v>
      </c>
      <c r="P2" s="542"/>
      <c r="Q2" s="541" t="s">
        <v>23</v>
      </c>
      <c r="R2" s="542"/>
      <c r="S2" s="541" t="s">
        <v>24</v>
      </c>
      <c r="T2" s="542"/>
      <c r="U2" s="4" t="s">
        <v>25</v>
      </c>
      <c r="V2" s="541" t="s">
        <v>26</v>
      </c>
      <c r="W2" s="542"/>
    </row>
    <row r="3" spans="1:23" ht="13.5" thickBot="1" x14ac:dyDescent="0.25">
      <c r="A3" s="7"/>
      <c r="B3" s="9"/>
      <c r="C3" s="5" t="s">
        <v>27</v>
      </c>
      <c r="D3" s="4" t="s">
        <v>6</v>
      </c>
      <c r="E3" s="5" t="s">
        <v>27</v>
      </c>
      <c r="F3" s="5" t="s">
        <v>6</v>
      </c>
      <c r="G3" s="5" t="s">
        <v>27</v>
      </c>
      <c r="H3" s="5" t="s">
        <v>6</v>
      </c>
      <c r="I3" s="5" t="s">
        <v>28</v>
      </c>
      <c r="J3" s="5" t="s">
        <v>27</v>
      </c>
      <c r="K3" s="5" t="s">
        <v>6</v>
      </c>
      <c r="M3" s="7"/>
      <c r="N3" s="9"/>
      <c r="O3" s="5" t="s">
        <v>27</v>
      </c>
      <c r="P3" s="4" t="s">
        <v>6</v>
      </c>
      <c r="Q3" s="5" t="s">
        <v>27</v>
      </c>
      <c r="R3" s="5" t="s">
        <v>6</v>
      </c>
      <c r="S3" s="5" t="s">
        <v>27</v>
      </c>
      <c r="T3" s="5" t="s">
        <v>6</v>
      </c>
      <c r="U3" s="5" t="s">
        <v>28</v>
      </c>
      <c r="V3" s="5" t="s">
        <v>27</v>
      </c>
      <c r="W3" s="5" t="s">
        <v>6</v>
      </c>
    </row>
    <row r="4" spans="1:23" ht="18.75" thickBot="1" x14ac:dyDescent="0.3">
      <c r="A4" s="297" t="s">
        <v>0</v>
      </c>
      <c r="B4" s="5" t="s">
        <v>30</v>
      </c>
      <c r="C4" s="5" t="s">
        <v>29</v>
      </c>
      <c r="D4" s="5">
        <v>160</v>
      </c>
      <c r="E4" s="5">
        <v>65</v>
      </c>
      <c r="F4" s="5">
        <v>55</v>
      </c>
      <c r="G4" s="5">
        <v>65</v>
      </c>
      <c r="H4" s="5">
        <v>55</v>
      </c>
      <c r="I4" s="5">
        <v>65</v>
      </c>
      <c r="J4" s="5">
        <v>50</v>
      </c>
      <c r="K4" s="5">
        <v>40</v>
      </c>
      <c r="L4" s="358"/>
      <c r="M4" s="297" t="s">
        <v>0</v>
      </c>
      <c r="N4" s="5" t="s">
        <v>30</v>
      </c>
      <c r="O4" s="5" t="s">
        <v>29</v>
      </c>
      <c r="P4" s="5">
        <v>160</v>
      </c>
      <c r="Q4" s="5">
        <v>65</v>
      </c>
      <c r="R4" s="5">
        <v>55</v>
      </c>
      <c r="S4" s="5">
        <v>65</v>
      </c>
      <c r="T4" s="5">
        <v>55</v>
      </c>
      <c r="U4" s="5">
        <v>65</v>
      </c>
      <c r="V4" s="5">
        <v>50</v>
      </c>
      <c r="W4" s="5">
        <v>40</v>
      </c>
    </row>
    <row r="5" spans="1:23" x14ac:dyDescent="0.2">
      <c r="A5" s="539" t="s">
        <v>1</v>
      </c>
      <c r="B5" s="302" t="s">
        <v>31</v>
      </c>
      <c r="C5" s="303" t="s">
        <v>29</v>
      </c>
      <c r="D5" s="303">
        <v>5</v>
      </c>
      <c r="E5" s="302">
        <v>3</v>
      </c>
      <c r="F5" s="302">
        <v>2</v>
      </c>
      <c r="G5" s="302">
        <v>3</v>
      </c>
      <c r="H5" s="302">
        <v>2</v>
      </c>
      <c r="I5" s="302">
        <v>3</v>
      </c>
      <c r="J5" s="302">
        <v>2</v>
      </c>
      <c r="K5" s="302">
        <v>1</v>
      </c>
      <c r="M5" s="539" t="s">
        <v>1</v>
      </c>
      <c r="N5" s="302" t="s">
        <v>31</v>
      </c>
      <c r="O5" s="303" t="s">
        <v>29</v>
      </c>
      <c r="P5" s="303">
        <v>5</v>
      </c>
      <c r="Q5" s="302">
        <v>3</v>
      </c>
      <c r="R5" s="302">
        <v>2</v>
      </c>
      <c r="S5" s="302">
        <v>3</v>
      </c>
      <c r="T5" s="302">
        <v>2</v>
      </c>
      <c r="U5" s="302">
        <v>3</v>
      </c>
      <c r="V5" s="302">
        <v>2</v>
      </c>
      <c r="W5" s="302">
        <v>1</v>
      </c>
    </row>
    <row r="6" spans="1:23" ht="13.5" thickBot="1" x14ac:dyDescent="0.25">
      <c r="A6" s="540"/>
      <c r="B6" s="298" t="s">
        <v>27</v>
      </c>
      <c r="C6" s="299" t="s">
        <v>29</v>
      </c>
      <c r="D6" s="299" t="s">
        <v>29</v>
      </c>
      <c r="E6" s="300">
        <v>15500</v>
      </c>
      <c r="F6" s="300">
        <v>8500</v>
      </c>
      <c r="G6" s="300">
        <v>14000</v>
      </c>
      <c r="H6" s="300">
        <v>8500</v>
      </c>
      <c r="I6" s="300">
        <v>15000</v>
      </c>
      <c r="J6" s="300">
        <v>11500</v>
      </c>
      <c r="K6" s="300">
        <v>5500</v>
      </c>
      <c r="M6" s="540"/>
      <c r="N6" s="298" t="s">
        <v>27</v>
      </c>
      <c r="O6" s="299" t="s">
        <v>29</v>
      </c>
      <c r="P6" s="299" t="s">
        <v>29</v>
      </c>
      <c r="Q6" s="300">
        <v>15500</v>
      </c>
      <c r="R6" s="300">
        <v>8500</v>
      </c>
      <c r="S6" s="300">
        <v>14000</v>
      </c>
      <c r="T6" s="300">
        <v>8500</v>
      </c>
      <c r="U6" s="300">
        <v>15000</v>
      </c>
      <c r="V6" s="300">
        <v>11500</v>
      </c>
      <c r="W6" s="300">
        <v>5500</v>
      </c>
    </row>
    <row r="7" spans="1:23" x14ac:dyDescent="0.2">
      <c r="A7" s="539" t="s">
        <v>2</v>
      </c>
      <c r="B7" s="302" t="s">
        <v>31</v>
      </c>
      <c r="C7" s="303" t="s">
        <v>29</v>
      </c>
      <c r="D7" s="303">
        <v>11</v>
      </c>
      <c r="E7" s="302">
        <v>3</v>
      </c>
      <c r="F7" s="303">
        <v>2</v>
      </c>
      <c r="G7" s="302">
        <v>3</v>
      </c>
      <c r="H7" s="303">
        <v>2</v>
      </c>
      <c r="I7" s="302">
        <v>3</v>
      </c>
      <c r="J7" s="302">
        <v>2</v>
      </c>
      <c r="K7" s="302">
        <v>1</v>
      </c>
      <c r="M7" s="539" t="s">
        <v>2</v>
      </c>
      <c r="N7" s="302" t="s">
        <v>31</v>
      </c>
      <c r="O7" s="303" t="s">
        <v>29</v>
      </c>
      <c r="P7" s="303">
        <v>11</v>
      </c>
      <c r="Q7" s="302">
        <v>3</v>
      </c>
      <c r="R7" s="303">
        <v>2</v>
      </c>
      <c r="S7" s="302">
        <v>3</v>
      </c>
      <c r="T7" s="303">
        <v>2</v>
      </c>
      <c r="U7" s="302">
        <v>3</v>
      </c>
      <c r="V7" s="302">
        <v>2</v>
      </c>
      <c r="W7" s="302">
        <v>1</v>
      </c>
    </row>
    <row r="8" spans="1:23" ht="13.5" thickBot="1" x14ac:dyDescent="0.25">
      <c r="A8" s="540"/>
      <c r="B8" s="298" t="s">
        <v>27</v>
      </c>
      <c r="C8" s="299" t="s">
        <v>29</v>
      </c>
      <c r="D8" s="299" t="s">
        <v>29</v>
      </c>
      <c r="E8" s="300">
        <v>15500</v>
      </c>
      <c r="F8" s="301">
        <v>9500</v>
      </c>
      <c r="G8" s="300">
        <v>14000</v>
      </c>
      <c r="H8" s="301">
        <v>9500</v>
      </c>
      <c r="I8" s="300">
        <v>15000</v>
      </c>
      <c r="J8" s="300">
        <v>11500</v>
      </c>
      <c r="K8" s="300">
        <v>6000</v>
      </c>
      <c r="M8" s="540"/>
      <c r="N8" s="298" t="s">
        <v>27</v>
      </c>
      <c r="O8" s="299" t="s">
        <v>29</v>
      </c>
      <c r="P8" s="299" t="s">
        <v>29</v>
      </c>
      <c r="Q8" s="300">
        <v>15500</v>
      </c>
      <c r="R8" s="301">
        <v>9500</v>
      </c>
      <c r="S8" s="300">
        <v>14000</v>
      </c>
      <c r="T8" s="301">
        <v>9500</v>
      </c>
      <c r="U8" s="300">
        <v>15000</v>
      </c>
      <c r="V8" s="300">
        <v>11500</v>
      </c>
      <c r="W8" s="300">
        <v>6000</v>
      </c>
    </row>
    <row r="9" spans="1:23" x14ac:dyDescent="0.2">
      <c r="A9" s="539" t="s">
        <v>3</v>
      </c>
      <c r="B9" s="302" t="s">
        <v>31</v>
      </c>
      <c r="C9" s="303" t="s">
        <v>29</v>
      </c>
      <c r="D9" s="303">
        <v>11</v>
      </c>
      <c r="E9" s="302">
        <v>3</v>
      </c>
      <c r="F9" s="303">
        <v>2</v>
      </c>
      <c r="G9" s="302">
        <v>3</v>
      </c>
      <c r="H9" s="303">
        <v>2</v>
      </c>
      <c r="I9" s="302">
        <v>3</v>
      </c>
      <c r="J9" s="302">
        <v>2</v>
      </c>
      <c r="K9" s="302">
        <v>1</v>
      </c>
      <c r="M9" s="539" t="s">
        <v>3</v>
      </c>
      <c r="N9" s="302" t="s">
        <v>31</v>
      </c>
      <c r="O9" s="303" t="s">
        <v>29</v>
      </c>
      <c r="P9" s="303">
        <v>11</v>
      </c>
      <c r="Q9" s="302">
        <v>3</v>
      </c>
      <c r="R9" s="303">
        <v>2</v>
      </c>
      <c r="S9" s="302">
        <v>3</v>
      </c>
      <c r="T9" s="303">
        <v>2</v>
      </c>
      <c r="U9" s="302">
        <v>3</v>
      </c>
      <c r="V9" s="302">
        <v>2</v>
      </c>
      <c r="W9" s="302">
        <v>1</v>
      </c>
    </row>
    <row r="10" spans="1:23" ht="13.5" thickBot="1" x14ac:dyDescent="0.25">
      <c r="A10" s="540"/>
      <c r="B10" s="298" t="s">
        <v>27</v>
      </c>
      <c r="C10" s="299" t="s">
        <v>29</v>
      </c>
      <c r="D10" s="299" t="s">
        <v>29</v>
      </c>
      <c r="E10" s="300">
        <v>15500</v>
      </c>
      <c r="F10" s="301">
        <v>9500</v>
      </c>
      <c r="G10" s="300">
        <v>14000</v>
      </c>
      <c r="H10" s="301">
        <v>9500</v>
      </c>
      <c r="I10" s="300">
        <v>15000</v>
      </c>
      <c r="J10" s="300">
        <v>11500</v>
      </c>
      <c r="K10" s="300">
        <v>6000</v>
      </c>
      <c r="M10" s="540"/>
      <c r="N10" s="298" t="s">
        <v>27</v>
      </c>
      <c r="O10" s="299" t="s">
        <v>29</v>
      </c>
      <c r="P10" s="299" t="s">
        <v>29</v>
      </c>
      <c r="Q10" s="300">
        <v>15500</v>
      </c>
      <c r="R10" s="301">
        <v>9500</v>
      </c>
      <c r="S10" s="300">
        <v>14000</v>
      </c>
      <c r="T10" s="301">
        <v>9500</v>
      </c>
      <c r="U10" s="300">
        <v>15000</v>
      </c>
      <c r="V10" s="300">
        <v>11500</v>
      </c>
      <c r="W10" s="300">
        <v>6000</v>
      </c>
    </row>
    <row r="11" spans="1:23" x14ac:dyDescent="0.2">
      <c r="A11" s="539" t="s">
        <v>4</v>
      </c>
      <c r="B11" s="302" t="s">
        <v>31</v>
      </c>
      <c r="C11" s="303" t="s">
        <v>29</v>
      </c>
      <c r="D11" s="303">
        <v>11</v>
      </c>
      <c r="E11" s="302">
        <v>3</v>
      </c>
      <c r="F11" s="303">
        <v>2</v>
      </c>
      <c r="G11" s="302">
        <v>3</v>
      </c>
      <c r="H11" s="303">
        <v>2</v>
      </c>
      <c r="I11" s="302">
        <v>3</v>
      </c>
      <c r="J11" s="302">
        <v>2</v>
      </c>
      <c r="K11" s="302">
        <v>1</v>
      </c>
      <c r="M11" s="539" t="s">
        <v>4</v>
      </c>
      <c r="N11" s="302" t="s">
        <v>31</v>
      </c>
      <c r="O11" s="303" t="s">
        <v>29</v>
      </c>
      <c r="P11" s="303">
        <v>11</v>
      </c>
      <c r="Q11" s="302">
        <v>3</v>
      </c>
      <c r="R11" s="303">
        <v>2</v>
      </c>
      <c r="S11" s="302">
        <v>3</v>
      </c>
      <c r="T11" s="303">
        <v>2</v>
      </c>
      <c r="U11" s="302">
        <v>3</v>
      </c>
      <c r="V11" s="302">
        <v>2</v>
      </c>
      <c r="W11" s="302">
        <v>1</v>
      </c>
    </row>
    <row r="12" spans="1:23" ht="13.5" thickBot="1" x14ac:dyDescent="0.25">
      <c r="A12" s="540"/>
      <c r="B12" s="298" t="s">
        <v>27</v>
      </c>
      <c r="C12" s="299" t="s">
        <v>29</v>
      </c>
      <c r="D12" s="299" t="s">
        <v>29</v>
      </c>
      <c r="E12" s="300">
        <v>15500</v>
      </c>
      <c r="F12" s="301">
        <v>9500</v>
      </c>
      <c r="G12" s="300">
        <v>14000</v>
      </c>
      <c r="H12" s="301">
        <v>9500</v>
      </c>
      <c r="I12" s="300">
        <v>15000</v>
      </c>
      <c r="J12" s="300">
        <v>11500</v>
      </c>
      <c r="K12" s="300">
        <v>6000</v>
      </c>
      <c r="M12" s="540"/>
      <c r="N12" s="298" t="s">
        <v>27</v>
      </c>
      <c r="O12" s="299" t="s">
        <v>29</v>
      </c>
      <c r="P12" s="299" t="s">
        <v>29</v>
      </c>
      <c r="Q12" s="300">
        <v>15500</v>
      </c>
      <c r="R12" s="301">
        <v>9500</v>
      </c>
      <c r="S12" s="300">
        <v>14000</v>
      </c>
      <c r="T12" s="301">
        <v>9500</v>
      </c>
      <c r="U12" s="300">
        <v>15000</v>
      </c>
      <c r="V12" s="300">
        <v>11500</v>
      </c>
      <c r="W12" s="300">
        <v>6000</v>
      </c>
    </row>
    <row r="13" spans="1:23" x14ac:dyDescent="0.2">
      <c r="A13" s="539" t="s">
        <v>5</v>
      </c>
      <c r="B13" s="302" t="s">
        <v>31</v>
      </c>
      <c r="C13" s="303" t="s">
        <v>29</v>
      </c>
      <c r="D13" s="304" t="s">
        <v>29</v>
      </c>
      <c r="E13" s="304" t="s">
        <v>29</v>
      </c>
      <c r="F13" s="304" t="s">
        <v>29</v>
      </c>
      <c r="G13" s="304" t="s">
        <v>29</v>
      </c>
      <c r="H13" s="304" t="s">
        <v>29</v>
      </c>
      <c r="I13" s="304" t="s">
        <v>29</v>
      </c>
      <c r="J13" s="304" t="s">
        <v>29</v>
      </c>
      <c r="K13" s="304" t="s">
        <v>29</v>
      </c>
      <c r="M13" s="539" t="s">
        <v>5</v>
      </c>
      <c r="N13" s="302" t="s">
        <v>31</v>
      </c>
      <c r="O13" s="303" t="s">
        <v>29</v>
      </c>
      <c r="P13" s="304" t="s">
        <v>29</v>
      </c>
      <c r="Q13" s="304" t="s">
        <v>29</v>
      </c>
      <c r="R13" s="304" t="s">
        <v>29</v>
      </c>
      <c r="S13" s="304" t="s">
        <v>29</v>
      </c>
      <c r="T13" s="304" t="s">
        <v>29</v>
      </c>
      <c r="U13" s="304" t="s">
        <v>29</v>
      </c>
      <c r="V13" s="304" t="s">
        <v>29</v>
      </c>
      <c r="W13" s="304" t="s">
        <v>29</v>
      </c>
    </row>
    <row r="14" spans="1:23" ht="13.5" thickBot="1" x14ac:dyDescent="0.25">
      <c r="A14" s="544"/>
      <c r="B14" s="298" t="s">
        <v>27</v>
      </c>
      <c r="C14" s="299" t="s">
        <v>29</v>
      </c>
      <c r="D14" s="298" t="s">
        <v>29</v>
      </c>
      <c r="E14" s="298" t="s">
        <v>29</v>
      </c>
      <c r="F14" s="298" t="s">
        <v>29</v>
      </c>
      <c r="G14" s="298" t="s">
        <v>29</v>
      </c>
      <c r="H14" s="298" t="s">
        <v>29</v>
      </c>
      <c r="I14" s="298" t="s">
        <v>29</v>
      </c>
      <c r="J14" s="298" t="s">
        <v>29</v>
      </c>
      <c r="K14" s="298" t="s">
        <v>29</v>
      </c>
      <c r="M14" s="544"/>
      <c r="N14" s="298" t="s">
        <v>27</v>
      </c>
      <c r="O14" s="299" t="s">
        <v>29</v>
      </c>
      <c r="P14" s="298" t="s">
        <v>29</v>
      </c>
      <c r="Q14" s="298" t="s">
        <v>29</v>
      </c>
      <c r="R14" s="298" t="s">
        <v>29</v>
      </c>
      <c r="S14" s="298" t="s">
        <v>29</v>
      </c>
      <c r="T14" s="298" t="s">
        <v>29</v>
      </c>
      <c r="U14" s="298" t="s">
        <v>29</v>
      </c>
      <c r="V14" s="298" t="s">
        <v>29</v>
      </c>
      <c r="W14" s="298" t="s">
        <v>29</v>
      </c>
    </row>
    <row r="15" spans="1:23" x14ac:dyDescent="0.2">
      <c r="A15" s="539" t="s">
        <v>6</v>
      </c>
      <c r="B15" s="302" t="s">
        <v>31</v>
      </c>
      <c r="C15" s="303" t="s">
        <v>29</v>
      </c>
      <c r="D15" s="303">
        <v>11</v>
      </c>
      <c r="E15" s="302">
        <v>5</v>
      </c>
      <c r="F15" s="302">
        <v>4</v>
      </c>
      <c r="G15" s="302">
        <v>5</v>
      </c>
      <c r="H15" s="302">
        <v>4</v>
      </c>
      <c r="I15" s="302">
        <v>5</v>
      </c>
      <c r="J15" s="302">
        <v>3</v>
      </c>
      <c r="K15" s="303">
        <v>2</v>
      </c>
      <c r="M15" s="539" t="s">
        <v>6</v>
      </c>
      <c r="N15" s="302" t="s">
        <v>31</v>
      </c>
      <c r="O15" s="303" t="s">
        <v>29</v>
      </c>
      <c r="P15" s="303">
        <v>11</v>
      </c>
      <c r="Q15" s="302">
        <v>5</v>
      </c>
      <c r="R15" s="414">
        <v>3</v>
      </c>
      <c r="S15" s="302">
        <v>5</v>
      </c>
      <c r="T15" s="414">
        <v>3</v>
      </c>
      <c r="U15" s="302">
        <v>5</v>
      </c>
      <c r="V15" s="302">
        <v>3</v>
      </c>
      <c r="W15" s="303">
        <v>2</v>
      </c>
    </row>
    <row r="16" spans="1:23" ht="13.5" thickBot="1" x14ac:dyDescent="0.25">
      <c r="A16" s="540"/>
      <c r="B16" s="298" t="s">
        <v>27</v>
      </c>
      <c r="C16" s="299" t="s">
        <v>29</v>
      </c>
      <c r="D16" s="299" t="s">
        <v>29</v>
      </c>
      <c r="E16" s="300">
        <v>37500</v>
      </c>
      <c r="F16" s="300">
        <v>23000</v>
      </c>
      <c r="G16" s="300">
        <v>28500</v>
      </c>
      <c r="H16" s="300">
        <v>19000</v>
      </c>
      <c r="I16" s="300">
        <v>36000</v>
      </c>
      <c r="J16" s="300">
        <v>18000</v>
      </c>
      <c r="K16" s="301">
        <v>9000</v>
      </c>
      <c r="M16" s="540"/>
      <c r="N16" s="298" t="s">
        <v>27</v>
      </c>
      <c r="O16" s="299" t="s">
        <v>29</v>
      </c>
      <c r="P16" s="299" t="s">
        <v>29</v>
      </c>
      <c r="Q16" s="300">
        <v>37500</v>
      </c>
      <c r="R16" s="300">
        <v>23000</v>
      </c>
      <c r="S16" s="300">
        <v>28500</v>
      </c>
      <c r="T16" s="300">
        <v>19000</v>
      </c>
      <c r="U16" s="300">
        <v>36000</v>
      </c>
      <c r="V16" s="300">
        <v>18000</v>
      </c>
      <c r="W16" s="301">
        <v>9000</v>
      </c>
    </row>
    <row r="17" spans="1:23" x14ac:dyDescent="0.2">
      <c r="A17" s="539" t="s">
        <v>7</v>
      </c>
      <c r="B17" s="302" t="s">
        <v>31</v>
      </c>
      <c r="C17" s="303" t="s">
        <v>29</v>
      </c>
      <c r="D17" s="303">
        <v>5</v>
      </c>
      <c r="E17" s="302">
        <v>3</v>
      </c>
      <c r="F17" s="302">
        <v>2</v>
      </c>
      <c r="G17" s="302">
        <v>3</v>
      </c>
      <c r="H17" s="302">
        <v>2</v>
      </c>
      <c r="I17" s="302">
        <v>3</v>
      </c>
      <c r="J17" s="302">
        <v>1</v>
      </c>
      <c r="K17" s="303">
        <v>1</v>
      </c>
      <c r="M17" s="539" t="s">
        <v>7</v>
      </c>
      <c r="N17" s="302" t="s">
        <v>31</v>
      </c>
      <c r="O17" s="303" t="s">
        <v>29</v>
      </c>
      <c r="P17" s="303">
        <v>5</v>
      </c>
      <c r="Q17" s="302">
        <v>3</v>
      </c>
      <c r="R17" s="302">
        <v>2</v>
      </c>
      <c r="S17" s="302">
        <v>3</v>
      </c>
      <c r="T17" s="302">
        <v>2</v>
      </c>
      <c r="U17" s="302">
        <v>3</v>
      </c>
      <c r="V17" s="302">
        <v>1</v>
      </c>
      <c r="W17" s="303">
        <v>1</v>
      </c>
    </row>
    <row r="18" spans="1:23" ht="13.5" thickBot="1" x14ac:dyDescent="0.25">
      <c r="A18" s="540"/>
      <c r="B18" s="298" t="s">
        <v>27</v>
      </c>
      <c r="C18" s="299" t="s">
        <v>29</v>
      </c>
      <c r="D18" s="299" t="s">
        <v>29</v>
      </c>
      <c r="E18" s="300">
        <v>26500</v>
      </c>
      <c r="F18" s="300">
        <v>14500</v>
      </c>
      <c r="G18" s="300">
        <v>23500</v>
      </c>
      <c r="H18" s="300">
        <v>14500</v>
      </c>
      <c r="I18" s="300">
        <v>25500</v>
      </c>
      <c r="J18" s="300">
        <v>18500</v>
      </c>
      <c r="K18" s="301">
        <v>9500</v>
      </c>
      <c r="M18" s="540"/>
      <c r="N18" s="298" t="s">
        <v>27</v>
      </c>
      <c r="O18" s="299" t="s">
        <v>29</v>
      </c>
      <c r="P18" s="299" t="s">
        <v>29</v>
      </c>
      <c r="Q18" s="300">
        <v>26500</v>
      </c>
      <c r="R18" s="300">
        <v>14500</v>
      </c>
      <c r="S18" s="300">
        <v>23500</v>
      </c>
      <c r="T18" s="300">
        <v>14500</v>
      </c>
      <c r="U18" s="300">
        <v>25500</v>
      </c>
      <c r="V18" s="300">
        <v>18500</v>
      </c>
      <c r="W18" s="301">
        <v>9500</v>
      </c>
    </row>
    <row r="19" spans="1:23" x14ac:dyDescent="0.2">
      <c r="A19" s="539" t="s">
        <v>8</v>
      </c>
      <c r="B19" s="302" t="s">
        <v>31</v>
      </c>
      <c r="C19" s="303" t="s">
        <v>29</v>
      </c>
      <c r="D19" s="303">
        <v>11</v>
      </c>
      <c r="E19" s="302">
        <v>4</v>
      </c>
      <c r="F19" s="302">
        <v>2</v>
      </c>
      <c r="G19" s="302">
        <v>3</v>
      </c>
      <c r="H19" s="302">
        <v>2</v>
      </c>
      <c r="I19" s="302">
        <v>4</v>
      </c>
      <c r="J19" s="302">
        <v>2</v>
      </c>
      <c r="K19" s="303">
        <v>1</v>
      </c>
      <c r="M19" s="539" t="s">
        <v>8</v>
      </c>
      <c r="N19" s="302" t="s">
        <v>31</v>
      </c>
      <c r="O19" s="303" t="s">
        <v>29</v>
      </c>
      <c r="P19" s="303">
        <v>11</v>
      </c>
      <c r="Q19" s="302">
        <v>4</v>
      </c>
      <c r="R19" s="302">
        <v>2</v>
      </c>
      <c r="S19" s="302">
        <v>3</v>
      </c>
      <c r="T19" s="302">
        <v>2</v>
      </c>
      <c r="U19" s="302">
        <v>4</v>
      </c>
      <c r="V19" s="302">
        <v>2</v>
      </c>
      <c r="W19" s="303">
        <v>1</v>
      </c>
    </row>
    <row r="20" spans="1:23" ht="13.5" thickBot="1" x14ac:dyDescent="0.25">
      <c r="A20" s="540"/>
      <c r="B20" s="298" t="s">
        <v>27</v>
      </c>
      <c r="C20" s="299" t="s">
        <v>29</v>
      </c>
      <c r="D20" s="299" t="s">
        <v>29</v>
      </c>
      <c r="E20" s="300">
        <v>25000</v>
      </c>
      <c r="F20" s="300">
        <v>15500</v>
      </c>
      <c r="G20" s="300">
        <v>19000</v>
      </c>
      <c r="H20" s="300">
        <v>12000</v>
      </c>
      <c r="I20" s="300">
        <v>33500</v>
      </c>
      <c r="J20" s="300">
        <v>14000</v>
      </c>
      <c r="K20" s="301">
        <v>8500</v>
      </c>
      <c r="M20" s="540"/>
      <c r="N20" s="298" t="s">
        <v>27</v>
      </c>
      <c r="O20" s="299" t="s">
        <v>29</v>
      </c>
      <c r="P20" s="299" t="s">
        <v>29</v>
      </c>
      <c r="Q20" s="300">
        <v>25000</v>
      </c>
      <c r="R20" s="300">
        <v>15500</v>
      </c>
      <c r="S20" s="300">
        <v>19000</v>
      </c>
      <c r="T20" s="300">
        <v>12000</v>
      </c>
      <c r="U20" s="300">
        <v>33500</v>
      </c>
      <c r="V20" s="300">
        <v>14000</v>
      </c>
      <c r="W20" s="301">
        <v>8500</v>
      </c>
    </row>
    <row r="21" spans="1:23" x14ac:dyDescent="0.2">
      <c r="A21" s="539" t="s">
        <v>9</v>
      </c>
      <c r="B21" s="302" t="s">
        <v>31</v>
      </c>
      <c r="C21" s="303" t="s">
        <v>29</v>
      </c>
      <c r="D21" s="303">
        <v>11</v>
      </c>
      <c r="E21" s="302">
        <v>5</v>
      </c>
      <c r="F21" s="302">
        <v>3</v>
      </c>
      <c r="G21" s="302">
        <v>4</v>
      </c>
      <c r="H21" s="302">
        <v>3</v>
      </c>
      <c r="I21" s="302">
        <v>5</v>
      </c>
      <c r="J21" s="302">
        <v>3</v>
      </c>
      <c r="K21" s="302">
        <v>2</v>
      </c>
      <c r="M21" s="539" t="s">
        <v>9</v>
      </c>
      <c r="N21" s="302" t="s">
        <v>31</v>
      </c>
      <c r="O21" s="303" t="s">
        <v>29</v>
      </c>
      <c r="P21" s="303">
        <v>11</v>
      </c>
      <c r="Q21" s="302">
        <v>5</v>
      </c>
      <c r="R21" s="302">
        <v>3</v>
      </c>
      <c r="S21" s="302">
        <v>4</v>
      </c>
      <c r="T21" s="302">
        <v>3</v>
      </c>
      <c r="U21" s="302">
        <v>5</v>
      </c>
      <c r="V21" s="302">
        <v>3</v>
      </c>
      <c r="W21" s="302">
        <v>2</v>
      </c>
    </row>
    <row r="22" spans="1:23" ht="13.5" thickBot="1" x14ac:dyDescent="0.25">
      <c r="A22" s="540"/>
      <c r="B22" s="298" t="s">
        <v>27</v>
      </c>
      <c r="C22" s="299" t="s">
        <v>29</v>
      </c>
      <c r="D22" s="299" t="s">
        <v>29</v>
      </c>
      <c r="E22" s="300">
        <v>37500</v>
      </c>
      <c r="F22" s="300">
        <v>23000</v>
      </c>
      <c r="G22" s="300">
        <v>28500</v>
      </c>
      <c r="H22" s="300">
        <v>18000</v>
      </c>
      <c r="I22" s="300">
        <v>50500</v>
      </c>
      <c r="J22" s="300">
        <v>21000</v>
      </c>
      <c r="K22" s="300">
        <v>13000</v>
      </c>
      <c r="M22" s="540"/>
      <c r="N22" s="298" t="s">
        <v>27</v>
      </c>
      <c r="O22" s="299" t="s">
        <v>29</v>
      </c>
      <c r="P22" s="299" t="s">
        <v>29</v>
      </c>
      <c r="Q22" s="300">
        <v>37500</v>
      </c>
      <c r="R22" s="300">
        <v>23000</v>
      </c>
      <c r="S22" s="300">
        <v>28500</v>
      </c>
      <c r="T22" s="300">
        <v>18000</v>
      </c>
      <c r="U22" s="300">
        <v>50500</v>
      </c>
      <c r="V22" s="300">
        <v>21000</v>
      </c>
      <c r="W22" s="300">
        <v>13000</v>
      </c>
    </row>
    <row r="23" spans="1:23" x14ac:dyDescent="0.2">
      <c r="A23" s="539" t="s">
        <v>10</v>
      </c>
      <c r="B23" s="302" t="s">
        <v>31</v>
      </c>
      <c r="C23" s="302">
        <v>1</v>
      </c>
      <c r="D23" s="302">
        <v>1</v>
      </c>
      <c r="E23" s="302">
        <v>1</v>
      </c>
      <c r="F23" s="302">
        <v>1</v>
      </c>
      <c r="G23" s="303">
        <v>1</v>
      </c>
      <c r="H23" s="302">
        <v>1</v>
      </c>
      <c r="I23" s="302">
        <v>1</v>
      </c>
      <c r="J23" s="302">
        <v>1</v>
      </c>
      <c r="K23" s="303" t="s">
        <v>36</v>
      </c>
      <c r="M23" s="539" t="s">
        <v>10</v>
      </c>
      <c r="N23" s="302" t="s">
        <v>31</v>
      </c>
      <c r="O23" s="302">
        <v>1</v>
      </c>
      <c r="P23" s="302">
        <v>1</v>
      </c>
      <c r="Q23" s="302">
        <v>1</v>
      </c>
      <c r="R23" s="302">
        <v>1</v>
      </c>
      <c r="S23" s="303">
        <v>1</v>
      </c>
      <c r="T23" s="302">
        <v>1</v>
      </c>
      <c r="U23" s="302">
        <v>1</v>
      </c>
      <c r="V23" s="302">
        <v>1</v>
      </c>
      <c r="W23" s="303" t="s">
        <v>36</v>
      </c>
    </row>
    <row r="24" spans="1:23" ht="13.5" thickBot="1" x14ac:dyDescent="0.25">
      <c r="A24" s="540"/>
      <c r="B24" s="298" t="s">
        <v>27</v>
      </c>
      <c r="C24" s="300">
        <v>21000</v>
      </c>
      <c r="D24" s="300">
        <v>16500</v>
      </c>
      <c r="E24" s="300">
        <v>11000</v>
      </c>
      <c r="F24" s="300">
        <v>7000</v>
      </c>
      <c r="G24" s="301">
        <v>9500</v>
      </c>
      <c r="H24" s="300">
        <v>7000</v>
      </c>
      <c r="I24" s="300">
        <v>10500</v>
      </c>
      <c r="J24" s="300">
        <v>7500</v>
      </c>
      <c r="K24" s="299" t="s">
        <v>36</v>
      </c>
      <c r="M24" s="540"/>
      <c r="N24" s="298" t="s">
        <v>27</v>
      </c>
      <c r="O24" s="300">
        <v>21000</v>
      </c>
      <c r="P24" s="300">
        <v>16500</v>
      </c>
      <c r="Q24" s="300">
        <v>11000</v>
      </c>
      <c r="R24" s="300">
        <v>7000</v>
      </c>
      <c r="S24" s="301">
        <v>9500</v>
      </c>
      <c r="T24" s="300">
        <v>7000</v>
      </c>
      <c r="U24" s="300">
        <v>10500</v>
      </c>
      <c r="V24" s="300">
        <v>7500</v>
      </c>
      <c r="W24" s="299" t="s">
        <v>36</v>
      </c>
    </row>
    <row r="25" spans="1:23" x14ac:dyDescent="0.2">
      <c r="A25" s="539" t="s">
        <v>34</v>
      </c>
      <c r="B25" s="302" t="s">
        <v>31</v>
      </c>
      <c r="C25" s="302" t="s">
        <v>29</v>
      </c>
      <c r="D25" s="302">
        <v>3</v>
      </c>
      <c r="E25" s="302">
        <v>2</v>
      </c>
      <c r="F25" s="302">
        <v>1</v>
      </c>
      <c r="G25" s="303">
        <v>2</v>
      </c>
      <c r="H25" s="302">
        <v>1</v>
      </c>
      <c r="I25" s="302">
        <v>2</v>
      </c>
      <c r="J25" s="302">
        <v>1</v>
      </c>
      <c r="K25" s="303">
        <v>1</v>
      </c>
      <c r="M25" s="539" t="s">
        <v>34</v>
      </c>
      <c r="N25" s="302" t="s">
        <v>31</v>
      </c>
      <c r="O25" s="302" t="s">
        <v>29</v>
      </c>
      <c r="P25" s="302">
        <v>3</v>
      </c>
      <c r="Q25" s="302">
        <v>2</v>
      </c>
      <c r="R25" s="302">
        <v>1</v>
      </c>
      <c r="S25" s="303">
        <v>2</v>
      </c>
      <c r="T25" s="302">
        <v>1</v>
      </c>
      <c r="U25" s="302">
        <v>2</v>
      </c>
      <c r="V25" s="302">
        <v>1</v>
      </c>
      <c r="W25" s="303">
        <v>1</v>
      </c>
    </row>
    <row r="26" spans="1:23" ht="13.5" thickBot="1" x14ac:dyDescent="0.25">
      <c r="A26" s="540"/>
      <c r="B26" s="298" t="s">
        <v>27</v>
      </c>
      <c r="C26" s="300">
        <v>21000</v>
      </c>
      <c r="D26" s="300">
        <v>16500</v>
      </c>
      <c r="E26" s="300">
        <v>11000</v>
      </c>
      <c r="F26" s="300">
        <v>7000</v>
      </c>
      <c r="G26" s="301">
        <v>9500</v>
      </c>
      <c r="H26" s="300">
        <v>7000</v>
      </c>
      <c r="I26" s="300">
        <v>10500</v>
      </c>
      <c r="J26" s="300">
        <v>7500</v>
      </c>
      <c r="K26" s="301">
        <v>3000</v>
      </c>
      <c r="M26" s="540"/>
      <c r="N26" s="298" t="s">
        <v>27</v>
      </c>
      <c r="O26" s="300">
        <v>21000</v>
      </c>
      <c r="P26" s="300">
        <v>16500</v>
      </c>
      <c r="Q26" s="300">
        <v>11000</v>
      </c>
      <c r="R26" s="300">
        <v>7000</v>
      </c>
      <c r="S26" s="301">
        <v>9500</v>
      </c>
      <c r="T26" s="300">
        <v>7000</v>
      </c>
      <c r="U26" s="300">
        <v>10500</v>
      </c>
      <c r="V26" s="300">
        <v>7500</v>
      </c>
      <c r="W26" s="301">
        <v>3000</v>
      </c>
    </row>
    <row r="27" spans="1:23" ht="12" customHeight="1" x14ac:dyDescent="0.2">
      <c r="A27" s="539" t="s">
        <v>35</v>
      </c>
      <c r="B27" s="302" t="s">
        <v>31</v>
      </c>
      <c r="C27" s="303" t="s">
        <v>29</v>
      </c>
      <c r="D27" s="302">
        <v>6</v>
      </c>
      <c r="E27" s="302">
        <v>4</v>
      </c>
      <c r="F27" s="302">
        <v>2</v>
      </c>
      <c r="G27" s="302">
        <v>4</v>
      </c>
      <c r="H27" s="302">
        <v>2</v>
      </c>
      <c r="I27" s="302">
        <v>4</v>
      </c>
      <c r="J27" s="302">
        <v>2</v>
      </c>
      <c r="K27" s="303">
        <v>1</v>
      </c>
      <c r="M27" s="539" t="s">
        <v>35</v>
      </c>
      <c r="N27" s="302" t="s">
        <v>31</v>
      </c>
      <c r="O27" s="303" t="s">
        <v>29</v>
      </c>
      <c r="P27" s="302">
        <v>6</v>
      </c>
      <c r="Q27" s="302">
        <v>4</v>
      </c>
      <c r="R27" s="302">
        <v>2</v>
      </c>
      <c r="S27" s="302">
        <v>4</v>
      </c>
      <c r="T27" s="302">
        <v>2</v>
      </c>
      <c r="U27" s="302">
        <v>4</v>
      </c>
      <c r="V27" s="302">
        <v>2</v>
      </c>
      <c r="W27" s="303">
        <v>1</v>
      </c>
    </row>
    <row r="28" spans="1:23" ht="13.5" thickBot="1" x14ac:dyDescent="0.25">
      <c r="A28" s="540"/>
      <c r="B28" s="298" t="s">
        <v>27</v>
      </c>
      <c r="C28" s="299" t="s">
        <v>29</v>
      </c>
      <c r="D28" s="300">
        <v>60000</v>
      </c>
      <c r="E28" s="300">
        <v>26500</v>
      </c>
      <c r="F28" s="300">
        <v>14000</v>
      </c>
      <c r="G28" s="300">
        <v>17500</v>
      </c>
      <c r="H28" s="300">
        <v>13000</v>
      </c>
      <c r="I28" s="300">
        <v>25500</v>
      </c>
      <c r="J28" s="300">
        <v>10000</v>
      </c>
      <c r="K28" s="301">
        <v>5000</v>
      </c>
      <c r="M28" s="540"/>
      <c r="N28" s="298" t="s">
        <v>27</v>
      </c>
      <c r="O28" s="299" t="s">
        <v>29</v>
      </c>
      <c r="P28" s="300">
        <v>60000</v>
      </c>
      <c r="Q28" s="300">
        <v>26500</v>
      </c>
      <c r="R28" s="300">
        <v>14000</v>
      </c>
      <c r="S28" s="300">
        <v>17500</v>
      </c>
      <c r="T28" s="300">
        <v>13000</v>
      </c>
      <c r="U28" s="300">
        <v>25500</v>
      </c>
      <c r="V28" s="300">
        <v>10000</v>
      </c>
      <c r="W28" s="301">
        <v>5000</v>
      </c>
    </row>
    <row r="29" spans="1:23" x14ac:dyDescent="0.2">
      <c r="A29" s="539" t="s">
        <v>11</v>
      </c>
      <c r="B29" s="302" t="s">
        <v>31</v>
      </c>
      <c r="C29" s="303" t="s">
        <v>29</v>
      </c>
      <c r="D29" s="303">
        <v>7</v>
      </c>
      <c r="E29" s="302">
        <v>5</v>
      </c>
      <c r="F29" s="302">
        <v>3</v>
      </c>
      <c r="G29" s="302">
        <v>5</v>
      </c>
      <c r="H29" s="302">
        <v>3</v>
      </c>
      <c r="I29" s="302">
        <v>5</v>
      </c>
      <c r="J29" s="302">
        <v>3</v>
      </c>
      <c r="K29" s="303">
        <v>2</v>
      </c>
      <c r="M29" s="539" t="s">
        <v>11</v>
      </c>
      <c r="N29" s="302" t="s">
        <v>31</v>
      </c>
      <c r="O29" s="303" t="s">
        <v>29</v>
      </c>
      <c r="P29" s="303">
        <v>7</v>
      </c>
      <c r="Q29" s="302">
        <v>5</v>
      </c>
      <c r="R29" s="302">
        <v>3</v>
      </c>
      <c r="S29" s="302">
        <v>5</v>
      </c>
      <c r="T29" s="302">
        <v>3</v>
      </c>
      <c r="U29" s="302">
        <v>5</v>
      </c>
      <c r="V29" s="302">
        <v>3</v>
      </c>
      <c r="W29" s="303">
        <v>2</v>
      </c>
    </row>
    <row r="30" spans="1:23" ht="13.5" thickBot="1" x14ac:dyDescent="0.25">
      <c r="A30" s="540"/>
      <c r="B30" s="298" t="s">
        <v>27</v>
      </c>
      <c r="C30" s="299" t="s">
        <v>29</v>
      </c>
      <c r="D30" s="299" t="s">
        <v>29</v>
      </c>
      <c r="E30" s="300">
        <v>37500</v>
      </c>
      <c r="F30" s="300">
        <v>17500</v>
      </c>
      <c r="G30" s="300">
        <v>28500</v>
      </c>
      <c r="H30" s="300">
        <v>17500</v>
      </c>
      <c r="I30" s="300">
        <v>36000</v>
      </c>
      <c r="J30" s="300">
        <v>18000</v>
      </c>
      <c r="K30" s="301">
        <v>6500</v>
      </c>
      <c r="M30" s="540"/>
      <c r="N30" s="298" t="s">
        <v>27</v>
      </c>
      <c r="O30" s="299" t="s">
        <v>29</v>
      </c>
      <c r="P30" s="299" t="s">
        <v>29</v>
      </c>
      <c r="Q30" s="300">
        <v>37500</v>
      </c>
      <c r="R30" s="300">
        <v>17500</v>
      </c>
      <c r="S30" s="300">
        <v>28500</v>
      </c>
      <c r="T30" s="300">
        <v>17500</v>
      </c>
      <c r="U30" s="300">
        <v>36000</v>
      </c>
      <c r="V30" s="300">
        <v>18000</v>
      </c>
      <c r="W30" s="301">
        <v>6500</v>
      </c>
    </row>
    <row r="31" spans="1:23" x14ac:dyDescent="0.2">
      <c r="A31" s="539" t="s">
        <v>12</v>
      </c>
      <c r="B31" s="302" t="s">
        <v>31</v>
      </c>
      <c r="C31" s="303">
        <v>4</v>
      </c>
      <c r="D31" s="303">
        <v>4</v>
      </c>
      <c r="E31" s="302">
        <v>3</v>
      </c>
      <c r="F31" s="302">
        <v>3</v>
      </c>
      <c r="G31" s="302">
        <v>3</v>
      </c>
      <c r="H31" s="302">
        <v>3</v>
      </c>
      <c r="I31" s="302">
        <v>3</v>
      </c>
      <c r="J31" s="302">
        <v>3</v>
      </c>
      <c r="K31" s="303">
        <v>2</v>
      </c>
      <c r="M31" s="539" t="s">
        <v>12</v>
      </c>
      <c r="N31" s="302" t="s">
        <v>31</v>
      </c>
      <c r="O31" s="303">
        <v>4</v>
      </c>
      <c r="P31" s="303">
        <v>4</v>
      </c>
      <c r="Q31" s="302">
        <v>3</v>
      </c>
      <c r="R31" s="302">
        <v>3</v>
      </c>
      <c r="S31" s="302">
        <v>3</v>
      </c>
      <c r="T31" s="302">
        <v>3</v>
      </c>
      <c r="U31" s="302">
        <v>3</v>
      </c>
      <c r="V31" s="302">
        <v>3</v>
      </c>
      <c r="W31" s="303">
        <v>2</v>
      </c>
    </row>
    <row r="32" spans="1:23" ht="13.5" thickBot="1" x14ac:dyDescent="0.25">
      <c r="A32" s="540"/>
      <c r="B32" s="298" t="s">
        <v>27</v>
      </c>
      <c r="C32" s="299" t="s">
        <v>29</v>
      </c>
      <c r="D32" s="299" t="s">
        <v>29</v>
      </c>
      <c r="E32" s="300">
        <v>37500</v>
      </c>
      <c r="F32" s="300">
        <v>23000</v>
      </c>
      <c r="G32" s="300">
        <v>28500</v>
      </c>
      <c r="H32" s="300">
        <v>19000</v>
      </c>
      <c r="I32" s="300">
        <v>36000</v>
      </c>
      <c r="J32" s="300">
        <v>18000</v>
      </c>
      <c r="K32" s="301">
        <v>9000</v>
      </c>
      <c r="M32" s="540"/>
      <c r="N32" s="298" t="s">
        <v>27</v>
      </c>
      <c r="O32" s="299" t="s">
        <v>29</v>
      </c>
      <c r="P32" s="299" t="s">
        <v>29</v>
      </c>
      <c r="Q32" s="300">
        <v>37500</v>
      </c>
      <c r="R32" s="300">
        <v>23000</v>
      </c>
      <c r="S32" s="300">
        <v>28500</v>
      </c>
      <c r="T32" s="300">
        <v>19000</v>
      </c>
      <c r="U32" s="300">
        <v>36000</v>
      </c>
      <c r="V32" s="300">
        <v>18000</v>
      </c>
      <c r="W32" s="301">
        <v>9000</v>
      </c>
    </row>
    <row r="33" spans="1:23" x14ac:dyDescent="0.2">
      <c r="A33" s="539" t="s">
        <v>13</v>
      </c>
      <c r="B33" s="302" t="s">
        <v>31</v>
      </c>
      <c r="C33" s="303" t="s">
        <v>29</v>
      </c>
      <c r="D33" s="302">
        <v>9</v>
      </c>
      <c r="E33" s="302">
        <v>4</v>
      </c>
      <c r="F33" s="302">
        <v>3</v>
      </c>
      <c r="G33" s="302">
        <v>4</v>
      </c>
      <c r="H33" s="302">
        <v>3</v>
      </c>
      <c r="I33" s="302">
        <v>4</v>
      </c>
      <c r="J33" s="302">
        <v>3</v>
      </c>
      <c r="K33" s="303">
        <v>2</v>
      </c>
      <c r="M33" s="539" t="s">
        <v>13</v>
      </c>
      <c r="N33" s="302" t="s">
        <v>31</v>
      </c>
      <c r="O33" s="303" t="s">
        <v>29</v>
      </c>
      <c r="P33" s="302">
        <v>9</v>
      </c>
      <c r="Q33" s="302">
        <v>4</v>
      </c>
      <c r="R33" s="302">
        <v>3</v>
      </c>
      <c r="S33" s="302">
        <v>4</v>
      </c>
      <c r="T33" s="302">
        <v>3</v>
      </c>
      <c r="U33" s="302">
        <v>4</v>
      </c>
      <c r="V33" s="302">
        <v>3</v>
      </c>
      <c r="W33" s="303">
        <v>2</v>
      </c>
    </row>
    <row r="34" spans="1:23" ht="13.5" thickBot="1" x14ac:dyDescent="0.25">
      <c r="A34" s="540"/>
      <c r="B34" s="298" t="s">
        <v>27</v>
      </c>
      <c r="C34" s="299" t="s">
        <v>29</v>
      </c>
      <c r="D34" s="300">
        <v>55000</v>
      </c>
      <c r="E34" s="300">
        <v>19000</v>
      </c>
      <c r="F34" s="300">
        <v>10000</v>
      </c>
      <c r="G34" s="300">
        <v>16500</v>
      </c>
      <c r="H34" s="300">
        <v>10000</v>
      </c>
      <c r="I34" s="300">
        <v>18000</v>
      </c>
      <c r="J34" s="300">
        <v>10500</v>
      </c>
      <c r="K34" s="301">
        <v>4500</v>
      </c>
      <c r="M34" s="540"/>
      <c r="N34" s="298" t="s">
        <v>27</v>
      </c>
      <c r="O34" s="299" t="s">
        <v>29</v>
      </c>
      <c r="P34" s="300">
        <v>55000</v>
      </c>
      <c r="Q34" s="300">
        <v>19000</v>
      </c>
      <c r="R34" s="300">
        <v>10000</v>
      </c>
      <c r="S34" s="300">
        <v>16500</v>
      </c>
      <c r="T34" s="300">
        <v>10000</v>
      </c>
      <c r="U34" s="300">
        <v>18000</v>
      </c>
      <c r="V34" s="300">
        <v>10500</v>
      </c>
      <c r="W34" s="301">
        <v>4500</v>
      </c>
    </row>
    <row r="35" spans="1:23" x14ac:dyDescent="0.2">
      <c r="A35" s="539" t="s">
        <v>76</v>
      </c>
      <c r="B35" s="302" t="s">
        <v>31</v>
      </c>
      <c r="C35" s="303" t="s">
        <v>29</v>
      </c>
      <c r="D35" s="303">
        <v>4</v>
      </c>
      <c r="E35" s="302">
        <v>2</v>
      </c>
      <c r="F35" s="302">
        <v>1</v>
      </c>
      <c r="G35" s="302">
        <v>1</v>
      </c>
      <c r="H35" s="303" t="s">
        <v>36</v>
      </c>
      <c r="I35" s="302">
        <v>1</v>
      </c>
      <c r="J35" s="303">
        <v>1</v>
      </c>
      <c r="K35" s="303" t="s">
        <v>36</v>
      </c>
      <c r="M35" s="539" t="s">
        <v>76</v>
      </c>
      <c r="N35" s="302" t="s">
        <v>31</v>
      </c>
      <c r="O35" s="303" t="s">
        <v>29</v>
      </c>
      <c r="P35" s="303">
        <v>4</v>
      </c>
      <c r="Q35" s="302">
        <v>2</v>
      </c>
      <c r="R35" s="302">
        <v>1</v>
      </c>
      <c r="S35" s="302">
        <v>1</v>
      </c>
      <c r="T35" s="303" t="s">
        <v>36</v>
      </c>
      <c r="U35" s="302">
        <v>1</v>
      </c>
      <c r="V35" s="303">
        <v>1</v>
      </c>
      <c r="W35" s="303" t="s">
        <v>36</v>
      </c>
    </row>
    <row r="36" spans="1:23" ht="13.5" thickBot="1" x14ac:dyDescent="0.25">
      <c r="A36" s="540"/>
      <c r="B36" s="298" t="s">
        <v>27</v>
      </c>
      <c r="C36" s="299" t="s">
        <v>29</v>
      </c>
      <c r="D36" s="299" t="s">
        <v>29</v>
      </c>
      <c r="E36" s="300">
        <v>15000</v>
      </c>
      <c r="F36" s="300">
        <v>11000</v>
      </c>
      <c r="G36" s="300">
        <v>12000</v>
      </c>
      <c r="H36" s="299" t="s">
        <v>36</v>
      </c>
      <c r="I36" s="300">
        <v>12000</v>
      </c>
      <c r="J36" s="301">
        <v>9500</v>
      </c>
      <c r="K36" s="299" t="s">
        <v>36</v>
      </c>
      <c r="M36" s="540"/>
      <c r="N36" s="298" t="s">
        <v>27</v>
      </c>
      <c r="O36" s="299" t="s">
        <v>29</v>
      </c>
      <c r="P36" s="299" t="s">
        <v>29</v>
      </c>
      <c r="Q36" s="300">
        <v>15000</v>
      </c>
      <c r="R36" s="300">
        <v>11000</v>
      </c>
      <c r="S36" s="300">
        <v>12000</v>
      </c>
      <c r="T36" s="299" t="s">
        <v>36</v>
      </c>
      <c r="U36" s="300">
        <v>12000</v>
      </c>
      <c r="V36" s="301">
        <v>9500</v>
      </c>
      <c r="W36" s="299" t="s">
        <v>36</v>
      </c>
    </row>
    <row r="37" spans="1:23" x14ac:dyDescent="0.2">
      <c r="A37" s="539" t="s">
        <v>14</v>
      </c>
      <c r="B37" s="302" t="s">
        <v>31</v>
      </c>
      <c r="C37" s="303" t="s">
        <v>29</v>
      </c>
      <c r="D37" s="303">
        <v>4</v>
      </c>
      <c r="E37" s="302">
        <v>2</v>
      </c>
      <c r="F37" s="302">
        <v>1</v>
      </c>
      <c r="G37" s="302">
        <v>2</v>
      </c>
      <c r="H37" s="302">
        <v>1</v>
      </c>
      <c r="I37" s="302">
        <v>2</v>
      </c>
      <c r="J37" s="302">
        <v>2</v>
      </c>
      <c r="K37" s="303">
        <v>1</v>
      </c>
      <c r="M37" s="539" t="s">
        <v>14</v>
      </c>
      <c r="N37" s="302" t="s">
        <v>31</v>
      </c>
      <c r="O37" s="303" t="s">
        <v>29</v>
      </c>
      <c r="P37" s="303">
        <v>4</v>
      </c>
      <c r="Q37" s="302">
        <v>2</v>
      </c>
      <c r="R37" s="302">
        <v>1</v>
      </c>
      <c r="S37" s="302">
        <v>2</v>
      </c>
      <c r="T37" s="302">
        <v>1</v>
      </c>
      <c r="U37" s="302">
        <v>2</v>
      </c>
      <c r="V37" s="302">
        <v>2</v>
      </c>
      <c r="W37" s="303">
        <v>1</v>
      </c>
    </row>
    <row r="38" spans="1:23" ht="13.5" thickBot="1" x14ac:dyDescent="0.25">
      <c r="A38" s="540"/>
      <c r="B38" s="298" t="s">
        <v>27</v>
      </c>
      <c r="C38" s="299" t="s">
        <v>29</v>
      </c>
      <c r="D38" s="299" t="s">
        <v>29</v>
      </c>
      <c r="E38" s="300">
        <v>15000</v>
      </c>
      <c r="F38" s="300">
        <v>10000</v>
      </c>
      <c r="G38" s="300">
        <v>10500</v>
      </c>
      <c r="H38" s="300">
        <v>7500</v>
      </c>
      <c r="I38" s="300">
        <v>12000</v>
      </c>
      <c r="J38" s="300">
        <v>7500</v>
      </c>
      <c r="K38" s="301">
        <v>5000</v>
      </c>
      <c r="M38" s="540"/>
      <c r="N38" s="298" t="s">
        <v>27</v>
      </c>
      <c r="O38" s="299" t="s">
        <v>29</v>
      </c>
      <c r="P38" s="299" t="s">
        <v>29</v>
      </c>
      <c r="Q38" s="300">
        <v>15000</v>
      </c>
      <c r="R38" s="300">
        <v>10000</v>
      </c>
      <c r="S38" s="300">
        <v>10500</v>
      </c>
      <c r="T38" s="300">
        <v>7500</v>
      </c>
      <c r="U38" s="300">
        <v>12000</v>
      </c>
      <c r="V38" s="300">
        <v>7500</v>
      </c>
      <c r="W38" s="301">
        <v>5000</v>
      </c>
    </row>
    <row r="39" spans="1:23" x14ac:dyDescent="0.2">
      <c r="A39" s="539" t="s">
        <v>15</v>
      </c>
      <c r="B39" s="302" t="s">
        <v>31</v>
      </c>
      <c r="C39" s="303" t="s">
        <v>29</v>
      </c>
      <c r="D39" s="302">
        <v>5</v>
      </c>
      <c r="E39" s="302">
        <v>3</v>
      </c>
      <c r="F39" s="302">
        <v>2</v>
      </c>
      <c r="G39" s="302">
        <v>3</v>
      </c>
      <c r="H39" s="302">
        <v>2</v>
      </c>
      <c r="I39" s="302">
        <v>3</v>
      </c>
      <c r="J39" s="302">
        <v>1</v>
      </c>
      <c r="K39" s="303">
        <v>1</v>
      </c>
      <c r="M39" s="539" t="s">
        <v>15</v>
      </c>
      <c r="N39" s="302" t="s">
        <v>31</v>
      </c>
      <c r="O39" s="303" t="s">
        <v>29</v>
      </c>
      <c r="P39" s="302">
        <v>5</v>
      </c>
      <c r="Q39" s="302">
        <v>3</v>
      </c>
      <c r="R39" s="302">
        <v>2</v>
      </c>
      <c r="S39" s="302">
        <v>3</v>
      </c>
      <c r="T39" s="302">
        <v>2</v>
      </c>
      <c r="U39" s="302">
        <v>3</v>
      </c>
      <c r="V39" s="302">
        <v>1</v>
      </c>
      <c r="W39" s="303">
        <v>1</v>
      </c>
    </row>
    <row r="40" spans="1:23" ht="13.5" thickBot="1" x14ac:dyDescent="0.25">
      <c r="A40" s="540"/>
      <c r="B40" s="298" t="s">
        <v>27</v>
      </c>
      <c r="C40" s="299" t="s">
        <v>29</v>
      </c>
      <c r="D40" s="300">
        <v>60500</v>
      </c>
      <c r="E40" s="300">
        <v>26500</v>
      </c>
      <c r="F40" s="300">
        <v>13000</v>
      </c>
      <c r="G40" s="300">
        <v>23500</v>
      </c>
      <c r="H40" s="300">
        <v>13000</v>
      </c>
      <c r="I40" s="300">
        <v>25500</v>
      </c>
      <c r="J40" s="300">
        <v>18500</v>
      </c>
      <c r="K40" s="301">
        <v>9000</v>
      </c>
      <c r="M40" s="540"/>
      <c r="N40" s="298" t="s">
        <v>27</v>
      </c>
      <c r="O40" s="299" t="s">
        <v>29</v>
      </c>
      <c r="P40" s="300">
        <v>60500</v>
      </c>
      <c r="Q40" s="300">
        <v>26500</v>
      </c>
      <c r="R40" s="300">
        <v>13000</v>
      </c>
      <c r="S40" s="300">
        <v>23500</v>
      </c>
      <c r="T40" s="300">
        <v>13000</v>
      </c>
      <c r="U40" s="300">
        <v>25500</v>
      </c>
      <c r="V40" s="300">
        <v>18500</v>
      </c>
      <c r="W40" s="301">
        <v>9000</v>
      </c>
    </row>
    <row r="41" spans="1:23" x14ac:dyDescent="0.2">
      <c r="A41" s="539" t="s">
        <v>16</v>
      </c>
      <c r="B41" s="302" t="s">
        <v>31</v>
      </c>
      <c r="C41" s="303" t="s">
        <v>29</v>
      </c>
      <c r="D41" s="303">
        <v>11</v>
      </c>
      <c r="E41" s="302">
        <v>4</v>
      </c>
      <c r="F41" s="302">
        <v>4</v>
      </c>
      <c r="G41" s="302">
        <v>4</v>
      </c>
      <c r="H41" s="302">
        <v>4</v>
      </c>
      <c r="I41" s="302">
        <v>4</v>
      </c>
      <c r="J41" s="302">
        <v>3</v>
      </c>
      <c r="K41" s="303">
        <v>1</v>
      </c>
      <c r="M41" s="539" t="s">
        <v>16</v>
      </c>
      <c r="N41" s="302" t="s">
        <v>31</v>
      </c>
      <c r="O41" s="303" t="s">
        <v>29</v>
      </c>
      <c r="P41" s="303">
        <v>11</v>
      </c>
      <c r="Q41" s="302">
        <v>4</v>
      </c>
      <c r="R41" s="414">
        <v>2</v>
      </c>
      <c r="S41" s="302">
        <v>4</v>
      </c>
      <c r="T41" s="414">
        <v>2</v>
      </c>
      <c r="U41" s="302">
        <v>4</v>
      </c>
      <c r="V41" s="302">
        <v>3</v>
      </c>
      <c r="W41" s="303">
        <v>1</v>
      </c>
    </row>
    <row r="42" spans="1:23" ht="13.5" thickBot="1" x14ac:dyDescent="0.25">
      <c r="A42" s="540"/>
      <c r="B42" s="298" t="s">
        <v>27</v>
      </c>
      <c r="C42" s="299" t="s">
        <v>29</v>
      </c>
      <c r="D42" s="299" t="s">
        <v>29</v>
      </c>
      <c r="E42" s="300">
        <v>21500</v>
      </c>
      <c r="F42" s="300">
        <v>12500</v>
      </c>
      <c r="G42" s="300">
        <v>18500</v>
      </c>
      <c r="H42" s="300">
        <v>12500</v>
      </c>
      <c r="I42" s="300">
        <v>20500</v>
      </c>
      <c r="J42" s="300">
        <v>14000</v>
      </c>
      <c r="K42" s="301">
        <v>9000</v>
      </c>
      <c r="M42" s="540"/>
      <c r="N42" s="298" t="s">
        <v>27</v>
      </c>
      <c r="O42" s="299" t="s">
        <v>29</v>
      </c>
      <c r="P42" s="299" t="s">
        <v>29</v>
      </c>
      <c r="Q42" s="300">
        <v>21500</v>
      </c>
      <c r="R42" s="300">
        <v>12500</v>
      </c>
      <c r="S42" s="300">
        <v>18500</v>
      </c>
      <c r="T42" s="300">
        <v>12500</v>
      </c>
      <c r="U42" s="300">
        <v>20500</v>
      </c>
      <c r="V42" s="300">
        <v>14000</v>
      </c>
      <c r="W42" s="301">
        <v>9000</v>
      </c>
    </row>
    <row r="43" spans="1:23" x14ac:dyDescent="0.2">
      <c r="A43" s="539" t="s">
        <v>17</v>
      </c>
      <c r="B43" s="302" t="s">
        <v>31</v>
      </c>
      <c r="C43" s="303" t="s">
        <v>29</v>
      </c>
      <c r="D43" s="303">
        <v>11</v>
      </c>
      <c r="E43" s="302">
        <v>4</v>
      </c>
      <c r="F43" s="302">
        <v>4</v>
      </c>
      <c r="G43" s="302">
        <v>4</v>
      </c>
      <c r="H43" s="302">
        <v>4</v>
      </c>
      <c r="I43" s="302">
        <v>4</v>
      </c>
      <c r="J43" s="302">
        <v>3</v>
      </c>
      <c r="K43" s="303">
        <v>2</v>
      </c>
      <c r="M43" s="539" t="s">
        <v>17</v>
      </c>
      <c r="N43" s="302" t="s">
        <v>31</v>
      </c>
      <c r="O43" s="303" t="s">
        <v>29</v>
      </c>
      <c r="P43" s="303">
        <v>11</v>
      </c>
      <c r="Q43" s="302">
        <v>4</v>
      </c>
      <c r="R43" s="302">
        <v>4</v>
      </c>
      <c r="S43" s="302">
        <v>4</v>
      </c>
      <c r="T43" s="302">
        <v>4</v>
      </c>
      <c r="U43" s="302">
        <v>4</v>
      </c>
      <c r="V43" s="302">
        <v>3</v>
      </c>
      <c r="W43" s="303">
        <v>2</v>
      </c>
    </row>
    <row r="44" spans="1:23" ht="13.5" thickBot="1" x14ac:dyDescent="0.25">
      <c r="A44" s="540"/>
      <c r="B44" s="298" t="s">
        <v>27</v>
      </c>
      <c r="C44" s="299" t="s">
        <v>29</v>
      </c>
      <c r="D44" s="299" t="s">
        <v>29</v>
      </c>
      <c r="E44" s="300">
        <v>24000</v>
      </c>
      <c r="F44" s="300">
        <v>16000</v>
      </c>
      <c r="G44" s="300">
        <v>24000</v>
      </c>
      <c r="H44" s="300">
        <v>16000</v>
      </c>
      <c r="I44" s="300">
        <v>20500</v>
      </c>
      <c r="J44" s="300">
        <v>12000</v>
      </c>
      <c r="K44" s="301">
        <v>7000</v>
      </c>
      <c r="M44" s="540"/>
      <c r="N44" s="298" t="s">
        <v>27</v>
      </c>
      <c r="O44" s="299" t="s">
        <v>29</v>
      </c>
      <c r="P44" s="299" t="s">
        <v>29</v>
      </c>
      <c r="Q44" s="300">
        <v>24000</v>
      </c>
      <c r="R44" s="300">
        <v>16000</v>
      </c>
      <c r="S44" s="300">
        <v>24000</v>
      </c>
      <c r="T44" s="300">
        <v>16000</v>
      </c>
      <c r="U44" s="300">
        <v>20500</v>
      </c>
      <c r="V44" s="300">
        <v>12000</v>
      </c>
      <c r="W44" s="301">
        <v>7000</v>
      </c>
    </row>
    <row r="45" spans="1:23" ht="13.5" customHeight="1" x14ac:dyDescent="0.2">
      <c r="A45" s="539" t="s">
        <v>18</v>
      </c>
      <c r="B45" s="302" t="s">
        <v>31</v>
      </c>
      <c r="C45" s="303" t="s">
        <v>29</v>
      </c>
      <c r="D45" s="303">
        <v>11</v>
      </c>
      <c r="E45" s="302">
        <v>4</v>
      </c>
      <c r="F45" s="302">
        <v>4</v>
      </c>
      <c r="G45" s="302">
        <v>4</v>
      </c>
      <c r="H45" s="302">
        <v>4</v>
      </c>
      <c r="I45" s="302">
        <v>4</v>
      </c>
      <c r="J45" s="302">
        <v>3</v>
      </c>
      <c r="K45" s="303">
        <v>2</v>
      </c>
      <c r="M45" s="539" t="s">
        <v>18</v>
      </c>
      <c r="N45" s="302" t="s">
        <v>31</v>
      </c>
      <c r="O45" s="303" t="s">
        <v>29</v>
      </c>
      <c r="P45" s="303">
        <v>11</v>
      </c>
      <c r="Q45" s="302">
        <v>4</v>
      </c>
      <c r="R45" s="302">
        <v>4</v>
      </c>
      <c r="S45" s="302">
        <v>4</v>
      </c>
      <c r="T45" s="302">
        <v>4</v>
      </c>
      <c r="U45" s="302">
        <v>4</v>
      </c>
      <c r="V45" s="302">
        <v>3</v>
      </c>
      <c r="W45" s="303">
        <v>2</v>
      </c>
    </row>
    <row r="46" spans="1:23" ht="13.5" customHeight="1" thickBot="1" x14ac:dyDescent="0.25">
      <c r="A46" s="540"/>
      <c r="B46" s="298" t="s">
        <v>27</v>
      </c>
      <c r="C46" s="299" t="s">
        <v>29</v>
      </c>
      <c r="D46" s="299" t="s">
        <v>29</v>
      </c>
      <c r="E46" s="300">
        <v>24000</v>
      </c>
      <c r="F46" s="300">
        <v>16000</v>
      </c>
      <c r="G46" s="300">
        <v>24000</v>
      </c>
      <c r="H46" s="300">
        <v>16000</v>
      </c>
      <c r="I46" s="300">
        <v>20500</v>
      </c>
      <c r="J46" s="300">
        <v>12000</v>
      </c>
      <c r="K46" s="301">
        <v>7000</v>
      </c>
      <c r="M46" s="540"/>
      <c r="N46" s="298" t="s">
        <v>27</v>
      </c>
      <c r="O46" s="299" t="s">
        <v>29</v>
      </c>
      <c r="P46" s="299" t="s">
        <v>29</v>
      </c>
      <c r="Q46" s="300">
        <v>24000</v>
      </c>
      <c r="R46" s="300">
        <v>16000</v>
      </c>
      <c r="S46" s="300">
        <v>24000</v>
      </c>
      <c r="T46" s="300">
        <v>16000</v>
      </c>
      <c r="U46" s="300">
        <v>20500</v>
      </c>
      <c r="V46" s="300">
        <v>12000</v>
      </c>
      <c r="W46" s="301">
        <v>7000</v>
      </c>
    </row>
    <row r="47" spans="1:23" ht="13.5" customHeight="1" x14ac:dyDescent="0.2">
      <c r="A47" s="539" t="s">
        <v>77</v>
      </c>
      <c r="B47" s="302" t="s">
        <v>31</v>
      </c>
      <c r="C47" s="303" t="s">
        <v>29</v>
      </c>
      <c r="D47" s="303">
        <v>11</v>
      </c>
      <c r="E47" s="304">
        <v>4</v>
      </c>
      <c r="F47" s="304">
        <v>4</v>
      </c>
      <c r="G47" s="304">
        <v>4</v>
      </c>
      <c r="H47" s="304">
        <v>4</v>
      </c>
      <c r="I47" s="304">
        <v>4</v>
      </c>
      <c r="J47" s="304">
        <v>3</v>
      </c>
      <c r="K47" s="304">
        <v>3</v>
      </c>
      <c r="M47" s="539" t="s">
        <v>77</v>
      </c>
      <c r="N47" s="302" t="s">
        <v>31</v>
      </c>
      <c r="O47" s="303" t="s">
        <v>29</v>
      </c>
      <c r="P47" s="303">
        <v>11</v>
      </c>
      <c r="Q47" s="304">
        <v>4</v>
      </c>
      <c r="R47" s="304">
        <v>4</v>
      </c>
      <c r="S47" s="304">
        <v>4</v>
      </c>
      <c r="T47" s="304">
        <v>4</v>
      </c>
      <c r="U47" s="304">
        <v>4</v>
      </c>
      <c r="V47" s="304">
        <v>3</v>
      </c>
      <c r="W47" s="304">
        <v>3</v>
      </c>
    </row>
    <row r="48" spans="1:23" ht="13.5" customHeight="1" thickBot="1" x14ac:dyDescent="0.25">
      <c r="A48" s="544"/>
      <c r="B48" s="298" t="s">
        <v>27</v>
      </c>
      <c r="C48" s="299" t="s">
        <v>29</v>
      </c>
      <c r="D48" s="299" t="s">
        <v>29</v>
      </c>
      <c r="E48" s="298" t="s">
        <v>29</v>
      </c>
      <c r="F48" s="298" t="s">
        <v>29</v>
      </c>
      <c r="G48" s="298" t="s">
        <v>29</v>
      </c>
      <c r="H48" s="298" t="s">
        <v>29</v>
      </c>
      <c r="I48" s="298" t="s">
        <v>29</v>
      </c>
      <c r="J48" s="298" t="s">
        <v>29</v>
      </c>
      <c r="K48" s="298" t="s">
        <v>29</v>
      </c>
      <c r="M48" s="544"/>
      <c r="N48" s="298" t="s">
        <v>27</v>
      </c>
      <c r="O48" s="299" t="s">
        <v>29</v>
      </c>
      <c r="P48" s="299" t="s">
        <v>29</v>
      </c>
      <c r="Q48" s="298" t="s">
        <v>29</v>
      </c>
      <c r="R48" s="298" t="s">
        <v>29</v>
      </c>
      <c r="S48" s="298" t="s">
        <v>29</v>
      </c>
      <c r="T48" s="298" t="s">
        <v>29</v>
      </c>
      <c r="U48" s="298" t="s">
        <v>29</v>
      </c>
      <c r="V48" s="298" t="s">
        <v>29</v>
      </c>
      <c r="W48" s="298" t="s">
        <v>29</v>
      </c>
    </row>
    <row r="49" spans="1:23" ht="13.5" customHeight="1" x14ac:dyDescent="0.2">
      <c r="A49" s="539" t="s">
        <v>19</v>
      </c>
      <c r="B49" s="302" t="s">
        <v>31</v>
      </c>
      <c r="C49" s="303" t="s">
        <v>29</v>
      </c>
      <c r="D49" s="303">
        <v>11</v>
      </c>
      <c r="E49" s="302">
        <v>4</v>
      </c>
      <c r="F49" s="302">
        <v>4</v>
      </c>
      <c r="G49" s="302">
        <v>4</v>
      </c>
      <c r="H49" s="302">
        <v>4</v>
      </c>
      <c r="I49" s="302">
        <v>4</v>
      </c>
      <c r="J49" s="302">
        <v>3</v>
      </c>
      <c r="K49" s="303">
        <v>2</v>
      </c>
      <c r="M49" s="539" t="s">
        <v>19</v>
      </c>
      <c r="N49" s="302" t="s">
        <v>31</v>
      </c>
      <c r="O49" s="303" t="s">
        <v>29</v>
      </c>
      <c r="P49" s="303">
        <v>11</v>
      </c>
      <c r="Q49" s="302">
        <v>4</v>
      </c>
      <c r="R49" s="302">
        <v>4</v>
      </c>
      <c r="S49" s="302">
        <v>4</v>
      </c>
      <c r="T49" s="302">
        <v>4</v>
      </c>
      <c r="U49" s="302">
        <v>4</v>
      </c>
      <c r="V49" s="302">
        <v>3</v>
      </c>
      <c r="W49" s="303">
        <v>2</v>
      </c>
    </row>
    <row r="50" spans="1:23" ht="13.5" customHeight="1" thickBot="1" x14ac:dyDescent="0.25">
      <c r="A50" s="540"/>
      <c r="B50" s="298" t="s">
        <v>27</v>
      </c>
      <c r="C50" s="299" t="s">
        <v>29</v>
      </c>
      <c r="D50" s="299" t="s">
        <v>29</v>
      </c>
      <c r="E50" s="300">
        <v>24000</v>
      </c>
      <c r="F50" s="300">
        <v>16000</v>
      </c>
      <c r="G50" s="300">
        <v>24000</v>
      </c>
      <c r="H50" s="300">
        <v>16000</v>
      </c>
      <c r="I50" s="300">
        <v>20500</v>
      </c>
      <c r="J50" s="300">
        <v>12000</v>
      </c>
      <c r="K50" s="301">
        <v>7000</v>
      </c>
      <c r="M50" s="540"/>
      <c r="N50" s="298" t="s">
        <v>27</v>
      </c>
      <c r="O50" s="299" t="s">
        <v>29</v>
      </c>
      <c r="P50" s="299" t="s">
        <v>29</v>
      </c>
      <c r="Q50" s="300">
        <v>24000</v>
      </c>
      <c r="R50" s="300">
        <v>16000</v>
      </c>
      <c r="S50" s="300">
        <v>24000</v>
      </c>
      <c r="T50" s="300">
        <v>16000</v>
      </c>
      <c r="U50" s="300">
        <v>20500</v>
      </c>
      <c r="V50" s="300">
        <v>12000</v>
      </c>
      <c r="W50" s="301">
        <v>7000</v>
      </c>
    </row>
    <row r="51" spans="1:23" x14ac:dyDescent="0.2">
      <c r="A51" s="539" t="s">
        <v>20</v>
      </c>
      <c r="B51" s="302" t="s">
        <v>31</v>
      </c>
      <c r="C51" s="303" t="s">
        <v>29</v>
      </c>
      <c r="D51" s="302">
        <v>11</v>
      </c>
      <c r="E51" s="302">
        <v>4</v>
      </c>
      <c r="F51" s="302">
        <v>3</v>
      </c>
      <c r="G51" s="302">
        <v>3</v>
      </c>
      <c r="H51" s="302">
        <v>3</v>
      </c>
      <c r="I51" s="302">
        <v>4</v>
      </c>
      <c r="J51" s="302">
        <v>3</v>
      </c>
      <c r="K51" s="303">
        <v>1</v>
      </c>
      <c r="M51" s="539" t="s">
        <v>20</v>
      </c>
      <c r="N51" s="302" t="s">
        <v>31</v>
      </c>
      <c r="O51" s="303" t="s">
        <v>29</v>
      </c>
      <c r="P51" s="302">
        <v>11</v>
      </c>
      <c r="Q51" s="302">
        <v>4</v>
      </c>
      <c r="R51" s="414">
        <v>2</v>
      </c>
      <c r="S51" s="302">
        <v>3</v>
      </c>
      <c r="T51" s="414">
        <v>2</v>
      </c>
      <c r="U51" s="302">
        <v>4</v>
      </c>
      <c r="V51" s="302">
        <v>3</v>
      </c>
      <c r="W51" s="303">
        <v>1</v>
      </c>
    </row>
    <row r="52" spans="1:23" ht="13.5" thickBot="1" x14ac:dyDescent="0.25">
      <c r="A52" s="540"/>
      <c r="B52" s="298" t="s">
        <v>27</v>
      </c>
      <c r="C52" s="299" t="s">
        <v>29</v>
      </c>
      <c r="D52" s="300">
        <v>48000</v>
      </c>
      <c r="E52" s="300">
        <v>26000</v>
      </c>
      <c r="F52" s="300">
        <v>17500</v>
      </c>
      <c r="G52" s="300">
        <v>26000</v>
      </c>
      <c r="H52" s="300">
        <v>17500</v>
      </c>
      <c r="I52" s="300">
        <v>25500</v>
      </c>
      <c r="J52" s="300">
        <v>14000</v>
      </c>
      <c r="K52" s="301">
        <v>9000</v>
      </c>
      <c r="M52" s="540"/>
      <c r="N52" s="298" t="s">
        <v>27</v>
      </c>
      <c r="O52" s="299" t="s">
        <v>29</v>
      </c>
      <c r="P52" s="300">
        <v>48000</v>
      </c>
      <c r="Q52" s="300">
        <v>26000</v>
      </c>
      <c r="R52" s="300">
        <v>17500</v>
      </c>
      <c r="S52" s="300">
        <v>26000</v>
      </c>
      <c r="T52" s="300">
        <v>17500</v>
      </c>
      <c r="U52" s="300">
        <v>25500</v>
      </c>
      <c r="V52" s="300">
        <v>14000</v>
      </c>
      <c r="W52" s="301">
        <v>9000</v>
      </c>
    </row>
    <row r="53" spans="1:23" x14ac:dyDescent="0.2">
      <c r="A53" s="539" t="s">
        <v>33</v>
      </c>
      <c r="B53" s="302" t="s">
        <v>31</v>
      </c>
      <c r="C53" s="303" t="s">
        <v>29</v>
      </c>
      <c r="D53" s="302">
        <v>11</v>
      </c>
      <c r="E53" s="302">
        <v>5</v>
      </c>
      <c r="F53" s="302">
        <v>4</v>
      </c>
      <c r="G53" s="302">
        <v>4</v>
      </c>
      <c r="H53" s="302">
        <v>4</v>
      </c>
      <c r="I53" s="302">
        <v>5</v>
      </c>
      <c r="J53" s="302">
        <v>4</v>
      </c>
      <c r="K53" s="302">
        <v>2</v>
      </c>
      <c r="M53" s="539" t="s">
        <v>33</v>
      </c>
      <c r="N53" s="302" t="s">
        <v>31</v>
      </c>
      <c r="O53" s="303" t="s">
        <v>29</v>
      </c>
      <c r="P53" s="302">
        <v>11</v>
      </c>
      <c r="Q53" s="302">
        <v>5</v>
      </c>
      <c r="R53" s="414">
        <v>3</v>
      </c>
      <c r="S53" s="302">
        <v>4</v>
      </c>
      <c r="T53" s="414">
        <v>3</v>
      </c>
      <c r="U53" s="302">
        <v>5</v>
      </c>
      <c r="V53" s="302">
        <v>4</v>
      </c>
      <c r="W53" s="302">
        <v>2</v>
      </c>
    </row>
    <row r="54" spans="1:23" ht="13.5" thickBot="1" x14ac:dyDescent="0.25">
      <c r="A54" s="540"/>
      <c r="B54" s="298" t="s">
        <v>27</v>
      </c>
      <c r="C54" s="299" t="s">
        <v>29</v>
      </c>
      <c r="D54" s="300">
        <v>79000</v>
      </c>
      <c r="E54" s="300">
        <v>39000</v>
      </c>
      <c r="F54" s="300">
        <v>26000</v>
      </c>
      <c r="G54" s="300">
        <v>39000</v>
      </c>
      <c r="H54" s="300">
        <v>26000</v>
      </c>
      <c r="I54" s="300">
        <v>38500</v>
      </c>
      <c r="J54" s="300">
        <v>21000</v>
      </c>
      <c r="K54" s="300">
        <v>13500</v>
      </c>
      <c r="M54" s="540"/>
      <c r="N54" s="298" t="s">
        <v>27</v>
      </c>
      <c r="O54" s="299" t="s">
        <v>29</v>
      </c>
      <c r="P54" s="300">
        <v>79000</v>
      </c>
      <c r="Q54" s="300">
        <v>39000</v>
      </c>
      <c r="R54" s="300">
        <v>26000</v>
      </c>
      <c r="S54" s="300">
        <v>39000</v>
      </c>
      <c r="T54" s="300">
        <v>26000</v>
      </c>
      <c r="U54" s="300">
        <v>38500</v>
      </c>
      <c r="V54" s="300">
        <v>21000</v>
      </c>
      <c r="W54" s="300">
        <v>13500</v>
      </c>
    </row>
    <row r="55" spans="1:23" x14ac:dyDescent="0.2">
      <c r="A55" s="539" t="s">
        <v>32</v>
      </c>
      <c r="B55" s="302" t="s">
        <v>31</v>
      </c>
      <c r="C55" s="302" t="s">
        <v>29</v>
      </c>
      <c r="D55" s="302">
        <v>5</v>
      </c>
      <c r="E55" s="302">
        <v>4</v>
      </c>
      <c r="F55" s="302">
        <v>2</v>
      </c>
      <c r="G55" s="302">
        <v>3</v>
      </c>
      <c r="H55" s="302">
        <v>2</v>
      </c>
      <c r="I55" s="302">
        <v>4</v>
      </c>
      <c r="J55" s="302">
        <v>2</v>
      </c>
      <c r="K55" s="302">
        <v>1</v>
      </c>
      <c r="M55" s="539" t="s">
        <v>32</v>
      </c>
      <c r="N55" s="302" t="s">
        <v>31</v>
      </c>
      <c r="O55" s="302" t="s">
        <v>29</v>
      </c>
      <c r="P55" s="302">
        <v>5</v>
      </c>
      <c r="Q55" s="302">
        <v>4</v>
      </c>
      <c r="R55" s="302">
        <v>2</v>
      </c>
      <c r="S55" s="302">
        <v>3</v>
      </c>
      <c r="T55" s="302">
        <v>2</v>
      </c>
      <c r="U55" s="302">
        <v>4</v>
      </c>
      <c r="V55" s="302">
        <v>2</v>
      </c>
      <c r="W55" s="302">
        <v>1</v>
      </c>
    </row>
    <row r="56" spans="1:23" ht="13.5" thickBot="1" x14ac:dyDescent="0.25">
      <c r="A56" s="540"/>
      <c r="B56" s="298" t="s">
        <v>27</v>
      </c>
      <c r="C56" s="298" t="s">
        <v>29</v>
      </c>
      <c r="D56" s="300">
        <v>35500</v>
      </c>
      <c r="E56" s="300">
        <v>19000</v>
      </c>
      <c r="F56" s="300">
        <v>8500</v>
      </c>
      <c r="G56" s="300">
        <v>14000</v>
      </c>
      <c r="H56" s="300">
        <v>8500</v>
      </c>
      <c r="I56" s="300">
        <v>18000</v>
      </c>
      <c r="J56" s="300">
        <v>9000</v>
      </c>
      <c r="K56" s="300">
        <v>5500</v>
      </c>
      <c r="M56" s="540"/>
      <c r="N56" s="298" t="s">
        <v>27</v>
      </c>
      <c r="O56" s="298" t="s">
        <v>29</v>
      </c>
      <c r="P56" s="300">
        <v>35500</v>
      </c>
      <c r="Q56" s="300">
        <v>19000</v>
      </c>
      <c r="R56" s="300">
        <v>8500</v>
      </c>
      <c r="S56" s="300">
        <v>14000</v>
      </c>
      <c r="T56" s="300">
        <v>8500</v>
      </c>
      <c r="U56" s="300">
        <v>18000</v>
      </c>
      <c r="V56" s="300">
        <v>9000</v>
      </c>
      <c r="W56" s="300">
        <v>5500</v>
      </c>
    </row>
    <row r="57" spans="1:23" ht="16.5" thickBot="1" x14ac:dyDescent="0.3">
      <c r="A57" s="10"/>
      <c r="C57" s="543" t="s">
        <v>22</v>
      </c>
      <c r="D57" s="542"/>
      <c r="E57" s="541" t="s">
        <v>23</v>
      </c>
      <c r="F57" s="542"/>
      <c r="G57" s="541" t="s">
        <v>24</v>
      </c>
      <c r="H57" s="542"/>
      <c r="I57" s="4" t="s">
        <v>25</v>
      </c>
      <c r="J57" s="541" t="s">
        <v>26</v>
      </c>
      <c r="K57" s="542"/>
      <c r="M57" s="10"/>
      <c r="N57" s="1"/>
      <c r="O57" s="543" t="s">
        <v>22</v>
      </c>
      <c r="P57" s="542"/>
      <c r="Q57" s="541" t="s">
        <v>23</v>
      </c>
      <c r="R57" s="542"/>
      <c r="S57" s="541" t="s">
        <v>24</v>
      </c>
      <c r="T57" s="542"/>
      <c r="U57" s="4" t="s">
        <v>25</v>
      </c>
      <c r="V57" s="541" t="s">
        <v>26</v>
      </c>
      <c r="W57" s="542"/>
    </row>
    <row r="58" spans="1:23" ht="13.5" thickBot="1" x14ac:dyDescent="0.25">
      <c r="C58" s="334" t="s">
        <v>27</v>
      </c>
      <c r="D58" s="4" t="s">
        <v>6</v>
      </c>
      <c r="E58" s="5" t="s">
        <v>27</v>
      </c>
      <c r="F58" s="5" t="s">
        <v>6</v>
      </c>
      <c r="G58" s="5" t="s">
        <v>27</v>
      </c>
      <c r="H58" s="5" t="s">
        <v>6</v>
      </c>
      <c r="I58" s="5" t="s">
        <v>28</v>
      </c>
      <c r="J58" s="5" t="s">
        <v>27</v>
      </c>
      <c r="K58" s="5" t="s">
        <v>6</v>
      </c>
      <c r="M58" s="1"/>
      <c r="N58" s="1"/>
      <c r="O58" s="334" t="s">
        <v>27</v>
      </c>
      <c r="P58" s="4" t="s">
        <v>6</v>
      </c>
      <c r="Q58" s="5" t="s">
        <v>27</v>
      </c>
      <c r="R58" s="5" t="s">
        <v>6</v>
      </c>
      <c r="S58" s="5" t="s">
        <v>27</v>
      </c>
      <c r="T58" s="5" t="s">
        <v>6</v>
      </c>
      <c r="U58" s="5" t="s">
        <v>28</v>
      </c>
      <c r="V58" s="5" t="s">
        <v>27</v>
      </c>
      <c r="W58" s="5" t="s">
        <v>6</v>
      </c>
    </row>
    <row r="59" spans="1:23" ht="13.5" thickBot="1" x14ac:dyDescent="0.25">
      <c r="C59" s="297" t="s">
        <v>29</v>
      </c>
      <c r="D59" s="5">
        <v>160</v>
      </c>
      <c r="E59" s="5">
        <v>65</v>
      </c>
      <c r="F59" s="5">
        <v>55</v>
      </c>
      <c r="G59" s="5">
        <v>65</v>
      </c>
      <c r="H59" s="5">
        <v>55</v>
      </c>
      <c r="I59" s="5">
        <v>65</v>
      </c>
      <c r="J59" s="5">
        <v>50</v>
      </c>
      <c r="K59" s="5">
        <v>40</v>
      </c>
      <c r="M59" s="1"/>
      <c r="N59" s="1"/>
      <c r="O59" s="297" t="s">
        <v>29</v>
      </c>
      <c r="P59" s="5">
        <v>160</v>
      </c>
      <c r="Q59" s="5">
        <v>65</v>
      </c>
      <c r="R59" s="5">
        <v>55</v>
      </c>
      <c r="S59" s="5">
        <v>65</v>
      </c>
      <c r="T59" s="5">
        <v>55</v>
      </c>
      <c r="U59" s="5">
        <v>65</v>
      </c>
      <c r="V59" s="5">
        <v>50</v>
      </c>
      <c r="W59" s="5">
        <v>40</v>
      </c>
    </row>
  </sheetData>
  <sheetProtection password="C9BC" sheet="1" objects="1" scenarios="1" selectLockedCells="1" selectUnlockedCells="1"/>
  <customSheetViews>
    <customSheetView guid="{C99C1093-CC5A-409C-96B5-E63635B6002F}" showGridLines="0" fitToPage="1" state="hidden" topLeftCell="A19">
      <selection activeCell="B1" sqref="B1"/>
      <pageMargins left="0.75" right="0.53" top="1" bottom="1" header="0.5" footer="0.5"/>
      <pageSetup scale="59" fitToWidth="2" orientation="landscape" r:id="rId1"/>
      <headerFooter alignWithMargins="0"/>
    </customSheetView>
    <customSheetView guid="{3F9818B9-F253-4053-A33A-0CFC1B854133}" showGridLines="0" fitToPage="1" state="hidden">
      <selection activeCell="B1" sqref="B1"/>
      <pageMargins left="0.75" right="0.53" top="1" bottom="1" header="0.5" footer="0.5"/>
      <pageSetup scale="59" fitToWidth="2" orientation="landscape" r:id="rId2"/>
      <headerFooter alignWithMargins="0"/>
    </customSheetView>
    <customSheetView guid="{356F0F3B-80AF-47CC-8087-F17A73F87B6E}" showGridLines="0" fitToPage="1" state="hidden">
      <selection activeCell="B1" sqref="B1"/>
      <pageMargins left="0.75" right="0.53" top="1" bottom="1" header="0.5" footer="0.5"/>
      <pageSetup scale="59" fitToWidth="2" orientation="landscape" r:id="rId3"/>
      <headerFooter alignWithMargins="0"/>
    </customSheetView>
    <customSheetView guid="{09F76BC5-26ED-495D-B8F5-83F6B4183195}" showGridLines="0" fitToPage="1" state="hidden">
      <selection activeCell="B1" sqref="B1"/>
      <pageMargins left="0.75" right="0.53" top="1" bottom="1" header="0.5" footer="0.5"/>
      <pageSetup scale="59" fitToWidth="2" orientation="landscape" r:id="rId4"/>
      <headerFooter alignWithMargins="0"/>
    </customSheetView>
    <customSheetView guid="{02979AA6-E421-4F39-B9A0-7166087A5EF9}" showGridLines="0" fitToPage="1" state="hidden" topLeftCell="A19">
      <selection activeCell="B1" sqref="B1"/>
      <pageMargins left="0.75" right="0.53" top="1" bottom="1" header="0.5" footer="0.5"/>
      <pageSetup scale="59" fitToWidth="2" orientation="landscape" r:id="rId5"/>
      <headerFooter alignWithMargins="0"/>
    </customSheetView>
  </customSheetViews>
  <mergeCells count="70">
    <mergeCell ref="A9:A10"/>
    <mergeCell ref="A7:A8"/>
    <mergeCell ref="A5:A6"/>
    <mergeCell ref="A13:A14"/>
    <mergeCell ref="C57:D57"/>
    <mergeCell ref="A43:A44"/>
    <mergeCell ref="A41:A42"/>
    <mergeCell ref="A39:A40"/>
    <mergeCell ref="A17:A18"/>
    <mergeCell ref="A47:A48"/>
    <mergeCell ref="A51:A52"/>
    <mergeCell ref="A49:A50"/>
    <mergeCell ref="A45:A46"/>
    <mergeCell ref="A15:A16"/>
    <mergeCell ref="A11:A12"/>
    <mergeCell ref="A29:A30"/>
    <mergeCell ref="G57:H57"/>
    <mergeCell ref="J57:K57"/>
    <mergeCell ref="A21:A22"/>
    <mergeCell ref="A19:A20"/>
    <mergeCell ref="A37:A38"/>
    <mergeCell ref="A35:A36"/>
    <mergeCell ref="A33:A34"/>
    <mergeCell ref="A31:A32"/>
    <mergeCell ref="A55:A56"/>
    <mergeCell ref="A53:A54"/>
    <mergeCell ref="E57:F57"/>
    <mergeCell ref="A27:A28"/>
    <mergeCell ref="A25:A26"/>
    <mergeCell ref="A23:A24"/>
    <mergeCell ref="M19:M20"/>
    <mergeCell ref="M21:M22"/>
    <mergeCell ref="M23:M24"/>
    <mergeCell ref="C1:K1"/>
    <mergeCell ref="C2:D2"/>
    <mergeCell ref="E2:F2"/>
    <mergeCell ref="G2:H2"/>
    <mergeCell ref="J2:K2"/>
    <mergeCell ref="M47:M48"/>
    <mergeCell ref="M49:M50"/>
    <mergeCell ref="M51:M52"/>
    <mergeCell ref="M27:M28"/>
    <mergeCell ref="O1:W1"/>
    <mergeCell ref="O2:P2"/>
    <mergeCell ref="Q2:R2"/>
    <mergeCell ref="S2:T2"/>
    <mergeCell ref="V2:W2"/>
    <mergeCell ref="M5:M6"/>
    <mergeCell ref="M7:M8"/>
    <mergeCell ref="M9:M10"/>
    <mergeCell ref="M11:M12"/>
    <mergeCell ref="M13:M14"/>
    <mergeCell ref="M15:M16"/>
    <mergeCell ref="M17:M18"/>
    <mergeCell ref="M25:M26"/>
    <mergeCell ref="V57:W57"/>
    <mergeCell ref="M53:M54"/>
    <mergeCell ref="M55:M56"/>
    <mergeCell ref="O57:P57"/>
    <mergeCell ref="Q57:R57"/>
    <mergeCell ref="M29:M30"/>
    <mergeCell ref="S57:T57"/>
    <mergeCell ref="M31:M32"/>
    <mergeCell ref="M33:M34"/>
    <mergeCell ref="M35:M36"/>
    <mergeCell ref="M37:M38"/>
    <mergeCell ref="M39:M40"/>
    <mergeCell ref="M41:M42"/>
    <mergeCell ref="M43:M44"/>
    <mergeCell ref="M45:M46"/>
  </mergeCells>
  <phoneticPr fontId="5" type="noConversion"/>
  <pageMargins left="0.75" right="0.53" top="1" bottom="1" header="0.5" footer="0.5"/>
  <pageSetup scale="59" fitToWidth="2" orientation="landscape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33"/>
  <sheetViews>
    <sheetView workbookViewId="0">
      <selection activeCell="AF21" sqref="AF21"/>
    </sheetView>
  </sheetViews>
  <sheetFormatPr defaultRowHeight="12.75" x14ac:dyDescent="0.2"/>
  <cols>
    <col min="1" max="1" width="10.140625" style="1" customWidth="1"/>
    <col min="2" max="11" width="9.140625" style="1" customWidth="1"/>
    <col min="14" max="14" width="3.7109375" customWidth="1"/>
  </cols>
  <sheetData>
    <row r="1" spans="1:52" ht="13.5" thickBot="1" x14ac:dyDescent="0.25">
      <c r="A1" s="372"/>
      <c r="B1" s="1" t="s">
        <v>81</v>
      </c>
      <c r="C1" s="88">
        <v>2</v>
      </c>
      <c r="D1" s="88">
        <v>3</v>
      </c>
      <c r="E1" s="88">
        <v>4</v>
      </c>
      <c r="F1" s="88">
        <v>5</v>
      </c>
      <c r="G1" s="88">
        <v>6</v>
      </c>
      <c r="H1" s="88">
        <v>7</v>
      </c>
      <c r="I1" s="88">
        <v>8</v>
      </c>
      <c r="J1" s="88">
        <v>9</v>
      </c>
      <c r="K1" s="88">
        <v>10</v>
      </c>
      <c r="L1" s="84">
        <v>1</v>
      </c>
      <c r="M1" s="95"/>
      <c r="N1" s="82">
        <v>1</v>
      </c>
      <c r="R1" s="91"/>
      <c r="S1" s="1" t="s">
        <v>80</v>
      </c>
      <c r="T1" s="88">
        <v>2</v>
      </c>
      <c r="U1" s="88">
        <v>3</v>
      </c>
      <c r="V1" s="88">
        <v>4</v>
      </c>
      <c r="W1" s="88">
        <v>5</v>
      </c>
      <c r="X1" s="88">
        <v>6</v>
      </c>
      <c r="Y1" s="88">
        <v>7</v>
      </c>
      <c r="Z1" s="88">
        <v>8</v>
      </c>
      <c r="AA1" s="88">
        <v>9</v>
      </c>
      <c r="AB1" s="88">
        <v>10</v>
      </c>
      <c r="AD1" s="91"/>
      <c r="AE1" s="1" t="s">
        <v>81</v>
      </c>
      <c r="AF1" s="88">
        <v>2</v>
      </c>
      <c r="AG1" s="88">
        <v>3</v>
      </c>
      <c r="AH1" s="88">
        <v>4</v>
      </c>
      <c r="AI1" s="88">
        <v>5</v>
      </c>
      <c r="AJ1" s="88">
        <v>6</v>
      </c>
      <c r="AK1" s="88">
        <v>7</v>
      </c>
      <c r="AL1" s="88">
        <v>8</v>
      </c>
      <c r="AM1" s="88">
        <v>9</v>
      </c>
      <c r="AN1" s="88">
        <v>10</v>
      </c>
      <c r="AP1" s="91"/>
      <c r="AQ1" s="1" t="s">
        <v>80</v>
      </c>
      <c r="AR1" s="88">
        <v>2</v>
      </c>
      <c r="AS1" s="88">
        <v>3</v>
      </c>
      <c r="AT1" s="88">
        <v>4</v>
      </c>
      <c r="AU1" s="88">
        <v>5</v>
      </c>
      <c r="AV1" s="88">
        <v>6</v>
      </c>
      <c r="AW1" s="88">
        <v>7</v>
      </c>
      <c r="AX1" s="88">
        <v>8</v>
      </c>
      <c r="AY1" s="88">
        <v>9</v>
      </c>
      <c r="AZ1" s="88">
        <v>10</v>
      </c>
    </row>
    <row r="2" spans="1:52" ht="13.5" thickBot="1" x14ac:dyDescent="0.25">
      <c r="A2" s="289" t="str">
        <f ca="1">IF(ChaCha!$AI$3&lt;0,$A$1,R2)</f>
        <v>A- 1</v>
      </c>
      <c r="B2" s="89">
        <v>2</v>
      </c>
      <c r="C2" s="15" t="s">
        <v>29</v>
      </c>
      <c r="D2" s="15">
        <v>5</v>
      </c>
      <c r="E2" s="15">
        <v>3</v>
      </c>
      <c r="F2" s="15">
        <v>2</v>
      </c>
      <c r="G2" s="15">
        <v>3</v>
      </c>
      <c r="H2" s="15">
        <v>2</v>
      </c>
      <c r="I2" s="15">
        <v>3</v>
      </c>
      <c r="J2" s="15">
        <v>2</v>
      </c>
      <c r="K2" s="16">
        <v>1</v>
      </c>
      <c r="L2" s="83">
        <f>L1+1</f>
        <v>2</v>
      </c>
      <c r="M2" s="96" t="str">
        <f ca="1">IF(ChaCha!$AI$3&lt;0,M1, "I A")</f>
        <v>I A</v>
      </c>
      <c r="N2" s="82">
        <f>N1+1</f>
        <v>2</v>
      </c>
      <c r="O2" s="11" t="s">
        <v>29</v>
      </c>
      <c r="P2" s="11" t="s">
        <v>29</v>
      </c>
      <c r="R2" s="92" t="s">
        <v>1</v>
      </c>
      <c r="S2" s="89">
        <v>2</v>
      </c>
      <c r="T2" s="15" t="str">
        <f>IF(OR(C2="UL",C2="NP"),C2,C2+1)</f>
        <v>UL</v>
      </c>
      <c r="U2" s="15">
        <f t="shared" ref="U2:U10" si="0">IF(OR(D2="UL",D2="NP"),D2,D2+1)</f>
        <v>6</v>
      </c>
      <c r="V2" s="15">
        <f t="shared" ref="V2:V10" si="1">IF(OR(E2="UL",E2="NP"),E2,E2+1)</f>
        <v>4</v>
      </c>
      <c r="W2" s="15">
        <f t="shared" ref="W2:W10" si="2">IF(OR(F2="UL",F2="NP"),F2,F2+1)</f>
        <v>3</v>
      </c>
      <c r="X2" s="15">
        <f t="shared" ref="X2:X10" si="3">IF(OR(G2="UL",G2="NP"),G2,G2+1)</f>
        <v>4</v>
      </c>
      <c r="Y2" s="15">
        <f t="shared" ref="Y2:Y10" si="4">IF(OR(H2="UL",H2="NP"),H2,H2+1)</f>
        <v>3</v>
      </c>
      <c r="Z2" s="15">
        <f t="shared" ref="Z2:Z10" si="5">IF(OR(I2="UL",I2="NP"),I2,I2+1)</f>
        <v>4</v>
      </c>
      <c r="AA2" s="15">
        <f t="shared" ref="AA2:AA10" si="6">IF(OR(J2="UL",J2="NP"),J2,J2+1)</f>
        <v>3</v>
      </c>
      <c r="AB2" s="15">
        <f t="shared" ref="AB2:AB10" si="7">IF(OR(K2="UL",K2="NP"),K2,K2+1)</f>
        <v>2</v>
      </c>
      <c r="AD2" s="92" t="s">
        <v>1</v>
      </c>
      <c r="AE2" s="89">
        <v>2</v>
      </c>
      <c r="AF2" s="80" t="s">
        <v>29</v>
      </c>
      <c r="AG2" s="80">
        <v>160</v>
      </c>
      <c r="AH2" s="80">
        <v>65</v>
      </c>
      <c r="AI2" s="80">
        <v>55</v>
      </c>
      <c r="AJ2" s="80">
        <v>65</v>
      </c>
      <c r="AK2" s="80">
        <v>55</v>
      </c>
      <c r="AL2" s="80">
        <v>65</v>
      </c>
      <c r="AM2" s="80">
        <v>50</v>
      </c>
      <c r="AN2" s="80">
        <v>40</v>
      </c>
      <c r="AP2" s="92" t="s">
        <v>1</v>
      </c>
      <c r="AQ2" s="89">
        <v>2</v>
      </c>
      <c r="AR2" s="80" t="s">
        <v>29</v>
      </c>
      <c r="AS2" s="80">
        <v>180</v>
      </c>
      <c r="AT2" s="80">
        <v>85</v>
      </c>
      <c r="AU2" s="80">
        <v>75</v>
      </c>
      <c r="AV2" s="80">
        <v>85</v>
      </c>
      <c r="AW2" s="80">
        <v>75</v>
      </c>
      <c r="AX2" s="80">
        <v>85</v>
      </c>
      <c r="AY2" s="80">
        <v>70</v>
      </c>
      <c r="AZ2" s="80">
        <v>60</v>
      </c>
    </row>
    <row r="3" spans="1:52" ht="13.5" thickBot="1" x14ac:dyDescent="0.25">
      <c r="A3" s="289" t="str">
        <f ca="1">IF(ChaCha!$AI$3&lt;0,$A$1,R3)</f>
        <v>A- 2</v>
      </c>
      <c r="B3" s="90">
        <f>B2+1</f>
        <v>3</v>
      </c>
      <c r="C3" s="12" t="s">
        <v>29</v>
      </c>
      <c r="D3" s="12">
        <v>11</v>
      </c>
      <c r="E3" s="12">
        <v>3</v>
      </c>
      <c r="F3" s="12">
        <v>2</v>
      </c>
      <c r="G3" s="12">
        <v>3</v>
      </c>
      <c r="H3" s="12">
        <v>2</v>
      </c>
      <c r="I3" s="12">
        <v>3</v>
      </c>
      <c r="J3" s="12">
        <v>2</v>
      </c>
      <c r="K3" s="18">
        <v>1</v>
      </c>
      <c r="L3" s="83">
        <f t="shared" ref="L3:L27" si="8">L2+1</f>
        <v>3</v>
      </c>
      <c r="M3" s="97" t="str">
        <f ca="1">IF(ChaCha!$AI$3&lt;0,M1, "I B")</f>
        <v>I B</v>
      </c>
      <c r="N3" s="82">
        <f t="shared" ref="N3:N10" si="9">N2+1</f>
        <v>3</v>
      </c>
      <c r="O3" s="11">
        <v>160</v>
      </c>
      <c r="P3" s="11">
        <v>180</v>
      </c>
      <c r="R3" s="93" t="s">
        <v>2</v>
      </c>
      <c r="S3" s="90">
        <f>S2+1</f>
        <v>3</v>
      </c>
      <c r="T3" s="15" t="str">
        <f t="shared" ref="T3:T10" si="10">IF(OR(C3="UL",C3="NP"),C3,C3+1)</f>
        <v>UL</v>
      </c>
      <c r="U3" s="15">
        <f t="shared" si="0"/>
        <v>12</v>
      </c>
      <c r="V3" s="15">
        <f t="shared" si="1"/>
        <v>4</v>
      </c>
      <c r="W3" s="15">
        <f t="shared" si="2"/>
        <v>3</v>
      </c>
      <c r="X3" s="15">
        <f t="shared" si="3"/>
        <v>4</v>
      </c>
      <c r="Y3" s="15">
        <f t="shared" si="4"/>
        <v>3</v>
      </c>
      <c r="Z3" s="15">
        <f t="shared" si="5"/>
        <v>4</v>
      </c>
      <c r="AA3" s="15">
        <f t="shared" si="6"/>
        <v>3</v>
      </c>
      <c r="AB3" s="15">
        <f t="shared" si="7"/>
        <v>2</v>
      </c>
      <c r="AD3" s="93" t="s">
        <v>2</v>
      </c>
      <c r="AE3" s="90">
        <f>AE2+1</f>
        <v>3</v>
      </c>
      <c r="AF3" s="80" t="s">
        <v>29</v>
      </c>
      <c r="AG3" s="80">
        <v>160</v>
      </c>
      <c r="AH3" s="80">
        <v>65</v>
      </c>
      <c r="AI3" s="80">
        <v>55</v>
      </c>
      <c r="AJ3" s="80">
        <v>65</v>
      </c>
      <c r="AK3" s="80">
        <v>55</v>
      </c>
      <c r="AL3" s="80">
        <v>65</v>
      </c>
      <c r="AM3" s="80">
        <v>50</v>
      </c>
      <c r="AN3" s="80">
        <v>40</v>
      </c>
      <c r="AP3" s="93" t="s">
        <v>2</v>
      </c>
      <c r="AQ3" s="90">
        <f>AQ2+1</f>
        <v>3</v>
      </c>
      <c r="AR3" s="80" t="s">
        <v>29</v>
      </c>
      <c r="AS3" s="80">
        <v>180</v>
      </c>
      <c r="AT3" s="80">
        <v>85</v>
      </c>
      <c r="AU3" s="80">
        <v>75</v>
      </c>
      <c r="AV3" s="80">
        <v>85</v>
      </c>
      <c r="AW3" s="80">
        <v>75</v>
      </c>
      <c r="AX3" s="80">
        <v>85</v>
      </c>
      <c r="AY3" s="80">
        <v>70</v>
      </c>
      <c r="AZ3" s="80">
        <v>60</v>
      </c>
    </row>
    <row r="4" spans="1:52" ht="13.5" thickBot="1" x14ac:dyDescent="0.25">
      <c r="A4" s="289" t="str">
        <f ca="1">IF(ChaCha!$AI$3&lt;0,$A$1,R4)</f>
        <v>A- 3</v>
      </c>
      <c r="B4" s="90">
        <f t="shared" ref="B4:B27" si="11">B3+1</f>
        <v>4</v>
      </c>
      <c r="C4" s="12" t="s">
        <v>29</v>
      </c>
      <c r="D4" s="12">
        <v>11</v>
      </c>
      <c r="E4" s="12">
        <v>3</v>
      </c>
      <c r="F4" s="12">
        <v>2</v>
      </c>
      <c r="G4" s="12">
        <v>3</v>
      </c>
      <c r="H4" s="12">
        <v>2</v>
      </c>
      <c r="I4" s="12">
        <v>3</v>
      </c>
      <c r="J4" s="12">
        <v>2</v>
      </c>
      <c r="K4" s="18">
        <v>1</v>
      </c>
      <c r="L4" s="83">
        <f t="shared" si="8"/>
        <v>4</v>
      </c>
      <c r="M4" s="96" t="str">
        <f ca="1">IF(ChaCha!$AI$3&lt;0,M1, "II A")</f>
        <v>II A</v>
      </c>
      <c r="N4" s="82">
        <f t="shared" si="9"/>
        <v>4</v>
      </c>
      <c r="O4" s="11">
        <v>65</v>
      </c>
      <c r="P4" s="11">
        <v>85</v>
      </c>
      <c r="R4" s="93" t="s">
        <v>3</v>
      </c>
      <c r="S4" s="90">
        <f t="shared" ref="S4:S27" si="12">S3+1</f>
        <v>4</v>
      </c>
      <c r="T4" s="15" t="str">
        <f t="shared" si="10"/>
        <v>UL</v>
      </c>
      <c r="U4" s="15">
        <f t="shared" si="0"/>
        <v>12</v>
      </c>
      <c r="V4" s="15">
        <f t="shared" si="1"/>
        <v>4</v>
      </c>
      <c r="W4" s="15">
        <f t="shared" si="2"/>
        <v>3</v>
      </c>
      <c r="X4" s="15">
        <f t="shared" si="3"/>
        <v>4</v>
      </c>
      <c r="Y4" s="15">
        <f t="shared" si="4"/>
        <v>3</v>
      </c>
      <c r="Z4" s="15">
        <f t="shared" si="5"/>
        <v>4</v>
      </c>
      <c r="AA4" s="15">
        <f t="shared" si="6"/>
        <v>3</v>
      </c>
      <c r="AB4" s="15">
        <f t="shared" si="7"/>
        <v>2</v>
      </c>
      <c r="AD4" s="93" t="s">
        <v>3</v>
      </c>
      <c r="AE4" s="90">
        <f t="shared" ref="AE4:AE27" si="13">AE3+1</f>
        <v>4</v>
      </c>
      <c r="AF4" s="80" t="s">
        <v>29</v>
      </c>
      <c r="AG4" s="80">
        <v>160</v>
      </c>
      <c r="AH4" s="80">
        <v>65</v>
      </c>
      <c r="AI4" s="80">
        <v>55</v>
      </c>
      <c r="AJ4" s="80">
        <v>65</v>
      </c>
      <c r="AK4" s="80">
        <v>55</v>
      </c>
      <c r="AL4" s="80">
        <v>65</v>
      </c>
      <c r="AM4" s="80">
        <v>50</v>
      </c>
      <c r="AN4" s="80">
        <v>40</v>
      </c>
      <c r="AP4" s="93" t="s">
        <v>3</v>
      </c>
      <c r="AQ4" s="90">
        <f t="shared" ref="AQ4:AQ27" si="14">AQ3+1</f>
        <v>4</v>
      </c>
      <c r="AR4" s="80" t="s">
        <v>29</v>
      </c>
      <c r="AS4" s="80">
        <v>180</v>
      </c>
      <c r="AT4" s="80">
        <v>85</v>
      </c>
      <c r="AU4" s="80">
        <v>75</v>
      </c>
      <c r="AV4" s="80">
        <v>85</v>
      </c>
      <c r="AW4" s="80">
        <v>75</v>
      </c>
      <c r="AX4" s="80">
        <v>85</v>
      </c>
      <c r="AY4" s="80">
        <v>70</v>
      </c>
      <c r="AZ4" s="80">
        <v>60</v>
      </c>
    </row>
    <row r="5" spans="1:52" ht="13.5" thickBot="1" x14ac:dyDescent="0.25">
      <c r="A5" s="289" t="str">
        <f ca="1">IF(ChaCha!$AI$3&lt;0,$A$1,R5)</f>
        <v>A- 4</v>
      </c>
      <c r="B5" s="90">
        <f t="shared" si="11"/>
        <v>5</v>
      </c>
      <c r="C5" s="12" t="s">
        <v>29</v>
      </c>
      <c r="D5" s="12">
        <v>11</v>
      </c>
      <c r="E5" s="12">
        <v>3</v>
      </c>
      <c r="F5" s="12">
        <v>2</v>
      </c>
      <c r="G5" s="12">
        <v>3</v>
      </c>
      <c r="H5" s="12">
        <v>2</v>
      </c>
      <c r="I5" s="12">
        <v>3</v>
      </c>
      <c r="J5" s="12">
        <v>2</v>
      </c>
      <c r="K5" s="18">
        <v>1</v>
      </c>
      <c r="L5" s="83">
        <f t="shared" si="8"/>
        <v>5</v>
      </c>
      <c r="M5" s="96" t="str">
        <f ca="1">IF(ChaCha!$AI$3&lt;0,M1, "II B")</f>
        <v>II B</v>
      </c>
      <c r="N5" s="82">
        <f t="shared" si="9"/>
        <v>5</v>
      </c>
      <c r="O5" s="393">
        <f>IF(Info!$H$12=1,60,55)</f>
        <v>55</v>
      </c>
      <c r="P5" s="11">
        <v>75</v>
      </c>
      <c r="R5" s="93" t="s">
        <v>4</v>
      </c>
      <c r="S5" s="90">
        <f t="shared" si="12"/>
        <v>5</v>
      </c>
      <c r="T5" s="15" t="str">
        <f t="shared" si="10"/>
        <v>UL</v>
      </c>
      <c r="U5" s="15">
        <f t="shared" si="0"/>
        <v>12</v>
      </c>
      <c r="V5" s="15">
        <f t="shared" si="1"/>
        <v>4</v>
      </c>
      <c r="W5" s="15">
        <f t="shared" si="2"/>
        <v>3</v>
      </c>
      <c r="X5" s="15">
        <f t="shared" si="3"/>
        <v>4</v>
      </c>
      <c r="Y5" s="15">
        <f t="shared" si="4"/>
        <v>3</v>
      </c>
      <c r="Z5" s="15">
        <f t="shared" si="5"/>
        <v>4</v>
      </c>
      <c r="AA5" s="15">
        <f t="shared" si="6"/>
        <v>3</v>
      </c>
      <c r="AB5" s="15">
        <f t="shared" si="7"/>
        <v>2</v>
      </c>
      <c r="AD5" s="93" t="s">
        <v>4</v>
      </c>
      <c r="AE5" s="90">
        <f t="shared" si="13"/>
        <v>5</v>
      </c>
      <c r="AF5" s="80" t="s">
        <v>29</v>
      </c>
      <c r="AG5" s="80">
        <v>160</v>
      </c>
      <c r="AH5" s="80">
        <v>65</v>
      </c>
      <c r="AI5" s="80">
        <v>55</v>
      </c>
      <c r="AJ5" s="80">
        <v>65</v>
      </c>
      <c r="AK5" s="80">
        <v>55</v>
      </c>
      <c r="AL5" s="80">
        <v>65</v>
      </c>
      <c r="AM5" s="80">
        <v>50</v>
      </c>
      <c r="AN5" s="80">
        <v>40</v>
      </c>
      <c r="AP5" s="93" t="s">
        <v>4</v>
      </c>
      <c r="AQ5" s="90">
        <f t="shared" si="14"/>
        <v>5</v>
      </c>
      <c r="AR5" s="80" t="s">
        <v>29</v>
      </c>
      <c r="AS5" s="80">
        <v>180</v>
      </c>
      <c r="AT5" s="80">
        <v>85</v>
      </c>
      <c r="AU5" s="80">
        <v>75</v>
      </c>
      <c r="AV5" s="80">
        <v>85</v>
      </c>
      <c r="AW5" s="80">
        <v>75</v>
      </c>
      <c r="AX5" s="80">
        <v>85</v>
      </c>
      <c r="AY5" s="80">
        <v>70</v>
      </c>
      <c r="AZ5" s="80">
        <v>60</v>
      </c>
    </row>
    <row r="6" spans="1:52" ht="13.5" thickBot="1" x14ac:dyDescent="0.25">
      <c r="A6" s="289" t="str">
        <f ca="1">IF(ChaCha!$AI$3&lt;0,$A$1,R6)</f>
        <v>A- 5</v>
      </c>
      <c r="B6" s="90">
        <f t="shared" si="11"/>
        <v>6</v>
      </c>
      <c r="C6" s="12" t="s">
        <v>29</v>
      </c>
      <c r="D6" s="12" t="s">
        <v>29</v>
      </c>
      <c r="E6" s="12" t="s">
        <v>29</v>
      </c>
      <c r="F6" s="12" t="s">
        <v>29</v>
      </c>
      <c r="G6" s="12" t="s">
        <v>29</v>
      </c>
      <c r="H6" s="12" t="s">
        <v>29</v>
      </c>
      <c r="I6" s="12" t="s">
        <v>29</v>
      </c>
      <c r="J6" s="12" t="s">
        <v>29</v>
      </c>
      <c r="K6" s="18" t="s">
        <v>29</v>
      </c>
      <c r="L6" s="83">
        <f t="shared" si="8"/>
        <v>6</v>
      </c>
      <c r="M6" s="96" t="str">
        <f ca="1">IF(ChaCha!$AI$3&lt;0,M1, "III A")</f>
        <v>III A</v>
      </c>
      <c r="N6" s="82">
        <f t="shared" si="9"/>
        <v>6</v>
      </c>
      <c r="O6" s="11">
        <v>65</v>
      </c>
      <c r="P6" s="11">
        <v>85</v>
      </c>
      <c r="R6" s="93" t="s">
        <v>5</v>
      </c>
      <c r="S6" s="90">
        <f t="shared" si="12"/>
        <v>6</v>
      </c>
      <c r="T6" s="15" t="str">
        <f t="shared" si="10"/>
        <v>UL</v>
      </c>
      <c r="U6" s="15" t="str">
        <f t="shared" si="0"/>
        <v>UL</v>
      </c>
      <c r="V6" s="15" t="str">
        <f t="shared" si="1"/>
        <v>UL</v>
      </c>
      <c r="W6" s="15" t="str">
        <f t="shared" si="2"/>
        <v>UL</v>
      </c>
      <c r="X6" s="15" t="str">
        <f t="shared" si="3"/>
        <v>UL</v>
      </c>
      <c r="Y6" s="15" t="str">
        <f t="shared" si="4"/>
        <v>UL</v>
      </c>
      <c r="Z6" s="15" t="str">
        <f t="shared" si="5"/>
        <v>UL</v>
      </c>
      <c r="AA6" s="15" t="str">
        <f t="shared" si="6"/>
        <v>UL</v>
      </c>
      <c r="AB6" s="15" t="str">
        <f t="shared" si="7"/>
        <v>UL</v>
      </c>
      <c r="AD6" s="93" t="s">
        <v>5</v>
      </c>
      <c r="AE6" s="90">
        <f t="shared" si="13"/>
        <v>6</v>
      </c>
      <c r="AF6" s="80" t="s">
        <v>29</v>
      </c>
      <c r="AG6" s="80">
        <v>160</v>
      </c>
      <c r="AH6" s="80">
        <v>65</v>
      </c>
      <c r="AI6" s="80">
        <v>55</v>
      </c>
      <c r="AJ6" s="80">
        <v>65</v>
      </c>
      <c r="AK6" s="80">
        <v>55</v>
      </c>
      <c r="AL6" s="80">
        <v>65</v>
      </c>
      <c r="AM6" s="80">
        <v>50</v>
      </c>
      <c r="AN6" s="80">
        <v>40</v>
      </c>
      <c r="AP6" s="93" t="s">
        <v>5</v>
      </c>
      <c r="AQ6" s="90">
        <f t="shared" si="14"/>
        <v>6</v>
      </c>
      <c r="AR6" s="80" t="s">
        <v>29</v>
      </c>
      <c r="AS6" s="80">
        <v>180</v>
      </c>
      <c r="AT6" s="80">
        <v>85</v>
      </c>
      <c r="AU6" s="80">
        <v>75</v>
      </c>
      <c r="AV6" s="80">
        <v>85</v>
      </c>
      <c r="AW6" s="80">
        <v>75</v>
      </c>
      <c r="AX6" s="80">
        <v>85</v>
      </c>
      <c r="AY6" s="80">
        <v>70</v>
      </c>
      <c r="AZ6" s="80">
        <v>60</v>
      </c>
    </row>
    <row r="7" spans="1:52" ht="13.5" thickBot="1" x14ac:dyDescent="0.25">
      <c r="A7" s="289" t="str">
        <f ca="1">IF(ChaCha!$AI$3&lt;0,$A$1,R7)</f>
        <v>B</v>
      </c>
      <c r="B7" s="90">
        <f t="shared" si="11"/>
        <v>7</v>
      </c>
      <c r="C7" s="12" t="s">
        <v>29</v>
      </c>
      <c r="D7" s="12">
        <v>11</v>
      </c>
      <c r="E7" s="12">
        <v>5</v>
      </c>
      <c r="F7" s="416">
        <f>IF($A$31=1,3,4)</f>
        <v>3</v>
      </c>
      <c r="G7" s="12">
        <v>5</v>
      </c>
      <c r="H7" s="416">
        <f>IF($A$31=1,3,4)</f>
        <v>3</v>
      </c>
      <c r="I7" s="12">
        <v>5</v>
      </c>
      <c r="J7" s="12">
        <v>3</v>
      </c>
      <c r="K7" s="18">
        <v>2</v>
      </c>
      <c r="L7" s="83">
        <f t="shared" si="8"/>
        <v>7</v>
      </c>
      <c r="M7" s="96" t="str">
        <f ca="1">IF(ChaCha!$AI$3&lt;0,M1, "III B")</f>
        <v>III B</v>
      </c>
      <c r="N7" s="82">
        <f t="shared" si="9"/>
        <v>7</v>
      </c>
      <c r="O7" s="393">
        <f>IF(Info!$H$12=1,60,55)</f>
        <v>55</v>
      </c>
      <c r="P7" s="11">
        <v>75</v>
      </c>
      <c r="R7" s="93" t="s">
        <v>6</v>
      </c>
      <c r="S7" s="90">
        <f t="shared" si="12"/>
        <v>7</v>
      </c>
      <c r="T7" s="15" t="str">
        <f t="shared" si="10"/>
        <v>UL</v>
      </c>
      <c r="U7" s="15">
        <f t="shared" si="0"/>
        <v>12</v>
      </c>
      <c r="V7" s="15">
        <f t="shared" si="1"/>
        <v>6</v>
      </c>
      <c r="W7" s="15">
        <f t="shared" si="2"/>
        <v>4</v>
      </c>
      <c r="X7" s="15">
        <f t="shared" si="3"/>
        <v>6</v>
      </c>
      <c r="Y7" s="15">
        <f t="shared" si="4"/>
        <v>4</v>
      </c>
      <c r="Z7" s="15">
        <f t="shared" si="5"/>
        <v>6</v>
      </c>
      <c r="AA7" s="15">
        <f t="shared" si="6"/>
        <v>4</v>
      </c>
      <c r="AB7" s="15">
        <f t="shared" si="7"/>
        <v>3</v>
      </c>
      <c r="AD7" s="93" t="s">
        <v>6</v>
      </c>
      <c r="AE7" s="90">
        <f t="shared" si="13"/>
        <v>7</v>
      </c>
      <c r="AF7" s="80" t="s">
        <v>29</v>
      </c>
      <c r="AG7" s="80">
        <v>160</v>
      </c>
      <c r="AH7" s="80">
        <v>65</v>
      </c>
      <c r="AI7" s="80">
        <v>55</v>
      </c>
      <c r="AJ7" s="80">
        <v>65</v>
      </c>
      <c r="AK7" s="80">
        <v>55</v>
      </c>
      <c r="AL7" s="80">
        <v>65</v>
      </c>
      <c r="AM7" s="80">
        <v>50</v>
      </c>
      <c r="AN7" s="80">
        <v>40</v>
      </c>
      <c r="AP7" s="93" t="s">
        <v>6</v>
      </c>
      <c r="AQ7" s="90">
        <f t="shared" si="14"/>
        <v>7</v>
      </c>
      <c r="AR7" s="80" t="s">
        <v>29</v>
      </c>
      <c r="AS7" s="80">
        <v>180</v>
      </c>
      <c r="AT7" s="80">
        <v>85</v>
      </c>
      <c r="AU7" s="80">
        <v>75</v>
      </c>
      <c r="AV7" s="80">
        <v>85</v>
      </c>
      <c r="AW7" s="80">
        <v>75</v>
      </c>
      <c r="AX7" s="80">
        <v>85</v>
      </c>
      <c r="AY7" s="80">
        <v>70</v>
      </c>
      <c r="AZ7" s="80">
        <v>60</v>
      </c>
    </row>
    <row r="8" spans="1:52" ht="13.5" thickBot="1" x14ac:dyDescent="0.25">
      <c r="A8" s="289" t="str">
        <f ca="1">IF(ChaCha!$AI$3&lt;0,$A$1,R8)</f>
        <v>E</v>
      </c>
      <c r="B8" s="90">
        <f t="shared" si="11"/>
        <v>8</v>
      </c>
      <c r="C8" s="12" t="s">
        <v>29</v>
      </c>
      <c r="D8" s="12">
        <v>5</v>
      </c>
      <c r="E8" s="12">
        <v>3</v>
      </c>
      <c r="F8" s="12">
        <v>2</v>
      </c>
      <c r="G8" s="12">
        <v>3</v>
      </c>
      <c r="H8" s="12">
        <v>2</v>
      </c>
      <c r="I8" s="12">
        <v>3</v>
      </c>
      <c r="J8" s="12">
        <v>1</v>
      </c>
      <c r="K8" s="18">
        <v>1</v>
      </c>
      <c r="L8" s="83">
        <f t="shared" si="8"/>
        <v>8</v>
      </c>
      <c r="M8" s="96" t="str">
        <f ca="1">IF(ChaCha!$AI$3&lt;0,M1, "IV HT")</f>
        <v>IV HT</v>
      </c>
      <c r="N8" s="82">
        <f t="shared" si="9"/>
        <v>8</v>
      </c>
      <c r="O8" s="11">
        <v>65</v>
      </c>
      <c r="P8" s="11">
        <v>85</v>
      </c>
      <c r="R8" s="93" t="s">
        <v>7</v>
      </c>
      <c r="S8" s="90">
        <f t="shared" si="12"/>
        <v>8</v>
      </c>
      <c r="T8" s="15" t="str">
        <f t="shared" si="10"/>
        <v>UL</v>
      </c>
      <c r="U8" s="15">
        <f t="shared" si="0"/>
        <v>6</v>
      </c>
      <c r="V8" s="15">
        <f t="shared" si="1"/>
        <v>4</v>
      </c>
      <c r="W8" s="15">
        <f t="shared" si="2"/>
        <v>3</v>
      </c>
      <c r="X8" s="15">
        <f t="shared" si="3"/>
        <v>4</v>
      </c>
      <c r="Y8" s="15">
        <f t="shared" si="4"/>
        <v>3</v>
      </c>
      <c r="Z8" s="15">
        <f t="shared" si="5"/>
        <v>4</v>
      </c>
      <c r="AA8" s="15">
        <f t="shared" si="6"/>
        <v>2</v>
      </c>
      <c r="AB8" s="15">
        <f t="shared" si="7"/>
        <v>2</v>
      </c>
      <c r="AD8" s="93" t="s">
        <v>7</v>
      </c>
      <c r="AE8" s="90">
        <f t="shared" si="13"/>
        <v>8</v>
      </c>
      <c r="AF8" s="80" t="s">
        <v>29</v>
      </c>
      <c r="AG8" s="80">
        <v>160</v>
      </c>
      <c r="AH8" s="80">
        <v>65</v>
      </c>
      <c r="AI8" s="80">
        <v>55</v>
      </c>
      <c r="AJ8" s="80">
        <v>65</v>
      </c>
      <c r="AK8" s="80">
        <v>55</v>
      </c>
      <c r="AL8" s="80">
        <v>65</v>
      </c>
      <c r="AM8" s="80">
        <v>50</v>
      </c>
      <c r="AN8" s="80">
        <v>40</v>
      </c>
      <c r="AP8" s="93" t="s">
        <v>7</v>
      </c>
      <c r="AQ8" s="90">
        <f t="shared" si="14"/>
        <v>8</v>
      </c>
      <c r="AR8" s="80" t="s">
        <v>29</v>
      </c>
      <c r="AS8" s="80">
        <v>180</v>
      </c>
      <c r="AT8" s="80">
        <v>85</v>
      </c>
      <c r="AU8" s="80">
        <v>75</v>
      </c>
      <c r="AV8" s="80">
        <v>85</v>
      </c>
      <c r="AW8" s="80">
        <v>75</v>
      </c>
      <c r="AX8" s="80">
        <v>85</v>
      </c>
      <c r="AY8" s="80">
        <v>70</v>
      </c>
      <c r="AZ8" s="80">
        <v>60</v>
      </c>
    </row>
    <row r="9" spans="1:52" ht="13.5" thickBot="1" x14ac:dyDescent="0.25">
      <c r="A9" s="289" t="str">
        <f ca="1">IF(ChaCha!$AI$3&lt;0,$A$1,R9)</f>
        <v>F- 1</v>
      </c>
      <c r="B9" s="90">
        <f t="shared" si="11"/>
        <v>9</v>
      </c>
      <c r="C9" s="12" t="s">
        <v>29</v>
      </c>
      <c r="D9" s="12">
        <v>11</v>
      </c>
      <c r="E9" s="12">
        <v>4</v>
      </c>
      <c r="F9" s="12">
        <v>2</v>
      </c>
      <c r="G9" s="12">
        <v>3</v>
      </c>
      <c r="H9" s="12">
        <v>2</v>
      </c>
      <c r="I9" s="12">
        <v>4</v>
      </c>
      <c r="J9" s="12">
        <v>2</v>
      </c>
      <c r="K9" s="18">
        <v>1</v>
      </c>
      <c r="L9" s="83">
        <f t="shared" si="8"/>
        <v>9</v>
      </c>
      <c r="M9" s="96" t="str">
        <f ca="1">IF(ChaCha!$AI$3&lt;0,M1, "V A")</f>
        <v>V A</v>
      </c>
      <c r="N9" s="82">
        <f t="shared" si="9"/>
        <v>9</v>
      </c>
      <c r="O9" s="393">
        <f>IF(Info!$H$12=1,60,50)</f>
        <v>50</v>
      </c>
      <c r="P9" s="11">
        <v>70</v>
      </c>
      <c r="R9" s="93" t="s">
        <v>8</v>
      </c>
      <c r="S9" s="90">
        <f t="shared" si="12"/>
        <v>9</v>
      </c>
      <c r="T9" s="15" t="str">
        <f t="shared" si="10"/>
        <v>UL</v>
      </c>
      <c r="U9" s="15">
        <f t="shared" si="0"/>
        <v>12</v>
      </c>
      <c r="V9" s="15">
        <f t="shared" si="1"/>
        <v>5</v>
      </c>
      <c r="W9" s="15">
        <f t="shared" si="2"/>
        <v>3</v>
      </c>
      <c r="X9" s="15">
        <f t="shared" si="3"/>
        <v>4</v>
      </c>
      <c r="Y9" s="15">
        <f t="shared" si="4"/>
        <v>3</v>
      </c>
      <c r="Z9" s="15">
        <f t="shared" si="5"/>
        <v>5</v>
      </c>
      <c r="AA9" s="15">
        <f t="shared" si="6"/>
        <v>3</v>
      </c>
      <c r="AB9" s="15">
        <f t="shared" si="7"/>
        <v>2</v>
      </c>
      <c r="AD9" s="93" t="s">
        <v>8</v>
      </c>
      <c r="AE9" s="90">
        <f t="shared" si="13"/>
        <v>9</v>
      </c>
      <c r="AF9" s="80" t="s">
        <v>29</v>
      </c>
      <c r="AG9" s="80">
        <v>160</v>
      </c>
      <c r="AH9" s="80">
        <v>65</v>
      </c>
      <c r="AI9" s="80">
        <v>55</v>
      </c>
      <c r="AJ9" s="80">
        <v>65</v>
      </c>
      <c r="AK9" s="80">
        <v>55</v>
      </c>
      <c r="AL9" s="80">
        <v>65</v>
      </c>
      <c r="AM9" s="80">
        <v>50</v>
      </c>
      <c r="AN9" s="80">
        <v>40</v>
      </c>
      <c r="AP9" s="93" t="s">
        <v>8</v>
      </c>
      <c r="AQ9" s="90">
        <f t="shared" si="14"/>
        <v>9</v>
      </c>
      <c r="AR9" s="80" t="s">
        <v>29</v>
      </c>
      <c r="AS9" s="80">
        <v>180</v>
      </c>
      <c r="AT9" s="80">
        <v>85</v>
      </c>
      <c r="AU9" s="80">
        <v>75</v>
      </c>
      <c r="AV9" s="80">
        <v>85</v>
      </c>
      <c r="AW9" s="80">
        <v>75</v>
      </c>
      <c r="AX9" s="80">
        <v>85</v>
      </c>
      <c r="AY9" s="80">
        <v>70</v>
      </c>
      <c r="AZ9" s="80">
        <v>60</v>
      </c>
    </row>
    <row r="10" spans="1:52" ht="13.5" thickBot="1" x14ac:dyDescent="0.25">
      <c r="A10" s="289" t="str">
        <f ca="1">IF(ChaCha!$AI$3&lt;0,$A$1,R10)</f>
        <v>F- 2</v>
      </c>
      <c r="B10" s="90">
        <f t="shared" si="11"/>
        <v>10</v>
      </c>
      <c r="C10" s="12" t="s">
        <v>29</v>
      </c>
      <c r="D10" s="12">
        <v>11</v>
      </c>
      <c r="E10" s="12">
        <v>5</v>
      </c>
      <c r="F10" s="12">
        <v>3</v>
      </c>
      <c r="G10" s="12">
        <v>4</v>
      </c>
      <c r="H10" s="12">
        <v>3</v>
      </c>
      <c r="I10" s="12">
        <v>5</v>
      </c>
      <c r="J10" s="12">
        <v>3</v>
      </c>
      <c r="K10" s="18">
        <v>2</v>
      </c>
      <c r="L10" s="83">
        <f t="shared" si="8"/>
        <v>10</v>
      </c>
      <c r="M10" s="98" t="str">
        <f ca="1">IF(ChaCha!$AI$3&lt;0,M1, "V B")</f>
        <v>V B</v>
      </c>
      <c r="N10" s="82">
        <f t="shared" si="9"/>
        <v>10</v>
      </c>
      <c r="O10" s="393">
        <f>IF(Info!$H$12=1,60,40)</f>
        <v>40</v>
      </c>
      <c r="P10" s="11">
        <v>60</v>
      </c>
      <c r="R10" s="93" t="s">
        <v>9</v>
      </c>
      <c r="S10" s="90">
        <f t="shared" si="12"/>
        <v>10</v>
      </c>
      <c r="T10" s="15" t="str">
        <f t="shared" si="10"/>
        <v>UL</v>
      </c>
      <c r="U10" s="15">
        <f t="shared" si="0"/>
        <v>12</v>
      </c>
      <c r="V10" s="15">
        <f t="shared" si="1"/>
        <v>6</v>
      </c>
      <c r="W10" s="15">
        <f t="shared" si="2"/>
        <v>4</v>
      </c>
      <c r="X10" s="15">
        <f t="shared" si="3"/>
        <v>5</v>
      </c>
      <c r="Y10" s="15">
        <f t="shared" si="4"/>
        <v>4</v>
      </c>
      <c r="Z10" s="15">
        <f t="shared" si="5"/>
        <v>6</v>
      </c>
      <c r="AA10" s="15">
        <f t="shared" si="6"/>
        <v>4</v>
      </c>
      <c r="AB10" s="15">
        <f t="shared" si="7"/>
        <v>3</v>
      </c>
      <c r="AD10" s="93" t="s">
        <v>9</v>
      </c>
      <c r="AE10" s="90">
        <f t="shared" si="13"/>
        <v>10</v>
      </c>
      <c r="AF10" s="80" t="s">
        <v>29</v>
      </c>
      <c r="AG10" s="80">
        <v>160</v>
      </c>
      <c r="AH10" s="80">
        <v>65</v>
      </c>
      <c r="AI10" s="80">
        <v>55</v>
      </c>
      <c r="AJ10" s="80">
        <v>65</v>
      </c>
      <c r="AK10" s="80">
        <v>55</v>
      </c>
      <c r="AL10" s="80">
        <v>65</v>
      </c>
      <c r="AM10" s="80">
        <v>50</v>
      </c>
      <c r="AN10" s="80">
        <v>40</v>
      </c>
      <c r="AP10" s="93" t="s">
        <v>9</v>
      </c>
      <c r="AQ10" s="90">
        <f t="shared" si="14"/>
        <v>10</v>
      </c>
      <c r="AR10" s="80" t="s">
        <v>29</v>
      </c>
      <c r="AS10" s="80">
        <v>180</v>
      </c>
      <c r="AT10" s="80">
        <v>85</v>
      </c>
      <c r="AU10" s="80">
        <v>75</v>
      </c>
      <c r="AV10" s="80">
        <v>85</v>
      </c>
      <c r="AW10" s="80">
        <v>75</v>
      </c>
      <c r="AX10" s="80">
        <v>85</v>
      </c>
      <c r="AY10" s="80">
        <v>70</v>
      </c>
      <c r="AZ10" s="80">
        <v>60</v>
      </c>
    </row>
    <row r="11" spans="1:52" ht="13.5" thickBot="1" x14ac:dyDescent="0.25">
      <c r="A11" s="289" t="str">
        <f ca="1">IF(ChaCha!$AI$3&lt;0,$A$1,R11)</f>
        <v>H- 1</v>
      </c>
      <c r="B11" s="90">
        <f t="shared" si="11"/>
        <v>11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8" t="s">
        <v>36</v>
      </c>
      <c r="L11" s="83">
        <f t="shared" si="8"/>
        <v>11</v>
      </c>
      <c r="O11" s="99">
        <f>LOOKUP(ChaCha!G2,N1:N10,O1:O10)</f>
        <v>0</v>
      </c>
      <c r="P11" s="394">
        <f>LOOKUP(ChaCha!G2,N1:N10,P1:P10)</f>
        <v>0</v>
      </c>
      <c r="R11" s="93" t="s">
        <v>10</v>
      </c>
      <c r="S11" s="90">
        <f t="shared" si="12"/>
        <v>11</v>
      </c>
      <c r="T11" s="114">
        <v>1</v>
      </c>
      <c r="U11" s="114">
        <v>1</v>
      </c>
      <c r="V11" s="114">
        <v>1</v>
      </c>
      <c r="W11" s="114">
        <v>1</v>
      </c>
      <c r="X11" s="114">
        <v>1</v>
      </c>
      <c r="Y11" s="114">
        <v>1</v>
      </c>
      <c r="Z11" s="114">
        <v>1</v>
      </c>
      <c r="AA11" s="114">
        <v>1</v>
      </c>
      <c r="AB11" s="115" t="s">
        <v>36</v>
      </c>
      <c r="AD11" s="93" t="s">
        <v>10</v>
      </c>
      <c r="AE11" s="90">
        <f t="shared" si="13"/>
        <v>11</v>
      </c>
      <c r="AF11" s="80" t="s">
        <v>29</v>
      </c>
      <c r="AG11" s="80">
        <v>160</v>
      </c>
      <c r="AH11" s="80">
        <v>65</v>
      </c>
      <c r="AI11" s="80">
        <v>55</v>
      </c>
      <c r="AJ11" s="80">
        <v>65</v>
      </c>
      <c r="AK11" s="80">
        <v>55</v>
      </c>
      <c r="AL11" s="80">
        <v>65</v>
      </c>
      <c r="AM11" s="80">
        <v>50</v>
      </c>
      <c r="AN11" s="140" t="s">
        <v>36</v>
      </c>
      <c r="AP11" s="93" t="s">
        <v>10</v>
      </c>
      <c r="AQ11" s="90">
        <f t="shared" si="14"/>
        <v>11</v>
      </c>
      <c r="AR11" s="80" t="s">
        <v>29</v>
      </c>
      <c r="AS11" s="105">
        <v>160</v>
      </c>
      <c r="AT11" s="105">
        <v>65</v>
      </c>
      <c r="AU11" s="105">
        <v>55</v>
      </c>
      <c r="AV11" s="105">
        <v>65</v>
      </c>
      <c r="AW11" s="105">
        <v>55</v>
      </c>
      <c r="AX11" s="105">
        <v>65</v>
      </c>
      <c r="AY11" s="105">
        <v>50</v>
      </c>
      <c r="AZ11" s="139" t="s">
        <v>36</v>
      </c>
    </row>
    <row r="12" spans="1:52" ht="13.5" thickBot="1" x14ac:dyDescent="0.25">
      <c r="A12" s="289" t="str">
        <f ca="1">IF(ChaCha!$AI$3&lt;0,$A$1,R12)</f>
        <v>H-2</v>
      </c>
      <c r="B12" s="90">
        <f t="shared" si="11"/>
        <v>12</v>
      </c>
      <c r="C12" s="12" t="s">
        <v>29</v>
      </c>
      <c r="D12" s="12">
        <v>3</v>
      </c>
      <c r="E12" s="12">
        <v>2</v>
      </c>
      <c r="F12" s="12">
        <v>1</v>
      </c>
      <c r="G12" s="12">
        <v>2</v>
      </c>
      <c r="H12" s="12">
        <v>1</v>
      </c>
      <c r="I12" s="12">
        <v>2</v>
      </c>
      <c r="J12" s="12">
        <v>1</v>
      </c>
      <c r="K12" s="18">
        <v>1</v>
      </c>
      <c r="L12" s="83">
        <f t="shared" si="8"/>
        <v>12</v>
      </c>
      <c r="R12" s="93" t="s">
        <v>34</v>
      </c>
      <c r="S12" s="90">
        <f t="shared" si="12"/>
        <v>12</v>
      </c>
      <c r="T12" s="114" t="s">
        <v>29</v>
      </c>
      <c r="U12" s="114">
        <v>3</v>
      </c>
      <c r="V12" s="114">
        <v>2</v>
      </c>
      <c r="W12" s="114">
        <v>1</v>
      </c>
      <c r="X12" s="114">
        <v>2</v>
      </c>
      <c r="Y12" s="114">
        <v>1</v>
      </c>
      <c r="Z12" s="114">
        <v>2</v>
      </c>
      <c r="AA12" s="114">
        <v>1</v>
      </c>
      <c r="AB12" s="115">
        <v>1</v>
      </c>
      <c r="AD12" s="93" t="s">
        <v>34</v>
      </c>
      <c r="AE12" s="90">
        <f t="shared" si="13"/>
        <v>12</v>
      </c>
      <c r="AF12" s="80" t="s">
        <v>29</v>
      </c>
      <c r="AG12" s="80">
        <v>160</v>
      </c>
      <c r="AH12" s="80">
        <v>65</v>
      </c>
      <c r="AI12" s="80">
        <v>55</v>
      </c>
      <c r="AJ12" s="80">
        <v>65</v>
      </c>
      <c r="AK12" s="80">
        <v>55</v>
      </c>
      <c r="AL12" s="80">
        <v>65</v>
      </c>
      <c r="AM12" s="80">
        <v>50</v>
      </c>
      <c r="AN12" s="80">
        <v>40</v>
      </c>
      <c r="AP12" s="93" t="s">
        <v>34</v>
      </c>
      <c r="AQ12" s="90">
        <f t="shared" si="14"/>
        <v>12</v>
      </c>
      <c r="AR12" s="80" t="s">
        <v>29</v>
      </c>
      <c r="AS12" s="105">
        <v>160</v>
      </c>
      <c r="AT12" s="105">
        <v>65</v>
      </c>
      <c r="AU12" s="105">
        <v>55</v>
      </c>
      <c r="AV12" s="105">
        <v>65</v>
      </c>
      <c r="AW12" s="105">
        <v>55</v>
      </c>
      <c r="AX12" s="105">
        <v>65</v>
      </c>
      <c r="AY12" s="105">
        <v>50</v>
      </c>
      <c r="AZ12" s="105">
        <v>40</v>
      </c>
    </row>
    <row r="13" spans="1:52" ht="12" customHeight="1" thickBot="1" x14ac:dyDescent="0.25">
      <c r="A13" s="289" t="str">
        <f ca="1">IF(ChaCha!$AI$3&lt;0,$A$1,R13)</f>
        <v>H-3</v>
      </c>
      <c r="B13" s="90">
        <f t="shared" si="11"/>
        <v>13</v>
      </c>
      <c r="C13" s="12" t="s">
        <v>29</v>
      </c>
      <c r="D13" s="12">
        <v>6</v>
      </c>
      <c r="E13" s="12">
        <v>4</v>
      </c>
      <c r="F13" s="12">
        <v>2</v>
      </c>
      <c r="G13" s="12">
        <v>4</v>
      </c>
      <c r="H13" s="12">
        <v>2</v>
      </c>
      <c r="I13" s="12">
        <v>4</v>
      </c>
      <c r="J13" s="12">
        <v>2</v>
      </c>
      <c r="K13" s="18">
        <v>1</v>
      </c>
      <c r="L13" s="83">
        <f t="shared" si="8"/>
        <v>13</v>
      </c>
      <c r="R13" s="93" t="s">
        <v>35</v>
      </c>
      <c r="S13" s="90">
        <f t="shared" si="12"/>
        <v>13</v>
      </c>
      <c r="T13" s="114" t="s">
        <v>29</v>
      </c>
      <c r="U13" s="114">
        <v>6</v>
      </c>
      <c r="V13" s="114">
        <v>4</v>
      </c>
      <c r="W13" s="114">
        <v>2</v>
      </c>
      <c r="X13" s="114">
        <v>4</v>
      </c>
      <c r="Y13" s="114">
        <v>2</v>
      </c>
      <c r="Z13" s="114">
        <v>4</v>
      </c>
      <c r="AA13" s="114">
        <v>2</v>
      </c>
      <c r="AB13" s="115">
        <v>1</v>
      </c>
      <c r="AD13" s="93" t="s">
        <v>35</v>
      </c>
      <c r="AE13" s="90">
        <f t="shared" si="13"/>
        <v>13</v>
      </c>
      <c r="AF13" s="80" t="s">
        <v>29</v>
      </c>
      <c r="AG13" s="80">
        <v>160</v>
      </c>
      <c r="AH13" s="80">
        <v>65</v>
      </c>
      <c r="AI13" s="80">
        <v>55</v>
      </c>
      <c r="AJ13" s="80">
        <v>65</v>
      </c>
      <c r="AK13" s="80">
        <v>55</v>
      </c>
      <c r="AL13" s="80">
        <v>65</v>
      </c>
      <c r="AM13" s="80">
        <v>50</v>
      </c>
      <c r="AN13" s="80">
        <v>40</v>
      </c>
      <c r="AP13" s="93" t="s">
        <v>35</v>
      </c>
      <c r="AQ13" s="90">
        <f t="shared" si="14"/>
        <v>13</v>
      </c>
      <c r="AR13" s="80" t="s">
        <v>29</v>
      </c>
      <c r="AS13" s="105">
        <v>160</v>
      </c>
      <c r="AT13" s="105">
        <v>65</v>
      </c>
      <c r="AU13" s="105">
        <v>55</v>
      </c>
      <c r="AV13" s="105">
        <v>65</v>
      </c>
      <c r="AW13" s="105">
        <v>55</v>
      </c>
      <c r="AX13" s="105">
        <v>65</v>
      </c>
      <c r="AY13" s="105">
        <v>50</v>
      </c>
      <c r="AZ13" s="105">
        <v>40</v>
      </c>
    </row>
    <row r="14" spans="1:52" ht="13.5" thickBot="1" x14ac:dyDescent="0.25">
      <c r="A14" s="289" t="str">
        <f ca="1">IF(ChaCha!$AI$3&lt;0,$A$1,R14)</f>
        <v>H- 4</v>
      </c>
      <c r="B14" s="90">
        <f t="shared" si="11"/>
        <v>14</v>
      </c>
      <c r="C14" s="12" t="s">
        <v>29</v>
      </c>
      <c r="D14" s="12">
        <v>7</v>
      </c>
      <c r="E14" s="12">
        <v>5</v>
      </c>
      <c r="F14" s="12">
        <v>3</v>
      </c>
      <c r="G14" s="12">
        <v>5</v>
      </c>
      <c r="H14" s="12">
        <v>3</v>
      </c>
      <c r="I14" s="12">
        <v>5</v>
      </c>
      <c r="J14" s="12">
        <v>3</v>
      </c>
      <c r="K14" s="18">
        <v>2</v>
      </c>
      <c r="L14" s="83">
        <f t="shared" si="8"/>
        <v>14</v>
      </c>
      <c r="R14" s="93" t="s">
        <v>11</v>
      </c>
      <c r="S14" s="90">
        <f t="shared" si="12"/>
        <v>14</v>
      </c>
      <c r="T14" s="15" t="str">
        <f t="shared" ref="T14:AB14" si="15">IF(OR(C14="UL",C14="NP"),C14,C14+1)</f>
        <v>UL</v>
      </c>
      <c r="U14" s="15">
        <f t="shared" si="15"/>
        <v>8</v>
      </c>
      <c r="V14" s="15">
        <f t="shared" si="15"/>
        <v>6</v>
      </c>
      <c r="W14" s="15">
        <f t="shared" si="15"/>
        <v>4</v>
      </c>
      <c r="X14" s="15">
        <f t="shared" si="15"/>
        <v>6</v>
      </c>
      <c r="Y14" s="15">
        <f t="shared" si="15"/>
        <v>4</v>
      </c>
      <c r="Z14" s="15">
        <f t="shared" si="15"/>
        <v>6</v>
      </c>
      <c r="AA14" s="15">
        <f t="shared" si="15"/>
        <v>4</v>
      </c>
      <c r="AB14" s="15">
        <f t="shared" si="15"/>
        <v>3</v>
      </c>
      <c r="AD14" s="93" t="s">
        <v>11</v>
      </c>
      <c r="AE14" s="90">
        <f t="shared" si="13"/>
        <v>14</v>
      </c>
      <c r="AF14" s="80" t="s">
        <v>29</v>
      </c>
      <c r="AG14" s="80">
        <v>160</v>
      </c>
      <c r="AH14" s="80">
        <v>65</v>
      </c>
      <c r="AI14" s="80">
        <v>55</v>
      </c>
      <c r="AJ14" s="80">
        <v>65</v>
      </c>
      <c r="AK14" s="80">
        <v>55</v>
      </c>
      <c r="AL14" s="80">
        <v>65</v>
      </c>
      <c r="AM14" s="80">
        <v>50</v>
      </c>
      <c r="AN14" s="80">
        <v>40</v>
      </c>
      <c r="AP14" s="93" t="s">
        <v>11</v>
      </c>
      <c r="AQ14" s="90">
        <f t="shared" si="14"/>
        <v>14</v>
      </c>
      <c r="AR14" s="80" t="s">
        <v>29</v>
      </c>
      <c r="AS14" s="80">
        <v>180</v>
      </c>
      <c r="AT14" s="80">
        <v>85</v>
      </c>
      <c r="AU14" s="80">
        <v>75</v>
      </c>
      <c r="AV14" s="80">
        <v>85</v>
      </c>
      <c r="AW14" s="80">
        <v>75</v>
      </c>
      <c r="AX14" s="80">
        <v>85</v>
      </c>
      <c r="AY14" s="80">
        <v>70</v>
      </c>
      <c r="AZ14" s="80">
        <v>60</v>
      </c>
    </row>
    <row r="15" spans="1:52" ht="13.5" thickBot="1" x14ac:dyDescent="0.25">
      <c r="A15" s="289" t="str">
        <f ca="1">IF(ChaCha!$AI$3&lt;0,$A$1,R15)</f>
        <v>H- 5</v>
      </c>
      <c r="B15" s="90">
        <f t="shared" si="11"/>
        <v>15</v>
      </c>
      <c r="C15" s="12">
        <v>4</v>
      </c>
      <c r="D15" s="12">
        <v>4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8">
        <v>2</v>
      </c>
      <c r="L15" s="83">
        <f t="shared" si="8"/>
        <v>15</v>
      </c>
      <c r="R15" s="93" t="s">
        <v>12</v>
      </c>
      <c r="S15" s="90">
        <f t="shared" si="12"/>
        <v>15</v>
      </c>
      <c r="T15" s="114">
        <v>4</v>
      </c>
      <c r="U15" s="114">
        <v>4</v>
      </c>
      <c r="V15" s="114">
        <v>3</v>
      </c>
      <c r="W15" s="114">
        <v>3</v>
      </c>
      <c r="X15" s="114">
        <v>3</v>
      </c>
      <c r="Y15" s="114">
        <v>3</v>
      </c>
      <c r="Z15" s="114">
        <v>3</v>
      </c>
      <c r="AA15" s="114">
        <v>3</v>
      </c>
      <c r="AB15" s="115">
        <v>2</v>
      </c>
      <c r="AD15" s="93" t="s">
        <v>12</v>
      </c>
      <c r="AE15" s="90">
        <f t="shared" si="13"/>
        <v>15</v>
      </c>
      <c r="AF15" s="80" t="s">
        <v>29</v>
      </c>
      <c r="AG15" s="80">
        <v>160</v>
      </c>
      <c r="AH15" s="80">
        <v>65</v>
      </c>
      <c r="AI15" s="80">
        <v>55</v>
      </c>
      <c r="AJ15" s="80">
        <v>65</v>
      </c>
      <c r="AK15" s="80">
        <v>55</v>
      </c>
      <c r="AL15" s="80">
        <v>65</v>
      </c>
      <c r="AM15" s="80">
        <v>50</v>
      </c>
      <c r="AN15" s="80">
        <v>40</v>
      </c>
      <c r="AP15" s="93" t="s">
        <v>12</v>
      </c>
      <c r="AQ15" s="90">
        <f t="shared" si="14"/>
        <v>15</v>
      </c>
      <c r="AR15" s="80" t="s">
        <v>29</v>
      </c>
      <c r="AS15" s="105">
        <v>160</v>
      </c>
      <c r="AT15" s="105">
        <v>65</v>
      </c>
      <c r="AU15" s="105">
        <v>55</v>
      </c>
      <c r="AV15" s="105">
        <v>65</v>
      </c>
      <c r="AW15" s="105">
        <v>55</v>
      </c>
      <c r="AX15" s="105">
        <v>65</v>
      </c>
      <c r="AY15" s="105">
        <v>50</v>
      </c>
      <c r="AZ15" s="105">
        <v>40</v>
      </c>
    </row>
    <row r="16" spans="1:52" ht="13.5" thickBot="1" x14ac:dyDescent="0.25">
      <c r="A16" s="289" t="str">
        <f ca="1">IF(ChaCha!$AI$3&lt;0,$A$1,R16)</f>
        <v>I- 1</v>
      </c>
      <c r="B16" s="507">
        <f t="shared" si="11"/>
        <v>16</v>
      </c>
      <c r="C16" s="508" t="s">
        <v>29</v>
      </c>
      <c r="D16" s="508">
        <v>9</v>
      </c>
      <c r="E16" s="508">
        <v>4</v>
      </c>
      <c r="F16" s="512">
        <v>3</v>
      </c>
      <c r="G16" s="512">
        <v>4</v>
      </c>
      <c r="H16" s="512">
        <v>3</v>
      </c>
      <c r="I16" s="512">
        <v>4</v>
      </c>
      <c r="J16" s="512">
        <v>3</v>
      </c>
      <c r="K16" s="513">
        <v>2</v>
      </c>
      <c r="L16" s="509">
        <f t="shared" si="8"/>
        <v>16</v>
      </c>
      <c r="M16" s="506"/>
      <c r="N16" s="506"/>
      <c r="O16" s="506"/>
      <c r="P16" s="515" t="s">
        <v>286</v>
      </c>
      <c r="Q16" s="506" t="b">
        <f>ChaCha!M8</f>
        <v>0</v>
      </c>
      <c r="R16" s="93" t="s">
        <v>13</v>
      </c>
      <c r="S16" s="90">
        <f t="shared" si="12"/>
        <v>16</v>
      </c>
      <c r="T16" s="15" t="str">
        <f>IF(OR(C16="UL",C16="NP"),C16,C16+1)</f>
        <v>UL</v>
      </c>
      <c r="U16" s="15">
        <f>IF(OR(D16="UL",D16="NP"),D16,D16+1)</f>
        <v>10</v>
      </c>
      <c r="V16" s="15">
        <f>IF(OR(E16="UL",E16="NP"),E16,E16+1)</f>
        <v>5</v>
      </c>
      <c r="W16" s="511">
        <f t="shared" ref="W16:AB16" si="16">IF($Q$16=TRUE,F16,F16+1)</f>
        <v>4</v>
      </c>
      <c r="X16" s="511">
        <f t="shared" si="16"/>
        <v>5</v>
      </c>
      <c r="Y16" s="511">
        <f t="shared" si="16"/>
        <v>4</v>
      </c>
      <c r="Z16" s="511">
        <f t="shared" si="16"/>
        <v>5</v>
      </c>
      <c r="AA16" s="511">
        <f t="shared" si="16"/>
        <v>4</v>
      </c>
      <c r="AB16" s="511">
        <f t="shared" si="16"/>
        <v>3</v>
      </c>
      <c r="AD16" s="93" t="s">
        <v>13</v>
      </c>
      <c r="AE16" s="90">
        <f t="shared" si="13"/>
        <v>16</v>
      </c>
      <c r="AF16" s="80" t="s">
        <v>29</v>
      </c>
      <c r="AG16" s="80">
        <v>160</v>
      </c>
      <c r="AH16" s="80">
        <v>65</v>
      </c>
      <c r="AI16" s="514">
        <v>55</v>
      </c>
      <c r="AJ16" s="514">
        <v>65</v>
      </c>
      <c r="AK16" s="514">
        <v>55</v>
      </c>
      <c r="AL16" s="514">
        <v>65</v>
      </c>
      <c r="AM16" s="514">
        <v>50</v>
      </c>
      <c r="AN16" s="514">
        <v>40</v>
      </c>
      <c r="AP16" s="93" t="s">
        <v>13</v>
      </c>
      <c r="AQ16" s="90">
        <f t="shared" si="14"/>
        <v>16</v>
      </c>
      <c r="AR16" s="80" t="s">
        <v>29</v>
      </c>
      <c r="AS16" s="80">
        <v>180</v>
      </c>
      <c r="AT16" s="80">
        <v>85</v>
      </c>
      <c r="AU16" s="514">
        <f t="shared" ref="AU16:AZ16" si="17">IF($Q$16=TRUE,AI16,AI16+20)</f>
        <v>75</v>
      </c>
      <c r="AV16" s="514">
        <f t="shared" si="17"/>
        <v>85</v>
      </c>
      <c r="AW16" s="514">
        <f t="shared" si="17"/>
        <v>75</v>
      </c>
      <c r="AX16" s="514">
        <f t="shared" si="17"/>
        <v>85</v>
      </c>
      <c r="AY16" s="514">
        <f t="shared" si="17"/>
        <v>70</v>
      </c>
      <c r="AZ16" s="514">
        <f t="shared" si="17"/>
        <v>60</v>
      </c>
    </row>
    <row r="17" spans="1:52" ht="13.5" thickBot="1" x14ac:dyDescent="0.25">
      <c r="A17" s="289" t="str">
        <f ca="1">IF(ChaCha!$AI$3&lt;0,$A$1,R17)</f>
        <v>I- 2</v>
      </c>
      <c r="B17" s="90">
        <f t="shared" si="11"/>
        <v>17</v>
      </c>
      <c r="C17" s="12" t="s">
        <v>29</v>
      </c>
      <c r="D17" s="12">
        <v>4</v>
      </c>
      <c r="E17" s="12">
        <v>2</v>
      </c>
      <c r="F17" s="12">
        <v>1</v>
      </c>
      <c r="G17" s="12">
        <v>1</v>
      </c>
      <c r="H17" s="12" t="s">
        <v>36</v>
      </c>
      <c r="I17" s="12">
        <v>1</v>
      </c>
      <c r="J17" s="12">
        <v>1</v>
      </c>
      <c r="K17" s="18" t="s">
        <v>36</v>
      </c>
      <c r="L17" s="83">
        <f t="shared" si="8"/>
        <v>17</v>
      </c>
      <c r="R17" s="93" t="s">
        <v>76</v>
      </c>
      <c r="S17" s="90">
        <f t="shared" si="12"/>
        <v>17</v>
      </c>
      <c r="T17" s="15" t="str">
        <f t="shared" ref="T17:V19" si="18">IF(OR(C17="UL",C17="NP"),C17,C17+1)</f>
        <v>UL</v>
      </c>
      <c r="U17" s="15">
        <f t="shared" si="18"/>
        <v>5</v>
      </c>
      <c r="V17" s="15">
        <f t="shared" si="18"/>
        <v>3</v>
      </c>
      <c r="W17" s="114">
        <v>1</v>
      </c>
      <c r="X17" s="114">
        <v>1</v>
      </c>
      <c r="Y17" s="114" t="s">
        <v>36</v>
      </c>
      <c r="Z17" s="114">
        <v>1</v>
      </c>
      <c r="AA17" s="114">
        <v>1</v>
      </c>
      <c r="AB17" s="115" t="s">
        <v>36</v>
      </c>
      <c r="AD17" s="93" t="s">
        <v>76</v>
      </c>
      <c r="AE17" s="90">
        <f t="shared" si="13"/>
        <v>17</v>
      </c>
      <c r="AF17" s="80" t="s">
        <v>29</v>
      </c>
      <c r="AG17" s="80">
        <v>160</v>
      </c>
      <c r="AH17" s="80">
        <v>65</v>
      </c>
      <c r="AI17" s="80">
        <v>55</v>
      </c>
      <c r="AJ17" s="80">
        <v>65</v>
      </c>
      <c r="AK17" s="140" t="s">
        <v>36</v>
      </c>
      <c r="AL17" s="80">
        <v>65</v>
      </c>
      <c r="AM17" s="80">
        <v>50</v>
      </c>
      <c r="AN17" s="140" t="s">
        <v>36</v>
      </c>
      <c r="AP17" s="93" t="s">
        <v>76</v>
      </c>
      <c r="AQ17" s="90">
        <f t="shared" si="14"/>
        <v>17</v>
      </c>
      <c r="AR17" s="80" t="s">
        <v>29</v>
      </c>
      <c r="AS17" s="80">
        <v>180</v>
      </c>
      <c r="AT17" s="80">
        <v>85</v>
      </c>
      <c r="AU17" s="105">
        <v>55</v>
      </c>
      <c r="AV17" s="105">
        <v>65</v>
      </c>
      <c r="AW17" s="139" t="s">
        <v>36</v>
      </c>
      <c r="AX17" s="105">
        <v>65</v>
      </c>
      <c r="AY17" s="105">
        <v>50</v>
      </c>
      <c r="AZ17" s="139" t="s">
        <v>36</v>
      </c>
    </row>
    <row r="18" spans="1:52" ht="13.5" thickBot="1" x14ac:dyDescent="0.25">
      <c r="A18" s="289" t="str">
        <f ca="1">IF(ChaCha!$AI$3&lt;0,$A$1,R18)</f>
        <v>I-3</v>
      </c>
      <c r="B18" s="90">
        <f t="shared" si="11"/>
        <v>18</v>
      </c>
      <c r="C18" s="12" t="s">
        <v>29</v>
      </c>
      <c r="D18" s="12">
        <v>4</v>
      </c>
      <c r="E18" s="12">
        <v>2</v>
      </c>
      <c r="F18" s="12">
        <v>1</v>
      </c>
      <c r="G18" s="12">
        <v>2</v>
      </c>
      <c r="H18" s="12">
        <v>1</v>
      </c>
      <c r="I18" s="12">
        <v>2</v>
      </c>
      <c r="J18" s="12">
        <v>2</v>
      </c>
      <c r="K18" s="18">
        <v>1</v>
      </c>
      <c r="L18" s="83">
        <f t="shared" si="8"/>
        <v>18</v>
      </c>
      <c r="R18" s="93" t="s">
        <v>14</v>
      </c>
      <c r="S18" s="90">
        <f t="shared" si="12"/>
        <v>18</v>
      </c>
      <c r="T18" s="15" t="str">
        <f t="shared" si="18"/>
        <v>UL</v>
      </c>
      <c r="U18" s="15">
        <f t="shared" si="18"/>
        <v>5</v>
      </c>
      <c r="V18" s="15">
        <f t="shared" si="18"/>
        <v>3</v>
      </c>
      <c r="W18" s="15">
        <f t="shared" ref="W18:Z19" si="19">IF(OR(F18="UL",F18="NP"),F18,F18+1)</f>
        <v>2</v>
      </c>
      <c r="X18" s="15">
        <f t="shared" si="19"/>
        <v>3</v>
      </c>
      <c r="Y18" s="15">
        <f t="shared" si="19"/>
        <v>2</v>
      </c>
      <c r="Z18" s="15">
        <f t="shared" si="19"/>
        <v>3</v>
      </c>
      <c r="AA18" s="15">
        <f>IF(OR(J18="UL",J18="NP"),J18,J18+1)</f>
        <v>3</v>
      </c>
      <c r="AB18" s="15">
        <f>IF(OR(K18="UL",K18="NP"),K18,K18+1)</f>
        <v>2</v>
      </c>
      <c r="AD18" s="93" t="s">
        <v>14</v>
      </c>
      <c r="AE18" s="90">
        <f t="shared" si="13"/>
        <v>18</v>
      </c>
      <c r="AF18" s="80" t="s">
        <v>29</v>
      </c>
      <c r="AG18" s="80">
        <v>160</v>
      </c>
      <c r="AH18" s="80">
        <v>65</v>
      </c>
      <c r="AI18" s="80">
        <v>55</v>
      </c>
      <c r="AJ18" s="80">
        <v>65</v>
      </c>
      <c r="AK18" s="80">
        <v>55</v>
      </c>
      <c r="AL18" s="80">
        <v>65</v>
      </c>
      <c r="AM18" s="80">
        <v>50</v>
      </c>
      <c r="AN18" s="80">
        <v>40</v>
      </c>
      <c r="AP18" s="93" t="s">
        <v>14</v>
      </c>
      <c r="AQ18" s="90">
        <f t="shared" si="14"/>
        <v>18</v>
      </c>
      <c r="AR18" s="80" t="s">
        <v>29</v>
      </c>
      <c r="AS18" s="80">
        <v>180</v>
      </c>
      <c r="AT18" s="80">
        <v>85</v>
      </c>
      <c r="AU18" s="80">
        <v>75</v>
      </c>
      <c r="AV18" s="80">
        <v>85</v>
      </c>
      <c r="AW18" s="80">
        <v>75</v>
      </c>
      <c r="AX18" s="80">
        <v>85</v>
      </c>
      <c r="AY18" s="80">
        <v>70</v>
      </c>
      <c r="AZ18" s="80">
        <v>60</v>
      </c>
    </row>
    <row r="19" spans="1:52" ht="13.5" thickBot="1" x14ac:dyDescent="0.25">
      <c r="A19" s="289" t="str">
        <f ca="1">IF(ChaCha!$AI$3&lt;0,$A$1,R19)</f>
        <v>I- 4</v>
      </c>
      <c r="B19" s="90">
        <f t="shared" si="11"/>
        <v>19</v>
      </c>
      <c r="C19" s="12" t="s">
        <v>29</v>
      </c>
      <c r="D19" s="12">
        <v>5</v>
      </c>
      <c r="E19" s="12">
        <v>3</v>
      </c>
      <c r="F19" s="12">
        <v>2</v>
      </c>
      <c r="G19" s="12">
        <v>3</v>
      </c>
      <c r="H19" s="12">
        <v>2</v>
      </c>
      <c r="I19" s="12">
        <v>3</v>
      </c>
      <c r="J19" s="12">
        <v>1</v>
      </c>
      <c r="K19" s="18">
        <v>1</v>
      </c>
      <c r="L19" s="83">
        <f t="shared" si="8"/>
        <v>19</v>
      </c>
      <c r="R19" s="93" t="s">
        <v>15</v>
      </c>
      <c r="S19" s="90">
        <f t="shared" si="12"/>
        <v>19</v>
      </c>
      <c r="T19" s="15" t="str">
        <f t="shared" si="18"/>
        <v>UL</v>
      </c>
      <c r="U19" s="15">
        <f t="shared" si="18"/>
        <v>6</v>
      </c>
      <c r="V19" s="15">
        <f t="shared" si="18"/>
        <v>4</v>
      </c>
      <c r="W19" s="15">
        <f t="shared" si="19"/>
        <v>3</v>
      </c>
      <c r="X19" s="15">
        <f t="shared" si="19"/>
        <v>4</v>
      </c>
      <c r="Y19" s="15">
        <f t="shared" si="19"/>
        <v>3</v>
      </c>
      <c r="Z19" s="15">
        <f t="shared" si="19"/>
        <v>4</v>
      </c>
      <c r="AA19" s="15">
        <f>IF(OR(J19="UL",J19="NP"),J19,J19+1)</f>
        <v>2</v>
      </c>
      <c r="AB19" s="15">
        <f>IF(OR(K19="UL",K19="NP"),K19,K19+1)</f>
        <v>2</v>
      </c>
      <c r="AD19" s="93" t="s">
        <v>15</v>
      </c>
      <c r="AE19" s="90">
        <f t="shared" si="13"/>
        <v>19</v>
      </c>
      <c r="AF19" s="80" t="s">
        <v>29</v>
      </c>
      <c r="AG19" s="80">
        <v>160</v>
      </c>
      <c r="AH19" s="80">
        <v>65</v>
      </c>
      <c r="AI19" s="80">
        <v>55</v>
      </c>
      <c r="AJ19" s="80">
        <v>65</v>
      </c>
      <c r="AK19" s="80">
        <v>55</v>
      </c>
      <c r="AL19" s="80">
        <v>65</v>
      </c>
      <c r="AM19" s="80">
        <v>50</v>
      </c>
      <c r="AN19" s="80">
        <v>40</v>
      </c>
      <c r="AP19" s="93" t="s">
        <v>15</v>
      </c>
      <c r="AQ19" s="90">
        <f t="shared" si="14"/>
        <v>19</v>
      </c>
      <c r="AR19" s="80" t="s">
        <v>29</v>
      </c>
      <c r="AS19" s="80">
        <v>180</v>
      </c>
      <c r="AT19" s="80">
        <v>85</v>
      </c>
      <c r="AU19" s="80">
        <v>75</v>
      </c>
      <c r="AV19" s="80">
        <v>85</v>
      </c>
      <c r="AW19" s="80">
        <v>75</v>
      </c>
      <c r="AX19" s="80">
        <v>85</v>
      </c>
      <c r="AY19" s="80">
        <v>70</v>
      </c>
      <c r="AZ19" s="80">
        <v>60</v>
      </c>
    </row>
    <row r="20" spans="1:52" ht="13.5" thickBot="1" x14ac:dyDescent="0.25">
      <c r="A20" s="289" t="str">
        <f ca="1">IF(ChaCha!$AI$3&lt;0,$A$1,R20)</f>
        <v>M</v>
      </c>
      <c r="B20" s="90">
        <f t="shared" si="11"/>
        <v>20</v>
      </c>
      <c r="C20" s="12" t="s">
        <v>29</v>
      </c>
      <c r="D20" s="12">
        <v>11</v>
      </c>
      <c r="E20" s="12">
        <v>4</v>
      </c>
      <c r="F20" s="416">
        <f>IF($A$31=1,2,4)</f>
        <v>2</v>
      </c>
      <c r="G20" s="12">
        <v>4</v>
      </c>
      <c r="H20" s="416">
        <f>IF($A$31=1,2,4)</f>
        <v>2</v>
      </c>
      <c r="I20" s="12">
        <v>4</v>
      </c>
      <c r="J20" s="12">
        <v>3</v>
      </c>
      <c r="K20" s="18">
        <v>1</v>
      </c>
      <c r="L20" s="83">
        <f t="shared" si="8"/>
        <v>20</v>
      </c>
      <c r="R20" s="93" t="s">
        <v>16</v>
      </c>
      <c r="S20" s="90">
        <f t="shared" si="12"/>
        <v>20</v>
      </c>
      <c r="T20" s="15" t="str">
        <f t="shared" ref="T20:X23" si="20">IF(OR(C20="UL",C20="NP"),C20,C20+1)</f>
        <v>UL</v>
      </c>
      <c r="U20" s="15">
        <f t="shared" si="20"/>
        <v>12</v>
      </c>
      <c r="V20" s="15">
        <f t="shared" si="20"/>
        <v>5</v>
      </c>
      <c r="W20" s="15">
        <f>IF(OR(F20="UL",F20="NP"),F20,F20+1)</f>
        <v>3</v>
      </c>
      <c r="X20" s="15">
        <f t="shared" si="20"/>
        <v>5</v>
      </c>
      <c r="Y20" s="15">
        <f>IF(OR(H20="UL",H20="NP"),H20,H20+1)</f>
        <v>3</v>
      </c>
      <c r="Z20" s="15">
        <f t="shared" ref="Z20:AB24" si="21">IF(OR(I20="UL",I20="NP"),I20,I20+1)</f>
        <v>5</v>
      </c>
      <c r="AA20" s="15">
        <f t="shared" si="21"/>
        <v>4</v>
      </c>
      <c r="AB20" s="15">
        <f t="shared" si="21"/>
        <v>2</v>
      </c>
      <c r="AD20" s="93" t="s">
        <v>16</v>
      </c>
      <c r="AE20" s="90">
        <f t="shared" si="13"/>
        <v>20</v>
      </c>
      <c r="AF20" s="80" t="s">
        <v>29</v>
      </c>
      <c r="AG20" s="80">
        <v>160</v>
      </c>
      <c r="AH20" s="80">
        <v>65</v>
      </c>
      <c r="AI20" s="80">
        <v>55</v>
      </c>
      <c r="AJ20" s="80">
        <v>65</v>
      </c>
      <c r="AK20" s="80">
        <v>55</v>
      </c>
      <c r="AL20" s="80">
        <v>65</v>
      </c>
      <c r="AM20" s="80">
        <v>50</v>
      </c>
      <c r="AN20" s="80">
        <v>40</v>
      </c>
      <c r="AP20" s="93" t="s">
        <v>16</v>
      </c>
      <c r="AQ20" s="90">
        <f t="shared" si="14"/>
        <v>20</v>
      </c>
      <c r="AR20" s="80" t="s">
        <v>29</v>
      </c>
      <c r="AS20" s="80">
        <v>180</v>
      </c>
      <c r="AT20" s="80">
        <v>85</v>
      </c>
      <c r="AU20" s="80">
        <v>75</v>
      </c>
      <c r="AV20" s="80">
        <v>85</v>
      </c>
      <c r="AW20" s="80">
        <v>75</v>
      </c>
      <c r="AX20" s="80">
        <v>85</v>
      </c>
      <c r="AY20" s="80">
        <v>70</v>
      </c>
      <c r="AZ20" s="80">
        <v>60</v>
      </c>
    </row>
    <row r="21" spans="1:52" ht="13.5" thickBot="1" x14ac:dyDescent="0.25">
      <c r="A21" s="289" t="str">
        <f ca="1">IF(ChaCha!$AI$3&lt;0,$A$1,R21)</f>
        <v>R- 1</v>
      </c>
      <c r="B21" s="90">
        <f t="shared" si="11"/>
        <v>21</v>
      </c>
      <c r="C21" s="522" t="str">
        <f>IF(Info!$H$12=1,4,"UL")</f>
        <v>UL</v>
      </c>
      <c r="D21" s="522">
        <f>IF(Info!$H$12=1,4,11)</f>
        <v>11</v>
      </c>
      <c r="E21" s="12">
        <v>4</v>
      </c>
      <c r="F21" s="12">
        <v>4</v>
      </c>
      <c r="G21" s="12">
        <v>4</v>
      </c>
      <c r="H21" s="12">
        <v>4</v>
      </c>
      <c r="I21" s="12">
        <v>4</v>
      </c>
      <c r="J21" s="390">
        <f>IF(Info!$H$12=1,4,3)</f>
        <v>3</v>
      </c>
      <c r="K21" s="391">
        <f>IF(Info!$H$12=1,3,2)</f>
        <v>2</v>
      </c>
      <c r="L21" s="83">
        <f t="shared" si="8"/>
        <v>21</v>
      </c>
      <c r="R21" s="93" t="s">
        <v>17</v>
      </c>
      <c r="S21" s="90">
        <f t="shared" si="12"/>
        <v>21</v>
      </c>
      <c r="T21" s="15" t="str">
        <f t="shared" si="20"/>
        <v>UL</v>
      </c>
      <c r="U21" s="15">
        <f t="shared" si="20"/>
        <v>12</v>
      </c>
      <c r="V21" s="15">
        <f t="shared" si="20"/>
        <v>5</v>
      </c>
      <c r="W21" s="15">
        <f t="shared" si="20"/>
        <v>5</v>
      </c>
      <c r="X21" s="15">
        <f t="shared" si="20"/>
        <v>5</v>
      </c>
      <c r="Y21" s="15">
        <f>IF(OR(H21="UL",H21="NP"),H21,H21+1)</f>
        <v>5</v>
      </c>
      <c r="Z21" s="15">
        <f t="shared" si="21"/>
        <v>5</v>
      </c>
      <c r="AA21" s="15">
        <f t="shared" si="21"/>
        <v>4</v>
      </c>
      <c r="AB21" s="15">
        <f t="shared" si="21"/>
        <v>3</v>
      </c>
      <c r="AD21" s="93" t="s">
        <v>17</v>
      </c>
      <c r="AE21" s="90">
        <f t="shared" si="13"/>
        <v>21</v>
      </c>
      <c r="AF21" s="524" t="str">
        <f>IF(OR(Info!$H$12=1, Info!$H$13=1),60,"UL")</f>
        <v>UL</v>
      </c>
      <c r="AG21" s="524">
        <f>IF(OR(Info!$H$12=1, Info!$H$13=1),60,160)</f>
        <v>160</v>
      </c>
      <c r="AH21" s="524">
        <f>IF(OR(Info!$H$12=1, Info!$H$13=1),60,65)</f>
        <v>65</v>
      </c>
      <c r="AI21" s="524">
        <f>IF(OR(Info!$H$12=1, Info!$H$13=1),60,55)</f>
        <v>55</v>
      </c>
      <c r="AJ21" s="524">
        <f>IF(OR(Info!$H$12=1, Info!$H$13=1),60,65)</f>
        <v>65</v>
      </c>
      <c r="AK21" s="524">
        <f>IF(OR(Info!$H$12=1, Info!$H$13=1),60,55)</f>
        <v>55</v>
      </c>
      <c r="AL21" s="524">
        <f>IF(OR(Info!$H$12=1, Info!$H$13=1),60,65)</f>
        <v>65</v>
      </c>
      <c r="AM21" s="392">
        <f>IF(Info!$H$12=1,60,50)</f>
        <v>50</v>
      </c>
      <c r="AN21" s="392">
        <f>IF(Info!$H$12=1,60,40)</f>
        <v>40</v>
      </c>
      <c r="AP21" s="93" t="s">
        <v>17</v>
      </c>
      <c r="AQ21" s="90">
        <f t="shared" si="14"/>
        <v>21</v>
      </c>
      <c r="AR21" s="80" t="s">
        <v>29</v>
      </c>
      <c r="AS21" s="80">
        <v>180</v>
      </c>
      <c r="AT21" s="80">
        <v>85</v>
      </c>
      <c r="AU21" s="80">
        <v>75</v>
      </c>
      <c r="AV21" s="80">
        <v>85</v>
      </c>
      <c r="AW21" s="80">
        <v>75</v>
      </c>
      <c r="AX21" s="80">
        <v>85</v>
      </c>
      <c r="AY21" s="80">
        <v>70</v>
      </c>
      <c r="AZ21" s="80">
        <v>60</v>
      </c>
    </row>
    <row r="22" spans="1:52" ht="13.5" customHeight="1" thickBot="1" x14ac:dyDescent="0.25">
      <c r="A22" s="289" t="str">
        <f ca="1">IF(ChaCha!$AI$3&lt;0,$A$1,R22)</f>
        <v>R- 2</v>
      </c>
      <c r="B22" s="90">
        <f t="shared" si="11"/>
        <v>22</v>
      </c>
      <c r="C22" s="522" t="str">
        <f>IF(Info!$H$12=1,4,"UL")</f>
        <v>UL</v>
      </c>
      <c r="D22" s="522">
        <f>IF(Info!$H$12=1,4,11)</f>
        <v>11</v>
      </c>
      <c r="E22" s="12">
        <v>4</v>
      </c>
      <c r="F22" s="12">
        <v>4</v>
      </c>
      <c r="G22" s="12">
        <v>4</v>
      </c>
      <c r="H22" s="12">
        <v>4</v>
      </c>
      <c r="I22" s="12">
        <v>4</v>
      </c>
      <c r="J22" s="390">
        <f>IF(Info!$H$12=1,4,3)</f>
        <v>3</v>
      </c>
      <c r="K22" s="391">
        <f>IF(Info!$H$12=1,3,2)</f>
        <v>2</v>
      </c>
      <c r="L22" s="83">
        <f t="shared" si="8"/>
        <v>22</v>
      </c>
      <c r="R22" s="93" t="s">
        <v>18</v>
      </c>
      <c r="S22" s="90">
        <f t="shared" si="12"/>
        <v>22</v>
      </c>
      <c r="T22" s="15" t="str">
        <f>IF(OR(C22="UL",C22="NP"),C22,C22+1)</f>
        <v>UL</v>
      </c>
      <c r="U22" s="15">
        <f>IF(OR(D22="UL",D22="NP"),D22,D22+1)</f>
        <v>12</v>
      </c>
      <c r="V22" s="15">
        <f>IF(OR(E22="UL",E22="NP"),E22,E22+1)</f>
        <v>5</v>
      </c>
      <c r="W22" s="15">
        <f>IF(OR(F22="UL",F22="NP"),F22,F22+1)</f>
        <v>5</v>
      </c>
      <c r="X22" s="15">
        <f>IF(OR(G22="UL",G22="NP"),G22,G22+1)</f>
        <v>5</v>
      </c>
      <c r="Y22" s="15">
        <f>IF(OR(H22="UL",H22="NP"),H22,H22+1)</f>
        <v>5</v>
      </c>
      <c r="Z22" s="15">
        <f t="shared" si="21"/>
        <v>5</v>
      </c>
      <c r="AA22" s="15">
        <f t="shared" si="21"/>
        <v>4</v>
      </c>
      <c r="AB22" s="15">
        <f t="shared" si="21"/>
        <v>3</v>
      </c>
      <c r="AD22" s="93" t="s">
        <v>18</v>
      </c>
      <c r="AE22" s="90">
        <f t="shared" si="13"/>
        <v>22</v>
      </c>
      <c r="AF22" s="524" t="str">
        <f>IF(OR(Info!$H$12=1, Info!$H$13=1),60,"UL")</f>
        <v>UL</v>
      </c>
      <c r="AG22" s="524">
        <f>IF(OR(Info!$H$12=1, Info!$H$13=1),60,160)</f>
        <v>160</v>
      </c>
      <c r="AH22" s="524">
        <f>IF(OR(Info!$H$12=1, Info!$H$13=1),60,65)</f>
        <v>65</v>
      </c>
      <c r="AI22" s="524">
        <f>IF(OR(Info!$H$12=1, Info!$H$13=1),60,55)</f>
        <v>55</v>
      </c>
      <c r="AJ22" s="524">
        <f>IF(OR(Info!$H$12=1, Info!$H$13=1),60,65)</f>
        <v>65</v>
      </c>
      <c r="AK22" s="524">
        <f>IF(OR(Info!$H$12=1, Info!$H$13=1),60,55)</f>
        <v>55</v>
      </c>
      <c r="AL22" s="524">
        <f>IF(OR(Info!$H$12=1, Info!$H$13=1),60,65)</f>
        <v>65</v>
      </c>
      <c r="AM22" s="392">
        <f>IF(Info!$H$12=1,60,50)</f>
        <v>50</v>
      </c>
      <c r="AN22" s="392">
        <f>IF(Info!$H$12=1,60,40)</f>
        <v>40</v>
      </c>
      <c r="AP22" s="93" t="s">
        <v>18</v>
      </c>
      <c r="AQ22" s="90">
        <f t="shared" si="14"/>
        <v>22</v>
      </c>
      <c r="AR22" s="80" t="s">
        <v>29</v>
      </c>
      <c r="AS22" s="80">
        <v>180</v>
      </c>
      <c r="AT22" s="80">
        <v>85</v>
      </c>
      <c r="AU22" s="80">
        <v>75</v>
      </c>
      <c r="AV22" s="80">
        <v>85</v>
      </c>
      <c r="AW22" s="80">
        <v>75</v>
      </c>
      <c r="AX22" s="80">
        <v>85</v>
      </c>
      <c r="AY22" s="80">
        <v>70</v>
      </c>
      <c r="AZ22" s="80">
        <v>60</v>
      </c>
    </row>
    <row r="23" spans="1:52" ht="13.5" customHeight="1" thickBot="1" x14ac:dyDescent="0.25">
      <c r="A23" s="289" t="str">
        <f ca="1">IF(ChaCha!$AI$3&lt;0,$A$1,R23)</f>
        <v>R- 3</v>
      </c>
      <c r="B23" s="90">
        <f t="shared" si="11"/>
        <v>23</v>
      </c>
      <c r="C23" s="522" t="str">
        <f>IF(OR(Info!$H$12=1, Info!$H$13=1),4,"UL")</f>
        <v>UL</v>
      </c>
      <c r="D23" s="522">
        <f>IF(OR(Info!$H$12=1, Info!$H$13=1),4,11)</f>
        <v>11</v>
      </c>
      <c r="E23" s="12">
        <v>4</v>
      </c>
      <c r="F23" s="12">
        <v>4</v>
      </c>
      <c r="G23" s="12">
        <v>4</v>
      </c>
      <c r="H23" s="12">
        <v>4</v>
      </c>
      <c r="I23" s="12">
        <v>4</v>
      </c>
      <c r="J23" s="390">
        <f>IF(Info!$H$12=1,4,3)</f>
        <v>3</v>
      </c>
      <c r="K23" s="391">
        <f>IF(Info!$H$12=1,3,2)</f>
        <v>2</v>
      </c>
      <c r="L23" s="83">
        <f t="shared" si="8"/>
        <v>23</v>
      </c>
      <c r="R23" s="93" t="s">
        <v>77</v>
      </c>
      <c r="S23" s="90">
        <f t="shared" si="12"/>
        <v>23</v>
      </c>
      <c r="T23" s="15" t="str">
        <f t="shared" si="20"/>
        <v>UL</v>
      </c>
      <c r="U23" s="15">
        <f t="shared" ref="U23:X24" si="22">IF(OR(D23="UL",D23="NP"),D23,D23+1)</f>
        <v>12</v>
      </c>
      <c r="V23" s="15">
        <f t="shared" si="22"/>
        <v>5</v>
      </c>
      <c r="W23" s="15">
        <f t="shared" si="22"/>
        <v>5</v>
      </c>
      <c r="X23" s="15">
        <f t="shared" si="22"/>
        <v>5</v>
      </c>
      <c r="Y23" s="15">
        <f>IF(OR(H23="UL",H23="NP"),H23,H23+1)</f>
        <v>5</v>
      </c>
      <c r="Z23" s="15">
        <f t="shared" si="21"/>
        <v>5</v>
      </c>
      <c r="AA23" s="15">
        <f t="shared" si="21"/>
        <v>4</v>
      </c>
      <c r="AB23" s="15">
        <f t="shared" si="21"/>
        <v>3</v>
      </c>
      <c r="AD23" s="93" t="s">
        <v>77</v>
      </c>
      <c r="AE23" s="90">
        <f t="shared" si="13"/>
        <v>23</v>
      </c>
      <c r="AF23" s="524" t="str">
        <f>IF(OR(Info!$H$12=1, Info!$H$13=1),60,"UL")</f>
        <v>UL</v>
      </c>
      <c r="AG23" s="524">
        <f>IF(OR(Info!$H$12=1, Info!$H$13=1),60,160)</f>
        <v>160</v>
      </c>
      <c r="AH23" s="524">
        <f>IF(OR(Info!$H$12=1, Info!$H$13=1),60,65)</f>
        <v>65</v>
      </c>
      <c r="AI23" s="524">
        <f>IF(OR(Info!$H$12=1, Info!$H$13=1),60,55)</f>
        <v>55</v>
      </c>
      <c r="AJ23" s="524">
        <f>IF(OR(Info!$H$12=1, Info!$H$13=1),60,65)</f>
        <v>65</v>
      </c>
      <c r="AK23" s="524">
        <f>IF(OR(Info!$H$12=1, Info!$H$13=1),60,55)</f>
        <v>55</v>
      </c>
      <c r="AL23" s="524">
        <f>IF(OR(Info!$H$12=1, Info!$H$13=1),60,65)</f>
        <v>65</v>
      </c>
      <c r="AM23" s="392">
        <f>IF(Info!$H$12=1,60,50)</f>
        <v>50</v>
      </c>
      <c r="AN23" s="392">
        <f>IF(Info!$H$12=1,60,40)</f>
        <v>40</v>
      </c>
      <c r="AP23" s="93" t="s">
        <v>77</v>
      </c>
      <c r="AQ23" s="90">
        <f t="shared" si="14"/>
        <v>23</v>
      </c>
      <c r="AR23" s="80" t="s">
        <v>29</v>
      </c>
      <c r="AS23" s="80">
        <v>180</v>
      </c>
      <c r="AT23" s="80">
        <v>85</v>
      </c>
      <c r="AU23" s="80">
        <v>75</v>
      </c>
      <c r="AV23" s="80">
        <v>85</v>
      </c>
      <c r="AW23" s="80">
        <v>75</v>
      </c>
      <c r="AX23" s="80">
        <v>85</v>
      </c>
      <c r="AY23" s="80">
        <v>70</v>
      </c>
      <c r="AZ23" s="80">
        <v>60</v>
      </c>
    </row>
    <row r="24" spans="1:52" ht="13.5" customHeight="1" thickBot="1" x14ac:dyDescent="0.25">
      <c r="A24" s="289" t="str">
        <f ca="1">IF(ChaCha!$AI$3&lt;0,$A$1,R24)</f>
        <v>R- 4</v>
      </c>
      <c r="B24" s="90">
        <f t="shared" si="11"/>
        <v>24</v>
      </c>
      <c r="C24" s="522" t="str">
        <f>IF(OR(Info!$H$12=1, Info!$H$13=1),4,"UL")</f>
        <v>UL</v>
      </c>
      <c r="D24" s="522">
        <f>IF(OR(Info!$H$12=1, Info!$H$13=1),4,11)</f>
        <v>11</v>
      </c>
      <c r="E24" s="12">
        <v>4</v>
      </c>
      <c r="F24" s="12">
        <v>4</v>
      </c>
      <c r="G24" s="12">
        <v>4</v>
      </c>
      <c r="H24" s="12">
        <v>4</v>
      </c>
      <c r="I24" s="12">
        <v>4</v>
      </c>
      <c r="J24" s="390">
        <f>IF(Info!$H$12=1,4,3)</f>
        <v>3</v>
      </c>
      <c r="K24" s="391">
        <f>IF(Info!$H$12=1,3,2)</f>
        <v>2</v>
      </c>
      <c r="L24" s="83">
        <f t="shared" si="8"/>
        <v>24</v>
      </c>
      <c r="R24" s="93" t="s">
        <v>19</v>
      </c>
      <c r="S24" s="90">
        <f t="shared" si="12"/>
        <v>24</v>
      </c>
      <c r="T24" s="15" t="str">
        <f>IF(OR(C24="UL",C24="NP"),C24,C24+1)</f>
        <v>UL</v>
      </c>
      <c r="U24" s="15">
        <f t="shared" si="22"/>
        <v>12</v>
      </c>
      <c r="V24" s="15">
        <f t="shared" si="22"/>
        <v>5</v>
      </c>
      <c r="W24" s="15">
        <f t="shared" si="22"/>
        <v>5</v>
      </c>
      <c r="X24" s="15">
        <f t="shared" si="22"/>
        <v>5</v>
      </c>
      <c r="Y24" s="15">
        <f>IF(OR(H24="UL",H24="NP"),H24,H24+1)</f>
        <v>5</v>
      </c>
      <c r="Z24" s="15">
        <f t="shared" si="21"/>
        <v>5</v>
      </c>
      <c r="AA24" s="15">
        <f t="shared" si="21"/>
        <v>4</v>
      </c>
      <c r="AB24" s="15">
        <f t="shared" si="21"/>
        <v>3</v>
      </c>
      <c r="AD24" s="93" t="s">
        <v>19</v>
      </c>
      <c r="AE24" s="90">
        <f t="shared" si="13"/>
        <v>24</v>
      </c>
      <c r="AF24" s="524" t="str">
        <f>IF(OR(Info!$H$12=1, Info!$H$13=1),60,"UL")</f>
        <v>UL</v>
      </c>
      <c r="AG24" s="524">
        <f>IF(OR(Info!$H$12=1, Info!$H$13=1),60,160)</f>
        <v>160</v>
      </c>
      <c r="AH24" s="524">
        <f>IF(OR(Info!$H$12=1, Info!$H$13=1),60,65)</f>
        <v>65</v>
      </c>
      <c r="AI24" s="524">
        <f>IF(OR(Info!$H$12=1, Info!$H$13=1),60,55)</f>
        <v>55</v>
      </c>
      <c r="AJ24" s="524">
        <f>IF(OR(Info!$H$12=1, Info!$H$13=1),60,65)</f>
        <v>65</v>
      </c>
      <c r="AK24" s="524">
        <f>IF(OR(Info!$H$12=1, Info!$H$13=1),60,55)</f>
        <v>55</v>
      </c>
      <c r="AL24" s="524">
        <f>IF(OR(Info!$H$12=1, Info!$H$13=1),60,65)</f>
        <v>65</v>
      </c>
      <c r="AM24" s="392">
        <f>IF(Info!$H$12=1,60,50)</f>
        <v>50</v>
      </c>
      <c r="AN24" s="392">
        <f>IF(Info!$H$12=1,60,40)</f>
        <v>40</v>
      </c>
      <c r="AP24" s="93" t="s">
        <v>19</v>
      </c>
      <c r="AQ24" s="90">
        <f t="shared" si="14"/>
        <v>24</v>
      </c>
      <c r="AR24" s="80" t="s">
        <v>29</v>
      </c>
      <c r="AS24" s="80">
        <v>180</v>
      </c>
      <c r="AT24" s="80">
        <v>85</v>
      </c>
      <c r="AU24" s="80">
        <v>75</v>
      </c>
      <c r="AV24" s="80">
        <v>85</v>
      </c>
      <c r="AW24" s="80">
        <v>75</v>
      </c>
      <c r="AX24" s="80">
        <v>85</v>
      </c>
      <c r="AY24" s="80">
        <v>70</v>
      </c>
      <c r="AZ24" s="80">
        <v>60</v>
      </c>
    </row>
    <row r="25" spans="1:52" ht="13.5" thickBot="1" x14ac:dyDescent="0.25">
      <c r="A25" s="289" t="str">
        <f ca="1">IF(ChaCha!$AI$3&lt;0,$A$1,R25)</f>
        <v>S-1</v>
      </c>
      <c r="B25" s="90">
        <f t="shared" si="11"/>
        <v>25</v>
      </c>
      <c r="C25" s="12" t="s">
        <v>29</v>
      </c>
      <c r="D25" s="12">
        <v>11</v>
      </c>
      <c r="E25" s="12">
        <v>4</v>
      </c>
      <c r="F25" s="416">
        <f>IF($A$31=1,2,3)</f>
        <v>2</v>
      </c>
      <c r="G25" s="12">
        <v>3</v>
      </c>
      <c r="H25" s="416">
        <f>IF($A$31=1,2,3)</f>
        <v>2</v>
      </c>
      <c r="I25" s="12">
        <v>4</v>
      </c>
      <c r="J25" s="12">
        <v>3</v>
      </c>
      <c r="K25" s="18">
        <v>1</v>
      </c>
      <c r="L25" s="83">
        <f t="shared" si="8"/>
        <v>25</v>
      </c>
      <c r="R25" s="93" t="s">
        <v>20</v>
      </c>
      <c r="S25" s="90">
        <f t="shared" si="12"/>
        <v>25</v>
      </c>
      <c r="T25" s="15" t="str">
        <f t="shared" ref="T25:Z27" si="23">IF(OR(C25="UL",C25="NP"),C25,C25+1)</f>
        <v>UL</v>
      </c>
      <c r="U25" s="15">
        <f t="shared" si="23"/>
        <v>12</v>
      </c>
      <c r="V25" s="15">
        <f t="shared" si="23"/>
        <v>5</v>
      </c>
      <c r="W25" s="15">
        <f t="shared" si="23"/>
        <v>3</v>
      </c>
      <c r="X25" s="15">
        <f t="shared" si="23"/>
        <v>4</v>
      </c>
      <c r="Y25" s="15">
        <f t="shared" si="23"/>
        <v>3</v>
      </c>
      <c r="Z25" s="15">
        <f t="shared" si="23"/>
        <v>5</v>
      </c>
      <c r="AA25" s="15">
        <f t="shared" ref="AA25:AB27" si="24">IF(OR(J25="UL",J25="NP"),J25,J25+1)</f>
        <v>4</v>
      </c>
      <c r="AB25" s="15">
        <f t="shared" si="24"/>
        <v>2</v>
      </c>
      <c r="AD25" s="93" t="s">
        <v>20</v>
      </c>
      <c r="AE25" s="90">
        <f t="shared" si="13"/>
        <v>25</v>
      </c>
      <c r="AF25" s="80" t="s">
        <v>29</v>
      </c>
      <c r="AG25" s="80">
        <v>160</v>
      </c>
      <c r="AH25" s="80">
        <v>65</v>
      </c>
      <c r="AI25" s="80">
        <v>55</v>
      </c>
      <c r="AJ25" s="80">
        <v>65</v>
      </c>
      <c r="AK25" s="80">
        <v>55</v>
      </c>
      <c r="AL25" s="80">
        <v>65</v>
      </c>
      <c r="AM25" s="80">
        <v>50</v>
      </c>
      <c r="AN25" s="80">
        <v>40</v>
      </c>
      <c r="AP25" s="93" t="s">
        <v>20</v>
      </c>
      <c r="AQ25" s="90">
        <f t="shared" si="14"/>
        <v>25</v>
      </c>
      <c r="AR25" s="80" t="s">
        <v>29</v>
      </c>
      <c r="AS25" s="80">
        <v>180</v>
      </c>
      <c r="AT25" s="80">
        <v>85</v>
      </c>
      <c r="AU25" s="80">
        <v>75</v>
      </c>
      <c r="AV25" s="80">
        <v>85</v>
      </c>
      <c r="AW25" s="80">
        <v>75</v>
      </c>
      <c r="AX25" s="80">
        <v>85</v>
      </c>
      <c r="AY25" s="80">
        <v>70</v>
      </c>
      <c r="AZ25" s="80">
        <v>60</v>
      </c>
    </row>
    <row r="26" spans="1:52" ht="13.5" thickBot="1" x14ac:dyDescent="0.25">
      <c r="A26" s="289" t="str">
        <f ca="1">IF(ChaCha!$AI$3&lt;0,$A$1,R26)</f>
        <v>S-2</v>
      </c>
      <c r="B26" s="90">
        <f t="shared" si="11"/>
        <v>26</v>
      </c>
      <c r="C26" s="12" t="s">
        <v>29</v>
      </c>
      <c r="D26" s="12">
        <v>11</v>
      </c>
      <c r="E26" s="12">
        <v>5</v>
      </c>
      <c r="F26" s="416">
        <f>IF($A$31=1,3,4)</f>
        <v>3</v>
      </c>
      <c r="G26" s="12">
        <v>4</v>
      </c>
      <c r="H26" s="416">
        <f>IF($A$31=1,3,4)</f>
        <v>3</v>
      </c>
      <c r="I26" s="12">
        <v>5</v>
      </c>
      <c r="J26" s="12">
        <v>4</v>
      </c>
      <c r="K26" s="18">
        <v>2</v>
      </c>
      <c r="L26" s="83">
        <f t="shared" si="8"/>
        <v>26</v>
      </c>
      <c r="R26" s="93" t="s">
        <v>33</v>
      </c>
      <c r="S26" s="90">
        <f t="shared" si="12"/>
        <v>26</v>
      </c>
      <c r="T26" s="15" t="str">
        <f t="shared" si="23"/>
        <v>UL</v>
      </c>
      <c r="U26" s="15">
        <f t="shared" si="23"/>
        <v>12</v>
      </c>
      <c r="V26" s="15">
        <f t="shared" si="23"/>
        <v>6</v>
      </c>
      <c r="W26" s="15">
        <f t="shared" si="23"/>
        <v>4</v>
      </c>
      <c r="X26" s="15">
        <f t="shared" si="23"/>
        <v>5</v>
      </c>
      <c r="Y26" s="15">
        <f t="shared" si="23"/>
        <v>4</v>
      </c>
      <c r="Z26" s="15">
        <f t="shared" si="23"/>
        <v>6</v>
      </c>
      <c r="AA26" s="15">
        <f t="shared" si="24"/>
        <v>5</v>
      </c>
      <c r="AB26" s="15">
        <f t="shared" si="24"/>
        <v>3</v>
      </c>
      <c r="AD26" s="93" t="s">
        <v>33</v>
      </c>
      <c r="AE26" s="90">
        <f t="shared" si="13"/>
        <v>26</v>
      </c>
      <c r="AF26" s="80" t="s">
        <v>29</v>
      </c>
      <c r="AG26" s="80">
        <v>160</v>
      </c>
      <c r="AH26" s="80">
        <v>65</v>
      </c>
      <c r="AI26" s="80">
        <v>55</v>
      </c>
      <c r="AJ26" s="80">
        <v>65</v>
      </c>
      <c r="AK26" s="80">
        <v>55</v>
      </c>
      <c r="AL26" s="80">
        <v>65</v>
      </c>
      <c r="AM26" s="80">
        <v>50</v>
      </c>
      <c r="AN26" s="80">
        <v>40</v>
      </c>
      <c r="AP26" s="93" t="s">
        <v>33</v>
      </c>
      <c r="AQ26" s="90">
        <f t="shared" si="14"/>
        <v>26</v>
      </c>
      <c r="AR26" s="80" t="s">
        <v>29</v>
      </c>
      <c r="AS26" s="80">
        <v>180</v>
      </c>
      <c r="AT26" s="80">
        <v>85</v>
      </c>
      <c r="AU26" s="80">
        <v>75</v>
      </c>
      <c r="AV26" s="80">
        <v>85</v>
      </c>
      <c r="AW26" s="80">
        <v>75</v>
      </c>
      <c r="AX26" s="80">
        <v>85</v>
      </c>
      <c r="AY26" s="80">
        <v>70</v>
      </c>
      <c r="AZ26" s="80">
        <v>60</v>
      </c>
    </row>
    <row r="27" spans="1:52" ht="13.5" thickBot="1" x14ac:dyDescent="0.25">
      <c r="A27" s="289" t="str">
        <f ca="1">IF(ChaCha!$AI$3&lt;0,$A$1,R27)</f>
        <v>U</v>
      </c>
      <c r="B27" s="90">
        <f t="shared" si="11"/>
        <v>27</v>
      </c>
      <c r="C27" s="20" t="s">
        <v>29</v>
      </c>
      <c r="D27" s="20">
        <v>5</v>
      </c>
      <c r="E27" s="20">
        <v>4</v>
      </c>
      <c r="F27" s="20">
        <v>2</v>
      </c>
      <c r="G27" s="20">
        <v>3</v>
      </c>
      <c r="H27" s="20">
        <v>2</v>
      </c>
      <c r="I27" s="20">
        <v>4</v>
      </c>
      <c r="J27" s="20">
        <v>2</v>
      </c>
      <c r="K27" s="21">
        <v>1</v>
      </c>
      <c r="L27" s="83">
        <f t="shared" si="8"/>
        <v>27</v>
      </c>
      <c r="R27" s="94" t="s">
        <v>32</v>
      </c>
      <c r="S27" s="90">
        <f t="shared" si="12"/>
        <v>27</v>
      </c>
      <c r="T27" s="15" t="str">
        <f t="shared" si="23"/>
        <v>UL</v>
      </c>
      <c r="U27" s="15">
        <f t="shared" si="23"/>
        <v>6</v>
      </c>
      <c r="V27" s="15">
        <f t="shared" si="23"/>
        <v>5</v>
      </c>
      <c r="W27" s="15">
        <f t="shared" si="23"/>
        <v>3</v>
      </c>
      <c r="X27" s="15">
        <f t="shared" si="23"/>
        <v>4</v>
      </c>
      <c r="Y27" s="15">
        <f t="shared" si="23"/>
        <v>3</v>
      </c>
      <c r="Z27" s="15">
        <f t="shared" si="23"/>
        <v>5</v>
      </c>
      <c r="AA27" s="15">
        <f t="shared" si="24"/>
        <v>3</v>
      </c>
      <c r="AB27" s="15">
        <f t="shared" si="24"/>
        <v>2</v>
      </c>
      <c r="AD27" s="94" t="s">
        <v>32</v>
      </c>
      <c r="AE27" s="90">
        <f t="shared" si="13"/>
        <v>27</v>
      </c>
      <c r="AF27" s="80" t="s">
        <v>29</v>
      </c>
      <c r="AG27" s="80">
        <v>160</v>
      </c>
      <c r="AH27" s="80">
        <v>65</v>
      </c>
      <c r="AI27" s="80">
        <v>55</v>
      </c>
      <c r="AJ27" s="80">
        <v>65</v>
      </c>
      <c r="AK27" s="80">
        <v>55</v>
      </c>
      <c r="AL27" s="80">
        <v>65</v>
      </c>
      <c r="AM27" s="80">
        <v>50</v>
      </c>
      <c r="AN27" s="80">
        <v>40</v>
      </c>
      <c r="AP27" s="94" t="s">
        <v>32</v>
      </c>
      <c r="AQ27" s="90">
        <f t="shared" si="14"/>
        <v>27</v>
      </c>
      <c r="AR27" s="80" t="s">
        <v>29</v>
      </c>
      <c r="AS27" s="80">
        <v>180</v>
      </c>
      <c r="AT27" s="80">
        <v>85</v>
      </c>
      <c r="AU27" s="80">
        <v>75</v>
      </c>
      <c r="AV27" s="80">
        <v>85</v>
      </c>
      <c r="AW27" s="80">
        <v>75</v>
      </c>
      <c r="AX27" s="80">
        <v>85</v>
      </c>
      <c r="AY27" s="80">
        <v>70</v>
      </c>
      <c r="AZ27" s="80">
        <v>60</v>
      </c>
    </row>
    <row r="28" spans="1:52" ht="13.5" customHeight="1" thickBot="1" x14ac:dyDescent="0.25">
      <c r="A28" s="2"/>
      <c r="B28" s="6" t="s">
        <v>202</v>
      </c>
      <c r="C28" s="541" t="s">
        <v>21</v>
      </c>
      <c r="D28" s="545"/>
      <c r="E28" s="545"/>
      <c r="F28" s="545"/>
      <c r="G28" s="545"/>
      <c r="H28" s="545"/>
      <c r="I28" s="545"/>
      <c r="J28" s="545"/>
      <c r="K28" s="542"/>
      <c r="R28" s="2" t="s">
        <v>0</v>
      </c>
      <c r="S28" s="6"/>
      <c r="T28" s="541" t="s">
        <v>21</v>
      </c>
      <c r="U28" s="545"/>
      <c r="V28" s="545"/>
      <c r="W28" s="545"/>
      <c r="X28" s="545"/>
      <c r="Y28" s="545"/>
      <c r="Z28" s="545"/>
      <c r="AA28" s="545"/>
      <c r="AB28" s="542"/>
      <c r="AD28" s="2" t="s">
        <v>0</v>
      </c>
      <c r="AE28" s="6"/>
      <c r="AF28" s="541" t="s">
        <v>21</v>
      </c>
      <c r="AG28" s="545"/>
      <c r="AH28" s="545"/>
      <c r="AI28" s="545"/>
      <c r="AJ28" s="545"/>
      <c r="AK28" s="545"/>
      <c r="AL28" s="545"/>
      <c r="AM28" s="545"/>
      <c r="AN28" s="542"/>
      <c r="AP28" s="2" t="s">
        <v>0</v>
      </c>
      <c r="AQ28" s="6"/>
      <c r="AR28" s="541" t="s">
        <v>21</v>
      </c>
      <c r="AS28" s="545"/>
      <c r="AT28" s="545"/>
      <c r="AU28" s="545"/>
      <c r="AV28" s="545"/>
      <c r="AW28" s="545"/>
      <c r="AX28" s="545"/>
      <c r="AY28" s="545"/>
      <c r="AZ28" s="542"/>
    </row>
    <row r="29" spans="1:52" ht="13.5" thickBot="1" x14ac:dyDescent="0.25">
      <c r="A29" s="7">
        <v>1</v>
      </c>
      <c r="B29" s="8">
        <v>2009</v>
      </c>
      <c r="C29" s="541" t="s">
        <v>22</v>
      </c>
      <c r="D29" s="542"/>
      <c r="E29" s="541" t="s">
        <v>23</v>
      </c>
      <c r="F29" s="542"/>
      <c r="G29" s="541" t="s">
        <v>24</v>
      </c>
      <c r="H29" s="542"/>
      <c r="I29" s="4" t="s">
        <v>25</v>
      </c>
      <c r="J29" s="541" t="s">
        <v>26</v>
      </c>
      <c r="K29" s="542"/>
      <c r="R29" s="7"/>
      <c r="S29" s="8"/>
      <c r="T29" s="541" t="s">
        <v>22</v>
      </c>
      <c r="U29" s="542"/>
      <c r="V29" s="541" t="s">
        <v>23</v>
      </c>
      <c r="W29" s="542"/>
      <c r="X29" s="541" t="s">
        <v>24</v>
      </c>
      <c r="Y29" s="542"/>
      <c r="Z29" s="4" t="s">
        <v>25</v>
      </c>
      <c r="AA29" s="541" t="s">
        <v>26</v>
      </c>
      <c r="AB29" s="542"/>
      <c r="AD29" s="7"/>
      <c r="AE29" s="8"/>
      <c r="AF29" s="541" t="s">
        <v>22</v>
      </c>
      <c r="AG29" s="542"/>
      <c r="AH29" s="541" t="s">
        <v>23</v>
      </c>
      <c r="AI29" s="542"/>
      <c r="AJ29" s="541" t="s">
        <v>24</v>
      </c>
      <c r="AK29" s="542"/>
      <c r="AL29" s="4" t="s">
        <v>25</v>
      </c>
      <c r="AM29" s="541" t="s">
        <v>26</v>
      </c>
      <c r="AN29" s="542"/>
      <c r="AP29" s="7"/>
      <c r="AQ29" s="8"/>
      <c r="AR29" s="541" t="s">
        <v>22</v>
      </c>
      <c r="AS29" s="542"/>
      <c r="AT29" s="541" t="s">
        <v>23</v>
      </c>
      <c r="AU29" s="542"/>
      <c r="AV29" s="541" t="s">
        <v>24</v>
      </c>
      <c r="AW29" s="542"/>
      <c r="AX29" s="4" t="s">
        <v>25</v>
      </c>
      <c r="AY29" s="541" t="s">
        <v>26</v>
      </c>
      <c r="AZ29" s="542"/>
    </row>
    <row r="30" spans="1:52" ht="13.5" thickBot="1" x14ac:dyDescent="0.25">
      <c r="A30" s="7">
        <v>2</v>
      </c>
      <c r="B30" s="9">
        <v>2006</v>
      </c>
      <c r="C30" s="5" t="s">
        <v>37</v>
      </c>
      <c r="D30" s="4" t="s">
        <v>38</v>
      </c>
      <c r="E30" s="5" t="s">
        <v>42</v>
      </c>
      <c r="F30" s="4" t="s">
        <v>46</v>
      </c>
      <c r="G30" s="5" t="s">
        <v>44</v>
      </c>
      <c r="H30" s="4" t="s">
        <v>43</v>
      </c>
      <c r="I30" s="5" t="s">
        <v>41</v>
      </c>
      <c r="J30" s="5" t="s">
        <v>39</v>
      </c>
      <c r="K30" s="5" t="s">
        <v>40</v>
      </c>
      <c r="R30" s="28"/>
      <c r="S30" s="9"/>
      <c r="T30" s="11" t="s">
        <v>37</v>
      </c>
      <c r="U30" s="104" t="s">
        <v>38</v>
      </c>
      <c r="V30" s="11" t="s">
        <v>42</v>
      </c>
      <c r="W30" s="104" t="s">
        <v>46</v>
      </c>
      <c r="X30" s="11" t="s">
        <v>44</v>
      </c>
      <c r="Y30" s="104" t="s">
        <v>43</v>
      </c>
      <c r="Z30" s="11" t="s">
        <v>41</v>
      </c>
      <c r="AA30" s="11" t="s">
        <v>39</v>
      </c>
      <c r="AB30" s="11" t="s">
        <v>40</v>
      </c>
      <c r="AD30" s="28"/>
      <c r="AE30" s="9"/>
      <c r="AF30" s="11" t="s">
        <v>37</v>
      </c>
      <c r="AG30" s="104" t="s">
        <v>38</v>
      </c>
      <c r="AH30" s="11" t="s">
        <v>42</v>
      </c>
      <c r="AI30" s="104" t="s">
        <v>46</v>
      </c>
      <c r="AJ30" s="11" t="s">
        <v>44</v>
      </c>
      <c r="AK30" s="104" t="s">
        <v>43</v>
      </c>
      <c r="AL30" s="11" t="s">
        <v>41</v>
      </c>
      <c r="AM30" s="11" t="s">
        <v>39</v>
      </c>
      <c r="AN30" s="11" t="s">
        <v>40</v>
      </c>
      <c r="AP30" s="28"/>
      <c r="AQ30" s="9"/>
      <c r="AR30" s="11" t="s">
        <v>37</v>
      </c>
      <c r="AS30" s="104" t="s">
        <v>38</v>
      </c>
      <c r="AT30" s="11" t="s">
        <v>42</v>
      </c>
      <c r="AU30" s="104" t="s">
        <v>46</v>
      </c>
      <c r="AV30" s="11" t="s">
        <v>44</v>
      </c>
      <c r="AW30" s="104" t="s">
        <v>43</v>
      </c>
      <c r="AX30" s="11" t="s">
        <v>41</v>
      </c>
      <c r="AY30" s="11" t="s">
        <v>39</v>
      </c>
      <c r="AZ30" s="11" t="s">
        <v>40</v>
      </c>
    </row>
    <row r="31" spans="1:52" ht="17.25" x14ac:dyDescent="0.2">
      <c r="A31" s="415">
        <f>Info!$A$1</f>
        <v>1</v>
      </c>
      <c r="B31" s="11" t="s">
        <v>30</v>
      </c>
      <c r="C31" s="11" t="s">
        <v>29</v>
      </c>
      <c r="D31" s="11">
        <v>160</v>
      </c>
      <c r="E31" s="11">
        <v>65</v>
      </c>
      <c r="F31" s="11">
        <v>55</v>
      </c>
      <c r="G31" s="11">
        <v>65</v>
      </c>
      <c r="H31" s="11">
        <v>55</v>
      </c>
      <c r="I31" s="11">
        <v>65</v>
      </c>
      <c r="J31" s="11">
        <v>50</v>
      </c>
      <c r="K31" s="11">
        <v>40</v>
      </c>
      <c r="R31" s="13"/>
      <c r="S31" s="30" t="s">
        <v>30</v>
      </c>
      <c r="T31" s="80" t="s">
        <v>29</v>
      </c>
      <c r="U31" s="80">
        <v>160</v>
      </c>
      <c r="V31" s="80">
        <v>65</v>
      </c>
      <c r="W31" s="80">
        <v>55</v>
      </c>
      <c r="X31" s="80">
        <v>65</v>
      </c>
      <c r="Y31" s="80">
        <v>55</v>
      </c>
      <c r="Z31" s="80">
        <v>65</v>
      </c>
      <c r="AA31" s="80">
        <v>50</v>
      </c>
      <c r="AB31" s="80">
        <v>40</v>
      </c>
      <c r="AD31" s="13"/>
      <c r="AE31" s="30" t="s">
        <v>30</v>
      </c>
      <c r="AF31" s="80" t="s">
        <v>29</v>
      </c>
      <c r="AG31" s="80">
        <v>160</v>
      </c>
      <c r="AH31" s="80">
        <v>65</v>
      </c>
      <c r="AI31" s="80">
        <v>55</v>
      </c>
      <c r="AJ31" s="80">
        <v>65</v>
      </c>
      <c r="AK31" s="80">
        <v>55</v>
      </c>
      <c r="AL31" s="80">
        <v>65</v>
      </c>
      <c r="AM31" s="80">
        <v>50</v>
      </c>
      <c r="AN31" s="80">
        <v>40</v>
      </c>
      <c r="AP31" s="13"/>
      <c r="AQ31" s="30" t="s">
        <v>30</v>
      </c>
      <c r="AR31" s="80" t="s">
        <v>29</v>
      </c>
      <c r="AS31" s="80">
        <v>180</v>
      </c>
      <c r="AT31" s="80">
        <v>85</v>
      </c>
      <c r="AU31" s="80">
        <v>75</v>
      </c>
      <c r="AV31" s="80">
        <v>85</v>
      </c>
      <c r="AW31" s="80">
        <v>75</v>
      </c>
      <c r="AX31" s="80">
        <v>85</v>
      </c>
      <c r="AY31" s="80">
        <v>70</v>
      </c>
      <c r="AZ31" s="80">
        <v>60</v>
      </c>
    </row>
    <row r="33" spans="23:23" x14ac:dyDescent="0.2">
      <c r="W33">
        <v>4</v>
      </c>
    </row>
  </sheetData>
  <sheetProtection password="C9BC" sheet="1" selectLockedCells="1" selectUnlockedCells="1"/>
  <customSheetViews>
    <customSheetView guid="{C99C1093-CC5A-409C-96B5-E63635B6002F}" state="hidden">
      <selection activeCell="AF21" sqref="AF21"/>
      <pageMargins left="0.75" right="0.75" top="1" bottom="1" header="0.5" footer="0.5"/>
      <pageSetup orientation="landscape" horizontalDpi="1200" verticalDpi="1200" r:id="rId1"/>
      <headerFooter alignWithMargins="0"/>
    </customSheetView>
    <customSheetView guid="{3F9818B9-F253-4053-A33A-0CFC1B854133}" state="hidden">
      <selection activeCell="AU21" sqref="AU21"/>
      <pageMargins left="0.75" right="0.75" top="1" bottom="1" header="0.5" footer="0.5"/>
      <pageSetup orientation="landscape" horizontalDpi="1200" verticalDpi="1200" r:id="rId2"/>
      <headerFooter alignWithMargins="0"/>
    </customSheetView>
    <customSheetView guid="{356F0F3B-80AF-47CC-8087-F17A73F87B6E}" state="hidden">
      <selection activeCell="R2" sqref="R2:R27"/>
      <pageMargins left="0.75" right="0.75" top="1" bottom="1" header="0.5" footer="0.5"/>
      <pageSetup orientation="landscape" horizontalDpi="1200" verticalDpi="1200" r:id="rId3"/>
      <headerFooter alignWithMargins="0"/>
    </customSheetView>
    <customSheetView guid="{09F76BC5-26ED-495D-B8F5-83F6B4183195}" state="hidden">
      <selection activeCell="AU21" sqref="AU21"/>
      <pageMargins left="0.75" right="0.75" top="1" bottom="1" header="0.5" footer="0.5"/>
      <pageSetup orientation="landscape" horizontalDpi="1200" verticalDpi="1200" r:id="rId4"/>
      <headerFooter alignWithMargins="0"/>
    </customSheetView>
    <customSheetView guid="{02979AA6-E421-4F39-B9A0-7166087A5EF9}" state="hidden">
      <selection activeCell="AF21" sqref="AF21"/>
      <pageMargins left="0.75" right="0.75" top="1" bottom="1" header="0.5" footer="0.5"/>
      <pageSetup orientation="landscape" horizontalDpi="1200" verticalDpi="1200" r:id="rId5"/>
      <headerFooter alignWithMargins="0"/>
    </customSheetView>
  </customSheetViews>
  <mergeCells count="20">
    <mergeCell ref="C28:K28"/>
    <mergeCell ref="C29:D29"/>
    <mergeCell ref="E29:F29"/>
    <mergeCell ref="G29:H29"/>
    <mergeCell ref="J29:K29"/>
    <mergeCell ref="AR28:AZ28"/>
    <mergeCell ref="AR29:AS29"/>
    <mergeCell ref="AT29:AU29"/>
    <mergeCell ref="AV29:AW29"/>
    <mergeCell ref="AY29:AZ29"/>
    <mergeCell ref="AF28:AN28"/>
    <mergeCell ref="AF29:AG29"/>
    <mergeCell ref="AH29:AI29"/>
    <mergeCell ref="AJ29:AK29"/>
    <mergeCell ref="AM29:AN29"/>
    <mergeCell ref="T28:AB28"/>
    <mergeCell ref="T29:U29"/>
    <mergeCell ref="V29:W29"/>
    <mergeCell ref="X29:Y29"/>
    <mergeCell ref="AA29:AB29"/>
  </mergeCells>
  <phoneticPr fontId="5" type="noConversion"/>
  <pageMargins left="0.75" right="0.75" top="1" bottom="1" header="0.5" footer="0.5"/>
  <pageSetup orientation="landscape" horizontalDpi="1200" verticalDpi="1200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9"/>
  <sheetViews>
    <sheetView zoomScale="130" zoomScaleNormal="130" workbookViewId="0"/>
  </sheetViews>
  <sheetFormatPr defaultRowHeight="12.75" x14ac:dyDescent="0.2"/>
  <cols>
    <col min="1" max="1" width="10.140625" style="1" customWidth="1"/>
    <col min="2" max="11" width="9.140625" style="1" customWidth="1"/>
  </cols>
  <sheetData>
    <row r="1" spans="1:12" ht="13.5" thickBot="1" x14ac:dyDescent="0.25">
      <c r="A1" s="373"/>
      <c r="B1" s="11" t="s">
        <v>81</v>
      </c>
      <c r="C1" s="11">
        <v>2</v>
      </c>
      <c r="D1" s="11">
        <v>3</v>
      </c>
      <c r="E1" s="11">
        <v>4</v>
      </c>
      <c r="F1" s="11">
        <v>5</v>
      </c>
      <c r="G1" s="11">
        <v>6</v>
      </c>
      <c r="H1" s="11">
        <v>7</v>
      </c>
      <c r="I1" s="11">
        <v>8</v>
      </c>
      <c r="J1" s="11">
        <v>9</v>
      </c>
      <c r="K1" s="11">
        <v>10</v>
      </c>
      <c r="L1" s="86">
        <v>1</v>
      </c>
    </row>
    <row r="2" spans="1:12" x14ac:dyDescent="0.2">
      <c r="A2" s="14" t="s">
        <v>1</v>
      </c>
      <c r="B2" s="15" t="s">
        <v>27</v>
      </c>
      <c r="C2" s="15" t="s">
        <v>29</v>
      </c>
      <c r="D2" s="15" t="s">
        <v>29</v>
      </c>
      <c r="E2" s="23">
        <v>15500</v>
      </c>
      <c r="F2" s="23">
        <v>8500</v>
      </c>
      <c r="G2" s="23">
        <v>14000</v>
      </c>
      <c r="H2" s="23">
        <v>8500</v>
      </c>
      <c r="I2" s="23">
        <v>15000</v>
      </c>
      <c r="J2" s="23">
        <v>11500</v>
      </c>
      <c r="K2" s="24">
        <v>5500</v>
      </c>
      <c r="L2" s="83">
        <f>L1+1</f>
        <v>2</v>
      </c>
    </row>
    <row r="3" spans="1:12" x14ac:dyDescent="0.2">
      <c r="A3" s="17" t="s">
        <v>2</v>
      </c>
      <c r="B3" s="12" t="s">
        <v>27</v>
      </c>
      <c r="C3" s="12" t="s">
        <v>29</v>
      </c>
      <c r="D3" s="12" t="s">
        <v>29</v>
      </c>
      <c r="E3" s="22">
        <v>15500</v>
      </c>
      <c r="F3" s="22">
        <v>9500</v>
      </c>
      <c r="G3" s="22">
        <v>14000</v>
      </c>
      <c r="H3" s="22">
        <v>9500</v>
      </c>
      <c r="I3" s="22">
        <v>15000</v>
      </c>
      <c r="J3" s="22">
        <v>11500</v>
      </c>
      <c r="K3" s="25">
        <v>6000</v>
      </c>
      <c r="L3" s="83">
        <f t="shared" ref="L3:L27" si="0">L2+1</f>
        <v>3</v>
      </c>
    </row>
    <row r="4" spans="1:12" x14ac:dyDescent="0.2">
      <c r="A4" s="17" t="s">
        <v>3</v>
      </c>
      <c r="B4" s="12" t="s">
        <v>27</v>
      </c>
      <c r="C4" s="12" t="s">
        <v>29</v>
      </c>
      <c r="D4" s="12" t="s">
        <v>29</v>
      </c>
      <c r="E4" s="22">
        <v>15500</v>
      </c>
      <c r="F4" s="22">
        <v>9500</v>
      </c>
      <c r="G4" s="22">
        <v>14000</v>
      </c>
      <c r="H4" s="22">
        <v>9500</v>
      </c>
      <c r="I4" s="22">
        <v>15000</v>
      </c>
      <c r="J4" s="22">
        <v>11500</v>
      </c>
      <c r="K4" s="25">
        <v>6000</v>
      </c>
      <c r="L4" s="83">
        <f t="shared" si="0"/>
        <v>4</v>
      </c>
    </row>
    <row r="5" spans="1:12" x14ac:dyDescent="0.2">
      <c r="A5" s="17" t="s">
        <v>4</v>
      </c>
      <c r="B5" s="12" t="s">
        <v>27</v>
      </c>
      <c r="C5" s="12" t="s">
        <v>29</v>
      </c>
      <c r="D5" s="12" t="s">
        <v>29</v>
      </c>
      <c r="E5" s="22">
        <v>15500</v>
      </c>
      <c r="F5" s="22">
        <v>9500</v>
      </c>
      <c r="G5" s="22">
        <v>14000</v>
      </c>
      <c r="H5" s="22">
        <v>9500</v>
      </c>
      <c r="I5" s="22">
        <v>15000</v>
      </c>
      <c r="J5" s="22">
        <v>11500</v>
      </c>
      <c r="K5" s="25">
        <v>6000</v>
      </c>
      <c r="L5" s="83">
        <f t="shared" si="0"/>
        <v>5</v>
      </c>
    </row>
    <row r="6" spans="1:12" x14ac:dyDescent="0.2">
      <c r="A6" s="17" t="s">
        <v>5</v>
      </c>
      <c r="B6" s="12" t="s">
        <v>27</v>
      </c>
      <c r="C6" s="12" t="s">
        <v>29</v>
      </c>
      <c r="D6" s="12" t="s">
        <v>29</v>
      </c>
      <c r="E6" s="12" t="s">
        <v>29</v>
      </c>
      <c r="F6" s="12" t="s">
        <v>29</v>
      </c>
      <c r="G6" s="12" t="s">
        <v>29</v>
      </c>
      <c r="H6" s="12" t="s">
        <v>29</v>
      </c>
      <c r="I6" s="12" t="s">
        <v>29</v>
      </c>
      <c r="J6" s="12" t="s">
        <v>29</v>
      </c>
      <c r="K6" s="18" t="s">
        <v>29</v>
      </c>
      <c r="L6" s="83">
        <f t="shared" si="0"/>
        <v>6</v>
      </c>
    </row>
    <row r="7" spans="1:12" x14ac:dyDescent="0.2">
      <c r="A7" s="17" t="s">
        <v>6</v>
      </c>
      <c r="B7" s="12" t="s">
        <v>27</v>
      </c>
      <c r="C7" s="12" t="s">
        <v>29</v>
      </c>
      <c r="D7" s="12" t="s">
        <v>29</v>
      </c>
      <c r="E7" s="22">
        <v>37500</v>
      </c>
      <c r="F7" s="22">
        <v>23000</v>
      </c>
      <c r="G7" s="22">
        <v>28500</v>
      </c>
      <c r="H7" s="22">
        <v>19000</v>
      </c>
      <c r="I7" s="22">
        <v>36000</v>
      </c>
      <c r="J7" s="22">
        <v>18000</v>
      </c>
      <c r="K7" s="25">
        <v>9000</v>
      </c>
      <c r="L7" s="83">
        <f t="shared" si="0"/>
        <v>7</v>
      </c>
    </row>
    <row r="8" spans="1:12" x14ac:dyDescent="0.2">
      <c r="A8" s="17" t="s">
        <v>7</v>
      </c>
      <c r="B8" s="12" t="s">
        <v>27</v>
      </c>
      <c r="C8" s="12" t="s">
        <v>29</v>
      </c>
      <c r="D8" s="12" t="s">
        <v>29</v>
      </c>
      <c r="E8" s="22">
        <v>26500</v>
      </c>
      <c r="F8" s="22">
        <v>14500</v>
      </c>
      <c r="G8" s="22">
        <v>23500</v>
      </c>
      <c r="H8" s="22">
        <v>14500</v>
      </c>
      <c r="I8" s="22">
        <v>25500</v>
      </c>
      <c r="J8" s="22">
        <v>18500</v>
      </c>
      <c r="K8" s="25">
        <v>9500</v>
      </c>
      <c r="L8" s="83">
        <f t="shared" si="0"/>
        <v>8</v>
      </c>
    </row>
    <row r="9" spans="1:12" x14ac:dyDescent="0.2">
      <c r="A9" s="17" t="s">
        <v>8</v>
      </c>
      <c r="B9" s="12" t="s">
        <v>27</v>
      </c>
      <c r="C9" s="12" t="s">
        <v>29</v>
      </c>
      <c r="D9" s="12" t="s">
        <v>29</v>
      </c>
      <c r="E9" s="22">
        <v>25000</v>
      </c>
      <c r="F9" s="22">
        <v>15500</v>
      </c>
      <c r="G9" s="22">
        <v>19000</v>
      </c>
      <c r="H9" s="22">
        <v>12000</v>
      </c>
      <c r="I9" s="22">
        <v>33500</v>
      </c>
      <c r="J9" s="22">
        <v>14000</v>
      </c>
      <c r="K9" s="25">
        <v>8500</v>
      </c>
      <c r="L9" s="83">
        <f t="shared" si="0"/>
        <v>9</v>
      </c>
    </row>
    <row r="10" spans="1:12" x14ac:dyDescent="0.2">
      <c r="A10" s="17" t="s">
        <v>9</v>
      </c>
      <c r="B10" s="12" t="s">
        <v>27</v>
      </c>
      <c r="C10" s="12" t="s">
        <v>29</v>
      </c>
      <c r="D10" s="12" t="s">
        <v>29</v>
      </c>
      <c r="E10" s="22">
        <v>37500</v>
      </c>
      <c r="F10" s="22">
        <v>23000</v>
      </c>
      <c r="G10" s="22">
        <v>28500</v>
      </c>
      <c r="H10" s="22">
        <v>18000</v>
      </c>
      <c r="I10" s="22">
        <v>50500</v>
      </c>
      <c r="J10" s="22">
        <v>21000</v>
      </c>
      <c r="K10" s="25">
        <v>13000</v>
      </c>
      <c r="L10" s="83">
        <f t="shared" si="0"/>
        <v>10</v>
      </c>
    </row>
    <row r="11" spans="1:12" x14ac:dyDescent="0.2">
      <c r="A11" s="17" t="s">
        <v>10</v>
      </c>
      <c r="B11" s="12" t="s">
        <v>27</v>
      </c>
      <c r="C11" s="22">
        <v>21000</v>
      </c>
      <c r="D11" s="22">
        <v>16500</v>
      </c>
      <c r="E11" s="22">
        <v>11000</v>
      </c>
      <c r="F11" s="22">
        <v>7000</v>
      </c>
      <c r="G11" s="22">
        <v>9500</v>
      </c>
      <c r="H11" s="22">
        <v>7000</v>
      </c>
      <c r="I11" s="22">
        <v>10500</v>
      </c>
      <c r="J11" s="22">
        <v>7500</v>
      </c>
      <c r="K11" s="18" t="s">
        <v>36</v>
      </c>
      <c r="L11" s="83">
        <f t="shared" si="0"/>
        <v>11</v>
      </c>
    </row>
    <row r="12" spans="1:12" x14ac:dyDescent="0.2">
      <c r="A12" s="17" t="s">
        <v>34</v>
      </c>
      <c r="B12" s="12" t="s">
        <v>27</v>
      </c>
      <c r="C12" s="22">
        <v>21000</v>
      </c>
      <c r="D12" s="22">
        <v>16500</v>
      </c>
      <c r="E12" s="22">
        <v>11000</v>
      </c>
      <c r="F12" s="22">
        <v>7000</v>
      </c>
      <c r="G12" s="22">
        <v>9500</v>
      </c>
      <c r="H12" s="22">
        <v>7000</v>
      </c>
      <c r="I12" s="22">
        <v>10500</v>
      </c>
      <c r="J12" s="22">
        <v>7500</v>
      </c>
      <c r="K12" s="25">
        <v>3000</v>
      </c>
      <c r="L12" s="83">
        <f t="shared" si="0"/>
        <v>12</v>
      </c>
    </row>
    <row r="13" spans="1:12" x14ac:dyDescent="0.2">
      <c r="A13" s="17" t="s">
        <v>35</v>
      </c>
      <c r="B13" s="12" t="s">
        <v>27</v>
      </c>
      <c r="C13" s="12" t="s">
        <v>29</v>
      </c>
      <c r="D13" s="22">
        <v>60000</v>
      </c>
      <c r="E13" s="22">
        <v>26500</v>
      </c>
      <c r="F13" s="22">
        <v>14000</v>
      </c>
      <c r="G13" s="22">
        <v>17500</v>
      </c>
      <c r="H13" s="22">
        <v>13000</v>
      </c>
      <c r="I13" s="22">
        <v>25500</v>
      </c>
      <c r="J13" s="22">
        <v>10000</v>
      </c>
      <c r="K13" s="25">
        <v>5000</v>
      </c>
      <c r="L13" s="83">
        <f t="shared" si="0"/>
        <v>13</v>
      </c>
    </row>
    <row r="14" spans="1:12" x14ac:dyDescent="0.2">
      <c r="A14" s="17" t="s">
        <v>11</v>
      </c>
      <c r="B14" s="12" t="s">
        <v>27</v>
      </c>
      <c r="C14" s="12" t="s">
        <v>29</v>
      </c>
      <c r="D14" s="12" t="s">
        <v>29</v>
      </c>
      <c r="E14" s="22">
        <v>37500</v>
      </c>
      <c r="F14" s="22">
        <v>17500</v>
      </c>
      <c r="G14" s="22">
        <v>28500</v>
      </c>
      <c r="H14" s="22">
        <v>17500</v>
      </c>
      <c r="I14" s="22">
        <v>36000</v>
      </c>
      <c r="J14" s="22">
        <v>18000</v>
      </c>
      <c r="K14" s="25">
        <v>6500</v>
      </c>
      <c r="L14" s="83">
        <f t="shared" si="0"/>
        <v>14</v>
      </c>
    </row>
    <row r="15" spans="1:12" x14ac:dyDescent="0.2">
      <c r="A15" s="17" t="s">
        <v>12</v>
      </c>
      <c r="B15" s="12" t="s">
        <v>27</v>
      </c>
      <c r="C15" s="12" t="s">
        <v>29</v>
      </c>
      <c r="D15" s="12" t="s">
        <v>29</v>
      </c>
      <c r="E15" s="22">
        <v>37500</v>
      </c>
      <c r="F15" s="22">
        <v>23000</v>
      </c>
      <c r="G15" s="22">
        <v>28500</v>
      </c>
      <c r="H15" s="22">
        <v>19000</v>
      </c>
      <c r="I15" s="22">
        <v>36000</v>
      </c>
      <c r="J15" s="22">
        <v>18000</v>
      </c>
      <c r="K15" s="25">
        <v>9000</v>
      </c>
      <c r="L15" s="83">
        <f t="shared" si="0"/>
        <v>15</v>
      </c>
    </row>
    <row r="16" spans="1:12" x14ac:dyDescent="0.2">
      <c r="A16" s="17" t="s">
        <v>13</v>
      </c>
      <c r="B16" s="12" t="s">
        <v>27</v>
      </c>
      <c r="C16" s="12" t="s">
        <v>29</v>
      </c>
      <c r="D16" s="22">
        <v>55000</v>
      </c>
      <c r="E16" s="22">
        <v>19000</v>
      </c>
      <c r="F16" s="22">
        <v>10000</v>
      </c>
      <c r="G16" s="22">
        <v>16500</v>
      </c>
      <c r="H16" s="22">
        <v>10000</v>
      </c>
      <c r="I16" s="22">
        <v>18000</v>
      </c>
      <c r="J16" s="22">
        <v>10500</v>
      </c>
      <c r="K16" s="25">
        <v>4500</v>
      </c>
      <c r="L16" s="83">
        <f t="shared" si="0"/>
        <v>16</v>
      </c>
    </row>
    <row r="17" spans="1:12" x14ac:dyDescent="0.2">
      <c r="A17" s="17" t="s">
        <v>76</v>
      </c>
      <c r="B17" s="12" t="s">
        <v>27</v>
      </c>
      <c r="C17" s="12" t="s">
        <v>29</v>
      </c>
      <c r="D17" s="12" t="s">
        <v>29</v>
      </c>
      <c r="E17" s="22">
        <v>15000</v>
      </c>
      <c r="F17" s="22">
        <v>11000</v>
      </c>
      <c r="G17" s="22">
        <v>12000</v>
      </c>
      <c r="H17" s="12" t="s">
        <v>36</v>
      </c>
      <c r="I17" s="22">
        <v>12000</v>
      </c>
      <c r="J17" s="22">
        <v>9500</v>
      </c>
      <c r="K17" s="18" t="s">
        <v>36</v>
      </c>
      <c r="L17" s="83">
        <f t="shared" si="0"/>
        <v>17</v>
      </c>
    </row>
    <row r="18" spans="1:12" x14ac:dyDescent="0.2">
      <c r="A18" s="17" t="s">
        <v>14</v>
      </c>
      <c r="B18" s="12" t="s">
        <v>27</v>
      </c>
      <c r="C18" s="12" t="s">
        <v>29</v>
      </c>
      <c r="D18" s="12" t="s">
        <v>29</v>
      </c>
      <c r="E18" s="22">
        <v>15000</v>
      </c>
      <c r="F18" s="22">
        <v>10000</v>
      </c>
      <c r="G18" s="22">
        <v>10500</v>
      </c>
      <c r="H18" s="22">
        <v>7500</v>
      </c>
      <c r="I18" s="22">
        <v>12000</v>
      </c>
      <c r="J18" s="22">
        <v>7500</v>
      </c>
      <c r="K18" s="25">
        <v>5000</v>
      </c>
      <c r="L18" s="83">
        <f t="shared" si="0"/>
        <v>18</v>
      </c>
    </row>
    <row r="19" spans="1:12" x14ac:dyDescent="0.2">
      <c r="A19" s="17" t="s">
        <v>15</v>
      </c>
      <c r="B19" s="12" t="s">
        <v>27</v>
      </c>
      <c r="C19" s="12" t="s">
        <v>29</v>
      </c>
      <c r="D19" s="22">
        <v>60500</v>
      </c>
      <c r="E19" s="22">
        <v>26500</v>
      </c>
      <c r="F19" s="22">
        <v>13000</v>
      </c>
      <c r="G19" s="22">
        <v>23500</v>
      </c>
      <c r="H19" s="22">
        <v>13000</v>
      </c>
      <c r="I19" s="22">
        <v>25500</v>
      </c>
      <c r="J19" s="22">
        <v>18500</v>
      </c>
      <c r="K19" s="25">
        <v>9000</v>
      </c>
      <c r="L19" s="83">
        <f t="shared" si="0"/>
        <v>19</v>
      </c>
    </row>
    <row r="20" spans="1:12" x14ac:dyDescent="0.2">
      <c r="A20" s="17" t="s">
        <v>16</v>
      </c>
      <c r="B20" s="12" t="s">
        <v>27</v>
      </c>
      <c r="C20" s="12" t="s">
        <v>29</v>
      </c>
      <c r="D20" s="12" t="s">
        <v>29</v>
      </c>
      <c r="E20" s="22">
        <v>21500</v>
      </c>
      <c r="F20" s="22">
        <v>12500</v>
      </c>
      <c r="G20" s="22">
        <v>18500</v>
      </c>
      <c r="H20" s="22">
        <v>12500</v>
      </c>
      <c r="I20" s="22">
        <v>20500</v>
      </c>
      <c r="J20" s="22">
        <v>14000</v>
      </c>
      <c r="K20" s="25">
        <v>9000</v>
      </c>
      <c r="L20" s="83">
        <f t="shared" si="0"/>
        <v>20</v>
      </c>
    </row>
    <row r="21" spans="1:12" x14ac:dyDescent="0.2">
      <c r="A21" s="17" t="s">
        <v>17</v>
      </c>
      <c r="B21" s="12" t="s">
        <v>27</v>
      </c>
      <c r="C21" s="12" t="s">
        <v>29</v>
      </c>
      <c r="D21" s="12" t="s">
        <v>29</v>
      </c>
      <c r="E21" s="22">
        <v>24000</v>
      </c>
      <c r="F21" s="22">
        <v>16000</v>
      </c>
      <c r="G21" s="22">
        <v>24000</v>
      </c>
      <c r="H21" s="22">
        <v>16000</v>
      </c>
      <c r="I21" s="22">
        <v>20500</v>
      </c>
      <c r="J21" s="22">
        <v>12000</v>
      </c>
      <c r="K21" s="25">
        <v>7000</v>
      </c>
      <c r="L21" s="83">
        <f t="shared" si="0"/>
        <v>21</v>
      </c>
    </row>
    <row r="22" spans="1:12" ht="13.5" customHeight="1" x14ac:dyDescent="0.2">
      <c r="A22" s="17" t="s">
        <v>18</v>
      </c>
      <c r="B22" s="12" t="s">
        <v>27</v>
      </c>
      <c r="C22" s="12" t="s">
        <v>29</v>
      </c>
      <c r="D22" s="12" t="s">
        <v>29</v>
      </c>
      <c r="E22" s="22">
        <v>24000</v>
      </c>
      <c r="F22" s="22">
        <v>16000</v>
      </c>
      <c r="G22" s="22">
        <v>24000</v>
      </c>
      <c r="H22" s="22">
        <v>16000</v>
      </c>
      <c r="I22" s="22">
        <v>20500</v>
      </c>
      <c r="J22" s="22">
        <v>12000</v>
      </c>
      <c r="K22" s="25">
        <v>7000</v>
      </c>
      <c r="L22" s="83">
        <f t="shared" si="0"/>
        <v>22</v>
      </c>
    </row>
    <row r="23" spans="1:12" ht="13.5" customHeight="1" x14ac:dyDescent="0.2">
      <c r="A23" s="17" t="s">
        <v>77</v>
      </c>
      <c r="B23" s="12" t="s">
        <v>27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8" t="s">
        <v>29</v>
      </c>
      <c r="L23" s="83">
        <f t="shared" si="0"/>
        <v>23</v>
      </c>
    </row>
    <row r="24" spans="1:12" ht="13.5" customHeight="1" x14ac:dyDescent="0.2">
      <c r="A24" s="17" t="s">
        <v>19</v>
      </c>
      <c r="B24" s="12" t="s">
        <v>27</v>
      </c>
      <c r="C24" s="12" t="s">
        <v>29</v>
      </c>
      <c r="D24" s="12" t="s">
        <v>29</v>
      </c>
      <c r="E24" s="22">
        <v>24000</v>
      </c>
      <c r="F24" s="22">
        <v>16000</v>
      </c>
      <c r="G24" s="22">
        <v>24000</v>
      </c>
      <c r="H24" s="22">
        <v>16000</v>
      </c>
      <c r="I24" s="22">
        <v>20500</v>
      </c>
      <c r="J24" s="22">
        <v>12000</v>
      </c>
      <c r="K24" s="25">
        <v>7000</v>
      </c>
      <c r="L24" s="83">
        <f t="shared" si="0"/>
        <v>24</v>
      </c>
    </row>
    <row r="25" spans="1:12" x14ac:dyDescent="0.2">
      <c r="A25" s="17" t="s">
        <v>20</v>
      </c>
      <c r="B25" s="12" t="s">
        <v>27</v>
      </c>
      <c r="C25" s="12" t="s">
        <v>29</v>
      </c>
      <c r="D25" s="22">
        <v>48000</v>
      </c>
      <c r="E25" s="22">
        <v>26000</v>
      </c>
      <c r="F25" s="22">
        <v>17500</v>
      </c>
      <c r="G25" s="22">
        <v>26000</v>
      </c>
      <c r="H25" s="22">
        <v>17500</v>
      </c>
      <c r="I25" s="22">
        <v>25500</v>
      </c>
      <c r="J25" s="22">
        <v>14000</v>
      </c>
      <c r="K25" s="25">
        <v>9000</v>
      </c>
      <c r="L25" s="83">
        <f t="shared" si="0"/>
        <v>25</v>
      </c>
    </row>
    <row r="26" spans="1:12" x14ac:dyDescent="0.2">
      <c r="A26" s="17" t="s">
        <v>33</v>
      </c>
      <c r="B26" s="12" t="s">
        <v>27</v>
      </c>
      <c r="C26" s="12" t="s">
        <v>29</v>
      </c>
      <c r="D26" s="22">
        <v>79000</v>
      </c>
      <c r="E26" s="22">
        <v>39000</v>
      </c>
      <c r="F26" s="22">
        <v>26000</v>
      </c>
      <c r="G26" s="22">
        <v>39000</v>
      </c>
      <c r="H26" s="22">
        <v>26000</v>
      </c>
      <c r="I26" s="22">
        <v>38500</v>
      </c>
      <c r="J26" s="22">
        <v>21000</v>
      </c>
      <c r="K26" s="25">
        <v>13500</v>
      </c>
      <c r="L26" s="83">
        <f t="shared" si="0"/>
        <v>26</v>
      </c>
    </row>
    <row r="27" spans="1:12" ht="13.5" thickBot="1" x14ac:dyDescent="0.25">
      <c r="A27" s="19" t="s">
        <v>32</v>
      </c>
      <c r="B27" s="20" t="s">
        <v>27</v>
      </c>
      <c r="C27" s="20" t="s">
        <v>29</v>
      </c>
      <c r="D27" s="26">
        <v>35500</v>
      </c>
      <c r="E27" s="26">
        <v>19000</v>
      </c>
      <c r="F27" s="26">
        <v>8500</v>
      </c>
      <c r="G27" s="26">
        <v>14000</v>
      </c>
      <c r="H27" s="26">
        <v>8500</v>
      </c>
      <c r="I27" s="26">
        <v>18000</v>
      </c>
      <c r="J27" s="26">
        <v>9000</v>
      </c>
      <c r="K27" s="27">
        <v>5500</v>
      </c>
      <c r="L27" s="83">
        <f t="shared" si="0"/>
        <v>27</v>
      </c>
    </row>
    <row r="28" spans="1:12" ht="16.5" thickBot="1" x14ac:dyDescent="0.3">
      <c r="A28" s="10"/>
      <c r="C28" s="541" t="s">
        <v>22</v>
      </c>
      <c r="D28" s="542"/>
      <c r="E28" s="541" t="s">
        <v>23</v>
      </c>
      <c r="F28" s="542"/>
      <c r="G28" s="541" t="s">
        <v>24</v>
      </c>
      <c r="H28" s="542"/>
      <c r="I28" s="4" t="s">
        <v>25</v>
      </c>
      <c r="J28" s="541" t="s">
        <v>26</v>
      </c>
      <c r="K28" s="542"/>
    </row>
    <row r="29" spans="1:12" ht="13.5" thickBot="1" x14ac:dyDescent="0.25">
      <c r="B29" s="87"/>
      <c r="C29" s="541" t="s">
        <v>21</v>
      </c>
      <c r="D29" s="545"/>
      <c r="E29" s="545"/>
      <c r="F29" s="545"/>
      <c r="G29" s="545"/>
      <c r="H29" s="545"/>
      <c r="I29" s="545"/>
      <c r="J29" s="545"/>
      <c r="K29" s="542"/>
    </row>
  </sheetData>
  <sheetProtection password="C9BC" sheet="1" objects="1" scenarios="1" selectLockedCells="1" selectUnlockedCells="1"/>
  <customSheetViews>
    <customSheetView guid="{C99C1093-CC5A-409C-96B5-E63635B6002F}" scale="130" state="hidden">
      <pageMargins left="0.75" right="0.75" top="1" bottom="1" header="0.5" footer="0.5"/>
      <headerFooter alignWithMargins="0"/>
    </customSheetView>
    <customSheetView guid="{3F9818B9-F253-4053-A33A-0CFC1B854133}" state="hidden">
      <pageMargins left="0.75" right="0.75" top="1" bottom="1" header="0.5" footer="0.5"/>
      <headerFooter alignWithMargins="0"/>
    </customSheetView>
    <customSheetView guid="{356F0F3B-80AF-47CC-8087-F17A73F87B6E}" state="hidden">
      <pageMargins left="0.75" right="0.75" top="1" bottom="1" header="0.5" footer="0.5"/>
      <headerFooter alignWithMargins="0"/>
    </customSheetView>
    <customSheetView guid="{09F76BC5-26ED-495D-B8F5-83F6B4183195}" state="hidden">
      <pageMargins left="0.75" right="0.75" top="1" bottom="1" header="0.5" footer="0.5"/>
      <headerFooter alignWithMargins="0"/>
    </customSheetView>
    <customSheetView guid="{02979AA6-E421-4F39-B9A0-7166087A5EF9}" scale="130" state="hidden">
      <pageMargins left="0.75" right="0.75" top="1" bottom="1" header="0.5" footer="0.5"/>
      <headerFooter alignWithMargins="0"/>
    </customSheetView>
  </customSheetViews>
  <mergeCells count="5">
    <mergeCell ref="C29:K29"/>
    <mergeCell ref="C28:D28"/>
    <mergeCell ref="E28:F28"/>
    <mergeCell ref="G28:H28"/>
    <mergeCell ref="J28:K28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 fitToPage="1"/>
  </sheetPr>
  <dimension ref="A1:AZ137"/>
  <sheetViews>
    <sheetView showGridLines="0" showRowColHeaders="0" workbookViewId="0">
      <selection activeCell="D10" sqref="D10:F10"/>
    </sheetView>
  </sheetViews>
  <sheetFormatPr defaultRowHeight="12.75" x14ac:dyDescent="0.2"/>
  <cols>
    <col min="1" max="1" width="11.140625" customWidth="1"/>
    <col min="2" max="2" width="3.7109375" style="48" customWidth="1"/>
    <col min="3" max="3" width="3.7109375" style="48" hidden="1" customWidth="1"/>
    <col min="4" max="4" width="3.7109375" style="48" customWidth="1"/>
    <col min="5" max="5" width="3.7109375" style="48" hidden="1" customWidth="1"/>
    <col min="6" max="6" width="3.7109375" style="48" customWidth="1"/>
    <col min="7" max="7" width="3.7109375" style="48" hidden="1" customWidth="1"/>
    <col min="8" max="8" width="3.7109375" style="48" customWidth="1"/>
    <col min="9" max="9" width="3.7109375" style="48" hidden="1" customWidth="1"/>
    <col min="10" max="10" width="3.7109375" style="48" customWidth="1"/>
    <col min="11" max="11" width="3.7109375" style="48" hidden="1" customWidth="1"/>
    <col min="12" max="12" width="3.7109375" style="48" customWidth="1"/>
    <col min="13" max="13" width="3.7109375" style="48" hidden="1" customWidth="1"/>
    <col min="14" max="14" width="3.7109375" style="48" customWidth="1"/>
    <col min="15" max="15" width="3.7109375" style="48" hidden="1" customWidth="1"/>
    <col min="16" max="16" width="3.7109375" style="48" customWidth="1"/>
    <col min="17" max="17" width="3.7109375" style="48" hidden="1" customWidth="1"/>
    <col min="18" max="18" width="3.7109375" style="48" customWidth="1"/>
    <col min="19" max="19" width="3.7109375" style="48" hidden="1" customWidth="1"/>
    <col min="20" max="20" width="3.7109375" style="48" customWidth="1"/>
    <col min="21" max="21" width="3.7109375" style="48" hidden="1" customWidth="1"/>
    <col min="22" max="22" width="3.7109375" style="48" customWidth="1"/>
    <col min="23" max="23" width="3.7109375" style="48" hidden="1" customWidth="1"/>
    <col min="24" max="24" width="3.7109375" style="48" customWidth="1"/>
    <col min="25" max="25" width="3.7109375" style="48" hidden="1" customWidth="1"/>
    <col min="26" max="26" width="3.7109375" style="48" customWidth="1"/>
    <col min="27" max="27" width="3.7109375" style="48" hidden="1" customWidth="1"/>
    <col min="28" max="28" width="3.7109375" style="48" customWidth="1"/>
    <col min="29" max="29" width="3.7109375" style="48" hidden="1" customWidth="1"/>
    <col min="30" max="30" width="3.7109375" style="48" customWidth="1"/>
    <col min="31" max="31" width="3.7109375" hidden="1" customWidth="1"/>
    <col min="32" max="32" width="3.7109375" customWidth="1"/>
    <col min="33" max="33" width="3.7109375" hidden="1" customWidth="1"/>
    <col min="34" max="34" width="3.7109375" customWidth="1"/>
    <col min="35" max="35" width="3.7109375" hidden="1" customWidth="1"/>
    <col min="36" max="36" width="3.7109375" customWidth="1"/>
    <col min="37" max="37" width="3.7109375" hidden="1" customWidth="1"/>
    <col min="38" max="38" width="3.7109375" customWidth="1"/>
    <col min="39" max="39" width="3.7109375" hidden="1" customWidth="1"/>
    <col min="40" max="40" width="3.7109375" customWidth="1"/>
    <col min="41" max="41" width="3.7109375" hidden="1" customWidth="1"/>
    <col min="42" max="42" width="3.7109375" customWidth="1"/>
    <col min="43" max="43" width="3.7109375" hidden="1" customWidth="1"/>
    <col min="44" max="44" width="3.7109375" customWidth="1"/>
    <col min="45" max="45" width="3.7109375" hidden="1" customWidth="1"/>
    <col min="46" max="46" width="3.7109375" customWidth="1"/>
    <col min="47" max="47" width="3.7109375" hidden="1" customWidth="1"/>
    <col min="48" max="48" width="3.7109375" customWidth="1"/>
    <col min="49" max="49" width="3.7109375" hidden="1" customWidth="1"/>
    <col min="50" max="50" width="3.7109375" customWidth="1"/>
    <col min="51" max="51" width="3.7109375" hidden="1" customWidth="1"/>
    <col min="52" max="52" width="3.7109375" customWidth="1"/>
    <col min="53" max="54" width="5.7109375" customWidth="1"/>
  </cols>
  <sheetData>
    <row r="1" spans="1:52" s="54" customFormat="1" ht="20.100000000000001" customHeight="1" x14ac:dyDescent="0.2">
      <c r="A1" s="53"/>
    </row>
    <row r="2" spans="1:52" s="58" customFormat="1" ht="24.95" customHeight="1" x14ac:dyDescent="0.35">
      <c r="A2" s="55">
        <f ca="1">IF(ChaCha!AI3&lt;0,"Expired",IF(A5=0,0,IF(A4&lt;=(0.25*A5),0,(A4/A5-0.25)*A6)))</f>
        <v>0</v>
      </c>
      <c r="B2" s="556" t="s">
        <v>165</v>
      </c>
      <c r="C2" s="557"/>
      <c r="D2" s="557"/>
      <c r="E2" s="56"/>
      <c r="F2" s="337" t="s">
        <v>164</v>
      </c>
      <c r="G2" s="54"/>
      <c r="H2" s="57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F2" s="560" t="s">
        <v>196</v>
      </c>
      <c r="AG2" s="561"/>
      <c r="AH2" s="561"/>
      <c r="AI2" s="561"/>
      <c r="AJ2" s="561"/>
      <c r="AK2" s="561"/>
      <c r="AL2" s="561"/>
      <c r="AM2" s="561"/>
      <c r="AN2" s="561"/>
      <c r="AO2" s="561"/>
      <c r="AP2" s="562"/>
      <c r="AQ2" s="562"/>
      <c r="AR2" s="562"/>
      <c r="AS2" s="562"/>
      <c r="AT2" s="562"/>
      <c r="AU2" s="562"/>
      <c r="AV2" s="562"/>
      <c r="AW2" s="562"/>
      <c r="AX2" s="562"/>
    </row>
    <row r="3" spans="1:52" s="58" customFormat="1" ht="20.100000000000001" customHeight="1" x14ac:dyDescent="0.2">
      <c r="A3" s="59"/>
      <c r="B3" s="56"/>
      <c r="C3" s="56"/>
      <c r="D3" s="56"/>
      <c r="E3" s="56"/>
      <c r="F3" s="56"/>
      <c r="G3" s="54"/>
      <c r="H3" s="60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F3" s="538" t="s">
        <v>198</v>
      </c>
      <c r="AG3" s="538"/>
      <c r="AH3" s="538"/>
      <c r="AI3" s="538"/>
      <c r="AJ3" s="538"/>
      <c r="AK3" s="538"/>
      <c r="AL3" s="538"/>
      <c r="AM3" s="538"/>
      <c r="AN3" s="538"/>
      <c r="AO3" s="538"/>
      <c r="AP3" s="563"/>
      <c r="AQ3" s="563"/>
      <c r="AR3" s="563"/>
      <c r="AS3" s="563"/>
      <c r="AT3" s="563"/>
      <c r="AU3" s="563"/>
      <c r="AV3" s="563"/>
      <c r="AW3" s="563"/>
      <c r="AX3" s="563"/>
    </row>
    <row r="4" spans="1:52" s="58" customFormat="1" ht="20.100000000000001" customHeight="1" x14ac:dyDescent="0.2">
      <c r="A4" s="61">
        <f>B13</f>
        <v>0</v>
      </c>
      <c r="B4" s="558" t="s">
        <v>71</v>
      </c>
      <c r="C4" s="559"/>
      <c r="D4" s="559"/>
      <c r="E4" s="56"/>
      <c r="F4" s="56"/>
      <c r="G4" s="54"/>
      <c r="H4" s="62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F4" s="538"/>
      <c r="AG4" s="538"/>
      <c r="AH4" s="538"/>
      <c r="AI4" s="538"/>
      <c r="AJ4" s="538"/>
      <c r="AK4" s="538"/>
      <c r="AL4" s="538"/>
      <c r="AM4" s="538"/>
      <c r="AN4" s="538"/>
      <c r="AO4" s="538"/>
    </row>
    <row r="5" spans="1:52" s="54" customFormat="1" ht="20.100000000000001" customHeight="1" x14ac:dyDescent="0.2">
      <c r="A5" s="61">
        <f>B14</f>
        <v>0</v>
      </c>
      <c r="B5" s="558" t="s">
        <v>72</v>
      </c>
      <c r="C5" s="559"/>
      <c r="D5" s="559"/>
      <c r="E5" s="56"/>
      <c r="F5" s="56"/>
      <c r="H5" s="62"/>
    </row>
    <row r="6" spans="1:52" s="54" customFormat="1" ht="20.100000000000001" customHeight="1" x14ac:dyDescent="0.2">
      <c r="A6" s="63">
        <f>IF(A7=TRUE,A14,A13)</f>
        <v>0</v>
      </c>
      <c r="B6" s="558" t="s">
        <v>73</v>
      </c>
      <c r="C6" s="559"/>
      <c r="D6" s="559"/>
      <c r="E6" s="56"/>
      <c r="F6" s="56"/>
      <c r="H6" s="62"/>
    </row>
    <row r="7" spans="1:52" hidden="1" x14ac:dyDescent="0.2">
      <c r="A7" s="78" t="b">
        <v>0</v>
      </c>
    </row>
    <row r="8" spans="1:52" x14ac:dyDescent="0.2">
      <c r="A8" s="34"/>
      <c r="B8" s="51"/>
      <c r="C8" s="51"/>
      <c r="D8" s="64"/>
      <c r="E8" s="64"/>
      <c r="F8" s="51"/>
      <c r="G8" s="51"/>
      <c r="H8" s="51"/>
      <c r="I8" s="51"/>
      <c r="J8" s="51"/>
    </row>
    <row r="9" spans="1:52" s="1" customFormat="1" x14ac:dyDescent="0.2">
      <c r="A9" s="65" t="s">
        <v>51</v>
      </c>
      <c r="B9" s="553">
        <v>1</v>
      </c>
      <c r="C9" s="554"/>
      <c r="D9" s="555"/>
      <c r="E9" s="66"/>
      <c r="F9" s="553">
        <f>B9+1</f>
        <v>2</v>
      </c>
      <c r="G9" s="554"/>
      <c r="H9" s="555"/>
      <c r="I9" s="66"/>
      <c r="J9" s="553">
        <f>F9+1</f>
        <v>3</v>
      </c>
      <c r="K9" s="554"/>
      <c r="L9" s="555"/>
      <c r="M9" s="66"/>
      <c r="N9" s="553">
        <f>J9+1</f>
        <v>4</v>
      </c>
      <c r="O9" s="554"/>
      <c r="P9" s="555"/>
      <c r="Q9" s="66"/>
      <c r="R9" s="553">
        <f>N9+1</f>
        <v>5</v>
      </c>
      <c r="S9" s="554"/>
      <c r="T9" s="555"/>
      <c r="U9" s="66"/>
      <c r="V9" s="553">
        <f>R9+1</f>
        <v>6</v>
      </c>
      <c r="W9" s="554"/>
      <c r="X9" s="555"/>
      <c r="Y9" s="66"/>
      <c r="Z9" s="553">
        <f>V9+1</f>
        <v>7</v>
      </c>
      <c r="AA9" s="554"/>
      <c r="AB9" s="555"/>
      <c r="AC9" s="66"/>
      <c r="AD9" s="553">
        <f>Z9+1</f>
        <v>8</v>
      </c>
      <c r="AE9" s="554"/>
      <c r="AF9" s="555"/>
      <c r="AG9" s="66"/>
      <c r="AH9" s="553">
        <f>AD9+1</f>
        <v>9</v>
      </c>
      <c r="AI9" s="554"/>
      <c r="AJ9" s="555"/>
      <c r="AK9" s="66"/>
      <c r="AL9" s="553">
        <f>AH9+1</f>
        <v>10</v>
      </c>
      <c r="AM9" s="554"/>
      <c r="AN9" s="555"/>
      <c r="AO9" s="66"/>
      <c r="AP9" s="553">
        <f>AL9+1</f>
        <v>11</v>
      </c>
      <c r="AQ9" s="554"/>
      <c r="AR9" s="555"/>
      <c r="AS9" s="66"/>
      <c r="AT9" s="553">
        <f>AP9+1</f>
        <v>12</v>
      </c>
      <c r="AU9" s="554"/>
      <c r="AV9" s="555"/>
      <c r="AW9" s="66"/>
      <c r="AX9" s="553">
        <f>AT9+1</f>
        <v>13</v>
      </c>
      <c r="AY9" s="554"/>
      <c r="AZ9" s="555"/>
    </row>
    <row r="10" spans="1:52" x14ac:dyDescent="0.2">
      <c r="A10" s="67" t="s">
        <v>70</v>
      </c>
      <c r="B10" s="68"/>
      <c r="C10" s="69"/>
      <c r="D10" s="546"/>
      <c r="E10" s="547"/>
      <c r="F10" s="548"/>
      <c r="G10" s="77"/>
      <c r="H10" s="546"/>
      <c r="I10" s="547"/>
      <c r="J10" s="548"/>
      <c r="K10" s="77"/>
      <c r="L10" s="546"/>
      <c r="M10" s="547"/>
      <c r="N10" s="548"/>
      <c r="O10" s="77"/>
      <c r="P10" s="546"/>
      <c r="Q10" s="547"/>
      <c r="R10" s="548"/>
      <c r="S10" s="77"/>
      <c r="T10" s="546"/>
      <c r="U10" s="547"/>
      <c r="V10" s="548"/>
      <c r="W10" s="77"/>
      <c r="X10" s="546"/>
      <c r="Y10" s="547"/>
      <c r="Z10" s="548"/>
      <c r="AA10" s="77"/>
      <c r="AB10" s="546"/>
      <c r="AC10" s="547"/>
      <c r="AD10" s="548"/>
      <c r="AE10" s="77"/>
      <c r="AF10" s="546"/>
      <c r="AG10" s="547"/>
      <c r="AH10" s="548"/>
      <c r="AI10" s="77"/>
      <c r="AJ10" s="546"/>
      <c r="AK10" s="547"/>
      <c r="AL10" s="548"/>
      <c r="AM10" s="77"/>
      <c r="AN10" s="546"/>
      <c r="AO10" s="547"/>
      <c r="AP10" s="548"/>
      <c r="AQ10" s="77"/>
      <c r="AR10" s="546"/>
      <c r="AS10" s="547"/>
      <c r="AT10" s="548"/>
      <c r="AU10" s="77"/>
      <c r="AV10" s="546"/>
      <c r="AW10" s="547"/>
      <c r="AX10" s="548"/>
      <c r="AY10" s="69"/>
      <c r="AZ10" s="1"/>
    </row>
    <row r="11" spans="1:52" x14ac:dyDescent="0.2">
      <c r="A11" s="65" t="s">
        <v>69</v>
      </c>
      <c r="B11" s="552"/>
      <c r="C11" s="547"/>
      <c r="D11" s="548"/>
      <c r="E11" s="77"/>
      <c r="F11" s="552"/>
      <c r="G11" s="547"/>
      <c r="H11" s="548"/>
      <c r="I11" s="77"/>
      <c r="J11" s="552"/>
      <c r="K11" s="547"/>
      <c r="L11" s="548"/>
      <c r="M11" s="77"/>
      <c r="N11" s="552"/>
      <c r="O11" s="547"/>
      <c r="P11" s="548"/>
      <c r="Q11" s="77"/>
      <c r="R11" s="552"/>
      <c r="S11" s="547"/>
      <c r="T11" s="548"/>
      <c r="U11" s="77"/>
      <c r="V11" s="552"/>
      <c r="W11" s="547"/>
      <c r="X11" s="548"/>
      <c r="Y11" s="77"/>
      <c r="Z11" s="552"/>
      <c r="AA11" s="547"/>
      <c r="AB11" s="548"/>
      <c r="AC11" s="77"/>
      <c r="AD11" s="552"/>
      <c r="AE11" s="547"/>
      <c r="AF11" s="548"/>
      <c r="AG11" s="77"/>
      <c r="AH11" s="552"/>
      <c r="AI11" s="547"/>
      <c r="AJ11" s="548"/>
      <c r="AK11" s="77"/>
      <c r="AL11" s="552"/>
      <c r="AM11" s="547"/>
      <c r="AN11" s="548"/>
      <c r="AO11" s="77"/>
      <c r="AP11" s="552"/>
      <c r="AQ11" s="547"/>
      <c r="AR11" s="548"/>
      <c r="AS11" s="77"/>
      <c r="AT11" s="552"/>
      <c r="AU11" s="547"/>
      <c r="AV11" s="548"/>
      <c r="AW11" s="77"/>
      <c r="AX11" s="552"/>
      <c r="AY11" s="547"/>
      <c r="AZ11" s="548"/>
    </row>
    <row r="12" spans="1:52" hidden="1" x14ac:dyDescent="0.2">
      <c r="A12" s="70">
        <f>IF(OR(C13=0,B13=0),0,C13/B13)</f>
        <v>0</v>
      </c>
      <c r="B12" s="49">
        <f>SUM(E12,I12,M12,Q12,U12,Y12,AC12,AG12,AK12,AO12,AS12,AW12)</f>
        <v>0</v>
      </c>
      <c r="C12" s="49">
        <f>SUM(G12,K12,O12,S12,W12,AA12,AE12,AI12,AM12,AQ12,AU12,AY12)</f>
        <v>0</v>
      </c>
      <c r="D12" s="49"/>
      <c r="E12" s="71">
        <f>IF($A$7=TRUE,D13+E13,D14+E14)</f>
        <v>0</v>
      </c>
      <c r="F12" s="72"/>
      <c r="G12" s="71">
        <f>IF($A$7=TRUE,F13+G13,F14+G14)</f>
        <v>0</v>
      </c>
      <c r="H12" s="72"/>
      <c r="I12" s="71">
        <f>IF($A$7=TRUE,H13+I13,H14+I14)</f>
        <v>0</v>
      </c>
      <c r="J12" s="72"/>
      <c r="K12" s="71">
        <f>IF($A$7=TRUE,J13+K13,J14+K14)</f>
        <v>0</v>
      </c>
      <c r="L12" s="72"/>
      <c r="M12" s="71">
        <f>IF($A$7=TRUE,L13+M13,L14+M14)</f>
        <v>0</v>
      </c>
      <c r="N12" s="72"/>
      <c r="O12" s="71">
        <f>IF($A$7=TRUE,N13+O13,N14+O14)</f>
        <v>0</v>
      </c>
      <c r="P12" s="72"/>
      <c r="Q12" s="71">
        <f>IF($A$7=TRUE,P13+Q13,P14+Q14)</f>
        <v>0</v>
      </c>
      <c r="R12" s="72"/>
      <c r="S12" s="71">
        <f>IF($A$7=TRUE,R13+S13,R14+S14)</f>
        <v>0</v>
      </c>
      <c r="T12" s="72"/>
      <c r="U12" s="71">
        <f>IF($A$7=TRUE,T13+U13,T14+U14)</f>
        <v>0</v>
      </c>
      <c r="V12" s="72"/>
      <c r="W12" s="71">
        <f>IF($A$7=TRUE,V13+W13,V14+W14)</f>
        <v>0</v>
      </c>
      <c r="X12" s="72"/>
      <c r="Y12" s="71">
        <f>IF($A$7=TRUE,X13+Y13,X14+Y14)</f>
        <v>0</v>
      </c>
      <c r="Z12" s="72"/>
      <c r="AA12" s="71">
        <f>IF($A$7=TRUE,Z13+AA13,Z14+AA14)</f>
        <v>0</v>
      </c>
      <c r="AB12" s="72"/>
      <c r="AC12" s="71">
        <f>IF($A$7=TRUE,AB13+AC13,AB14+AC14)</f>
        <v>0</v>
      </c>
      <c r="AD12" s="72"/>
      <c r="AE12" s="71">
        <f>IF($A$7=TRUE,AD13+AE13,AD14+AE14)</f>
        <v>0</v>
      </c>
      <c r="AF12" s="72"/>
      <c r="AG12" s="71">
        <f>IF($A$7=TRUE,AF13+AG13,AF14+AG14)</f>
        <v>0</v>
      </c>
      <c r="AH12" s="72"/>
      <c r="AI12" s="71">
        <f>IF($A$7=TRUE,AH13+AI13,AH14+AI14)</f>
        <v>0</v>
      </c>
      <c r="AJ12" s="72"/>
      <c r="AK12" s="71">
        <f>IF($A$7=TRUE,AJ13+AK13,AJ14+AK14)</f>
        <v>0</v>
      </c>
      <c r="AL12" s="72"/>
      <c r="AM12" s="71">
        <f>IF($A$7=TRUE,AL13+AM13,AL14+AM14)</f>
        <v>0</v>
      </c>
      <c r="AN12" s="72"/>
      <c r="AO12" s="71">
        <f>IF($A$7=TRUE,AN13+AO13,AN14+AO14)</f>
        <v>0</v>
      </c>
      <c r="AP12" s="72"/>
      <c r="AQ12" s="71">
        <f>IF($A$7=TRUE,AP13+AQ13,AP14+AQ14)</f>
        <v>0</v>
      </c>
      <c r="AR12" s="72"/>
      <c r="AS12" s="71">
        <f>IF($A$7=TRUE,AR13+AS13,AR14+AS14)</f>
        <v>0</v>
      </c>
      <c r="AT12" s="72"/>
      <c r="AU12" s="71">
        <f>IF($A$7=TRUE,AT13+AU13,AT14+AU14)</f>
        <v>0</v>
      </c>
      <c r="AV12" s="72"/>
      <c r="AW12" s="71">
        <f>IF($A$7=TRUE,AV13+AW13,AV14+AW14)</f>
        <v>0</v>
      </c>
      <c r="AX12" s="72"/>
      <c r="AY12" s="71">
        <f>IF($A$7=TRUE,AX13+AY13,AX14+AY14)</f>
        <v>0</v>
      </c>
    </row>
    <row r="13" spans="1:52" hidden="1" x14ac:dyDescent="0.2">
      <c r="A13" s="70">
        <f>IF(A12&gt;30,1,A12/30)</f>
        <v>0</v>
      </c>
      <c r="B13" s="49">
        <f>B12+B55+B98</f>
        <v>0</v>
      </c>
      <c r="C13" s="49">
        <f>C12+C55+C98</f>
        <v>0</v>
      </c>
      <c r="D13" s="72">
        <f>IF(AND(F11&gt;60,B11&gt;=20,B11&lt;=60),E30,IF(AND(B11&gt;60,F11&gt;=20,F11&lt;=60),E32,0))</f>
        <v>0</v>
      </c>
      <c r="E13" s="72">
        <f>IF(AND(B11&lt;=60,F11&lt;=60,B11&gt;=20,F11&gt;=20),E16,IF(AND(B11&lt;20,F11&lt;20),E18,IF(AND(B11&gt;60,F11&gt;60),E20,IF(AND(B11&lt;20,F11&gt;60),E22,IF(AND(F11&lt;20,B11&gt;60),E24,IF(AND(B11&lt;20,F11&gt;=20,F11&lt;=60),E26,IF(AND(F11&lt;20,B11&gt;=20,B11&lt;=60),E28,0)))))))</f>
        <v>0</v>
      </c>
      <c r="F13" s="72">
        <f>IF(AND(F11&gt;60,B11&gt;=20,B11&lt;=60),F30,IF(AND(B11&gt;60,F11&gt;=20,F11&lt;=60),F32,0))</f>
        <v>0</v>
      </c>
      <c r="G13" s="72">
        <f>IF(AND(B11&lt;=60,F11&lt;=60,B11&gt;=20,F11&gt;=20),F16,IF(AND(B11&lt;20,F11&lt;20),F18,IF(AND(B11&gt;60,F11&gt;60),F20,IF(AND(B11&lt;20,F11&gt;60),F22,IF(AND(F11&lt;20,B11&gt;60),F24,IF(AND(B11&lt;20,F11&gt;=20,F11&lt;=60),F26,IF(AND(F11&lt;20,B11&gt;=20,B11&lt;=60),F28,0)))))))</f>
        <v>0</v>
      </c>
      <c r="H13" s="72">
        <f>IF(AND(J11&gt;60,F11&gt;=20,F11&lt;=60),I30,IF(AND(F11&gt;60,J11&gt;=20,J11&lt;=60),I32,0))</f>
        <v>0</v>
      </c>
      <c r="I13" s="72">
        <f>IF(AND(F11&lt;=60,J11&lt;=60,F11&gt;=20,J11&gt;=20),I16,IF(AND(F11&lt;20,J11&lt;20),I18,IF(AND(F11&gt;60,J11&gt;60),I20,IF(AND(F11&lt;20,J11&gt;60),I22,IF(AND(J11&lt;20,F11&gt;60),I24,IF(AND(F11&lt;20,J11&gt;=20,J11&lt;=60),I26,IF(AND(J11&lt;20,F11&gt;=20,F11&lt;=60),I28,0)))))))</f>
        <v>0</v>
      </c>
      <c r="J13" s="72">
        <f>IF(AND(J11&gt;60,F11&gt;=20,F11&lt;=60),J30,IF(AND(F11&gt;60,J11&gt;=20,J11&lt;=60),J32,0))</f>
        <v>0</v>
      </c>
      <c r="K13" s="72">
        <f>IF(AND(F11&lt;=60,J11&lt;=60,F11&gt;=20,J11&gt;=20),J16,IF(AND(F11&lt;20,J11&lt;20),J18,IF(AND(F11&gt;60,J11&gt;60),J20,IF(AND(F11&lt;20,J11&gt;60),J22,IF(AND(J11&lt;20,F11&gt;60),J24,IF(AND(F11&lt;20,J11&gt;=20,J11&lt;=60),J26,IF(AND(J11&lt;20,F11&gt;=20,F11&lt;=60),J28,0)))))))</f>
        <v>0</v>
      </c>
      <c r="L13" s="72">
        <f>IF(AND(N11&gt;60,J11&gt;=20,J11&lt;=60),M30,IF(AND(J11&gt;60,N11&gt;=20,N11&lt;=60),M32,0))</f>
        <v>0</v>
      </c>
      <c r="M13" s="72">
        <f>IF(AND(J11&lt;=60,N11&lt;=60,J11&gt;=20,N11&gt;=20),M16,IF(AND(J11&lt;20,N11&lt;20),M18,IF(AND(J11&gt;60,N11&gt;60),M20,IF(AND(J11&lt;20,N11&gt;60),M22,IF(AND(N11&lt;20,J11&gt;60),M24,IF(AND(J11&lt;20,N11&gt;=20,N11&lt;=60),M26,IF(AND(N11&lt;20,J11&gt;=20,J11&lt;=60),M28,0)))))))</f>
        <v>0</v>
      </c>
      <c r="N13" s="72">
        <f>IF(AND(N11&gt;60,J11&gt;=20,J11&lt;=60),N30,IF(AND(J11&gt;60,N11&gt;=20,N11&lt;=60),N32,0))</f>
        <v>0</v>
      </c>
      <c r="O13" s="72">
        <f>IF(AND(J11&lt;=60,N11&lt;=60,J11&gt;=20,N11&gt;=20),N16,IF(AND(J11&lt;20,N11&lt;20),N18,IF(AND(J11&gt;60,N11&gt;60),N20,IF(AND(J11&lt;20,N11&gt;60),N22,IF(AND(N11&lt;20,J11&gt;60),N24,IF(AND(J11&lt;20,N11&gt;=20,N11&lt;=60),N26,IF(AND(N11&lt;20,J11&gt;=20,J11&lt;=60),N28,0)))))))</f>
        <v>0</v>
      </c>
      <c r="P13" s="72">
        <f>IF(AND(R11&gt;60,N11&gt;=20,N11&lt;=60),Q30,IF(AND(N11&gt;60,R11&gt;=20,R11&lt;=60),Q32,0))</f>
        <v>0</v>
      </c>
      <c r="Q13" s="72">
        <f>IF(AND(N11&lt;=60,R11&lt;=60,N11&gt;=20,R11&gt;=20),Q16,IF(AND(N11&lt;20,R11&lt;20),Q18,IF(AND(N11&gt;60,R11&gt;60),Q20,IF(AND(N11&lt;20,R11&gt;60),Q22,IF(AND(R11&lt;20,N11&gt;60),Q24,IF(AND(N11&lt;20,R11&gt;=20,R11&lt;=60),Q26,IF(AND(R11&lt;20,N11&gt;=20,N11&lt;=60),Q28,0)))))))</f>
        <v>0</v>
      </c>
      <c r="R13" s="72">
        <f>IF(AND(R11&gt;60,N11&gt;=20,N11&lt;=60),R30,IF(AND(N11&gt;60,R11&gt;=20,R11&lt;=60),R32,0))</f>
        <v>0</v>
      </c>
      <c r="S13" s="72">
        <f>IF(AND(N11&lt;=60,R11&lt;=60,N11&gt;=20,R11&gt;=20),R16,IF(AND(N11&lt;20,R11&lt;20),R18,IF(AND(N11&gt;60,R11&gt;60),R20,IF(AND(N11&lt;20,R11&gt;60),R22,IF(AND(R11&lt;20,N11&gt;60),R24,IF(AND(N11&lt;20,R11&gt;=20,R11&lt;=60),R26,IF(AND(R11&lt;20,N11&gt;=20,N11&lt;=60),R28,0)))))))</f>
        <v>0</v>
      </c>
      <c r="T13" s="72">
        <f>IF(AND(V11&gt;60,R11&gt;=20,R11&lt;=60),U30,IF(AND(R11&gt;60,V11&gt;=20,V11&lt;=60),U32,0))</f>
        <v>0</v>
      </c>
      <c r="U13" s="72">
        <f>IF(AND(R11&lt;=60,V11&lt;=60,R11&gt;=20,V11&gt;=20),U16,IF(AND(R11&lt;20,V11&lt;20),U18,IF(AND(R11&gt;60,V11&gt;60),U20,IF(AND(R11&lt;20,V11&gt;60),U22,IF(AND(V11&lt;20,R11&gt;60),U24,IF(AND(R11&lt;20,V11&gt;=20,V11&lt;=60),U26,IF(AND(V11&lt;20,R11&gt;=20,R11&lt;=60),U28,0)))))))</f>
        <v>0</v>
      </c>
      <c r="V13" s="72">
        <f>IF(AND(V11&gt;60,R11&gt;=20,R11&lt;=60),V30,IF(AND(R11&gt;60,V11&gt;=20,V11&lt;=60),V32,0))</f>
        <v>0</v>
      </c>
      <c r="W13" s="72">
        <f>IF(AND(R11&lt;=60,V11&lt;=60,R11&gt;=20,V11&gt;=20),V16,IF(AND(R11&lt;20,V11&lt;20),V18,IF(AND(R11&gt;60,V11&gt;60),V20,IF(AND(R11&lt;20,V11&gt;60),V22,IF(AND(V11&lt;20,R11&gt;60),V24,IF(AND(R11&lt;20,V11&gt;=20,V11&lt;=60),V26,IF(AND(V11&lt;20,R11&gt;=20,R11&lt;=60),V28,0)))))))</f>
        <v>0</v>
      </c>
      <c r="X13" s="72">
        <f>IF(AND(Z11&gt;60,V11&gt;=20,V11&lt;=60),Y30,IF(AND(V11&gt;60,Z11&gt;=20,Z11&lt;=60),Y32,0))</f>
        <v>0</v>
      </c>
      <c r="Y13" s="72">
        <f>IF(AND(V11&lt;=60,Z11&lt;=60,V11&gt;=20,Z11&gt;=20),Y16,IF(AND(V11&lt;20,Z11&lt;20),Y18,IF(AND(V11&gt;60,Z11&gt;60),Y20,IF(AND(V11&lt;20,Z11&gt;60),Y22,IF(AND(Z11&lt;20,V11&gt;60),Y24,IF(AND(V11&lt;20,Z11&gt;=20,Z11&lt;=60),Y26,IF(AND(Z11&lt;20,V11&gt;=20,V11&lt;=60),Y28,0)))))))</f>
        <v>0</v>
      </c>
      <c r="Z13" s="72">
        <f>IF(AND(Z11&gt;60,V11&gt;=20,V11&lt;=60),Z30,IF(AND(V11&gt;60,Z11&gt;=20,Z11&lt;=60),Z32,0))</f>
        <v>0</v>
      </c>
      <c r="AA13" s="72">
        <f>IF(AND(V11&lt;=60,Z11&lt;=60,V11&gt;=20,Z11&gt;=20),Z16,IF(AND(V11&lt;20,Z11&lt;20),Z18,IF(AND(V11&gt;60,Z11&gt;60),Z20,IF(AND(V11&lt;20,Z11&gt;60),Z22,IF(AND(Z11&lt;20,V11&gt;60),Z24,IF(AND(V11&lt;20,Z11&gt;=20,Z11&lt;=60),Z26,IF(AND(Z11&lt;20,V11&gt;=20,V11&lt;=60),Z28,0)))))))</f>
        <v>0</v>
      </c>
      <c r="AB13" s="72">
        <f>IF(AND(AD11&gt;60,Z11&gt;=20,Z11&lt;=60),AC30,IF(AND(Z11&gt;60,AD11&gt;=20,AD11&lt;=60),AC32,0))</f>
        <v>0</v>
      </c>
      <c r="AC13" s="72">
        <f>IF(AND(Z11&lt;=60,AD11&lt;=60,Z11&gt;=20,AD11&gt;=20),AC16,IF(AND(Z11&lt;20,AD11&lt;20),AC18,IF(AND(Z11&gt;60,AD11&gt;60),AC20,IF(AND(Z11&lt;20,AD11&gt;60),AC22,IF(AND(AD11&lt;20,Z11&gt;60),AC24,IF(AND(Z11&lt;20,AD11&gt;=20,AD11&lt;=60),AC26,IF(AND(AD11&lt;20,Z11&gt;=20,Z11&lt;=60),AC28,0)))))))</f>
        <v>0</v>
      </c>
      <c r="AD13" s="72">
        <f>IF(AND(AD11&gt;60,Z11&gt;=20,Z11&lt;=60),AD30,IF(AND(Z11&gt;60,AD11&gt;=20,AD11&lt;=60),AD32,0))</f>
        <v>0</v>
      </c>
      <c r="AE13" s="72">
        <f>IF(AND(Z11&lt;=60,AD11&lt;=60,Z11&gt;=20,AD11&gt;=20),AD16,IF(AND(Z11&lt;20,AD11&lt;20),AD18,IF(AND(Z11&gt;60,AD11&gt;60),AD20,IF(AND(Z11&lt;20,AD11&gt;60),AD22,IF(AND(AD11&lt;20,Z11&gt;60),AD24,IF(AND(Z11&lt;20,AD11&gt;=20,AD11&lt;=60),AD26,IF(AND(AD11&lt;20,Z11&gt;=20,Z11&lt;=60),AD28,0)))))))</f>
        <v>0</v>
      </c>
      <c r="AF13" s="72">
        <f>IF(AND(AH11&gt;60,AD11&gt;=20,AD11&lt;=60),AG30,IF(AND(AD11&gt;60,AH11&gt;=20,AH11&lt;=60),AG32,0))</f>
        <v>0</v>
      </c>
      <c r="AG13" s="72">
        <f>IF(AND(AD11&lt;=60,AH11&lt;=60,AD11&gt;=20,AH11&gt;=20),AG16,IF(AND(AD11&lt;20,AH11&lt;20),AG18,IF(AND(AD11&gt;60,AH11&gt;60),AG20,IF(AND(AD11&lt;20,AH11&gt;60),AG22,IF(AND(AH11&lt;20,AD11&gt;60),AG24,IF(AND(AD11&lt;20,AH11&gt;=20,AH11&lt;=60),AG26,IF(AND(AH11&lt;20,AD11&gt;=20,AD11&lt;=60),AG28,0)))))))</f>
        <v>0</v>
      </c>
      <c r="AH13" s="72">
        <f>IF(AND(AH11&gt;60,AD11&gt;=20,AD11&lt;=60),AH30,IF(AND(AD11&gt;60,AH11&gt;=20,AH11&lt;=60),AH32,0))</f>
        <v>0</v>
      </c>
      <c r="AI13" s="72">
        <f>IF(AND(AD11&lt;=60,AH11&lt;=60,AD11&gt;=20,AH11&gt;=20),AH16,IF(AND(AD11&lt;20,AH11&lt;20),AH18,IF(AND(AD11&gt;60,AH11&gt;60),AH20,IF(AND(AD11&lt;20,AH11&gt;60),AH22,IF(AND(AH11&lt;20,AD11&gt;60),AH24,IF(AND(AD11&lt;20,AH11&gt;=20,AH11&lt;=60),AH26,IF(AND(AH11&lt;20,AD11&gt;=20,AD11&lt;=60),AH28,0)))))))</f>
        <v>0</v>
      </c>
      <c r="AJ13" s="72">
        <f>IF(AND(AL11&gt;60,AH11&gt;=20,AH11&lt;=60),AK30,IF(AND(AH11&gt;60,AL11&gt;=20,AL11&lt;=60),AK32,0))</f>
        <v>0</v>
      </c>
      <c r="AK13" s="72">
        <f>IF(AND(AH11&lt;=60,AL11&lt;=60,AH11&gt;=20,AL11&gt;=20),AK16,IF(AND(AH11&lt;20,AL11&lt;20),AK18,IF(AND(AH11&gt;60,AL11&gt;60),AK20,IF(AND(AH11&lt;20,AL11&gt;60),AK22,IF(AND(AL11&lt;20,AH11&gt;60),AK24,IF(AND(AH11&lt;20,AL11&gt;=20,AL11&lt;=60),AK26,IF(AND(AL11&lt;20,AH11&gt;=20,AH11&lt;=60),AK28,0)))))))</f>
        <v>0</v>
      </c>
      <c r="AL13" s="72">
        <f>IF(AND(AL11&gt;60,AH11&gt;=20,AH11&lt;=60),AL30,IF(AND(AH11&gt;60,AL11&gt;=20,AL11&lt;=60),AL32,0))</f>
        <v>0</v>
      </c>
      <c r="AM13" s="72">
        <f>IF(AND(AH11&lt;=60,AL11&lt;=60,AH11&gt;=20,AL11&gt;=20),AL16,IF(AND(AH11&lt;20,AL11&lt;20),AL18,IF(AND(AH11&gt;60,AL11&gt;60),AL20,IF(AND(AH11&lt;20,AL11&gt;60),AL22,IF(AND(AL11&lt;20,AH11&gt;60),AL24,IF(AND(AH11&lt;20,AL11&gt;=20,AL11&lt;=60),AL26,IF(AND(AL11&lt;20,AH11&gt;=20,AH11&lt;=60),AL28,0)))))))</f>
        <v>0</v>
      </c>
      <c r="AN13" s="72">
        <f>IF(AND(AP11&gt;60,AL11&gt;=20,AL11&lt;=60),AO30,IF(AND(AL11&gt;60,AP11&gt;=20,AP11&lt;=60),AO32,0))</f>
        <v>0</v>
      </c>
      <c r="AO13" s="72">
        <f>IF(AND(AL11&lt;=60,AP11&lt;=60,AL11&gt;=20,AP11&gt;=20),AO16,IF(AND(AL11&lt;20,AP11&lt;20),AO18,IF(AND(AL11&gt;60,AP11&gt;60),AO20,IF(AND(AL11&lt;20,AP11&gt;60),AO22,IF(AND(AP11&lt;20,AL11&gt;60),AO24,IF(AND(AL11&lt;20,AP11&gt;=20,AP11&lt;=60),AO26,IF(AND(AP11&lt;20,AL11&gt;=20,AL11&lt;=60),AO28,0)))))))</f>
        <v>0</v>
      </c>
      <c r="AP13" s="72">
        <f>IF(AND(AP11&gt;60,AL11&gt;=20,AL11&lt;=60),AP30,IF(AND(AL11&gt;60,AP11&gt;=20,AP11&lt;=60),AP32,0))</f>
        <v>0</v>
      </c>
      <c r="AQ13" s="72">
        <f>IF(AND(AL11&lt;=60,AP11&lt;=60,AL11&gt;=20,AP11&gt;=20),AP16,IF(AND(AL11&lt;20,AP11&lt;20),AP18,IF(AND(AL11&gt;60,AP11&gt;60),AP20,IF(AND(AL11&lt;20,AP11&gt;60),AP22,IF(AND(AP11&lt;20,AL11&gt;60),AP24,IF(AND(AL11&lt;20,AP11&gt;=20,AP11&lt;=60),AP26,IF(AND(AP11&lt;20,AL11&gt;=20,AL11&lt;=60),AP28,0)))))))</f>
        <v>0</v>
      </c>
      <c r="AR13" s="72">
        <f>IF(AND(AT11&gt;60,AP11&gt;=20,AP11&lt;=60),AS30,IF(AND(AP11&gt;60,AT11&gt;=20,AT11&lt;=60),AS32,0))</f>
        <v>0</v>
      </c>
      <c r="AS13" s="72">
        <f>IF(AND(AP11&lt;=60,AT11&lt;=60,AP11&gt;=20,AT11&gt;=20),AS16,IF(AND(AP11&lt;20,AT11&lt;20),AS18,IF(AND(AP11&gt;60,AT11&gt;60),AS20,IF(AND(AP11&lt;20,AT11&gt;60),AS22,IF(AND(AT11&lt;20,AP11&gt;60),AS24,IF(AND(AP11&lt;20,AT11&gt;=20,AT11&lt;=60),AS26,IF(AND(AT11&lt;20,AP11&gt;=20,AP11&lt;=60),AS28,0)))))))</f>
        <v>0</v>
      </c>
      <c r="AT13" s="72">
        <f>IF(AND(AT11&gt;60,AP11&gt;=20,AP11&lt;=60),AT30,IF(AND(AP11&gt;60,AT11&gt;=20,AT11&lt;=60),AT32,0))</f>
        <v>0</v>
      </c>
      <c r="AU13" s="72">
        <f>IF(AND(AP11&lt;=60,AT11&lt;=60,AP11&gt;=20,AT11&gt;=20),AT16,IF(AND(AP11&lt;20,AT11&lt;20),AT18,IF(AND(AP11&gt;60,AT11&gt;60),AT20,IF(AND(AP11&lt;20,AT11&gt;60),AT22,IF(AND(AT11&lt;20,AP11&gt;60),AT24,IF(AND(AP11&lt;20,AT11&gt;=20,AT11&lt;=60),AT26,IF(AND(AT11&lt;20,AP11&gt;=20,AP11&lt;=60),AT28,0)))))))</f>
        <v>0</v>
      </c>
      <c r="AV13" s="72">
        <f>IF(AND(AX11&gt;60,AT11&gt;=20,AT11&lt;=60),AW30,IF(AND(AT11&gt;60,AX11&gt;=20,AX11&lt;=60),AW32,0))</f>
        <v>0</v>
      </c>
      <c r="AW13" s="72">
        <f>IF(AND(AT11&lt;=60,AX11&lt;=60,AT11&gt;=20,AX11&gt;=20),AW16,IF(AND(AT11&lt;20,AX11&lt;20),AW18,IF(AND(AT11&gt;60,AX11&gt;60),AW20,IF(AND(AT11&lt;20,AX11&gt;60),AW22,IF(AND(AX11&lt;20,AT11&gt;60),AW24,IF(AND(AT11&lt;20,AX11&gt;=20,AX11&lt;=60),AW26,IF(AND(AX11&lt;20,AT11&gt;=20,AT11&lt;=60),AW28,0)))))))</f>
        <v>0</v>
      </c>
      <c r="AX13" s="72">
        <f>IF(AND(AX11&gt;60,AT11&gt;=20,AT11&lt;=60),AX30,IF(AND(AT11&gt;60,AX11&gt;=20,AX11&lt;=60),AX32,0))</f>
        <v>0</v>
      </c>
      <c r="AY13" s="72">
        <f>IF(AND(AT11&lt;=60,AX11&lt;=60,AT11&gt;=20,AX11&gt;=20),AX16,IF(AND(AT11&lt;20,AX11&lt;20),AX18,IF(AND(AT11&gt;60,AX11&gt;60),AX20,IF(AND(AT11&lt;20,AX11&gt;60),AX22,IF(AND(AX11&lt;20,AT11&gt;60),AX24,IF(AND(AT11&lt;20,AX11&gt;=20,AX11&lt;=60),AX26,IF(AND(AX11&lt;20,AT11&gt;=20,AT11&lt;=60),AX28,0)))))))</f>
        <v>0</v>
      </c>
    </row>
    <row r="14" spans="1:52" hidden="1" x14ac:dyDescent="0.2">
      <c r="A14" s="70">
        <f>IF(A12&gt;60,2,A12/30)</f>
        <v>0</v>
      </c>
      <c r="B14" s="49">
        <f>(C14+C57+C100)</f>
        <v>0</v>
      </c>
      <c r="C14" s="49">
        <f>SUM(D10,H10,L10,P10,T10,X10,AB10,AF10,AJ10,AN10,AR10,AV10)</f>
        <v>0</v>
      </c>
      <c r="D14" s="72">
        <f>IF(AND(F11&gt;30,B11&gt;=20,B11&lt;=30),E48,IF(AND(B11&gt;30,F11&gt;=20,F11&lt;=30),E50,0))</f>
        <v>0</v>
      </c>
      <c r="E14" s="72">
        <f>IF(AND(B11&lt;=30,F11&lt;=30,B11&gt;=20,F11&gt;=20),E34,IF(AND(B11&lt;20,F11&lt;20),E36,IF(AND(B11&gt;30,F11&gt;30),E38,IF(AND(B11&lt;20,F11&gt;30),E40,IF(AND(F11&lt;20,B11&gt;30),E42,IF(AND(B11&lt;20,F11&gt;=20,F11&lt;=30),E44,IF(AND(F11&lt;20,B11&gt;=20,B11&lt;=30),E46,0)))))))</f>
        <v>0</v>
      </c>
      <c r="F14" s="72">
        <f>IF(AND(F11&gt;30,B11&gt;=20,B11&lt;=30),F48,IF(AND(B11&gt;30,F11&gt;=20,F11&lt;=30),F50,0))</f>
        <v>0</v>
      </c>
      <c r="G14" s="72">
        <f>IF(AND(B11&lt;=30,F11&lt;=30,B11&gt;=20,F11&gt;=20),F34,IF(AND(B11&lt;20,F11&lt;20),F36,IF(AND(B11&gt;30,F11&gt;30),F38,IF(AND(B11&lt;20,F11&gt;30),F40,IF(AND(F11&lt;20,B11&gt;30),F42,IF(AND(B11&lt;20,F11&gt;=20,F11&lt;=30),F44,IF(AND(F11&lt;20,B11&gt;=20,B11&lt;=30),F46,0)))))))</f>
        <v>0</v>
      </c>
      <c r="H14" s="72">
        <f>IF(AND(J11&gt;30,F11&gt;=20,F11&lt;=30),I48,IF(AND(F11&gt;30,J11&gt;=20,J11&lt;=30),I50,0))</f>
        <v>0</v>
      </c>
      <c r="I14" s="72">
        <f>IF(AND(F11&lt;=30,J11&lt;=30,F11&gt;=20,J11&gt;=20),I34,IF(AND(F11&lt;20,J11&lt;20),I36,IF(AND(F11&gt;30,J11&gt;30),I38,IF(AND(F11&lt;20,J11&gt;30),I40,IF(AND(J11&lt;20,F11&gt;30),I42,IF(AND(F11&lt;20,J11&gt;=20,J11&lt;=30),I44,IF(AND(J11&lt;20,F11&gt;=20,F11&lt;=30),I46,0)))))))</f>
        <v>0</v>
      </c>
      <c r="J14" s="72">
        <f>IF(AND(J11&gt;30,F11&gt;=20,F11&lt;=30),J48,IF(AND(F11&gt;30,J11&gt;=20,J11&lt;=30),J50,0))</f>
        <v>0</v>
      </c>
      <c r="K14" s="72">
        <f>IF(AND(F11&lt;=30,J11&lt;=30,F11&gt;=20,J11&gt;=20),J34,IF(AND(F11&lt;20,J11&lt;20),J36,IF(AND(F11&gt;30,J11&gt;30),J38,IF(AND(F11&lt;20,J11&gt;30),J40,IF(AND(J11&lt;20,F11&gt;30),J42,IF(AND(F11&lt;20,J11&gt;=20,J11&lt;=30),J44,IF(AND(J11&lt;20,F11&gt;=20,F11&lt;=30),J46,0)))))))</f>
        <v>0</v>
      </c>
      <c r="L14" s="72">
        <f>IF(AND(N11&gt;30,J11&gt;=20,J11&lt;=30),M48,IF(AND(J11&gt;30,N11&gt;=20,N11&lt;=30),M50,0))</f>
        <v>0</v>
      </c>
      <c r="M14" s="72">
        <f>IF(AND(J11&lt;=30,N11&lt;=30,J11&gt;=20,N11&gt;=20),M34,IF(AND(J11&lt;20,N11&lt;20),M36,IF(AND(J11&gt;30,N11&gt;30),M38,IF(AND(J11&lt;20,N11&gt;30),M40,IF(AND(N11&lt;20,J11&gt;30),M42,IF(AND(J11&lt;20,N11&gt;=20,N11&lt;=30),M44,IF(AND(N11&lt;20,J11&gt;=20,J11&lt;=30),M46,0)))))))</f>
        <v>0</v>
      </c>
      <c r="N14" s="72">
        <f>IF(AND(N11&gt;30,J11&gt;=20,J11&lt;=30),N48,IF(AND(J11&gt;30,N11&gt;=20,N11&lt;=30),N50,0))</f>
        <v>0</v>
      </c>
      <c r="O14" s="72">
        <f>IF(AND(J11&lt;=30,N11&lt;=30,J11&gt;=20,N11&gt;=20),N34,IF(AND(J11&lt;20,N11&lt;20),N36,IF(AND(J11&gt;30,N11&gt;30),N38,IF(AND(J11&lt;20,N11&gt;30),N40,IF(AND(N11&lt;20,J11&gt;30),N42,IF(AND(J11&lt;20,N11&gt;=20,N11&lt;=30),N44,IF(AND(N11&lt;20,J11&gt;=20,J11&lt;=30),N46,0)))))))</f>
        <v>0</v>
      </c>
      <c r="P14" s="72">
        <f>IF(AND(R11&gt;30,N11&gt;=20,N11&lt;=30),Q48,IF(AND(N11&gt;30,R11&gt;=20,R11&lt;=30),Q50,0))</f>
        <v>0</v>
      </c>
      <c r="Q14" s="72">
        <f>IF(AND(N11&lt;=30,R11&lt;=30,N11&gt;=20,R11&gt;=20),Q34,IF(AND(N11&lt;20,R11&lt;20),Q36,IF(AND(N11&gt;30,R11&gt;30),Q38,IF(AND(N11&lt;20,R11&gt;30),Q40,IF(AND(R11&lt;20,N11&gt;30),Q42,IF(AND(N11&lt;20,R11&gt;=20,R11&lt;=30),Q44,IF(AND(R11&lt;20,N11&gt;=20,N11&lt;=30),Q46,0)))))))</f>
        <v>0</v>
      </c>
      <c r="R14" s="72">
        <f>IF(AND(R11&gt;30,N11&gt;=20,N11&lt;=30),R48,IF(AND(N11&gt;30,R11&gt;=20,R11&lt;=30),R50,0))</f>
        <v>0</v>
      </c>
      <c r="S14" s="72">
        <f>IF(AND(N11&lt;=30,R11&lt;=30,N11&gt;=20,R11&gt;=20),R34,IF(AND(N11&lt;20,R11&lt;20),R36,IF(AND(N11&gt;30,R11&gt;30),R38,IF(AND(N11&lt;20,R11&gt;30),R40,IF(AND(R11&lt;20,N11&gt;30),R42,IF(AND(N11&lt;20,R11&gt;=20,R11&lt;=30),R44,IF(AND(R11&lt;20,N11&gt;=20,N11&lt;=30),R46,0)))))))</f>
        <v>0</v>
      </c>
      <c r="T14" s="72">
        <f>IF(AND(V11&gt;30,R11&gt;=20,R11&lt;=30),U48,IF(AND(R11&gt;30,V11&gt;=20,V11&lt;=30),U50,0))</f>
        <v>0</v>
      </c>
      <c r="U14" s="72">
        <f>IF(AND(R11&lt;=30,V11&lt;=30,R11&gt;=20,V11&gt;=20),U34,IF(AND(R11&lt;20,V11&lt;20),U36,IF(AND(R11&gt;30,V11&gt;30),U38,IF(AND(R11&lt;20,V11&gt;30),U40,IF(AND(V11&lt;20,R11&gt;30),U42,IF(AND(R11&lt;20,V11&gt;=20,V11&lt;=30),U44,IF(AND(V11&lt;20,R11&gt;=20,R11&lt;=30),U46,0)))))))</f>
        <v>0</v>
      </c>
      <c r="V14" s="72">
        <f>IF(AND(V11&gt;30,R11&gt;=20,R11&lt;=30),V48,IF(AND(R11&gt;30,V11&gt;=20,V11&lt;=30),V50,0))</f>
        <v>0</v>
      </c>
      <c r="W14" s="72">
        <f>IF(AND(R11&lt;=30,V11&lt;=30,R11&gt;=20,V11&gt;=20),V34,IF(AND(R11&lt;20,V11&lt;20),V36,IF(AND(R11&gt;30,V11&gt;30),V38,IF(AND(R11&lt;20,V11&gt;30),V40,IF(AND(V11&lt;20,R11&gt;30),V42,IF(AND(R11&lt;20,V11&gt;=20,V11&lt;=30),V44,IF(AND(V11&lt;20,R11&gt;=20,R11&lt;=30),V46,0)))))))</f>
        <v>0</v>
      </c>
      <c r="X14" s="72">
        <f>IF(AND(Z11&gt;30,V11&gt;=20,V11&lt;=30),Y48,IF(AND(V11&gt;30,Z11&gt;=20,Z11&lt;=30),Y50,0))</f>
        <v>0</v>
      </c>
      <c r="Y14" s="72">
        <f>IF(AND(V11&lt;=30,Z11&lt;=30,V11&gt;=20,Z11&gt;=20),Y34,IF(AND(V11&lt;20,Z11&lt;20),Y36,IF(AND(V11&gt;30,Z11&gt;30),Y38,IF(AND(V11&lt;20,Z11&gt;30),Y40,IF(AND(Z11&lt;20,V11&gt;30),Y42,IF(AND(V11&lt;20,Z11&gt;=20,Z11&lt;=30),Y44,IF(AND(Z11&lt;20,V11&gt;=20,V11&lt;=30),Y46,0)))))))</f>
        <v>0</v>
      </c>
      <c r="Z14" s="72">
        <f>IF(AND(Z11&gt;30,V11&gt;=20,V11&lt;=30),Z48,IF(AND(V11&gt;30,Z11&gt;=20,Z11&lt;=30),Z50,0))</f>
        <v>0</v>
      </c>
      <c r="AA14" s="72">
        <f>IF(AND(V11&lt;=30,Z11&lt;=30,V11&gt;=20,Z11&gt;=20),Z34,IF(AND(V11&lt;20,Z11&lt;20),Z36,IF(AND(V11&gt;30,Z11&gt;30),Z38,IF(AND(V11&lt;20,Z11&gt;30),Z40,IF(AND(Z11&lt;20,V11&gt;30),Z42,IF(AND(V11&lt;20,Z11&gt;=20,Z11&lt;=30),Z44,IF(AND(Z11&lt;20,V11&gt;=20,V11&lt;=30),Z46,0)))))))</f>
        <v>0</v>
      </c>
      <c r="AB14" s="72">
        <f>IF(AND(AD11&gt;30,Z11&gt;=20,Z11&lt;=30),AC48,IF(AND(Z11&gt;30,AD11&gt;=20,AD11&lt;=30),AC50,0))</f>
        <v>0</v>
      </c>
      <c r="AC14" s="72">
        <f>IF(AND(Z11&lt;=30,AD11&lt;=30,Z11&gt;=20,AD11&gt;=20),AC34,IF(AND(Z11&lt;20,AD11&lt;20),AC36,IF(AND(Z11&gt;30,AD11&gt;30),AC38,IF(AND(Z11&lt;20,AD11&gt;30),AC40,IF(AND(AD11&lt;20,Z11&gt;30),AC42,IF(AND(Z11&lt;20,AD11&gt;=20,AD11&lt;=30),AC44,IF(AND(AD11&lt;20,Z11&gt;=20,Z11&lt;=30),AC46,0)))))))</f>
        <v>0</v>
      </c>
      <c r="AD14" s="72">
        <f>IF(AND(AD11&gt;30,Z11&gt;=20,Z11&lt;=30),AD48,IF(AND(Z11&gt;30,AD11&gt;=20,AD11&lt;=30),AD50,0))</f>
        <v>0</v>
      </c>
      <c r="AE14" s="72">
        <f>IF(AND(Z11&lt;=30,AD11&lt;=30,Z11&gt;=20,AD11&gt;=20),AD34,IF(AND(Z11&lt;20,AD11&lt;20),AD36,IF(AND(Z11&gt;30,AD11&gt;30),AD38,IF(AND(Z11&lt;20,AD11&gt;30),AD40,IF(AND(AD11&lt;20,Z11&gt;30),AD42,IF(AND(Z11&lt;20,AD11&gt;=20,AD11&lt;=30),AD44,IF(AND(AD11&lt;20,Z11&gt;=20,Z11&lt;=30),AD46,0)))))))</f>
        <v>0</v>
      </c>
      <c r="AF14" s="72">
        <f>IF(AND(AH11&gt;30,AD11&gt;=20,AD11&lt;=30),AG48,IF(AND(AD11&gt;30,AH11&gt;=20,AH11&lt;=30),AG50,0))</f>
        <v>0</v>
      </c>
      <c r="AG14" s="72">
        <f>IF(AND(AD11&lt;=30,AH11&lt;=30,AD11&gt;=20,AH11&gt;=20),AG34,IF(AND(AD11&lt;20,AH11&lt;20),AG36,IF(AND(AD11&gt;30,AH11&gt;30),AG38,IF(AND(AD11&lt;20,AH11&gt;30),AG40,IF(AND(AH11&lt;20,AD11&gt;30),AG42,IF(AND(AD11&lt;20,AH11&gt;=20,AH11&lt;=30),AG44,IF(AND(AH11&lt;20,AD11&gt;=20,AD11&lt;=30),AG46,0)))))))</f>
        <v>0</v>
      </c>
      <c r="AH14" s="72">
        <f>IF(AND(AH11&gt;30,AD11&gt;=20,AD11&lt;=30),AH48,IF(AND(AD11&gt;30,AH11&gt;=20,AH11&lt;=30),AH50,0))</f>
        <v>0</v>
      </c>
      <c r="AI14" s="72">
        <f>IF(AND(AD11&lt;=30,AH11&lt;=30,AD11&gt;=20,AH11&gt;=20),AH34,IF(AND(AD11&lt;20,AH11&lt;20),AH36,IF(AND(AD11&gt;30,AH11&gt;30),AH38,IF(AND(AD11&lt;20,AH11&gt;30),AH40,IF(AND(AH11&lt;20,AD11&gt;30),AH42,IF(AND(AD11&lt;20,AH11&gt;=20,AH11&lt;=30),AH44,IF(AND(AH11&lt;20,AD11&gt;=20,AD11&lt;=30),AH46,0)))))))</f>
        <v>0</v>
      </c>
      <c r="AJ14" s="72">
        <f>IF(AND(AL11&gt;30,AH11&gt;=20,AH11&lt;=30),AK48,IF(AND(AH11&gt;30,AL11&gt;=20,AL11&lt;=30),AK50,0))</f>
        <v>0</v>
      </c>
      <c r="AK14" s="72">
        <f>IF(AND(AH11&lt;=30,AL11&lt;=30,AH11&gt;=20,AL11&gt;=20),AK34,IF(AND(AH11&lt;20,AL11&lt;20),AK36,IF(AND(AH11&gt;30,AL11&gt;30),AK38,IF(AND(AH11&lt;20,AL11&gt;30),AK40,IF(AND(AL11&lt;20,AH11&gt;30),AK42,IF(AND(AH11&lt;20,AL11&gt;=20,AL11&lt;=30),AK44,IF(AND(AL11&lt;20,AH11&gt;=20,AH11&lt;=30),AK46,0)))))))</f>
        <v>0</v>
      </c>
      <c r="AL14" s="72">
        <f>IF(AND(AL11&gt;30,AH11&gt;=20,AH11&lt;=30),AL48,IF(AND(AH11&gt;30,AL11&gt;=20,AL11&lt;=30),AL50,0))</f>
        <v>0</v>
      </c>
      <c r="AM14" s="72">
        <f>IF(AND(AH11&lt;=30,AL11&lt;=30,AH11&gt;=20,AL11&gt;=20),AL34,IF(AND(AH11&lt;20,AL11&lt;20),AL36,IF(AND(AH11&gt;30,AL11&gt;30),AL38,IF(AND(AH11&lt;20,AL11&gt;30),AL40,IF(AND(AL11&lt;20,AH11&gt;30),AL42,IF(AND(AH11&lt;20,AL11&gt;=20,AL11&lt;=30),AL44,IF(AND(AL11&lt;20,AH11&gt;=20,AH11&lt;=30),AL46,0)))))))</f>
        <v>0</v>
      </c>
      <c r="AN14" s="72">
        <f>IF(AND(AP11&gt;30,AL11&gt;=20,AL11&lt;=30),AO48,IF(AND(AL11&gt;30,AP11&gt;=20,AP11&lt;=30),AO50,0))</f>
        <v>0</v>
      </c>
      <c r="AO14" s="72">
        <f>IF(AND(AL11&lt;=30,AP11&lt;=30,AL11&gt;=20,AP11&gt;=20),AO34,IF(AND(AL11&lt;20,AP11&lt;20),AO36,IF(AND(AL11&gt;30,AP11&gt;30),AO38,IF(AND(AL11&lt;20,AP11&gt;30),AO40,IF(AND(AP11&lt;20,AL11&gt;30),AO42,IF(AND(AL11&lt;20,AP11&gt;=20,AP11&lt;=30),AO44,IF(AND(AP11&lt;20,AL11&gt;=20,AL11&lt;=30),AO46,0)))))))</f>
        <v>0</v>
      </c>
      <c r="AP14" s="72">
        <f>IF(AND(AP11&gt;30,AL11&gt;=20,AL11&lt;=30),AP48,IF(AND(AL11&gt;30,AP11&gt;=20,AP11&lt;=30),AP50,0))</f>
        <v>0</v>
      </c>
      <c r="AQ14" s="72">
        <f>IF(AND(AL11&lt;=30,AP11&lt;=30,AL11&gt;=20,AP11&gt;=20),AP34,IF(AND(AL11&lt;20,AP11&lt;20),AP36,IF(AND(AL11&gt;30,AP11&gt;30),AP38,IF(AND(AL11&lt;20,AP11&gt;30),AP40,IF(AND(AP11&lt;20,AL11&gt;30),AP42,IF(AND(AL11&lt;20,AP11&gt;=20,AP11&lt;=30),AP44,IF(AND(AP11&lt;20,AL11&gt;=20,AL11&lt;=30),AP46,0)))))))</f>
        <v>0</v>
      </c>
      <c r="AR14" s="72">
        <f>IF(AND(AT11&gt;30,AP11&gt;=20,AP11&lt;=30),AS48,IF(AND(AP11&gt;30,AT11&gt;=20,AT11&lt;=30),AS50,0))</f>
        <v>0</v>
      </c>
      <c r="AS14" s="72">
        <f>IF(AND(AP11&lt;=30,AT11&lt;=30,AP11&gt;=20,AT11&gt;=20),AS34,IF(AND(AP11&lt;20,AT11&lt;20),AS36,IF(AND(AP11&gt;30,AT11&gt;30),AS38,IF(AND(AP11&lt;20,AT11&gt;30),AS40,IF(AND(AT11&lt;20,AP11&gt;30),AS42,IF(AND(AP11&lt;20,AT11&gt;=20,AT11&lt;=30),AS44,IF(AND(AT11&lt;20,AP11&gt;=20,AP11&lt;=30),AS46,0)))))))</f>
        <v>0</v>
      </c>
      <c r="AT14" s="72">
        <f>IF(AND(AT11&gt;30,AP11&gt;=20,AP11&lt;=30),AT48,IF(AND(AP11&gt;30,AT11&gt;=20,AT11&lt;=30),AT50,0))</f>
        <v>0</v>
      </c>
      <c r="AU14" s="72">
        <f>IF(AND(AP11&lt;=30,AT11&lt;=30,AP11&gt;=20,AT11&gt;=20),AT34,IF(AND(AP11&lt;20,AT11&lt;20),AT36,IF(AND(AP11&gt;30,AT11&gt;30),AT38,IF(AND(AP11&lt;20,AT11&gt;30),AT40,IF(AND(AT11&lt;20,AP11&gt;30),AT42,IF(AND(AP11&lt;20,AT11&gt;=20,AT11&lt;=30),AT44,IF(AND(AT11&lt;20,AP11&gt;=20,AP11&lt;=30),AT46,0)))))))</f>
        <v>0</v>
      </c>
      <c r="AV14" s="72">
        <f>IF(AND(AX11&gt;30,AT11&gt;=20,AT11&lt;=30),AW48,IF(AND(AT11&gt;30,AX11&gt;=20,AX11&lt;=30),AW50,0))</f>
        <v>0</v>
      </c>
      <c r="AW14" s="72">
        <f>IF(AND(AT11&lt;=30,AX11&lt;=30,AT11&gt;=20,AX11&gt;=20),AW34,IF(AND(AT11&lt;20,AX11&lt;20),AW36,IF(AND(AT11&gt;30,AX11&gt;30),AW38,IF(AND(AT11&lt;20,AX11&gt;30),AW40,IF(AND(AX11&lt;20,AT11&gt;30),AW42,IF(AND(AT11&lt;20,AX11&gt;=20,AX11&lt;=30),AW44,IF(AND(AX11&lt;20,AT11&gt;=20,AT11&lt;=30),AW46,0)))))))</f>
        <v>0</v>
      </c>
      <c r="AX14" s="72">
        <f>IF(AND(AX11&gt;30,AT11&gt;=20,AT11&lt;=30),AX48,IF(AND(AT11&gt;30,AX11&gt;=20,AX11&lt;=30),AX50,0))</f>
        <v>0</v>
      </c>
      <c r="AY14" s="72">
        <f>IF(AND(AT11&lt;=30,AX11&lt;=30,AT11&gt;=20,AX11&gt;=20),AX34,IF(AND(AT11&lt;20,AX11&lt;20),AX36,IF(AND(AT11&gt;30,AX11&gt;30),AX38,IF(AND(AT11&lt;20,AX11&gt;30),AX40,IF(AND(AX11&lt;20,AT11&gt;30),AX42,IF(AND(AT11&lt;20,AX11&gt;=20,AX11&lt;=30),AX44,IF(AND(AX11&lt;20,AT11&gt;=20,AT11&lt;=30),AX46,0)))))))</f>
        <v>0</v>
      </c>
    </row>
    <row r="15" spans="1:52" hidden="1" x14ac:dyDescent="0.2">
      <c r="A15" s="50" t="s">
        <v>52</v>
      </c>
      <c r="B15" s="34"/>
      <c r="C15" s="34"/>
      <c r="D15" s="73"/>
      <c r="E15" s="74">
        <f>D10</f>
        <v>0</v>
      </c>
      <c r="F15" s="74"/>
      <c r="G15" s="75">
        <f>(B11+F11)/2</f>
        <v>0</v>
      </c>
      <c r="H15" s="73"/>
      <c r="I15" s="74">
        <f>H10</f>
        <v>0</v>
      </c>
      <c r="J15" s="74"/>
      <c r="K15" s="75">
        <f>(F11+J11)/2</f>
        <v>0</v>
      </c>
      <c r="L15" s="73"/>
      <c r="M15" s="74">
        <f>L10</f>
        <v>0</v>
      </c>
      <c r="N15" s="74"/>
      <c r="O15" s="75">
        <f>(J11+N11)/2</f>
        <v>0</v>
      </c>
      <c r="P15" s="73"/>
      <c r="Q15" s="74">
        <f>P10</f>
        <v>0</v>
      </c>
      <c r="R15" s="74"/>
      <c r="S15" s="75">
        <f>(N11+R11)/2</f>
        <v>0</v>
      </c>
      <c r="T15" s="73"/>
      <c r="U15" s="74">
        <f>T10</f>
        <v>0</v>
      </c>
      <c r="V15" s="74"/>
      <c r="W15" s="75">
        <f>(R11+V11)/2</f>
        <v>0</v>
      </c>
      <c r="X15" s="73"/>
      <c r="Y15" s="74">
        <f>X10</f>
        <v>0</v>
      </c>
      <c r="Z15" s="74"/>
      <c r="AA15" s="75">
        <f>(V11+Z11)/2</f>
        <v>0</v>
      </c>
      <c r="AB15" s="73"/>
      <c r="AC15" s="74">
        <f>AB10</f>
        <v>0</v>
      </c>
      <c r="AD15" s="74"/>
      <c r="AE15" s="75">
        <f>(Z11+AD11)/2</f>
        <v>0</v>
      </c>
      <c r="AF15" s="73"/>
      <c r="AG15" s="74">
        <f>AF10</f>
        <v>0</v>
      </c>
      <c r="AH15" s="74"/>
      <c r="AI15" s="75">
        <f>(AD11+AH11)/2</f>
        <v>0</v>
      </c>
      <c r="AJ15" s="73"/>
      <c r="AK15" s="74">
        <f>AJ10</f>
        <v>0</v>
      </c>
      <c r="AL15" s="74"/>
      <c r="AM15" s="75">
        <f>(AH11+AL11)/2</f>
        <v>0</v>
      </c>
      <c r="AN15" s="73"/>
      <c r="AO15" s="74">
        <f>AN10</f>
        <v>0</v>
      </c>
      <c r="AP15" s="74"/>
      <c r="AQ15" s="75">
        <f>(AL11+AP11)/2</f>
        <v>0</v>
      </c>
      <c r="AR15" s="73"/>
      <c r="AS15" s="74">
        <f>AR10</f>
        <v>0</v>
      </c>
      <c r="AT15" s="74"/>
      <c r="AU15" s="75">
        <f>(AP11+AT11)/2</f>
        <v>0</v>
      </c>
      <c r="AV15" s="73"/>
      <c r="AW15" s="74">
        <f>AV10</f>
        <v>0</v>
      </c>
      <c r="AX15" s="74"/>
      <c r="AY15" s="75">
        <f>(AT11+AX11)/2</f>
        <v>0</v>
      </c>
    </row>
    <row r="16" spans="1:52" hidden="1" x14ac:dyDescent="0.2">
      <c r="A16" s="50"/>
      <c r="B16" s="34"/>
      <c r="C16" s="34"/>
      <c r="D16" s="73"/>
      <c r="E16" s="76">
        <f>D15+E15</f>
        <v>0</v>
      </c>
      <c r="F16" s="76">
        <f>E15*G15</f>
        <v>0</v>
      </c>
      <c r="G16" s="75"/>
      <c r="H16" s="73"/>
      <c r="I16" s="76">
        <f>H15+I15</f>
        <v>0</v>
      </c>
      <c r="J16" s="76">
        <f>I15*K15</f>
        <v>0</v>
      </c>
      <c r="K16" s="75"/>
      <c r="L16" s="73"/>
      <c r="M16" s="76">
        <f>L15+M15</f>
        <v>0</v>
      </c>
      <c r="N16" s="76">
        <f>M15*O15</f>
        <v>0</v>
      </c>
      <c r="O16" s="75"/>
      <c r="P16" s="73"/>
      <c r="Q16" s="76">
        <f>P15+Q15</f>
        <v>0</v>
      </c>
      <c r="R16" s="76">
        <f>Q15*S15</f>
        <v>0</v>
      </c>
      <c r="S16" s="75"/>
      <c r="T16" s="73"/>
      <c r="U16" s="76">
        <f>T15+U15</f>
        <v>0</v>
      </c>
      <c r="V16" s="76">
        <f>U15*W15</f>
        <v>0</v>
      </c>
      <c r="W16" s="75"/>
      <c r="X16" s="73"/>
      <c r="Y16" s="76">
        <f>X15+Y15</f>
        <v>0</v>
      </c>
      <c r="Z16" s="76">
        <f>Y15*AA15</f>
        <v>0</v>
      </c>
      <c r="AA16" s="75"/>
      <c r="AB16" s="73"/>
      <c r="AC16" s="76">
        <f>AB15+AC15</f>
        <v>0</v>
      </c>
      <c r="AD16" s="76">
        <f>AC15*AE15</f>
        <v>0</v>
      </c>
      <c r="AE16" s="75"/>
      <c r="AF16" s="73"/>
      <c r="AG16" s="76">
        <f>AF15+AG15</f>
        <v>0</v>
      </c>
      <c r="AH16" s="76">
        <f>AG15*AI15</f>
        <v>0</v>
      </c>
      <c r="AI16" s="75"/>
      <c r="AJ16" s="73"/>
      <c r="AK16" s="76">
        <f>AJ15+AK15</f>
        <v>0</v>
      </c>
      <c r="AL16" s="76">
        <f>AK15*AM15</f>
        <v>0</v>
      </c>
      <c r="AM16" s="75"/>
      <c r="AN16" s="73"/>
      <c r="AO16" s="76">
        <f>AN15+AO15</f>
        <v>0</v>
      </c>
      <c r="AP16" s="76">
        <f>AO15*AQ15</f>
        <v>0</v>
      </c>
      <c r="AQ16" s="75"/>
      <c r="AR16" s="73"/>
      <c r="AS16" s="76">
        <f>AR15+AS15</f>
        <v>0</v>
      </c>
      <c r="AT16" s="76">
        <f>AS15*AU15</f>
        <v>0</v>
      </c>
      <c r="AU16" s="75"/>
      <c r="AV16" s="73"/>
      <c r="AW16" s="76">
        <f>AV15+AW15</f>
        <v>0</v>
      </c>
      <c r="AX16" s="76">
        <f>AW15*AY15</f>
        <v>0</v>
      </c>
      <c r="AY16" s="75"/>
    </row>
    <row r="17" spans="1:51" hidden="1" x14ac:dyDescent="0.2">
      <c r="A17" s="50" t="s">
        <v>53</v>
      </c>
      <c r="B17" s="34"/>
      <c r="C17" s="34"/>
      <c r="D17" s="73"/>
      <c r="E17" s="74">
        <v>0</v>
      </c>
      <c r="F17" s="74"/>
      <c r="G17" s="75">
        <v>0</v>
      </c>
      <c r="H17" s="73"/>
      <c r="I17" s="74">
        <v>0</v>
      </c>
      <c r="J17" s="74"/>
      <c r="K17" s="75">
        <v>0</v>
      </c>
      <c r="L17" s="73"/>
      <c r="M17" s="74">
        <v>0</v>
      </c>
      <c r="N17" s="74"/>
      <c r="O17" s="75">
        <v>0</v>
      </c>
      <c r="P17" s="73"/>
      <c r="Q17" s="74">
        <v>0</v>
      </c>
      <c r="R17" s="74"/>
      <c r="S17" s="75">
        <v>0</v>
      </c>
      <c r="T17" s="73"/>
      <c r="U17" s="74">
        <v>0</v>
      </c>
      <c r="V17" s="74"/>
      <c r="W17" s="75">
        <v>0</v>
      </c>
      <c r="X17" s="73"/>
      <c r="Y17" s="74">
        <v>0</v>
      </c>
      <c r="Z17" s="74"/>
      <c r="AA17" s="75">
        <v>0</v>
      </c>
      <c r="AB17" s="73"/>
      <c r="AC17" s="74">
        <v>0</v>
      </c>
      <c r="AD17" s="74"/>
      <c r="AE17" s="75">
        <v>0</v>
      </c>
      <c r="AF17" s="73"/>
      <c r="AG17" s="74">
        <v>0</v>
      </c>
      <c r="AH17" s="74"/>
      <c r="AI17" s="75">
        <v>0</v>
      </c>
      <c r="AJ17" s="73"/>
      <c r="AK17" s="74">
        <v>0</v>
      </c>
      <c r="AL17" s="74"/>
      <c r="AM17" s="75">
        <v>0</v>
      </c>
      <c r="AN17" s="73"/>
      <c r="AO17" s="74">
        <v>0</v>
      </c>
      <c r="AP17" s="74"/>
      <c r="AQ17" s="75">
        <v>0</v>
      </c>
      <c r="AR17" s="73"/>
      <c r="AS17" s="74">
        <v>0</v>
      </c>
      <c r="AT17" s="74"/>
      <c r="AU17" s="75">
        <v>0</v>
      </c>
      <c r="AV17" s="73"/>
      <c r="AW17" s="74">
        <v>0</v>
      </c>
      <c r="AX17" s="74"/>
      <c r="AY17" s="75">
        <v>0</v>
      </c>
    </row>
    <row r="18" spans="1:51" hidden="1" x14ac:dyDescent="0.2">
      <c r="A18" s="50"/>
      <c r="B18" s="34"/>
      <c r="C18" s="34"/>
      <c r="D18" s="73"/>
      <c r="E18" s="76">
        <f>D17+E17</f>
        <v>0</v>
      </c>
      <c r="F18" s="76">
        <f>E17*G17</f>
        <v>0</v>
      </c>
      <c r="G18" s="75"/>
      <c r="H18" s="73"/>
      <c r="I18" s="76">
        <f>H17+I17</f>
        <v>0</v>
      </c>
      <c r="J18" s="76">
        <f>I17*K17</f>
        <v>0</v>
      </c>
      <c r="K18" s="75"/>
      <c r="L18" s="73"/>
      <c r="M18" s="76">
        <f>L17+M17</f>
        <v>0</v>
      </c>
      <c r="N18" s="76">
        <f>M17*O17</f>
        <v>0</v>
      </c>
      <c r="O18" s="75"/>
      <c r="P18" s="73"/>
      <c r="Q18" s="76">
        <f>P17+Q17</f>
        <v>0</v>
      </c>
      <c r="R18" s="76">
        <f>Q17*S17</f>
        <v>0</v>
      </c>
      <c r="S18" s="75"/>
      <c r="T18" s="73"/>
      <c r="U18" s="76">
        <f>T17+U17</f>
        <v>0</v>
      </c>
      <c r="V18" s="76">
        <f>U17*W17</f>
        <v>0</v>
      </c>
      <c r="W18" s="75"/>
      <c r="X18" s="73"/>
      <c r="Y18" s="76">
        <f>X17+Y17</f>
        <v>0</v>
      </c>
      <c r="Z18" s="76">
        <f>Y17*AA17</f>
        <v>0</v>
      </c>
      <c r="AA18" s="75"/>
      <c r="AB18" s="73"/>
      <c r="AC18" s="76">
        <f>AB17+AC17</f>
        <v>0</v>
      </c>
      <c r="AD18" s="76">
        <f>AC17*AE17</f>
        <v>0</v>
      </c>
      <c r="AE18" s="75"/>
      <c r="AF18" s="73"/>
      <c r="AG18" s="76">
        <f>AF17+AG17</f>
        <v>0</v>
      </c>
      <c r="AH18" s="76">
        <f>AG17*AI17</f>
        <v>0</v>
      </c>
      <c r="AI18" s="75"/>
      <c r="AJ18" s="73"/>
      <c r="AK18" s="76">
        <f>AJ17+AK17</f>
        <v>0</v>
      </c>
      <c r="AL18" s="76">
        <f>AK17*AM17</f>
        <v>0</v>
      </c>
      <c r="AM18" s="75"/>
      <c r="AN18" s="73"/>
      <c r="AO18" s="76">
        <f>AN17+AO17</f>
        <v>0</v>
      </c>
      <c r="AP18" s="76">
        <f>AO17*AQ17</f>
        <v>0</v>
      </c>
      <c r="AQ18" s="75"/>
      <c r="AR18" s="73"/>
      <c r="AS18" s="76">
        <f>AR17+AS17</f>
        <v>0</v>
      </c>
      <c r="AT18" s="76">
        <f>AS17*AU17</f>
        <v>0</v>
      </c>
      <c r="AU18" s="75"/>
      <c r="AV18" s="73"/>
      <c r="AW18" s="76">
        <f>AV17+AW17</f>
        <v>0</v>
      </c>
      <c r="AX18" s="76">
        <f>AW17*AY17</f>
        <v>0</v>
      </c>
      <c r="AY18" s="75"/>
    </row>
    <row r="19" spans="1:51" hidden="1" x14ac:dyDescent="0.2">
      <c r="A19" s="50" t="s">
        <v>54</v>
      </c>
      <c r="B19" s="34"/>
      <c r="C19" s="34"/>
      <c r="D19" s="73"/>
      <c r="E19" s="74">
        <f>D10</f>
        <v>0</v>
      </c>
      <c r="F19" s="74"/>
      <c r="G19" s="75">
        <v>60</v>
      </c>
      <c r="H19" s="73"/>
      <c r="I19" s="74">
        <f>H10</f>
        <v>0</v>
      </c>
      <c r="J19" s="74"/>
      <c r="K19" s="75">
        <v>60</v>
      </c>
      <c r="L19" s="73"/>
      <c r="M19" s="74">
        <f>L10</f>
        <v>0</v>
      </c>
      <c r="N19" s="74"/>
      <c r="O19" s="75">
        <v>60</v>
      </c>
      <c r="P19" s="73"/>
      <c r="Q19" s="74">
        <f>P10</f>
        <v>0</v>
      </c>
      <c r="R19" s="74"/>
      <c r="S19" s="75">
        <v>60</v>
      </c>
      <c r="T19" s="73"/>
      <c r="U19" s="74">
        <f>T10</f>
        <v>0</v>
      </c>
      <c r="V19" s="74"/>
      <c r="W19" s="75">
        <v>60</v>
      </c>
      <c r="X19" s="73"/>
      <c r="Y19" s="74">
        <f>X10</f>
        <v>0</v>
      </c>
      <c r="Z19" s="74"/>
      <c r="AA19" s="75">
        <v>60</v>
      </c>
      <c r="AB19" s="73"/>
      <c r="AC19" s="74">
        <f>AB10</f>
        <v>0</v>
      </c>
      <c r="AD19" s="74"/>
      <c r="AE19" s="75">
        <v>60</v>
      </c>
      <c r="AF19" s="73"/>
      <c r="AG19" s="74">
        <f>AF10</f>
        <v>0</v>
      </c>
      <c r="AH19" s="74"/>
      <c r="AI19" s="75">
        <v>60</v>
      </c>
      <c r="AJ19" s="73"/>
      <c r="AK19" s="74">
        <f>AJ10</f>
        <v>0</v>
      </c>
      <c r="AL19" s="74"/>
      <c r="AM19" s="75">
        <v>60</v>
      </c>
      <c r="AN19" s="73"/>
      <c r="AO19" s="74">
        <f>AN10</f>
        <v>0</v>
      </c>
      <c r="AP19" s="74"/>
      <c r="AQ19" s="75">
        <v>60</v>
      </c>
      <c r="AR19" s="73"/>
      <c r="AS19" s="74">
        <f>AR10</f>
        <v>0</v>
      </c>
      <c r="AT19" s="74"/>
      <c r="AU19" s="75">
        <v>60</v>
      </c>
      <c r="AV19" s="73"/>
      <c r="AW19" s="74">
        <f>AV10</f>
        <v>0</v>
      </c>
      <c r="AX19" s="74"/>
      <c r="AY19" s="75">
        <v>60</v>
      </c>
    </row>
    <row r="20" spans="1:51" hidden="1" x14ac:dyDescent="0.2">
      <c r="A20" s="50"/>
      <c r="B20" s="34"/>
      <c r="C20" s="34"/>
      <c r="D20" s="73"/>
      <c r="E20" s="76">
        <f>D19+E19</f>
        <v>0</v>
      </c>
      <c r="F20" s="76">
        <f>E19*G19</f>
        <v>0</v>
      </c>
      <c r="G20" s="75"/>
      <c r="H20" s="73"/>
      <c r="I20" s="76">
        <f>H19+I19</f>
        <v>0</v>
      </c>
      <c r="J20" s="76">
        <f>I19*K19</f>
        <v>0</v>
      </c>
      <c r="K20" s="75"/>
      <c r="L20" s="73"/>
      <c r="M20" s="76">
        <f>L19+M19</f>
        <v>0</v>
      </c>
      <c r="N20" s="76">
        <f>M19*O19</f>
        <v>0</v>
      </c>
      <c r="O20" s="75"/>
      <c r="P20" s="73"/>
      <c r="Q20" s="76">
        <f>P19+Q19</f>
        <v>0</v>
      </c>
      <c r="R20" s="76">
        <f>Q19*S19</f>
        <v>0</v>
      </c>
      <c r="S20" s="75"/>
      <c r="T20" s="73"/>
      <c r="U20" s="76">
        <f>T19+U19</f>
        <v>0</v>
      </c>
      <c r="V20" s="76">
        <f>U19*W19</f>
        <v>0</v>
      </c>
      <c r="W20" s="75"/>
      <c r="X20" s="73"/>
      <c r="Y20" s="76">
        <f>X19+Y19</f>
        <v>0</v>
      </c>
      <c r="Z20" s="76">
        <f>Y19*AA19</f>
        <v>0</v>
      </c>
      <c r="AA20" s="75"/>
      <c r="AB20" s="73"/>
      <c r="AC20" s="76">
        <f>AB19+AC19</f>
        <v>0</v>
      </c>
      <c r="AD20" s="76">
        <f>AC19*AE19</f>
        <v>0</v>
      </c>
      <c r="AE20" s="75"/>
      <c r="AF20" s="73"/>
      <c r="AG20" s="76">
        <f>AF19+AG19</f>
        <v>0</v>
      </c>
      <c r="AH20" s="76">
        <f>AG19*AI19</f>
        <v>0</v>
      </c>
      <c r="AI20" s="75"/>
      <c r="AJ20" s="73"/>
      <c r="AK20" s="76">
        <f>AJ19+AK19</f>
        <v>0</v>
      </c>
      <c r="AL20" s="76">
        <f>AK19*AM19</f>
        <v>0</v>
      </c>
      <c r="AM20" s="75"/>
      <c r="AN20" s="73"/>
      <c r="AO20" s="76">
        <f>AN19+AO19</f>
        <v>0</v>
      </c>
      <c r="AP20" s="76">
        <f>AO19*AQ19</f>
        <v>0</v>
      </c>
      <c r="AQ20" s="75"/>
      <c r="AR20" s="73"/>
      <c r="AS20" s="76">
        <f>AR19+AS19</f>
        <v>0</v>
      </c>
      <c r="AT20" s="76">
        <f>AS19*AU19</f>
        <v>0</v>
      </c>
      <c r="AU20" s="75"/>
      <c r="AV20" s="73"/>
      <c r="AW20" s="76">
        <f>AV19+AW19</f>
        <v>0</v>
      </c>
      <c r="AX20" s="76">
        <f>AW19*AY19</f>
        <v>0</v>
      </c>
      <c r="AY20" s="75"/>
    </row>
    <row r="21" spans="1:51" hidden="1" x14ac:dyDescent="0.2">
      <c r="A21" s="50" t="s">
        <v>55</v>
      </c>
      <c r="B21" s="51"/>
      <c r="C21" s="51"/>
      <c r="D21" s="73" t="e">
        <f>(F11-60)*(D10+(B11*D10)/(F11-B11))/F11</f>
        <v>#DIV/0!</v>
      </c>
      <c r="E21" s="74" t="e">
        <f>(D10-(D10*(20-B11)/(F11-B11))-((F11-60)*(D10+(B11*D10)/(F11-B11))/F11))</f>
        <v>#DIV/0!</v>
      </c>
      <c r="F21" s="74">
        <v>60</v>
      </c>
      <c r="G21" s="75">
        <v>40</v>
      </c>
      <c r="H21" s="73" t="e">
        <f>(J11-60)*(H10+(F11*H10)/(J11-F11))/J11</f>
        <v>#DIV/0!</v>
      </c>
      <c r="I21" s="74" t="e">
        <f>(H10-(H10*(20-F11)/(J11-F11))-((J11-60)*(H10+(F11*H10)/(J11-F11))/J11))</f>
        <v>#DIV/0!</v>
      </c>
      <c r="J21" s="74">
        <v>60</v>
      </c>
      <c r="K21" s="75">
        <v>40</v>
      </c>
      <c r="L21" s="73" t="e">
        <f>(N11-60)*(L10+(J11*L10)/(N11-J11))/N11</f>
        <v>#DIV/0!</v>
      </c>
      <c r="M21" s="74" t="e">
        <f>(L10-(L10*(20-J11)/(N11-J11))-((N11-60)*(L10+(J11*L10)/(N11-J11))/N11))</f>
        <v>#DIV/0!</v>
      </c>
      <c r="N21" s="74">
        <v>60</v>
      </c>
      <c r="O21" s="75">
        <v>40</v>
      </c>
      <c r="P21" s="73" t="e">
        <f>(R11-60)*(P10+(N11*P10)/(R11-N11))/R11</f>
        <v>#DIV/0!</v>
      </c>
      <c r="Q21" s="74" t="e">
        <f>(P10-(P10*(20-N11)/(R11-N11))-((R11-60)*(P10+(N11*P10)/(R11-N11))/R11))</f>
        <v>#DIV/0!</v>
      </c>
      <c r="R21" s="74">
        <v>60</v>
      </c>
      <c r="S21" s="75">
        <v>40</v>
      </c>
      <c r="T21" s="73" t="e">
        <f>(V11-60)*(T10+(R11*T10)/(V11-R11))/V11</f>
        <v>#DIV/0!</v>
      </c>
      <c r="U21" s="74" t="e">
        <f>(T10-(T10*(20-R11)/(V11-R11))-((V11-60)*(T10+(R11*T10)/(V11-R11))/V11))</f>
        <v>#DIV/0!</v>
      </c>
      <c r="V21" s="74">
        <v>60</v>
      </c>
      <c r="W21" s="75">
        <v>40</v>
      </c>
      <c r="X21" s="73" t="e">
        <f>(Z11-60)*(X10+(V11*X10)/(Z11-V11))/Z11</f>
        <v>#DIV/0!</v>
      </c>
      <c r="Y21" s="74" t="e">
        <f>(X10-(X10*(20-V11)/(Z11-V11))-((Z11-60)*(X10+(V11*X10)/(Z11-V11))/Z11))</f>
        <v>#DIV/0!</v>
      </c>
      <c r="Z21" s="74">
        <v>60</v>
      </c>
      <c r="AA21" s="75">
        <v>40</v>
      </c>
      <c r="AB21" s="73" t="e">
        <f>(AD11-60)*(AB10+(Z11*AB10)/(AD11-Z11))/AD11</f>
        <v>#DIV/0!</v>
      </c>
      <c r="AC21" s="74" t="e">
        <f>(AB10-(AB10*(20-Z11)/(AD11-Z11))-((AD11-60)*(AB10+(Z11*AB10)/(AD11-Z11))/AD11))</f>
        <v>#DIV/0!</v>
      </c>
      <c r="AD21" s="74">
        <v>60</v>
      </c>
      <c r="AE21" s="75">
        <v>40</v>
      </c>
      <c r="AF21" s="73" t="e">
        <f>(AH11-60)*(AF10+(AD11*AF10)/(AH11-AD11))/AH11</f>
        <v>#DIV/0!</v>
      </c>
      <c r="AG21" s="74" t="e">
        <f>(AF10-(AF10*(20-AD11)/(AH11-AD11))-((AH11-60)*(AF10+(AD11*AF10)/(AH11-AD11))/AH11))</f>
        <v>#DIV/0!</v>
      </c>
      <c r="AH21" s="74">
        <v>60</v>
      </c>
      <c r="AI21" s="75">
        <v>40</v>
      </c>
      <c r="AJ21" s="73" t="e">
        <f>(AL11-60)*(AJ10+(AH11*AJ10)/(AL11-AH11))/AL11</f>
        <v>#DIV/0!</v>
      </c>
      <c r="AK21" s="74" t="e">
        <f>(AJ10-(AJ10*(20-AH11)/(AL11-AH11))-((AL11-60)*(AJ10+(AH11*AJ10)/(AL11-AH11))/AL11))</f>
        <v>#DIV/0!</v>
      </c>
      <c r="AL21" s="74">
        <v>60</v>
      </c>
      <c r="AM21" s="75">
        <v>40</v>
      </c>
      <c r="AN21" s="73" t="e">
        <f>(AP11-60)*(AN10+(AL11*AN10)/(AP11-AL11))/AP11</f>
        <v>#DIV/0!</v>
      </c>
      <c r="AO21" s="74" t="e">
        <f>(AN10-(AN10*(20-AL11)/(AP11-AL11))-((AP11-60)*(AN10+(AL11*AN10)/(AP11-AL11))/AP11))</f>
        <v>#DIV/0!</v>
      </c>
      <c r="AP21" s="74">
        <v>60</v>
      </c>
      <c r="AQ21" s="75">
        <v>40</v>
      </c>
      <c r="AR21" s="73" t="e">
        <f>(AT11-60)*(AR10+(AP11*AR10)/(AT11-AP11))/AT11</f>
        <v>#DIV/0!</v>
      </c>
      <c r="AS21" s="74" t="e">
        <f>(AR10-(AR10*(20-AP11)/(AT11-AP11))-((AT11-60)*(AR10+(AP11*AR10)/(AT11-AP11))/AT11))</f>
        <v>#DIV/0!</v>
      </c>
      <c r="AT21" s="74">
        <v>60</v>
      </c>
      <c r="AU21" s="75">
        <v>40</v>
      </c>
      <c r="AV21" s="73" t="e">
        <f>(AX11-60)*(AV10+(AT11*AV10)/(AX11-AT11))/AX11</f>
        <v>#DIV/0!</v>
      </c>
      <c r="AW21" s="74" t="e">
        <f>(AV10-(AV10*(20-AT11)/(AX11-AT11))-((AX11-60)*(AV10+(AT11*AV10)/(AX11-AT11))/AX11))</f>
        <v>#DIV/0!</v>
      </c>
      <c r="AX21" s="74">
        <v>60</v>
      </c>
      <c r="AY21" s="75">
        <v>40</v>
      </c>
    </row>
    <row r="22" spans="1:51" hidden="1" x14ac:dyDescent="0.2">
      <c r="A22" s="50"/>
      <c r="B22" s="51"/>
      <c r="C22" s="51"/>
      <c r="D22" s="73"/>
      <c r="E22" s="76" t="e">
        <f>D21+E21</f>
        <v>#DIV/0!</v>
      </c>
      <c r="F22" s="76" t="e">
        <f>(E21*G21)+(D21*F21)</f>
        <v>#DIV/0!</v>
      </c>
      <c r="G22" s="75"/>
      <c r="H22" s="73"/>
      <c r="I22" s="76" t="e">
        <f>H21+I21</f>
        <v>#DIV/0!</v>
      </c>
      <c r="J22" s="76" t="e">
        <f>(I21*K21)+(H21*J21)</f>
        <v>#DIV/0!</v>
      </c>
      <c r="K22" s="75"/>
      <c r="L22" s="73"/>
      <c r="M22" s="76" t="e">
        <f>L21+M21</f>
        <v>#DIV/0!</v>
      </c>
      <c r="N22" s="76" t="e">
        <f>(M21*O21)+(L21*N21)</f>
        <v>#DIV/0!</v>
      </c>
      <c r="O22" s="75"/>
      <c r="P22" s="73"/>
      <c r="Q22" s="76" t="e">
        <f>P21+Q21</f>
        <v>#DIV/0!</v>
      </c>
      <c r="R22" s="76" t="e">
        <f>(Q21*S21)+(P21*R21)</f>
        <v>#DIV/0!</v>
      </c>
      <c r="S22" s="75"/>
      <c r="T22" s="73"/>
      <c r="U22" s="76" t="e">
        <f>T21+U21</f>
        <v>#DIV/0!</v>
      </c>
      <c r="V22" s="76" t="e">
        <f>(U21*W21)+(T21*V21)</f>
        <v>#DIV/0!</v>
      </c>
      <c r="W22" s="75"/>
      <c r="X22" s="73"/>
      <c r="Y22" s="76" t="e">
        <f>X21+Y21</f>
        <v>#DIV/0!</v>
      </c>
      <c r="Z22" s="76" t="e">
        <f>(Y21*AA21)+(X21*Z21)</f>
        <v>#DIV/0!</v>
      </c>
      <c r="AA22" s="75"/>
      <c r="AB22" s="73"/>
      <c r="AC22" s="76" t="e">
        <f>AB21+AC21</f>
        <v>#DIV/0!</v>
      </c>
      <c r="AD22" s="76" t="e">
        <f>(AC21*AE21)+(AB21*AD21)</f>
        <v>#DIV/0!</v>
      </c>
      <c r="AE22" s="75"/>
      <c r="AF22" s="73"/>
      <c r="AG22" s="76" t="e">
        <f>AF21+AG21</f>
        <v>#DIV/0!</v>
      </c>
      <c r="AH22" s="76" t="e">
        <f>(AG21*AI21)+(AF21*AH21)</f>
        <v>#DIV/0!</v>
      </c>
      <c r="AI22" s="75"/>
      <c r="AJ22" s="73"/>
      <c r="AK22" s="76" t="e">
        <f>AJ21+AK21</f>
        <v>#DIV/0!</v>
      </c>
      <c r="AL22" s="76" t="e">
        <f>(AK21*AM21)+(AJ21*AL21)</f>
        <v>#DIV/0!</v>
      </c>
      <c r="AM22" s="75"/>
      <c r="AN22" s="73"/>
      <c r="AO22" s="76" t="e">
        <f>AN21+AO21</f>
        <v>#DIV/0!</v>
      </c>
      <c r="AP22" s="76" t="e">
        <f>(AO21*AQ21)+(AN21*AP21)</f>
        <v>#DIV/0!</v>
      </c>
      <c r="AQ22" s="75"/>
      <c r="AR22" s="73"/>
      <c r="AS22" s="76" t="e">
        <f>AR21+AS21</f>
        <v>#DIV/0!</v>
      </c>
      <c r="AT22" s="76" t="e">
        <f>(AS21*AU21)+(AR21*AT21)</f>
        <v>#DIV/0!</v>
      </c>
      <c r="AU22" s="75"/>
      <c r="AV22" s="73"/>
      <c r="AW22" s="76" t="e">
        <f>AV21+AW21</f>
        <v>#DIV/0!</v>
      </c>
      <c r="AX22" s="76" t="e">
        <f>(AW21*AY21)+(AV21*AX21)</f>
        <v>#DIV/0!</v>
      </c>
      <c r="AY22" s="75"/>
    </row>
    <row r="23" spans="1:51" hidden="1" x14ac:dyDescent="0.2">
      <c r="A23" s="50" t="s">
        <v>56</v>
      </c>
      <c r="B23" s="51"/>
      <c r="C23" s="51"/>
      <c r="D23" s="73" t="e">
        <f>(B11-60)*(D10+(F11*D10)/(B11-F11))/B11</f>
        <v>#DIV/0!</v>
      </c>
      <c r="E23" s="74" t="e">
        <f>(D10-(D10*(20-F11)/(B11-F11))-((B11-60)*(D10+(F11*D10)/(B11-F11))/B11))</f>
        <v>#DIV/0!</v>
      </c>
      <c r="F23" s="74">
        <v>60</v>
      </c>
      <c r="G23" s="75">
        <v>40</v>
      </c>
      <c r="H23" s="73" t="e">
        <f>(F11-60)*(H10+(J11*H10)/(F11-J11))/F11</f>
        <v>#DIV/0!</v>
      </c>
      <c r="I23" s="74" t="e">
        <f>(H10-(H10*(20-J11)/(F11-J11))-((F11-60)*(H10+(J11*H10)/(F11-J11))/F11))</f>
        <v>#DIV/0!</v>
      </c>
      <c r="J23" s="74">
        <v>60</v>
      </c>
      <c r="K23" s="75">
        <v>40</v>
      </c>
      <c r="L23" s="73" t="e">
        <f>(J11-60)*(L10+(N11*L10)/(J11-N11))/J11</f>
        <v>#DIV/0!</v>
      </c>
      <c r="M23" s="74" t="e">
        <f>(L10-(L10*(20-N11)/(J11-N11))-((J11-60)*(L10+(N11*L10)/(J11-N11))/J11))</f>
        <v>#DIV/0!</v>
      </c>
      <c r="N23" s="74">
        <v>60</v>
      </c>
      <c r="O23" s="75">
        <v>40</v>
      </c>
      <c r="P23" s="73" t="e">
        <f>(N11-60)*(P10+(R11*P10)/(N11-R11))/N11</f>
        <v>#DIV/0!</v>
      </c>
      <c r="Q23" s="74" t="e">
        <f>(P10-(P10*(20-R11)/(N11-R11))-((N11-60)*(P10+(R11*P10)/(N11-R11))/N11))</f>
        <v>#DIV/0!</v>
      </c>
      <c r="R23" s="74">
        <v>60</v>
      </c>
      <c r="S23" s="75">
        <v>40</v>
      </c>
      <c r="T23" s="73" t="e">
        <f>(R11-60)*(T10+(V11*T10)/(R11-V11))/R11</f>
        <v>#DIV/0!</v>
      </c>
      <c r="U23" s="74" t="e">
        <f>(T10-(T10*(20-V11)/(R11-V11))-((R11-60)*(T10+(V11*T10)/(R11-V11))/R11))</f>
        <v>#DIV/0!</v>
      </c>
      <c r="V23" s="74">
        <v>60</v>
      </c>
      <c r="W23" s="75">
        <v>40</v>
      </c>
      <c r="X23" s="73" t="e">
        <f>(V11-60)*(X10+(Z11*X10)/(V11-Z11))/V11</f>
        <v>#DIV/0!</v>
      </c>
      <c r="Y23" s="74" t="e">
        <f>(X10-(X10*(20-Z11)/(V11-Z11))-((V11-60)*(X10+(Z11*X10)/(V11-Z11))/V11))</f>
        <v>#DIV/0!</v>
      </c>
      <c r="Z23" s="74">
        <v>60</v>
      </c>
      <c r="AA23" s="75">
        <v>40</v>
      </c>
      <c r="AB23" s="73" t="e">
        <f>(Z11-60)*(AB10+(AD11*AB10)/(Z11-AD11))/Z11</f>
        <v>#DIV/0!</v>
      </c>
      <c r="AC23" s="74" t="e">
        <f>(AB10-(AB10*(20-AD11)/(Z11-AD11))-((Z11-60)*(AB10+(AD11*AB10)/(Z11-AD11))/Z11))</f>
        <v>#DIV/0!</v>
      </c>
      <c r="AD23" s="74">
        <v>60</v>
      </c>
      <c r="AE23" s="75">
        <v>40</v>
      </c>
      <c r="AF23" s="73" t="e">
        <f>(AD11-60)*(AF10+(AH11*AF10)/(AD11-AH11))/AD11</f>
        <v>#DIV/0!</v>
      </c>
      <c r="AG23" s="74" t="e">
        <f>(AF10-(AF10*(20-AH11)/(AD11-AH11))-((AD11-60)*(AF10+(AH11*AF10)/(AD11-AH11))/AD11))</f>
        <v>#DIV/0!</v>
      </c>
      <c r="AH23" s="74">
        <v>60</v>
      </c>
      <c r="AI23" s="75">
        <v>40</v>
      </c>
      <c r="AJ23" s="73" t="e">
        <f>(AH11-60)*(AJ10+(AL11*AJ10)/(AH11-AL11))/AH11</f>
        <v>#DIV/0!</v>
      </c>
      <c r="AK23" s="74" t="e">
        <f>(AJ10-(AJ10*(20-AL11)/(AH11-AL11))-((AH11-60)*(AJ10+(AL11*AJ10)/(AH11-AL11))/AH11))</f>
        <v>#DIV/0!</v>
      </c>
      <c r="AL23" s="74">
        <v>60</v>
      </c>
      <c r="AM23" s="75">
        <v>40</v>
      </c>
      <c r="AN23" s="73" t="e">
        <f>(AL11-60)*(AN10+(AP11*AN10)/(AL11-AP11))/AL11</f>
        <v>#DIV/0!</v>
      </c>
      <c r="AO23" s="74" t="e">
        <f>(AN10-(AN10*(20-AP11)/(AL11-AP11))-((AL11-60)*(AN10+(AP11*AN10)/(AL11-AP11))/AL11))</f>
        <v>#DIV/0!</v>
      </c>
      <c r="AP23" s="74">
        <v>60</v>
      </c>
      <c r="AQ23" s="75">
        <v>40</v>
      </c>
      <c r="AR23" s="73" t="e">
        <f>(AP11-60)*(AR10+(AT11*AR10)/(AP11-AT11))/AP11</f>
        <v>#DIV/0!</v>
      </c>
      <c r="AS23" s="74" t="e">
        <f>(AR10-(AR10*(20-AT11)/(AP11-AT11))-((AP11-60)*(AR10+(AT11*AR10)/(AP11-AT11))/AP11))</f>
        <v>#DIV/0!</v>
      </c>
      <c r="AT23" s="74">
        <v>60</v>
      </c>
      <c r="AU23" s="75">
        <v>40</v>
      </c>
      <c r="AV23" s="73" t="e">
        <f>(AT11-60)*(AV10+(AX11*AV10)/(AT11-AX11))/AT11</f>
        <v>#DIV/0!</v>
      </c>
      <c r="AW23" s="74" t="e">
        <f>(AV10-(AV10*(20-AX11)/(AT11-AX11))-((AT11-60)*(AV10+(AX11*AV10)/(AT11-AX11))/AT11))</f>
        <v>#DIV/0!</v>
      </c>
      <c r="AX23" s="74">
        <v>60</v>
      </c>
      <c r="AY23" s="75">
        <v>40</v>
      </c>
    </row>
    <row r="24" spans="1:51" hidden="1" x14ac:dyDescent="0.2">
      <c r="A24" s="50"/>
      <c r="B24" s="51"/>
      <c r="C24" s="51"/>
      <c r="D24" s="73"/>
      <c r="E24" s="76" t="e">
        <f>D23+E23</f>
        <v>#DIV/0!</v>
      </c>
      <c r="F24" s="76" t="e">
        <f>(E23*G23)+(D23*F23)</f>
        <v>#DIV/0!</v>
      </c>
      <c r="G24" s="75"/>
      <c r="H24" s="73"/>
      <c r="I24" s="76" t="e">
        <f>H23+I23</f>
        <v>#DIV/0!</v>
      </c>
      <c r="J24" s="76" t="e">
        <f>(I23*K23)+(H23*J23)</f>
        <v>#DIV/0!</v>
      </c>
      <c r="K24" s="75"/>
      <c r="L24" s="73"/>
      <c r="M24" s="76" t="e">
        <f>L23+M23</f>
        <v>#DIV/0!</v>
      </c>
      <c r="N24" s="76" t="e">
        <f>(M23*O23)+(L23*N23)</f>
        <v>#DIV/0!</v>
      </c>
      <c r="O24" s="75"/>
      <c r="P24" s="73"/>
      <c r="Q24" s="76" t="e">
        <f>P23+Q23</f>
        <v>#DIV/0!</v>
      </c>
      <c r="R24" s="76" t="e">
        <f>(Q23*S23)+(P23*R23)</f>
        <v>#DIV/0!</v>
      </c>
      <c r="S24" s="75"/>
      <c r="T24" s="73"/>
      <c r="U24" s="76" t="e">
        <f>T23+U23</f>
        <v>#DIV/0!</v>
      </c>
      <c r="V24" s="76" t="e">
        <f>(U23*W23)+(T23*V23)</f>
        <v>#DIV/0!</v>
      </c>
      <c r="W24" s="75"/>
      <c r="X24" s="73"/>
      <c r="Y24" s="76" t="e">
        <f>X23+Y23</f>
        <v>#DIV/0!</v>
      </c>
      <c r="Z24" s="76" t="e">
        <f>(Y23*AA23)+(X23*Z23)</f>
        <v>#DIV/0!</v>
      </c>
      <c r="AA24" s="75"/>
      <c r="AB24" s="73"/>
      <c r="AC24" s="76" t="e">
        <f>AB23+AC23</f>
        <v>#DIV/0!</v>
      </c>
      <c r="AD24" s="76" t="e">
        <f>(AC23*AE23)+(AB23*AD23)</f>
        <v>#DIV/0!</v>
      </c>
      <c r="AE24" s="75"/>
      <c r="AF24" s="73"/>
      <c r="AG24" s="76" t="e">
        <f>AF23+AG23</f>
        <v>#DIV/0!</v>
      </c>
      <c r="AH24" s="76" t="e">
        <f>(AG23*AI23)+(AF23*AH23)</f>
        <v>#DIV/0!</v>
      </c>
      <c r="AI24" s="75"/>
      <c r="AJ24" s="73"/>
      <c r="AK24" s="76" t="e">
        <f>AJ23+AK23</f>
        <v>#DIV/0!</v>
      </c>
      <c r="AL24" s="76" t="e">
        <f>(AK23*AM23)+(AJ23*AL23)</f>
        <v>#DIV/0!</v>
      </c>
      <c r="AM24" s="75"/>
      <c r="AN24" s="73"/>
      <c r="AO24" s="76" t="e">
        <f>AN23+AO23</f>
        <v>#DIV/0!</v>
      </c>
      <c r="AP24" s="76" t="e">
        <f>(AO23*AQ23)+(AN23*AP23)</f>
        <v>#DIV/0!</v>
      </c>
      <c r="AQ24" s="75"/>
      <c r="AR24" s="73"/>
      <c r="AS24" s="76" t="e">
        <f>AR23+AS23</f>
        <v>#DIV/0!</v>
      </c>
      <c r="AT24" s="76" t="e">
        <f>(AS23*AU23)+(AR23*AT23)</f>
        <v>#DIV/0!</v>
      </c>
      <c r="AU24" s="75"/>
      <c r="AV24" s="73"/>
      <c r="AW24" s="76" t="e">
        <f>AV23+AW23</f>
        <v>#DIV/0!</v>
      </c>
      <c r="AX24" s="76" t="e">
        <f>(AW23*AY23)+(AV23*AX23)</f>
        <v>#DIV/0!</v>
      </c>
      <c r="AY24" s="75"/>
    </row>
    <row r="25" spans="1:51" hidden="1" x14ac:dyDescent="0.2">
      <c r="A25" s="50" t="s">
        <v>57</v>
      </c>
      <c r="B25" s="51"/>
      <c r="C25" s="51"/>
      <c r="D25" s="73"/>
      <c r="E25" s="74" t="e">
        <f>D10*(F11-20)/(F11-B11)</f>
        <v>#DIV/0!</v>
      </c>
      <c r="F25" s="74"/>
      <c r="G25" s="75">
        <f>(20+F11)/2</f>
        <v>10</v>
      </c>
      <c r="H25" s="73"/>
      <c r="I25" s="74" t="e">
        <f>H10*(J11-20)/(J11-F11)</f>
        <v>#DIV/0!</v>
      </c>
      <c r="J25" s="74"/>
      <c r="K25" s="75">
        <f>(20+J11)/2</f>
        <v>10</v>
      </c>
      <c r="L25" s="73"/>
      <c r="M25" s="74" t="e">
        <f>L10*(N11-20)/(N11-J11)</f>
        <v>#DIV/0!</v>
      </c>
      <c r="N25" s="74"/>
      <c r="O25" s="75">
        <f>(20+N11)/2</f>
        <v>10</v>
      </c>
      <c r="P25" s="73"/>
      <c r="Q25" s="74" t="e">
        <f>P10*(R11-20)/(R11-N11)</f>
        <v>#DIV/0!</v>
      </c>
      <c r="R25" s="74"/>
      <c r="S25" s="75">
        <f>(20+R11)/2</f>
        <v>10</v>
      </c>
      <c r="T25" s="73"/>
      <c r="U25" s="74" t="e">
        <f>T10*(V11-20)/(V11-R11)</f>
        <v>#DIV/0!</v>
      </c>
      <c r="V25" s="74"/>
      <c r="W25" s="75">
        <f>(20+V11)/2</f>
        <v>10</v>
      </c>
      <c r="X25" s="73"/>
      <c r="Y25" s="74" t="e">
        <f>X10*(Z11-20)/(Z11-V11)</f>
        <v>#DIV/0!</v>
      </c>
      <c r="Z25" s="74"/>
      <c r="AA25" s="75">
        <f>(20+Z11)/2</f>
        <v>10</v>
      </c>
      <c r="AB25" s="73"/>
      <c r="AC25" s="74" t="e">
        <f>AB10*(AD11-20)/(AD11-Z11)</f>
        <v>#DIV/0!</v>
      </c>
      <c r="AD25" s="74"/>
      <c r="AE25" s="75">
        <f>(20+AD11)/2</f>
        <v>10</v>
      </c>
      <c r="AF25" s="73"/>
      <c r="AG25" s="74" t="e">
        <f>AF10*(AH11-20)/(AH11-AD11)</f>
        <v>#DIV/0!</v>
      </c>
      <c r="AH25" s="74"/>
      <c r="AI25" s="75">
        <f>(20+AH11)/2</f>
        <v>10</v>
      </c>
      <c r="AJ25" s="73"/>
      <c r="AK25" s="74" t="e">
        <f>AJ10*(AL11-20)/(AL11-AH11)</f>
        <v>#DIV/0!</v>
      </c>
      <c r="AL25" s="74"/>
      <c r="AM25" s="75">
        <f>(20+AL11)/2</f>
        <v>10</v>
      </c>
      <c r="AN25" s="73"/>
      <c r="AO25" s="74" t="e">
        <f>AN10*(AP11-20)/(AP11-AL11)</f>
        <v>#DIV/0!</v>
      </c>
      <c r="AP25" s="74"/>
      <c r="AQ25" s="75">
        <f>(20+AP11)/2</f>
        <v>10</v>
      </c>
      <c r="AR25" s="73"/>
      <c r="AS25" s="74" t="e">
        <f>AR10*(AT11-20)/(AT11-AP11)</f>
        <v>#DIV/0!</v>
      </c>
      <c r="AT25" s="74"/>
      <c r="AU25" s="75">
        <f>(20+AT11)/2</f>
        <v>10</v>
      </c>
      <c r="AV25" s="73"/>
      <c r="AW25" s="74" t="e">
        <f>AV10*(AX11-20)/(AX11-AT11)</f>
        <v>#DIV/0!</v>
      </c>
      <c r="AX25" s="74"/>
      <c r="AY25" s="75">
        <f>(20+AX11)/2</f>
        <v>10</v>
      </c>
    </row>
    <row r="26" spans="1:51" hidden="1" x14ac:dyDescent="0.2">
      <c r="A26" s="50"/>
      <c r="B26" s="51"/>
      <c r="C26" s="51"/>
      <c r="D26" s="73"/>
      <c r="E26" s="76" t="e">
        <f>D25+E25</f>
        <v>#DIV/0!</v>
      </c>
      <c r="F26" s="76" t="e">
        <f>E25*G25</f>
        <v>#DIV/0!</v>
      </c>
      <c r="G26" s="75"/>
      <c r="H26" s="73"/>
      <c r="I26" s="76" t="e">
        <f>H25+I25</f>
        <v>#DIV/0!</v>
      </c>
      <c r="J26" s="76" t="e">
        <f>I25*K25</f>
        <v>#DIV/0!</v>
      </c>
      <c r="K26" s="75"/>
      <c r="L26" s="73"/>
      <c r="M26" s="76" t="e">
        <f>L25+M25</f>
        <v>#DIV/0!</v>
      </c>
      <c r="N26" s="76" t="e">
        <f>M25*O25</f>
        <v>#DIV/0!</v>
      </c>
      <c r="O26" s="75"/>
      <c r="P26" s="73"/>
      <c r="Q26" s="76" t="e">
        <f>P25+Q25</f>
        <v>#DIV/0!</v>
      </c>
      <c r="R26" s="76" t="e">
        <f>Q25*S25</f>
        <v>#DIV/0!</v>
      </c>
      <c r="S26" s="75"/>
      <c r="T26" s="73"/>
      <c r="U26" s="76" t="e">
        <f>T25+U25</f>
        <v>#DIV/0!</v>
      </c>
      <c r="V26" s="76" t="e">
        <f>U25*W25</f>
        <v>#DIV/0!</v>
      </c>
      <c r="W26" s="75"/>
      <c r="X26" s="73"/>
      <c r="Y26" s="76" t="e">
        <f>X25+Y25</f>
        <v>#DIV/0!</v>
      </c>
      <c r="Z26" s="76" t="e">
        <f>Y25*AA25</f>
        <v>#DIV/0!</v>
      </c>
      <c r="AA26" s="75"/>
      <c r="AB26" s="73"/>
      <c r="AC26" s="76" t="e">
        <f>AB25+AC25</f>
        <v>#DIV/0!</v>
      </c>
      <c r="AD26" s="76" t="e">
        <f>AC25*AE25</f>
        <v>#DIV/0!</v>
      </c>
      <c r="AE26" s="75"/>
      <c r="AF26" s="73"/>
      <c r="AG26" s="76" t="e">
        <f>AF25+AG25</f>
        <v>#DIV/0!</v>
      </c>
      <c r="AH26" s="76" t="e">
        <f>AG25*AI25</f>
        <v>#DIV/0!</v>
      </c>
      <c r="AI26" s="75"/>
      <c r="AJ26" s="73"/>
      <c r="AK26" s="76" t="e">
        <f>AJ25+AK25</f>
        <v>#DIV/0!</v>
      </c>
      <c r="AL26" s="76" t="e">
        <f>AK25*AM25</f>
        <v>#DIV/0!</v>
      </c>
      <c r="AM26" s="75"/>
      <c r="AN26" s="73"/>
      <c r="AO26" s="76" t="e">
        <f>AN25+AO25</f>
        <v>#DIV/0!</v>
      </c>
      <c r="AP26" s="76" t="e">
        <f>AO25*AQ25</f>
        <v>#DIV/0!</v>
      </c>
      <c r="AQ26" s="75"/>
      <c r="AR26" s="73"/>
      <c r="AS26" s="76" t="e">
        <f>AR25+AS25</f>
        <v>#DIV/0!</v>
      </c>
      <c r="AT26" s="76" t="e">
        <f>AS25*AU25</f>
        <v>#DIV/0!</v>
      </c>
      <c r="AU26" s="75"/>
      <c r="AV26" s="73"/>
      <c r="AW26" s="76" t="e">
        <f>AV25+AW25</f>
        <v>#DIV/0!</v>
      </c>
      <c r="AX26" s="76" t="e">
        <f>AW25*AY25</f>
        <v>#DIV/0!</v>
      </c>
      <c r="AY26" s="75"/>
    </row>
    <row r="27" spans="1:51" hidden="1" x14ac:dyDescent="0.2">
      <c r="A27" s="50" t="s">
        <v>58</v>
      </c>
      <c r="B27" s="51"/>
      <c r="C27" s="51"/>
      <c r="D27" s="73"/>
      <c r="E27" s="74" t="e">
        <f>D10*(B11-20)/(B11-F11)</f>
        <v>#DIV/0!</v>
      </c>
      <c r="F27" s="74"/>
      <c r="G27" s="75">
        <f>(20+B11)/2</f>
        <v>10</v>
      </c>
      <c r="H27" s="73"/>
      <c r="I27" s="74" t="e">
        <f>H10*(F11-20)/(F11-J11)</f>
        <v>#DIV/0!</v>
      </c>
      <c r="J27" s="74"/>
      <c r="K27" s="75">
        <f>(20+F11)/2</f>
        <v>10</v>
      </c>
      <c r="L27" s="73"/>
      <c r="M27" s="74" t="e">
        <f>L10*(J11-20)/(J11-N11)</f>
        <v>#DIV/0!</v>
      </c>
      <c r="N27" s="74"/>
      <c r="O27" s="75">
        <f>(20+J11)/2</f>
        <v>10</v>
      </c>
      <c r="P27" s="73"/>
      <c r="Q27" s="74" t="e">
        <f>P10*(N11-20)/(N11-R11)</f>
        <v>#DIV/0!</v>
      </c>
      <c r="R27" s="74"/>
      <c r="S27" s="75">
        <f>(20+N11)/2</f>
        <v>10</v>
      </c>
      <c r="T27" s="73"/>
      <c r="U27" s="74" t="e">
        <f>T10*(R11-20)/(R11-V11)</f>
        <v>#DIV/0!</v>
      </c>
      <c r="V27" s="74"/>
      <c r="W27" s="75">
        <f>(20+R11)/2</f>
        <v>10</v>
      </c>
      <c r="X27" s="73"/>
      <c r="Y27" s="74" t="e">
        <f>X10*(V11-20)/(V11-Z11)</f>
        <v>#DIV/0!</v>
      </c>
      <c r="Z27" s="74"/>
      <c r="AA27" s="75">
        <f>(20+V11)/2</f>
        <v>10</v>
      </c>
      <c r="AB27" s="73"/>
      <c r="AC27" s="74" t="e">
        <f>AB10*(Z11-20)/(Z11-AD11)</f>
        <v>#DIV/0!</v>
      </c>
      <c r="AD27" s="74"/>
      <c r="AE27" s="75">
        <f>(20+Z11)/2</f>
        <v>10</v>
      </c>
      <c r="AF27" s="73"/>
      <c r="AG27" s="74" t="e">
        <f>AF10*(AD11-20)/(AD11-AH11)</f>
        <v>#DIV/0!</v>
      </c>
      <c r="AH27" s="74"/>
      <c r="AI27" s="75">
        <f>(20+AD11)/2</f>
        <v>10</v>
      </c>
      <c r="AJ27" s="73"/>
      <c r="AK27" s="74" t="e">
        <f>AJ10*(AH11-20)/(AH11-AL11)</f>
        <v>#DIV/0!</v>
      </c>
      <c r="AL27" s="74"/>
      <c r="AM27" s="75">
        <f>(20+AH11)/2</f>
        <v>10</v>
      </c>
      <c r="AN27" s="73"/>
      <c r="AO27" s="74" t="e">
        <f>AN10*(AL11-20)/(AL11-AP11)</f>
        <v>#DIV/0!</v>
      </c>
      <c r="AP27" s="74"/>
      <c r="AQ27" s="75">
        <f>(20+AL11)/2</f>
        <v>10</v>
      </c>
      <c r="AR27" s="73"/>
      <c r="AS27" s="74" t="e">
        <f>AR10*(AP11-20)/(AP11-AT11)</f>
        <v>#DIV/0!</v>
      </c>
      <c r="AT27" s="74"/>
      <c r="AU27" s="75">
        <f>(20+AP11)/2</f>
        <v>10</v>
      </c>
      <c r="AV27" s="73"/>
      <c r="AW27" s="74" t="e">
        <f>AV10*(AT11-20)/(AT11-AX11)</f>
        <v>#DIV/0!</v>
      </c>
      <c r="AX27" s="74"/>
      <c r="AY27" s="75">
        <f>(20+AT11)/2</f>
        <v>10</v>
      </c>
    </row>
    <row r="28" spans="1:51" hidden="1" x14ac:dyDescent="0.2">
      <c r="A28" s="50"/>
      <c r="B28" s="51"/>
      <c r="C28" s="51"/>
      <c r="D28" s="73"/>
      <c r="E28" s="76" t="e">
        <f>D27+E27</f>
        <v>#DIV/0!</v>
      </c>
      <c r="F28" s="76" t="e">
        <f>E27*G27</f>
        <v>#DIV/0!</v>
      </c>
      <c r="G28" s="75"/>
      <c r="H28" s="73"/>
      <c r="I28" s="76" t="e">
        <f>H27+I27</f>
        <v>#DIV/0!</v>
      </c>
      <c r="J28" s="76" t="e">
        <f>I27*K27</f>
        <v>#DIV/0!</v>
      </c>
      <c r="K28" s="75"/>
      <c r="L28" s="73"/>
      <c r="M28" s="76" t="e">
        <f>L27+M27</f>
        <v>#DIV/0!</v>
      </c>
      <c r="N28" s="76" t="e">
        <f>M27*O27</f>
        <v>#DIV/0!</v>
      </c>
      <c r="O28" s="75"/>
      <c r="P28" s="73"/>
      <c r="Q28" s="76" t="e">
        <f>P27+Q27</f>
        <v>#DIV/0!</v>
      </c>
      <c r="R28" s="76" t="e">
        <f>Q27*S27</f>
        <v>#DIV/0!</v>
      </c>
      <c r="S28" s="75"/>
      <c r="T28" s="73"/>
      <c r="U28" s="76" t="e">
        <f>T27+U27</f>
        <v>#DIV/0!</v>
      </c>
      <c r="V28" s="76" t="e">
        <f>U27*W27</f>
        <v>#DIV/0!</v>
      </c>
      <c r="W28" s="75"/>
      <c r="X28" s="73"/>
      <c r="Y28" s="76" t="e">
        <f>X27+Y27</f>
        <v>#DIV/0!</v>
      </c>
      <c r="Z28" s="76" t="e">
        <f>Y27*AA27</f>
        <v>#DIV/0!</v>
      </c>
      <c r="AA28" s="75"/>
      <c r="AB28" s="73"/>
      <c r="AC28" s="76" t="e">
        <f>AB27+AC27</f>
        <v>#DIV/0!</v>
      </c>
      <c r="AD28" s="76" t="e">
        <f>AC27*AE27</f>
        <v>#DIV/0!</v>
      </c>
      <c r="AE28" s="75"/>
      <c r="AF28" s="73"/>
      <c r="AG28" s="76" t="e">
        <f>AF27+AG27</f>
        <v>#DIV/0!</v>
      </c>
      <c r="AH28" s="76" t="e">
        <f>AG27*AI27</f>
        <v>#DIV/0!</v>
      </c>
      <c r="AI28" s="75"/>
      <c r="AJ28" s="73"/>
      <c r="AK28" s="76" t="e">
        <f>AJ27+AK27</f>
        <v>#DIV/0!</v>
      </c>
      <c r="AL28" s="76" t="e">
        <f>AK27*AM27</f>
        <v>#DIV/0!</v>
      </c>
      <c r="AM28" s="75"/>
      <c r="AN28" s="73"/>
      <c r="AO28" s="76" t="e">
        <f>AN27+AO27</f>
        <v>#DIV/0!</v>
      </c>
      <c r="AP28" s="76" t="e">
        <f>AO27*AQ27</f>
        <v>#DIV/0!</v>
      </c>
      <c r="AQ28" s="75"/>
      <c r="AR28" s="73"/>
      <c r="AS28" s="76" t="e">
        <f>AR27+AS27</f>
        <v>#DIV/0!</v>
      </c>
      <c r="AT28" s="76" t="e">
        <f>AS27*AU27</f>
        <v>#DIV/0!</v>
      </c>
      <c r="AU28" s="75"/>
      <c r="AV28" s="73"/>
      <c r="AW28" s="76" t="e">
        <f>AV27+AW27</f>
        <v>#DIV/0!</v>
      </c>
      <c r="AX28" s="76" t="e">
        <f>AW27*AY27</f>
        <v>#DIV/0!</v>
      </c>
      <c r="AY28" s="75"/>
    </row>
    <row r="29" spans="1:51" hidden="1" x14ac:dyDescent="0.2">
      <c r="A29" s="50" t="s">
        <v>59</v>
      </c>
      <c r="B29" s="51"/>
      <c r="C29" s="51"/>
      <c r="D29" s="73" t="e">
        <f>D10-E29</f>
        <v>#DIV/0!</v>
      </c>
      <c r="E29" s="74" t="e">
        <f>D10*(60-B11)/(F11-B11)</f>
        <v>#DIV/0!</v>
      </c>
      <c r="F29" s="74">
        <v>60</v>
      </c>
      <c r="G29" s="75">
        <f>(60+B11)/2</f>
        <v>30</v>
      </c>
      <c r="H29" s="73" t="e">
        <f>H10-I29</f>
        <v>#DIV/0!</v>
      </c>
      <c r="I29" s="74" t="e">
        <f>H10*(60-F11)/(J11-F11)</f>
        <v>#DIV/0!</v>
      </c>
      <c r="J29" s="74">
        <v>60</v>
      </c>
      <c r="K29" s="75">
        <f>(60+F11)/2</f>
        <v>30</v>
      </c>
      <c r="L29" s="73" t="e">
        <f>L10-M29</f>
        <v>#DIV/0!</v>
      </c>
      <c r="M29" s="74" t="e">
        <f>L10*(60-J11)/(N11-J11)</f>
        <v>#DIV/0!</v>
      </c>
      <c r="N29" s="74">
        <v>60</v>
      </c>
      <c r="O29" s="75">
        <f>(60+J11)/2</f>
        <v>30</v>
      </c>
      <c r="P29" s="73" t="e">
        <f>P10-Q29</f>
        <v>#DIV/0!</v>
      </c>
      <c r="Q29" s="74" t="e">
        <f>P10*(60-N11)/(R11-N11)</f>
        <v>#DIV/0!</v>
      </c>
      <c r="R29" s="74">
        <v>60</v>
      </c>
      <c r="S29" s="75">
        <f>(60+N11)/2</f>
        <v>30</v>
      </c>
      <c r="T29" s="73" t="e">
        <f>T10-U29</f>
        <v>#DIV/0!</v>
      </c>
      <c r="U29" s="74" t="e">
        <f>T10*(60-R11)/(V11-R11)</f>
        <v>#DIV/0!</v>
      </c>
      <c r="V29" s="74">
        <v>60</v>
      </c>
      <c r="W29" s="75">
        <f>(60+R11)/2</f>
        <v>30</v>
      </c>
      <c r="X29" s="73" t="e">
        <f>X10-Y29</f>
        <v>#DIV/0!</v>
      </c>
      <c r="Y29" s="74" t="e">
        <f>X10*(60-V11)/(Z11-V11)</f>
        <v>#DIV/0!</v>
      </c>
      <c r="Z29" s="74">
        <v>60</v>
      </c>
      <c r="AA29" s="75">
        <f>(60+V11)/2</f>
        <v>30</v>
      </c>
      <c r="AB29" s="73" t="e">
        <f>AB10-AC29</f>
        <v>#DIV/0!</v>
      </c>
      <c r="AC29" s="74" t="e">
        <f>AB10*(60-Z11)/(AD11-Z11)</f>
        <v>#DIV/0!</v>
      </c>
      <c r="AD29" s="74">
        <v>60</v>
      </c>
      <c r="AE29" s="75">
        <f>(60+Z11)/2</f>
        <v>30</v>
      </c>
      <c r="AF29" s="73" t="e">
        <f>AF10-AG29</f>
        <v>#DIV/0!</v>
      </c>
      <c r="AG29" s="74" t="e">
        <f>AF10*(60-AD11)/(AH11-AD11)</f>
        <v>#DIV/0!</v>
      </c>
      <c r="AH29" s="74">
        <v>60</v>
      </c>
      <c r="AI29" s="75">
        <f>(60+AD11)/2</f>
        <v>30</v>
      </c>
      <c r="AJ29" s="73" t="e">
        <f>AJ10-AK29</f>
        <v>#DIV/0!</v>
      </c>
      <c r="AK29" s="74" t="e">
        <f>AJ10*(60-AH11)/(AL11-AH11)</f>
        <v>#DIV/0!</v>
      </c>
      <c r="AL29" s="74">
        <v>60</v>
      </c>
      <c r="AM29" s="75">
        <f>(60+AH11)/2</f>
        <v>30</v>
      </c>
      <c r="AN29" s="73" t="e">
        <f>AN10-AO29</f>
        <v>#DIV/0!</v>
      </c>
      <c r="AO29" s="74" t="e">
        <f>AN10*(60-AL11)/(AP11-AL11)</f>
        <v>#DIV/0!</v>
      </c>
      <c r="AP29" s="74">
        <v>60</v>
      </c>
      <c r="AQ29" s="75">
        <f>(60+AL11)/2</f>
        <v>30</v>
      </c>
      <c r="AR29" s="73" t="e">
        <f>AR10-AS29</f>
        <v>#DIV/0!</v>
      </c>
      <c r="AS29" s="74" t="e">
        <f>AR10*(60-AP11)/(AT11-AP11)</f>
        <v>#DIV/0!</v>
      </c>
      <c r="AT29" s="74">
        <v>60</v>
      </c>
      <c r="AU29" s="75">
        <f>(60+AP11)/2</f>
        <v>30</v>
      </c>
      <c r="AV29" s="73" t="e">
        <f>AV10-AW29</f>
        <v>#DIV/0!</v>
      </c>
      <c r="AW29" s="74" t="e">
        <f>AV10*(60-AT11)/(AX11-AT11)</f>
        <v>#DIV/0!</v>
      </c>
      <c r="AX29" s="74">
        <v>60</v>
      </c>
      <c r="AY29" s="75">
        <f>(60+AT11)/2</f>
        <v>30</v>
      </c>
    </row>
    <row r="30" spans="1:51" hidden="1" x14ac:dyDescent="0.2">
      <c r="A30" s="50"/>
      <c r="B30" s="51"/>
      <c r="C30" s="51"/>
      <c r="D30" s="73"/>
      <c r="E30" s="76" t="e">
        <f>D29+E29</f>
        <v>#DIV/0!</v>
      </c>
      <c r="F30" s="76" t="e">
        <f>(E29*G29)+(D29*F29)</f>
        <v>#DIV/0!</v>
      </c>
      <c r="G30" s="75"/>
      <c r="H30" s="73"/>
      <c r="I30" s="76" t="e">
        <f>H29+I29</f>
        <v>#DIV/0!</v>
      </c>
      <c r="J30" s="76" t="e">
        <f>(I29*K29)+(H29*J29)</f>
        <v>#DIV/0!</v>
      </c>
      <c r="K30" s="75"/>
      <c r="L30" s="73"/>
      <c r="M30" s="76" t="e">
        <f>L29+M29</f>
        <v>#DIV/0!</v>
      </c>
      <c r="N30" s="76" t="e">
        <f>(M29*O29)+(L29*N29)</f>
        <v>#DIV/0!</v>
      </c>
      <c r="O30" s="75"/>
      <c r="P30" s="73"/>
      <c r="Q30" s="76" t="e">
        <f>P29+Q29</f>
        <v>#DIV/0!</v>
      </c>
      <c r="R30" s="76" t="e">
        <f>(Q29*S29)+(P29*R29)</f>
        <v>#DIV/0!</v>
      </c>
      <c r="S30" s="75"/>
      <c r="T30" s="73"/>
      <c r="U30" s="76" t="e">
        <f>T29+U29</f>
        <v>#DIV/0!</v>
      </c>
      <c r="V30" s="76" t="e">
        <f>(U29*W29)+(T29*V29)</f>
        <v>#DIV/0!</v>
      </c>
      <c r="W30" s="75"/>
      <c r="X30" s="73"/>
      <c r="Y30" s="76" t="e">
        <f>X29+Y29</f>
        <v>#DIV/0!</v>
      </c>
      <c r="Z30" s="76" t="e">
        <f>(Y29*AA29)+(X29*Z29)</f>
        <v>#DIV/0!</v>
      </c>
      <c r="AA30" s="75"/>
      <c r="AB30" s="73"/>
      <c r="AC30" s="76" t="e">
        <f>AB29+AC29</f>
        <v>#DIV/0!</v>
      </c>
      <c r="AD30" s="76" t="e">
        <f>(AC29*AE29)+(AB29*AD29)</f>
        <v>#DIV/0!</v>
      </c>
      <c r="AE30" s="75"/>
      <c r="AF30" s="73"/>
      <c r="AG30" s="76" t="e">
        <f>AF29+AG29</f>
        <v>#DIV/0!</v>
      </c>
      <c r="AH30" s="76" t="e">
        <f>(AG29*AI29)+(AF29*AH29)</f>
        <v>#DIV/0!</v>
      </c>
      <c r="AI30" s="75"/>
      <c r="AJ30" s="73"/>
      <c r="AK30" s="76" t="e">
        <f>AJ29+AK29</f>
        <v>#DIV/0!</v>
      </c>
      <c r="AL30" s="76" t="e">
        <f>(AK29*AM29)+(AJ29*AL29)</f>
        <v>#DIV/0!</v>
      </c>
      <c r="AM30" s="75"/>
      <c r="AN30" s="73"/>
      <c r="AO30" s="76" t="e">
        <f>AN29+AO29</f>
        <v>#DIV/0!</v>
      </c>
      <c r="AP30" s="76" t="e">
        <f>(AO29*AQ29)+(AN29*AP29)</f>
        <v>#DIV/0!</v>
      </c>
      <c r="AQ30" s="75"/>
      <c r="AR30" s="73"/>
      <c r="AS30" s="76" t="e">
        <f>AR29+AS29</f>
        <v>#DIV/0!</v>
      </c>
      <c r="AT30" s="76" t="e">
        <f>(AS29*AU29)+(AR29*AT29)</f>
        <v>#DIV/0!</v>
      </c>
      <c r="AU30" s="75"/>
      <c r="AV30" s="73"/>
      <c r="AW30" s="76" t="e">
        <f>AV29+AW29</f>
        <v>#DIV/0!</v>
      </c>
      <c r="AX30" s="76" t="e">
        <f>(AW29*AY29)+(AV29*AX29)</f>
        <v>#DIV/0!</v>
      </c>
      <c r="AY30" s="75"/>
    </row>
    <row r="31" spans="1:51" hidden="1" x14ac:dyDescent="0.2">
      <c r="A31" s="50" t="s">
        <v>60</v>
      </c>
      <c r="B31" s="51"/>
      <c r="C31" s="51"/>
      <c r="D31" s="73" t="e">
        <f>D10-E31</f>
        <v>#DIV/0!</v>
      </c>
      <c r="E31" s="74" t="e">
        <f>D10*(60-F11)/(B11-F11)</f>
        <v>#DIV/0!</v>
      </c>
      <c r="F31" s="74">
        <v>60</v>
      </c>
      <c r="G31" s="75">
        <f>(60+F11)/2</f>
        <v>30</v>
      </c>
      <c r="H31" s="73" t="e">
        <f>H10-I31</f>
        <v>#DIV/0!</v>
      </c>
      <c r="I31" s="74" t="e">
        <f>H10*(60-J11)/(F11-J11)</f>
        <v>#DIV/0!</v>
      </c>
      <c r="J31" s="74">
        <v>60</v>
      </c>
      <c r="K31" s="75">
        <f>(60+J11)/2</f>
        <v>30</v>
      </c>
      <c r="L31" s="73" t="e">
        <f>L10-M31</f>
        <v>#DIV/0!</v>
      </c>
      <c r="M31" s="74" t="e">
        <f>L10*(60-N11)/(J11-N11)</f>
        <v>#DIV/0!</v>
      </c>
      <c r="N31" s="74">
        <v>60</v>
      </c>
      <c r="O31" s="75">
        <f>(60+N11)/2</f>
        <v>30</v>
      </c>
      <c r="P31" s="73" t="e">
        <f>P10-Q31</f>
        <v>#DIV/0!</v>
      </c>
      <c r="Q31" s="74" t="e">
        <f>P10*(60-R11)/(N11-R11)</f>
        <v>#DIV/0!</v>
      </c>
      <c r="R31" s="74">
        <v>60</v>
      </c>
      <c r="S31" s="75">
        <f>(60+R11)/2</f>
        <v>30</v>
      </c>
      <c r="T31" s="73" t="e">
        <f>T10-U31</f>
        <v>#DIV/0!</v>
      </c>
      <c r="U31" s="74" t="e">
        <f>T10*(60-V11)/(R11-V11)</f>
        <v>#DIV/0!</v>
      </c>
      <c r="V31" s="74">
        <v>60</v>
      </c>
      <c r="W31" s="75">
        <f>(60+V11)/2</f>
        <v>30</v>
      </c>
      <c r="X31" s="73" t="e">
        <f>X10-Y31</f>
        <v>#DIV/0!</v>
      </c>
      <c r="Y31" s="74" t="e">
        <f>X10*(60-Z11)/(V11-Z11)</f>
        <v>#DIV/0!</v>
      </c>
      <c r="Z31" s="74">
        <v>60</v>
      </c>
      <c r="AA31" s="75">
        <f>(60+Z11)/2</f>
        <v>30</v>
      </c>
      <c r="AB31" s="73" t="e">
        <f>AB10-AC31</f>
        <v>#DIV/0!</v>
      </c>
      <c r="AC31" s="74" t="e">
        <f>AB10*(60-AD11)/(Z11-AD11)</f>
        <v>#DIV/0!</v>
      </c>
      <c r="AD31" s="74">
        <v>60</v>
      </c>
      <c r="AE31" s="75">
        <f>(60+AD11)/2</f>
        <v>30</v>
      </c>
      <c r="AF31" s="73" t="e">
        <f>AF10-AG31</f>
        <v>#DIV/0!</v>
      </c>
      <c r="AG31" s="74" t="e">
        <f>AF10*(60-AH11)/(AD11-AH11)</f>
        <v>#DIV/0!</v>
      </c>
      <c r="AH31" s="74">
        <v>60</v>
      </c>
      <c r="AI31" s="75">
        <f>(60+AH11)/2</f>
        <v>30</v>
      </c>
      <c r="AJ31" s="73" t="e">
        <f>AJ10-AK31</f>
        <v>#DIV/0!</v>
      </c>
      <c r="AK31" s="74" t="e">
        <f>AJ10*(60-AL11)/(AH11-AL11)</f>
        <v>#DIV/0!</v>
      </c>
      <c r="AL31" s="74">
        <v>60</v>
      </c>
      <c r="AM31" s="75">
        <f>(60+AL11)/2</f>
        <v>30</v>
      </c>
      <c r="AN31" s="73" t="e">
        <f>AN10-AO31</f>
        <v>#DIV/0!</v>
      </c>
      <c r="AO31" s="74" t="e">
        <f>AN10*(60-AP11)/(AL11-AP11)</f>
        <v>#DIV/0!</v>
      </c>
      <c r="AP31" s="74">
        <v>60</v>
      </c>
      <c r="AQ31" s="75">
        <f>(60+AP11)/2</f>
        <v>30</v>
      </c>
      <c r="AR31" s="73" t="e">
        <f>AR10-AS31</f>
        <v>#DIV/0!</v>
      </c>
      <c r="AS31" s="74" t="e">
        <f>AR10*(60-AT11)/(AP11-AT11)</f>
        <v>#DIV/0!</v>
      </c>
      <c r="AT31" s="74">
        <v>60</v>
      </c>
      <c r="AU31" s="75">
        <f>(60+AT11)/2</f>
        <v>30</v>
      </c>
      <c r="AV31" s="73" t="e">
        <f>AV10-AW31</f>
        <v>#DIV/0!</v>
      </c>
      <c r="AW31" s="74" t="e">
        <f>AV10*(60-AX11)/(AT11-AX11)</f>
        <v>#DIV/0!</v>
      </c>
      <c r="AX31" s="74">
        <v>60</v>
      </c>
      <c r="AY31" s="75">
        <f>(60+AX11)/2</f>
        <v>30</v>
      </c>
    </row>
    <row r="32" spans="1:51" hidden="1" x14ac:dyDescent="0.2">
      <c r="A32" s="34"/>
      <c r="B32" s="51"/>
      <c r="C32" s="51"/>
      <c r="D32" s="73"/>
      <c r="E32" s="76" t="e">
        <f>D31+E31</f>
        <v>#DIV/0!</v>
      </c>
      <c r="F32" s="76" t="e">
        <f>(E31*G31)+(D31*F31)</f>
        <v>#DIV/0!</v>
      </c>
      <c r="G32" s="75"/>
      <c r="H32" s="73"/>
      <c r="I32" s="76" t="e">
        <f>H31+I31</f>
        <v>#DIV/0!</v>
      </c>
      <c r="J32" s="76" t="e">
        <f>(I31*K31)+(H31*J31)</f>
        <v>#DIV/0!</v>
      </c>
      <c r="K32" s="75"/>
      <c r="L32" s="73"/>
      <c r="M32" s="76" t="e">
        <f>L31+M31</f>
        <v>#DIV/0!</v>
      </c>
      <c r="N32" s="76" t="e">
        <f>(M31*O31)+(L31*N31)</f>
        <v>#DIV/0!</v>
      </c>
      <c r="O32" s="75"/>
      <c r="P32" s="73"/>
      <c r="Q32" s="76" t="e">
        <f>P31+Q31</f>
        <v>#DIV/0!</v>
      </c>
      <c r="R32" s="76" t="e">
        <f>(Q31*S31)+(P31*R31)</f>
        <v>#DIV/0!</v>
      </c>
      <c r="S32" s="75"/>
      <c r="T32" s="73"/>
      <c r="U32" s="76" t="e">
        <f>T31+U31</f>
        <v>#DIV/0!</v>
      </c>
      <c r="V32" s="76" t="e">
        <f>(U31*W31)+(T31*V31)</f>
        <v>#DIV/0!</v>
      </c>
      <c r="W32" s="75"/>
      <c r="X32" s="73"/>
      <c r="Y32" s="76" t="e">
        <f>X31+Y31</f>
        <v>#DIV/0!</v>
      </c>
      <c r="Z32" s="76" t="e">
        <f>(Y31*AA31)+(X31*Z31)</f>
        <v>#DIV/0!</v>
      </c>
      <c r="AA32" s="75"/>
      <c r="AB32" s="73"/>
      <c r="AC32" s="76" t="e">
        <f>AB31+AC31</f>
        <v>#DIV/0!</v>
      </c>
      <c r="AD32" s="76" t="e">
        <f>(AC31*AE31)+(AB31*AD31)</f>
        <v>#DIV/0!</v>
      </c>
      <c r="AE32" s="75"/>
      <c r="AF32" s="73"/>
      <c r="AG32" s="76" t="e">
        <f>AF31+AG31</f>
        <v>#DIV/0!</v>
      </c>
      <c r="AH32" s="76" t="e">
        <f>(AG31*AI31)+(AF31*AH31)</f>
        <v>#DIV/0!</v>
      </c>
      <c r="AI32" s="75"/>
      <c r="AJ32" s="73"/>
      <c r="AK32" s="76" t="e">
        <f>AJ31+AK31</f>
        <v>#DIV/0!</v>
      </c>
      <c r="AL32" s="76" t="e">
        <f>(AK31*AM31)+(AJ31*AL31)</f>
        <v>#DIV/0!</v>
      </c>
      <c r="AM32" s="75"/>
      <c r="AN32" s="73"/>
      <c r="AO32" s="76" t="e">
        <f>AN31+AO31</f>
        <v>#DIV/0!</v>
      </c>
      <c r="AP32" s="76" t="e">
        <f>(AO31*AQ31)+(AN31*AP31)</f>
        <v>#DIV/0!</v>
      </c>
      <c r="AQ32" s="75"/>
      <c r="AR32" s="73"/>
      <c r="AS32" s="76" t="e">
        <f>AR31+AS31</f>
        <v>#DIV/0!</v>
      </c>
      <c r="AT32" s="76" t="e">
        <f>(AS31*AU31)+(AR31*AT31)</f>
        <v>#DIV/0!</v>
      </c>
      <c r="AU32" s="75"/>
      <c r="AV32" s="73"/>
      <c r="AW32" s="76" t="e">
        <f>AV31+AW31</f>
        <v>#DIV/0!</v>
      </c>
      <c r="AX32" s="76" t="e">
        <f>(AW31*AY31)+(AV31*AX31)</f>
        <v>#DIV/0!</v>
      </c>
      <c r="AY32" s="75"/>
    </row>
    <row r="33" spans="1:51" hidden="1" x14ac:dyDescent="0.2">
      <c r="A33" s="52" t="s">
        <v>61</v>
      </c>
      <c r="B33" s="34"/>
      <c r="C33" s="34"/>
      <c r="D33" s="73"/>
      <c r="E33" s="74">
        <f>D10</f>
        <v>0</v>
      </c>
      <c r="F33" s="74"/>
      <c r="G33" s="75">
        <f>(B11+F11)/2</f>
        <v>0</v>
      </c>
      <c r="H33" s="73"/>
      <c r="I33" s="74">
        <f>H10</f>
        <v>0</v>
      </c>
      <c r="J33" s="74"/>
      <c r="K33" s="75">
        <f>(F11+J11)/2</f>
        <v>0</v>
      </c>
      <c r="L33" s="73"/>
      <c r="M33" s="74">
        <f>L10</f>
        <v>0</v>
      </c>
      <c r="N33" s="74"/>
      <c r="O33" s="75">
        <f>(J11+N11)/2</f>
        <v>0</v>
      </c>
      <c r="P33" s="73"/>
      <c r="Q33" s="74">
        <f>P10</f>
        <v>0</v>
      </c>
      <c r="R33" s="74"/>
      <c r="S33" s="75">
        <f>(N11+R11)/2</f>
        <v>0</v>
      </c>
      <c r="T33" s="73"/>
      <c r="U33" s="74">
        <f>T10</f>
        <v>0</v>
      </c>
      <c r="V33" s="74"/>
      <c r="W33" s="75">
        <f>(R11+V11)/2</f>
        <v>0</v>
      </c>
      <c r="X33" s="73"/>
      <c r="Y33" s="74">
        <f>X10</f>
        <v>0</v>
      </c>
      <c r="Z33" s="74"/>
      <c r="AA33" s="75">
        <f>(V11+Z11)/2</f>
        <v>0</v>
      </c>
      <c r="AB33" s="73"/>
      <c r="AC33" s="74">
        <f>AB10</f>
        <v>0</v>
      </c>
      <c r="AD33" s="74"/>
      <c r="AE33" s="75">
        <f>(Z11+AD11)/2</f>
        <v>0</v>
      </c>
      <c r="AF33" s="73"/>
      <c r="AG33" s="74">
        <f>AF10</f>
        <v>0</v>
      </c>
      <c r="AH33" s="74"/>
      <c r="AI33" s="75">
        <f>(AD11+AH11)/2</f>
        <v>0</v>
      </c>
      <c r="AJ33" s="73"/>
      <c r="AK33" s="74">
        <f>AJ10</f>
        <v>0</v>
      </c>
      <c r="AL33" s="74"/>
      <c r="AM33" s="75">
        <f>(AH11+AL11)/2</f>
        <v>0</v>
      </c>
      <c r="AN33" s="73"/>
      <c r="AO33" s="74">
        <f>AN10</f>
        <v>0</v>
      </c>
      <c r="AP33" s="74"/>
      <c r="AQ33" s="75">
        <f>(AL11+AP11)/2</f>
        <v>0</v>
      </c>
      <c r="AR33" s="73"/>
      <c r="AS33" s="74">
        <f>AR10</f>
        <v>0</v>
      </c>
      <c r="AT33" s="74"/>
      <c r="AU33" s="75">
        <f>(AP11+AT11)/2</f>
        <v>0</v>
      </c>
      <c r="AV33" s="73"/>
      <c r="AW33" s="74">
        <f>AV10</f>
        <v>0</v>
      </c>
      <c r="AX33" s="74"/>
      <c r="AY33" s="75">
        <f>(AT11+AX11)/2</f>
        <v>0</v>
      </c>
    </row>
    <row r="34" spans="1:51" hidden="1" x14ac:dyDescent="0.2">
      <c r="A34" s="52"/>
      <c r="B34" s="34"/>
      <c r="C34" s="34"/>
      <c r="D34" s="73"/>
      <c r="E34" s="76">
        <f>D33+E33</f>
        <v>0</v>
      </c>
      <c r="F34" s="76">
        <f>E33*G33</f>
        <v>0</v>
      </c>
      <c r="G34" s="75"/>
      <c r="H34" s="73"/>
      <c r="I34" s="76">
        <f>H33+I33</f>
        <v>0</v>
      </c>
      <c r="J34" s="76">
        <f>I33*K33</f>
        <v>0</v>
      </c>
      <c r="K34" s="75"/>
      <c r="L34" s="73"/>
      <c r="M34" s="76">
        <f>L33+M33</f>
        <v>0</v>
      </c>
      <c r="N34" s="76">
        <f>M33*O33</f>
        <v>0</v>
      </c>
      <c r="O34" s="75"/>
      <c r="P34" s="73"/>
      <c r="Q34" s="76">
        <f>P33+Q33</f>
        <v>0</v>
      </c>
      <c r="R34" s="76">
        <f>Q33*S33</f>
        <v>0</v>
      </c>
      <c r="S34" s="75"/>
      <c r="T34" s="73"/>
      <c r="U34" s="76">
        <f>T33+U33</f>
        <v>0</v>
      </c>
      <c r="V34" s="76">
        <f>U33*W33</f>
        <v>0</v>
      </c>
      <c r="W34" s="75"/>
      <c r="X34" s="73"/>
      <c r="Y34" s="76">
        <f>X33+Y33</f>
        <v>0</v>
      </c>
      <c r="Z34" s="76">
        <f>Y33*AA33</f>
        <v>0</v>
      </c>
      <c r="AA34" s="75"/>
      <c r="AB34" s="73"/>
      <c r="AC34" s="76">
        <f>AB33+AC33</f>
        <v>0</v>
      </c>
      <c r="AD34" s="76">
        <f>AC33*AE33</f>
        <v>0</v>
      </c>
      <c r="AE34" s="75"/>
      <c r="AF34" s="73"/>
      <c r="AG34" s="76">
        <f>AF33+AG33</f>
        <v>0</v>
      </c>
      <c r="AH34" s="76">
        <f>AG33*AI33</f>
        <v>0</v>
      </c>
      <c r="AI34" s="75"/>
      <c r="AJ34" s="73"/>
      <c r="AK34" s="76">
        <f>AJ33+AK33</f>
        <v>0</v>
      </c>
      <c r="AL34" s="76">
        <f>AK33*AM33</f>
        <v>0</v>
      </c>
      <c r="AM34" s="75"/>
      <c r="AN34" s="73"/>
      <c r="AO34" s="76">
        <f>AN33+AO33</f>
        <v>0</v>
      </c>
      <c r="AP34" s="76">
        <f>AO33*AQ33</f>
        <v>0</v>
      </c>
      <c r="AQ34" s="75"/>
      <c r="AR34" s="73"/>
      <c r="AS34" s="76">
        <f>AR33+AS33</f>
        <v>0</v>
      </c>
      <c r="AT34" s="76">
        <f>AS33*AU33</f>
        <v>0</v>
      </c>
      <c r="AU34" s="75"/>
      <c r="AV34" s="73"/>
      <c r="AW34" s="76">
        <f>AV33+AW33</f>
        <v>0</v>
      </c>
      <c r="AX34" s="76">
        <f>AW33*AY33</f>
        <v>0</v>
      </c>
      <c r="AY34" s="75"/>
    </row>
    <row r="35" spans="1:51" hidden="1" x14ac:dyDescent="0.2">
      <c r="A35" s="52" t="s">
        <v>53</v>
      </c>
      <c r="B35" s="34"/>
      <c r="C35" s="34"/>
      <c r="D35" s="73"/>
      <c r="E35" s="74">
        <v>0</v>
      </c>
      <c r="F35" s="74"/>
      <c r="G35" s="75">
        <v>0</v>
      </c>
      <c r="H35" s="73"/>
      <c r="I35" s="74">
        <v>0</v>
      </c>
      <c r="J35" s="74"/>
      <c r="K35" s="75">
        <v>0</v>
      </c>
      <c r="L35" s="73"/>
      <c r="M35" s="74">
        <v>0</v>
      </c>
      <c r="N35" s="74"/>
      <c r="O35" s="75">
        <v>0</v>
      </c>
      <c r="P35" s="73"/>
      <c r="Q35" s="74">
        <v>0</v>
      </c>
      <c r="R35" s="74"/>
      <c r="S35" s="75">
        <v>0</v>
      </c>
      <c r="T35" s="73"/>
      <c r="U35" s="74">
        <v>0</v>
      </c>
      <c r="V35" s="74"/>
      <c r="W35" s="75">
        <v>0</v>
      </c>
      <c r="X35" s="73"/>
      <c r="Y35" s="74">
        <v>0</v>
      </c>
      <c r="Z35" s="74"/>
      <c r="AA35" s="75">
        <v>0</v>
      </c>
      <c r="AB35" s="73"/>
      <c r="AC35" s="74">
        <v>0</v>
      </c>
      <c r="AD35" s="74"/>
      <c r="AE35" s="75">
        <v>0</v>
      </c>
      <c r="AF35" s="73"/>
      <c r="AG35" s="74">
        <v>0</v>
      </c>
      <c r="AH35" s="74"/>
      <c r="AI35" s="75">
        <v>0</v>
      </c>
      <c r="AJ35" s="73"/>
      <c r="AK35" s="74">
        <v>0</v>
      </c>
      <c r="AL35" s="74"/>
      <c r="AM35" s="75">
        <v>0</v>
      </c>
      <c r="AN35" s="73"/>
      <c r="AO35" s="74">
        <v>0</v>
      </c>
      <c r="AP35" s="74"/>
      <c r="AQ35" s="75">
        <v>0</v>
      </c>
      <c r="AR35" s="73"/>
      <c r="AS35" s="74">
        <v>0</v>
      </c>
      <c r="AT35" s="74"/>
      <c r="AU35" s="75">
        <v>0</v>
      </c>
      <c r="AV35" s="73"/>
      <c r="AW35" s="74">
        <v>0</v>
      </c>
      <c r="AX35" s="74"/>
      <c r="AY35" s="75">
        <v>0</v>
      </c>
    </row>
    <row r="36" spans="1:51" hidden="1" x14ac:dyDescent="0.2">
      <c r="A36" s="52"/>
      <c r="B36" s="34"/>
      <c r="C36" s="34"/>
      <c r="D36" s="73"/>
      <c r="E36" s="76">
        <f>D35+E35</f>
        <v>0</v>
      </c>
      <c r="F36" s="76">
        <f>E35*G35</f>
        <v>0</v>
      </c>
      <c r="G36" s="75"/>
      <c r="H36" s="73"/>
      <c r="I36" s="76">
        <f>H35+I35</f>
        <v>0</v>
      </c>
      <c r="J36" s="76">
        <f>I35*K35</f>
        <v>0</v>
      </c>
      <c r="K36" s="75"/>
      <c r="L36" s="73"/>
      <c r="M36" s="76">
        <f>L35+M35</f>
        <v>0</v>
      </c>
      <c r="N36" s="76">
        <f>M35*O35</f>
        <v>0</v>
      </c>
      <c r="O36" s="75"/>
      <c r="P36" s="73"/>
      <c r="Q36" s="76">
        <f>P35+Q35</f>
        <v>0</v>
      </c>
      <c r="R36" s="76">
        <f>Q35*S35</f>
        <v>0</v>
      </c>
      <c r="S36" s="75"/>
      <c r="T36" s="73"/>
      <c r="U36" s="76">
        <f>T35+U35</f>
        <v>0</v>
      </c>
      <c r="V36" s="76">
        <f>U35*W35</f>
        <v>0</v>
      </c>
      <c r="W36" s="75"/>
      <c r="X36" s="73"/>
      <c r="Y36" s="76">
        <f>X35+Y35</f>
        <v>0</v>
      </c>
      <c r="Z36" s="76">
        <f>Y35*AA35</f>
        <v>0</v>
      </c>
      <c r="AA36" s="75"/>
      <c r="AB36" s="73"/>
      <c r="AC36" s="76">
        <f>AB35+AC35</f>
        <v>0</v>
      </c>
      <c r="AD36" s="76">
        <f>AC35*AE35</f>
        <v>0</v>
      </c>
      <c r="AE36" s="75"/>
      <c r="AF36" s="73"/>
      <c r="AG36" s="76">
        <f>AF35+AG35</f>
        <v>0</v>
      </c>
      <c r="AH36" s="76">
        <f>AG35*AI35</f>
        <v>0</v>
      </c>
      <c r="AI36" s="75"/>
      <c r="AJ36" s="73"/>
      <c r="AK36" s="76">
        <f>AJ35+AK35</f>
        <v>0</v>
      </c>
      <c r="AL36" s="76">
        <f>AK35*AM35</f>
        <v>0</v>
      </c>
      <c r="AM36" s="75"/>
      <c r="AN36" s="73"/>
      <c r="AO36" s="76">
        <f>AN35+AO35</f>
        <v>0</v>
      </c>
      <c r="AP36" s="76">
        <f>AO35*AQ35</f>
        <v>0</v>
      </c>
      <c r="AQ36" s="75"/>
      <c r="AR36" s="73"/>
      <c r="AS36" s="76">
        <f>AR35+AS35</f>
        <v>0</v>
      </c>
      <c r="AT36" s="76">
        <f>AS35*AU35</f>
        <v>0</v>
      </c>
      <c r="AU36" s="75"/>
      <c r="AV36" s="73"/>
      <c r="AW36" s="76">
        <f>AV35+AW35</f>
        <v>0</v>
      </c>
      <c r="AX36" s="76">
        <f>AW35*AY35</f>
        <v>0</v>
      </c>
      <c r="AY36" s="75"/>
    </row>
    <row r="37" spans="1:51" hidden="1" x14ac:dyDescent="0.2">
      <c r="A37" s="52" t="s">
        <v>62</v>
      </c>
      <c r="B37" s="34"/>
      <c r="C37" s="34"/>
      <c r="D37" s="73"/>
      <c r="E37" s="74">
        <f>D10</f>
        <v>0</v>
      </c>
      <c r="F37" s="74"/>
      <c r="G37" s="75">
        <v>30</v>
      </c>
      <c r="H37" s="73"/>
      <c r="I37" s="74">
        <f>H10</f>
        <v>0</v>
      </c>
      <c r="J37" s="74"/>
      <c r="K37" s="75">
        <v>30</v>
      </c>
      <c r="L37" s="73"/>
      <c r="M37" s="74">
        <f>L10</f>
        <v>0</v>
      </c>
      <c r="N37" s="74"/>
      <c r="O37" s="75">
        <v>30</v>
      </c>
      <c r="P37" s="73"/>
      <c r="Q37" s="74">
        <f>P10</f>
        <v>0</v>
      </c>
      <c r="R37" s="74"/>
      <c r="S37" s="75">
        <v>30</v>
      </c>
      <c r="T37" s="73"/>
      <c r="U37" s="74">
        <f>T10</f>
        <v>0</v>
      </c>
      <c r="V37" s="74"/>
      <c r="W37" s="75">
        <v>30</v>
      </c>
      <c r="X37" s="73"/>
      <c r="Y37" s="74">
        <f>X10</f>
        <v>0</v>
      </c>
      <c r="Z37" s="74"/>
      <c r="AA37" s="75">
        <v>30</v>
      </c>
      <c r="AB37" s="73"/>
      <c r="AC37" s="74">
        <f>AB10</f>
        <v>0</v>
      </c>
      <c r="AD37" s="74"/>
      <c r="AE37" s="75">
        <v>30</v>
      </c>
      <c r="AF37" s="73"/>
      <c r="AG37" s="74">
        <f>AF10</f>
        <v>0</v>
      </c>
      <c r="AH37" s="74"/>
      <c r="AI37" s="75">
        <v>30</v>
      </c>
      <c r="AJ37" s="73"/>
      <c r="AK37" s="74">
        <f>AJ10</f>
        <v>0</v>
      </c>
      <c r="AL37" s="74"/>
      <c r="AM37" s="75">
        <v>30</v>
      </c>
      <c r="AN37" s="73"/>
      <c r="AO37" s="74">
        <f>AN10</f>
        <v>0</v>
      </c>
      <c r="AP37" s="74"/>
      <c r="AQ37" s="75">
        <v>30</v>
      </c>
      <c r="AR37" s="73"/>
      <c r="AS37" s="74">
        <f>AR10</f>
        <v>0</v>
      </c>
      <c r="AT37" s="74"/>
      <c r="AU37" s="75">
        <v>30</v>
      </c>
      <c r="AV37" s="73"/>
      <c r="AW37" s="74">
        <f>AV10</f>
        <v>0</v>
      </c>
      <c r="AX37" s="74"/>
      <c r="AY37" s="75">
        <v>30</v>
      </c>
    </row>
    <row r="38" spans="1:51" hidden="1" x14ac:dyDescent="0.2">
      <c r="A38" s="52"/>
      <c r="B38" s="34"/>
      <c r="C38" s="34"/>
      <c r="D38" s="73"/>
      <c r="E38" s="76">
        <f>D37+E37</f>
        <v>0</v>
      </c>
      <c r="F38" s="76">
        <f>E37*G37</f>
        <v>0</v>
      </c>
      <c r="G38" s="75"/>
      <c r="H38" s="73"/>
      <c r="I38" s="76">
        <f>H37+I37</f>
        <v>0</v>
      </c>
      <c r="J38" s="76">
        <f>I37*K37</f>
        <v>0</v>
      </c>
      <c r="K38" s="75"/>
      <c r="L38" s="73"/>
      <c r="M38" s="76">
        <f>L37+M37</f>
        <v>0</v>
      </c>
      <c r="N38" s="76">
        <f>M37*O37</f>
        <v>0</v>
      </c>
      <c r="O38" s="75"/>
      <c r="P38" s="73"/>
      <c r="Q38" s="76">
        <f>P37+Q37</f>
        <v>0</v>
      </c>
      <c r="R38" s="76">
        <f>Q37*S37</f>
        <v>0</v>
      </c>
      <c r="S38" s="75"/>
      <c r="T38" s="73"/>
      <c r="U38" s="76">
        <f>T37+U37</f>
        <v>0</v>
      </c>
      <c r="V38" s="76">
        <f>U37*W37</f>
        <v>0</v>
      </c>
      <c r="W38" s="75"/>
      <c r="X38" s="73"/>
      <c r="Y38" s="76">
        <f>X37+Y37</f>
        <v>0</v>
      </c>
      <c r="Z38" s="76">
        <f>Y37*AA37</f>
        <v>0</v>
      </c>
      <c r="AA38" s="75"/>
      <c r="AB38" s="73"/>
      <c r="AC38" s="76">
        <f>AB37+AC37</f>
        <v>0</v>
      </c>
      <c r="AD38" s="76">
        <f>AC37*AE37</f>
        <v>0</v>
      </c>
      <c r="AE38" s="75"/>
      <c r="AF38" s="73"/>
      <c r="AG38" s="76">
        <f>AF37+AG37</f>
        <v>0</v>
      </c>
      <c r="AH38" s="76">
        <f>AG37*AI37</f>
        <v>0</v>
      </c>
      <c r="AI38" s="75"/>
      <c r="AJ38" s="73"/>
      <c r="AK38" s="76">
        <f>AJ37+AK37</f>
        <v>0</v>
      </c>
      <c r="AL38" s="76">
        <f>AK37*AM37</f>
        <v>0</v>
      </c>
      <c r="AM38" s="75"/>
      <c r="AN38" s="73"/>
      <c r="AO38" s="76">
        <f>AN37+AO37</f>
        <v>0</v>
      </c>
      <c r="AP38" s="76">
        <f>AO37*AQ37</f>
        <v>0</v>
      </c>
      <c r="AQ38" s="75"/>
      <c r="AR38" s="73"/>
      <c r="AS38" s="76">
        <f>AR37+AS37</f>
        <v>0</v>
      </c>
      <c r="AT38" s="76">
        <f>AS37*AU37</f>
        <v>0</v>
      </c>
      <c r="AU38" s="75"/>
      <c r="AV38" s="73"/>
      <c r="AW38" s="76">
        <f>AV37+AW37</f>
        <v>0</v>
      </c>
      <c r="AX38" s="76">
        <f>AW37*AY37</f>
        <v>0</v>
      </c>
      <c r="AY38" s="75"/>
    </row>
    <row r="39" spans="1:51" hidden="1" x14ac:dyDescent="0.2">
      <c r="A39" s="52" t="s">
        <v>63</v>
      </c>
      <c r="B39" s="51"/>
      <c r="C39" s="51"/>
      <c r="D39" s="73" t="e">
        <f>((F11-30)*(D10+(B11*D10)/(F11-B11))/F11)</f>
        <v>#DIV/0!</v>
      </c>
      <c r="E39" s="74" t="e">
        <f>(D10-(D10*(20-B11)/(F11-B11))-((F11-30)*(D10+(B11*D10)/(F11-B11))/F11))</f>
        <v>#DIV/0!</v>
      </c>
      <c r="F39" s="74">
        <v>30</v>
      </c>
      <c r="G39" s="75">
        <v>25</v>
      </c>
      <c r="H39" s="73" t="e">
        <f>((J11-30)*(H10+(F11*H10)/(J11-F11))/J11)</f>
        <v>#DIV/0!</v>
      </c>
      <c r="I39" s="74" t="e">
        <f>(H10-(H10*(20-F11)/(J11-F11))-((J11-30)*(H10+(F11*H10)/(J11-F11))/J11))</f>
        <v>#DIV/0!</v>
      </c>
      <c r="J39" s="74">
        <v>30</v>
      </c>
      <c r="K39" s="75">
        <v>25</v>
      </c>
      <c r="L39" s="73" t="e">
        <f>((N11-30)*(L10+(J11*L10)/(N11-J11))/N11)</f>
        <v>#DIV/0!</v>
      </c>
      <c r="M39" s="74" t="e">
        <f>(L10-(L10*(20-J11)/(N11-J11))-((N11-30)*(L10+(J11*L10)/(N11-J11))/N11))</f>
        <v>#DIV/0!</v>
      </c>
      <c r="N39" s="74">
        <v>30</v>
      </c>
      <c r="O39" s="75">
        <v>25</v>
      </c>
      <c r="P39" s="73" t="e">
        <f>((R11-30)*(P10+(N11*P10)/(R11-N11))/R11)</f>
        <v>#DIV/0!</v>
      </c>
      <c r="Q39" s="74" t="e">
        <f>(P10-(P10*(20-N11)/(R11-N11))-((R11-30)*(P10+(N11*P10)/(R11-N11))/R11))</f>
        <v>#DIV/0!</v>
      </c>
      <c r="R39" s="74">
        <v>30</v>
      </c>
      <c r="S39" s="75">
        <v>25</v>
      </c>
      <c r="T39" s="73" t="e">
        <f>((V11-30)*(T10+(R11*T10)/(V11-R11))/V11)</f>
        <v>#DIV/0!</v>
      </c>
      <c r="U39" s="74" t="e">
        <f>(T10-(T10*(20-R11)/(V11-R11))-((V11-30)*(T10+(R11*T10)/(V11-R11))/V11))</f>
        <v>#DIV/0!</v>
      </c>
      <c r="V39" s="74">
        <v>30</v>
      </c>
      <c r="W39" s="75">
        <v>25</v>
      </c>
      <c r="X39" s="73" t="e">
        <f>((Z11-30)*(X10+(V11*X10)/(Z11-V11))/Z11)</f>
        <v>#DIV/0!</v>
      </c>
      <c r="Y39" s="74" t="e">
        <f>(X10-(X10*(20-V11)/(Z11-V11))-((Z11-30)*(X10+(V11*X10)/(Z11-V11))/Z11))</f>
        <v>#DIV/0!</v>
      </c>
      <c r="Z39" s="74">
        <v>30</v>
      </c>
      <c r="AA39" s="75">
        <v>25</v>
      </c>
      <c r="AB39" s="73" t="e">
        <f>((AD11-30)*(AB10+(Z11*AB10)/(AD11-Z11))/AD11)</f>
        <v>#DIV/0!</v>
      </c>
      <c r="AC39" s="74" t="e">
        <f>(AB10-(AB10*(20-Z11)/(AD11-Z11))-((AD11-30)*(AB10+(Z11*AB10)/(AD11-Z11))/AD11))</f>
        <v>#DIV/0!</v>
      </c>
      <c r="AD39" s="74">
        <v>30</v>
      </c>
      <c r="AE39" s="75">
        <v>25</v>
      </c>
      <c r="AF39" s="73" t="e">
        <f>((AH11-30)*(AF10+(AD11*AF10)/(AH11-AD11))/AH11)</f>
        <v>#DIV/0!</v>
      </c>
      <c r="AG39" s="74" t="e">
        <f>(AF10-(AF10*(20-AD11)/(AH11-AD11))-((AH11-30)*(AF10+(AD11*AF10)/(AH11-AD11))/AH11))</f>
        <v>#DIV/0!</v>
      </c>
      <c r="AH39" s="74">
        <v>30</v>
      </c>
      <c r="AI39" s="75">
        <v>25</v>
      </c>
      <c r="AJ39" s="73" t="e">
        <f>((AL11-30)*(AJ10+(AH11*AJ10)/(AL11-AH11))/AL11)</f>
        <v>#DIV/0!</v>
      </c>
      <c r="AK39" s="74" t="e">
        <f>(AJ10-(AJ10*(20-AH11)/(AL11-AH11))-((AL11-30)*(AJ10+(AH11*AJ10)/(AL11-AH11))/AL11))</f>
        <v>#DIV/0!</v>
      </c>
      <c r="AL39" s="74">
        <v>30</v>
      </c>
      <c r="AM39" s="75">
        <v>25</v>
      </c>
      <c r="AN39" s="73" t="e">
        <f>((AP11-30)*(AN10+(AL11*AN10)/(AP11-AL11))/AP11)</f>
        <v>#DIV/0!</v>
      </c>
      <c r="AO39" s="74" t="e">
        <f>(AN10-(AN10*(20-AL11)/(AP11-AL11))-((AP11-30)*(AN10+(AL11*AN10)/(AP11-AL11))/AP11))</f>
        <v>#DIV/0!</v>
      </c>
      <c r="AP39" s="74">
        <v>30</v>
      </c>
      <c r="AQ39" s="75">
        <v>25</v>
      </c>
      <c r="AR39" s="73" t="e">
        <f>((AT11-30)*(AR10+(AP11*AR10)/(AT11-AP11))/AT11)</f>
        <v>#DIV/0!</v>
      </c>
      <c r="AS39" s="74" t="e">
        <f>(AR10-(AR10*(20-AP11)/(AT11-AP11))-((AT11-30)*(AR10+(AP11*AR10)/(AT11-AP11))/AT11))</f>
        <v>#DIV/0!</v>
      </c>
      <c r="AT39" s="74">
        <v>30</v>
      </c>
      <c r="AU39" s="75">
        <v>25</v>
      </c>
      <c r="AV39" s="73" t="e">
        <f>((AX11-30)*(AV10+(AT11*AV10)/(AX11-AT11))/AX11)</f>
        <v>#DIV/0!</v>
      </c>
      <c r="AW39" s="74" t="e">
        <f>(AV10-(AV10*(20-AT11)/(AX11-AT11))-((AX11-30)*(AV10+(AT11*AV10)/(AX11-AT11))/AX11))</f>
        <v>#DIV/0!</v>
      </c>
      <c r="AX39" s="74">
        <v>30</v>
      </c>
      <c r="AY39" s="75">
        <v>25</v>
      </c>
    </row>
    <row r="40" spans="1:51" hidden="1" x14ac:dyDescent="0.2">
      <c r="A40" s="52"/>
      <c r="B40" s="51"/>
      <c r="C40" s="51"/>
      <c r="D40" s="73"/>
      <c r="E40" s="76" t="e">
        <f>D39+E39</f>
        <v>#DIV/0!</v>
      </c>
      <c r="F40" s="76" t="e">
        <f>(E39*G39)+(D39*F39)</f>
        <v>#DIV/0!</v>
      </c>
      <c r="G40" s="75"/>
      <c r="H40" s="73"/>
      <c r="I40" s="76" t="e">
        <f>H39+I39</f>
        <v>#DIV/0!</v>
      </c>
      <c r="J40" s="76" t="e">
        <f>(I39*K39)+(H39*J39)</f>
        <v>#DIV/0!</v>
      </c>
      <c r="K40" s="75"/>
      <c r="L40" s="73"/>
      <c r="M40" s="76" t="e">
        <f>L39+M39</f>
        <v>#DIV/0!</v>
      </c>
      <c r="N40" s="76" t="e">
        <f>(M39*O39)+(L39*N39)</f>
        <v>#DIV/0!</v>
      </c>
      <c r="O40" s="75"/>
      <c r="P40" s="73"/>
      <c r="Q40" s="76" t="e">
        <f>P39+Q39</f>
        <v>#DIV/0!</v>
      </c>
      <c r="R40" s="76" t="e">
        <f>(Q39*S39)+(P39*R39)</f>
        <v>#DIV/0!</v>
      </c>
      <c r="S40" s="75"/>
      <c r="T40" s="73"/>
      <c r="U40" s="76" t="e">
        <f>T39+U39</f>
        <v>#DIV/0!</v>
      </c>
      <c r="V40" s="76" t="e">
        <f>(U39*W39)+(T39*V39)</f>
        <v>#DIV/0!</v>
      </c>
      <c r="W40" s="75"/>
      <c r="X40" s="73"/>
      <c r="Y40" s="76" t="e">
        <f>X39+Y39</f>
        <v>#DIV/0!</v>
      </c>
      <c r="Z40" s="76" t="e">
        <f>(Y39*AA39)+(X39*Z39)</f>
        <v>#DIV/0!</v>
      </c>
      <c r="AA40" s="75"/>
      <c r="AB40" s="73"/>
      <c r="AC40" s="76" t="e">
        <f>AB39+AC39</f>
        <v>#DIV/0!</v>
      </c>
      <c r="AD40" s="76" t="e">
        <f>(AC39*AE39)+(AB39*AD39)</f>
        <v>#DIV/0!</v>
      </c>
      <c r="AE40" s="75"/>
      <c r="AF40" s="73"/>
      <c r="AG40" s="76" t="e">
        <f>AF39+AG39</f>
        <v>#DIV/0!</v>
      </c>
      <c r="AH40" s="76" t="e">
        <f>(AG39*AI39)+(AF39*AH39)</f>
        <v>#DIV/0!</v>
      </c>
      <c r="AI40" s="75"/>
      <c r="AJ40" s="73"/>
      <c r="AK40" s="76" t="e">
        <f>AJ39+AK39</f>
        <v>#DIV/0!</v>
      </c>
      <c r="AL40" s="76" t="e">
        <f>(AK39*AM39)+(AJ39*AL39)</f>
        <v>#DIV/0!</v>
      </c>
      <c r="AM40" s="75"/>
      <c r="AN40" s="73"/>
      <c r="AO40" s="76" t="e">
        <f>AN39+AO39</f>
        <v>#DIV/0!</v>
      </c>
      <c r="AP40" s="76" t="e">
        <f>(AO39*AQ39)+(AN39*AP39)</f>
        <v>#DIV/0!</v>
      </c>
      <c r="AQ40" s="75"/>
      <c r="AR40" s="73"/>
      <c r="AS40" s="76" t="e">
        <f>AR39+AS39</f>
        <v>#DIV/0!</v>
      </c>
      <c r="AT40" s="76" t="e">
        <f>(AS39*AU39)+(AR39*AT39)</f>
        <v>#DIV/0!</v>
      </c>
      <c r="AU40" s="75"/>
      <c r="AV40" s="73"/>
      <c r="AW40" s="76" t="e">
        <f>AV39+AW39</f>
        <v>#DIV/0!</v>
      </c>
      <c r="AX40" s="76" t="e">
        <f>(AW39*AY39)+(AV39*AX39)</f>
        <v>#DIV/0!</v>
      </c>
      <c r="AY40" s="75"/>
    </row>
    <row r="41" spans="1:51" hidden="1" x14ac:dyDescent="0.2">
      <c r="A41" s="52" t="s">
        <v>64</v>
      </c>
      <c r="B41" s="51"/>
      <c r="C41" s="51"/>
      <c r="D41" s="73" t="e">
        <f>((B11-30)*(D10+(F11*D10)/(B11-F11))/B11)</f>
        <v>#DIV/0!</v>
      </c>
      <c r="E41" s="74" t="e">
        <f>(D10-(D10*(20-F11)/(B11-F11))-((B11-30)*(D10+(F11*D10)/(B11-F11))/B11))</f>
        <v>#DIV/0!</v>
      </c>
      <c r="F41" s="74">
        <v>30</v>
      </c>
      <c r="G41" s="75">
        <v>25</v>
      </c>
      <c r="H41" s="73" t="e">
        <f>((F11-30)*(H10+(J11*H10)/(F11-J11))/F11)</f>
        <v>#DIV/0!</v>
      </c>
      <c r="I41" s="74" t="e">
        <f>(H10-(H10*(20-J11)/(F11-J11))-((F11-30)*(H10+(J11*H10)/(F11-J11))/F11))</f>
        <v>#DIV/0!</v>
      </c>
      <c r="J41" s="74">
        <v>30</v>
      </c>
      <c r="K41" s="75">
        <v>25</v>
      </c>
      <c r="L41" s="73" t="e">
        <f>((J11-30)*(L10+(N11*L10)/(J11-N11))/J11)</f>
        <v>#DIV/0!</v>
      </c>
      <c r="M41" s="74" t="e">
        <f>(L10-(L10*(20-N11)/(J11-N11))-((J11-30)*(L10+(N11*L10)/(J11-N11))/J11))</f>
        <v>#DIV/0!</v>
      </c>
      <c r="N41" s="74">
        <v>30</v>
      </c>
      <c r="O41" s="75">
        <v>25</v>
      </c>
      <c r="P41" s="73" t="e">
        <f>((N11-30)*(P10+(R11*P10)/(N11-R11))/N11)</f>
        <v>#DIV/0!</v>
      </c>
      <c r="Q41" s="74" t="e">
        <f>(P10-(P10*(20-R11)/(N11-R11))-((N11-30)*(P10+(R11*P10)/(N11-R11))/N11))</f>
        <v>#DIV/0!</v>
      </c>
      <c r="R41" s="74">
        <v>30</v>
      </c>
      <c r="S41" s="75">
        <v>25</v>
      </c>
      <c r="T41" s="73" t="e">
        <f>((R11-30)*(T10+(V11*T10)/(R11-V11))/R11)</f>
        <v>#DIV/0!</v>
      </c>
      <c r="U41" s="74" t="e">
        <f>(T10-(T10*(20-V11)/(R11-V11))-((R11-30)*(T10+(V11*T10)/(R11-V11))/R11))</f>
        <v>#DIV/0!</v>
      </c>
      <c r="V41" s="74">
        <v>30</v>
      </c>
      <c r="W41" s="75">
        <v>25</v>
      </c>
      <c r="X41" s="73" t="e">
        <f>((V11-30)*(X10+(Z11*X10)/(V11-Z11))/V11)</f>
        <v>#DIV/0!</v>
      </c>
      <c r="Y41" s="74" t="e">
        <f>(X10-(X10*(20-Z11)/(V11-Z11))-((V11-30)*(X10+(Z11*X10)/(V11-Z11))/V11))</f>
        <v>#DIV/0!</v>
      </c>
      <c r="Z41" s="74">
        <v>30</v>
      </c>
      <c r="AA41" s="75">
        <v>25</v>
      </c>
      <c r="AB41" s="73" t="e">
        <f>((Z11-30)*(AB10+(AD11*AB10)/(Z11-AD11))/Z11)</f>
        <v>#DIV/0!</v>
      </c>
      <c r="AC41" s="74" t="e">
        <f>(AB10-(AB10*(20-AD11)/(Z11-AD11))-((Z11-30)*(AB10+(AD11*AB10)/(Z11-AD11))/Z11))</f>
        <v>#DIV/0!</v>
      </c>
      <c r="AD41" s="74">
        <v>30</v>
      </c>
      <c r="AE41" s="75">
        <v>25</v>
      </c>
      <c r="AF41" s="73" t="e">
        <f>((AD11-30)*(AF10+(AH11*AF10)/(AD11-AH11))/AD11)</f>
        <v>#DIV/0!</v>
      </c>
      <c r="AG41" s="74" t="e">
        <f>(AF10-(AF10*(20-AH11)/(AD11-AH11))-((AD11-30)*(AF10+(AH11*AF10)/(AD11-AH11))/AD11))</f>
        <v>#DIV/0!</v>
      </c>
      <c r="AH41" s="74">
        <v>30</v>
      </c>
      <c r="AI41" s="75">
        <v>25</v>
      </c>
      <c r="AJ41" s="73" t="e">
        <f>((AH11-30)*(AJ10+(AL11*AJ10)/(AH11-AL11))/AH11)</f>
        <v>#DIV/0!</v>
      </c>
      <c r="AK41" s="74" t="e">
        <f>(AJ10-(AJ10*(20-AL11)/(AH11-AL11))-((AH11-30)*(AJ10+(AL11*AJ10)/(AH11-AL11))/AH11))</f>
        <v>#DIV/0!</v>
      </c>
      <c r="AL41" s="74">
        <v>30</v>
      </c>
      <c r="AM41" s="75">
        <v>25</v>
      </c>
      <c r="AN41" s="73" t="e">
        <f>((AL11-30)*(AN10+(AP11*AN10)/(AL11-AP11))/AL11)</f>
        <v>#DIV/0!</v>
      </c>
      <c r="AO41" s="74" t="e">
        <f>(AN10-(AN10*(20-AP11)/(AL11-AP11))-((AL11-30)*(AN10+(AP11*AN10)/(AL11-AP11))/AL11))</f>
        <v>#DIV/0!</v>
      </c>
      <c r="AP41" s="74">
        <v>30</v>
      </c>
      <c r="AQ41" s="75">
        <v>25</v>
      </c>
      <c r="AR41" s="73" t="e">
        <f>((AP11-30)*(AR10+(AT11*AR10)/(AP11-AT11))/AP11)</f>
        <v>#DIV/0!</v>
      </c>
      <c r="AS41" s="74" t="e">
        <f>(AR10-(AR10*(20-AT11)/(AP11-AT11))-((AP11-30)*(AR10+(AT11*AR10)/(AP11-AT11))/AP11))</f>
        <v>#DIV/0!</v>
      </c>
      <c r="AT41" s="74">
        <v>30</v>
      </c>
      <c r="AU41" s="75">
        <v>25</v>
      </c>
      <c r="AV41" s="73" t="e">
        <f>((AT11-30)*(AV10+(AX11*AV10)/(AT11-AX11))/AT11)</f>
        <v>#DIV/0!</v>
      </c>
      <c r="AW41" s="74" t="e">
        <f>(AV10-(AV10*(20-AX11)/(AT11-AX11))-((AT11-30)*(AV10+(AX11*AV10)/(AT11-AX11))/AT11))</f>
        <v>#DIV/0!</v>
      </c>
      <c r="AX41" s="74">
        <v>30</v>
      </c>
      <c r="AY41" s="75">
        <v>25</v>
      </c>
    </row>
    <row r="42" spans="1:51" hidden="1" x14ac:dyDescent="0.2">
      <c r="A42" s="52"/>
      <c r="B42" s="51"/>
      <c r="C42" s="51"/>
      <c r="D42" s="73"/>
      <c r="E42" s="76" t="e">
        <f>D41+E41</f>
        <v>#DIV/0!</v>
      </c>
      <c r="F42" s="76" t="e">
        <f>(E41*G41)+(D41*F41)</f>
        <v>#DIV/0!</v>
      </c>
      <c r="G42" s="75"/>
      <c r="H42" s="73"/>
      <c r="I42" s="76" t="e">
        <f>H41+I41</f>
        <v>#DIV/0!</v>
      </c>
      <c r="J42" s="76" t="e">
        <f>(I41*K41)+(H41*J41)</f>
        <v>#DIV/0!</v>
      </c>
      <c r="K42" s="75"/>
      <c r="L42" s="73"/>
      <c r="M42" s="76" t="e">
        <f>L41+M41</f>
        <v>#DIV/0!</v>
      </c>
      <c r="N42" s="76" t="e">
        <f>(M41*O41)+(L41*N41)</f>
        <v>#DIV/0!</v>
      </c>
      <c r="O42" s="75"/>
      <c r="P42" s="73"/>
      <c r="Q42" s="76" t="e">
        <f>P41+Q41</f>
        <v>#DIV/0!</v>
      </c>
      <c r="R42" s="76" t="e">
        <f>(Q41*S41)+(P41*R41)</f>
        <v>#DIV/0!</v>
      </c>
      <c r="S42" s="75"/>
      <c r="T42" s="73"/>
      <c r="U42" s="76" t="e">
        <f>T41+U41</f>
        <v>#DIV/0!</v>
      </c>
      <c r="V42" s="76" t="e">
        <f>(U41*W41)+(T41*V41)</f>
        <v>#DIV/0!</v>
      </c>
      <c r="W42" s="75"/>
      <c r="X42" s="73"/>
      <c r="Y42" s="76" t="e">
        <f>X41+Y41</f>
        <v>#DIV/0!</v>
      </c>
      <c r="Z42" s="76" t="e">
        <f>(Y41*AA41)+(X41*Z41)</f>
        <v>#DIV/0!</v>
      </c>
      <c r="AA42" s="75"/>
      <c r="AB42" s="73"/>
      <c r="AC42" s="76" t="e">
        <f>AB41+AC41</f>
        <v>#DIV/0!</v>
      </c>
      <c r="AD42" s="76" t="e">
        <f>(AC41*AE41)+(AB41*AD41)</f>
        <v>#DIV/0!</v>
      </c>
      <c r="AE42" s="75"/>
      <c r="AF42" s="73"/>
      <c r="AG42" s="76" t="e">
        <f>AF41+AG41</f>
        <v>#DIV/0!</v>
      </c>
      <c r="AH42" s="76" t="e">
        <f>(AG41*AI41)+(AF41*AH41)</f>
        <v>#DIV/0!</v>
      </c>
      <c r="AI42" s="75"/>
      <c r="AJ42" s="73"/>
      <c r="AK42" s="76" t="e">
        <f>AJ41+AK41</f>
        <v>#DIV/0!</v>
      </c>
      <c r="AL42" s="76" t="e">
        <f>(AK41*AM41)+(AJ41*AL41)</f>
        <v>#DIV/0!</v>
      </c>
      <c r="AM42" s="75"/>
      <c r="AN42" s="73"/>
      <c r="AO42" s="76" t="e">
        <f>AN41+AO41</f>
        <v>#DIV/0!</v>
      </c>
      <c r="AP42" s="76" t="e">
        <f>(AO41*AQ41)+(AN41*AP41)</f>
        <v>#DIV/0!</v>
      </c>
      <c r="AQ42" s="75"/>
      <c r="AR42" s="73"/>
      <c r="AS42" s="76" t="e">
        <f>AR41+AS41</f>
        <v>#DIV/0!</v>
      </c>
      <c r="AT42" s="76" t="e">
        <f>(AS41*AU41)+(AR41*AT41)</f>
        <v>#DIV/0!</v>
      </c>
      <c r="AU42" s="75"/>
      <c r="AV42" s="73"/>
      <c r="AW42" s="76" t="e">
        <f>AV41+AW41</f>
        <v>#DIV/0!</v>
      </c>
      <c r="AX42" s="76" t="e">
        <f>(AW41*AY41)+(AV41*AX41)</f>
        <v>#DIV/0!</v>
      </c>
      <c r="AY42" s="75"/>
    </row>
    <row r="43" spans="1:51" hidden="1" x14ac:dyDescent="0.2">
      <c r="A43" s="52" t="s">
        <v>65</v>
      </c>
      <c r="B43" s="51"/>
      <c r="C43" s="51"/>
      <c r="D43" s="73"/>
      <c r="E43" s="74" t="e">
        <f>D10*(F11-20)/(F11-B11)</f>
        <v>#DIV/0!</v>
      </c>
      <c r="F43" s="74"/>
      <c r="G43" s="75">
        <f>(20+F11)/2</f>
        <v>10</v>
      </c>
      <c r="H43" s="73"/>
      <c r="I43" s="74" t="e">
        <f>H10*(J11-20)/(J11-F11)</f>
        <v>#DIV/0!</v>
      </c>
      <c r="J43" s="74"/>
      <c r="K43" s="75">
        <f>(20+J11)/2</f>
        <v>10</v>
      </c>
      <c r="L43" s="73"/>
      <c r="M43" s="74" t="e">
        <f>L10*(N11-20)/(N11-J11)</f>
        <v>#DIV/0!</v>
      </c>
      <c r="N43" s="74"/>
      <c r="O43" s="75">
        <f>(20+N11)/2</f>
        <v>10</v>
      </c>
      <c r="P43" s="73"/>
      <c r="Q43" s="74" t="e">
        <f>P10*(R11-20)/(R11-N11)</f>
        <v>#DIV/0!</v>
      </c>
      <c r="R43" s="74"/>
      <c r="S43" s="75">
        <f>(20+R11)/2</f>
        <v>10</v>
      </c>
      <c r="T43" s="73"/>
      <c r="U43" s="74" t="e">
        <f>T10*(V11-20)/(V11-R11)</f>
        <v>#DIV/0!</v>
      </c>
      <c r="V43" s="74"/>
      <c r="W43" s="75">
        <f>(20+V11)/2</f>
        <v>10</v>
      </c>
      <c r="X43" s="73"/>
      <c r="Y43" s="74" t="e">
        <f>X10*(Z11-20)/(Z11-V11)</f>
        <v>#DIV/0!</v>
      </c>
      <c r="Z43" s="74"/>
      <c r="AA43" s="75">
        <f>(20+Z11)/2</f>
        <v>10</v>
      </c>
      <c r="AB43" s="73"/>
      <c r="AC43" s="74" t="e">
        <f>AB10*(AD11-20)/(AD11-Z11)</f>
        <v>#DIV/0!</v>
      </c>
      <c r="AD43" s="74"/>
      <c r="AE43" s="75">
        <f>(20+AD11)/2</f>
        <v>10</v>
      </c>
      <c r="AF43" s="73"/>
      <c r="AG43" s="74" t="e">
        <f>AF10*(AH11-20)/(AH11-AD11)</f>
        <v>#DIV/0!</v>
      </c>
      <c r="AH43" s="74"/>
      <c r="AI43" s="75">
        <f>(20+AH11)/2</f>
        <v>10</v>
      </c>
      <c r="AJ43" s="73"/>
      <c r="AK43" s="74" t="e">
        <f>AJ10*(AL11-20)/(AL11-AH11)</f>
        <v>#DIV/0!</v>
      </c>
      <c r="AL43" s="74"/>
      <c r="AM43" s="75">
        <f>(20+AL11)/2</f>
        <v>10</v>
      </c>
      <c r="AN43" s="73"/>
      <c r="AO43" s="74" t="e">
        <f>AN10*(AP11-20)/(AP11-AL11)</f>
        <v>#DIV/0!</v>
      </c>
      <c r="AP43" s="74"/>
      <c r="AQ43" s="75">
        <f>(20+AP11)/2</f>
        <v>10</v>
      </c>
      <c r="AR43" s="73"/>
      <c r="AS43" s="74" t="e">
        <f>AR10*(AT11-20)/(AT11-AP11)</f>
        <v>#DIV/0!</v>
      </c>
      <c r="AT43" s="74"/>
      <c r="AU43" s="75">
        <f>(20+AT11)/2</f>
        <v>10</v>
      </c>
      <c r="AV43" s="73"/>
      <c r="AW43" s="74" t="e">
        <f>AV10*(AX11-20)/(AX11-AT11)</f>
        <v>#DIV/0!</v>
      </c>
      <c r="AX43" s="74"/>
      <c r="AY43" s="75">
        <f>(20+AX11)/2</f>
        <v>10</v>
      </c>
    </row>
    <row r="44" spans="1:51" hidden="1" x14ac:dyDescent="0.2">
      <c r="A44" s="52"/>
      <c r="B44" s="51"/>
      <c r="C44" s="51"/>
      <c r="D44" s="73"/>
      <c r="E44" s="76" t="e">
        <f>D43+E43</f>
        <v>#DIV/0!</v>
      </c>
      <c r="F44" s="76" t="e">
        <f>E43*G43</f>
        <v>#DIV/0!</v>
      </c>
      <c r="G44" s="75"/>
      <c r="H44" s="73"/>
      <c r="I44" s="76" t="e">
        <f>H43+I43</f>
        <v>#DIV/0!</v>
      </c>
      <c r="J44" s="76" t="e">
        <f>I43*K43</f>
        <v>#DIV/0!</v>
      </c>
      <c r="K44" s="75"/>
      <c r="L44" s="73"/>
      <c r="M44" s="76" t="e">
        <f>L43+M43</f>
        <v>#DIV/0!</v>
      </c>
      <c r="N44" s="76" t="e">
        <f>M43*O43</f>
        <v>#DIV/0!</v>
      </c>
      <c r="O44" s="75"/>
      <c r="P44" s="73"/>
      <c r="Q44" s="76" t="e">
        <f>P43+Q43</f>
        <v>#DIV/0!</v>
      </c>
      <c r="R44" s="76" t="e">
        <f>Q43*S43</f>
        <v>#DIV/0!</v>
      </c>
      <c r="S44" s="75"/>
      <c r="T44" s="73"/>
      <c r="U44" s="76" t="e">
        <f>T43+U43</f>
        <v>#DIV/0!</v>
      </c>
      <c r="V44" s="76" t="e">
        <f>U43*W43</f>
        <v>#DIV/0!</v>
      </c>
      <c r="W44" s="75"/>
      <c r="X44" s="73"/>
      <c r="Y44" s="76" t="e">
        <f>X43+Y43</f>
        <v>#DIV/0!</v>
      </c>
      <c r="Z44" s="76" t="e">
        <f>Y43*AA43</f>
        <v>#DIV/0!</v>
      </c>
      <c r="AA44" s="75"/>
      <c r="AB44" s="73"/>
      <c r="AC44" s="76" t="e">
        <f>AB43+AC43</f>
        <v>#DIV/0!</v>
      </c>
      <c r="AD44" s="76" t="e">
        <f>AC43*AE43</f>
        <v>#DIV/0!</v>
      </c>
      <c r="AE44" s="75"/>
      <c r="AF44" s="73"/>
      <c r="AG44" s="76" t="e">
        <f>AF43+AG43</f>
        <v>#DIV/0!</v>
      </c>
      <c r="AH44" s="76" t="e">
        <f>AG43*AI43</f>
        <v>#DIV/0!</v>
      </c>
      <c r="AI44" s="75"/>
      <c r="AJ44" s="73"/>
      <c r="AK44" s="76" t="e">
        <f>AJ43+AK43</f>
        <v>#DIV/0!</v>
      </c>
      <c r="AL44" s="76" t="e">
        <f>AK43*AM43</f>
        <v>#DIV/0!</v>
      </c>
      <c r="AM44" s="75"/>
      <c r="AN44" s="73"/>
      <c r="AO44" s="76" t="e">
        <f>AN43+AO43</f>
        <v>#DIV/0!</v>
      </c>
      <c r="AP44" s="76" t="e">
        <f>AO43*AQ43</f>
        <v>#DIV/0!</v>
      </c>
      <c r="AQ44" s="75"/>
      <c r="AR44" s="73"/>
      <c r="AS44" s="76" t="e">
        <f>AR43+AS43</f>
        <v>#DIV/0!</v>
      </c>
      <c r="AT44" s="76" t="e">
        <f>AS43*AU43</f>
        <v>#DIV/0!</v>
      </c>
      <c r="AU44" s="75"/>
      <c r="AV44" s="73"/>
      <c r="AW44" s="76" t="e">
        <f>AV43+AW43</f>
        <v>#DIV/0!</v>
      </c>
      <c r="AX44" s="76" t="e">
        <f>AW43*AY43</f>
        <v>#DIV/0!</v>
      </c>
      <c r="AY44" s="75"/>
    </row>
    <row r="45" spans="1:51" hidden="1" x14ac:dyDescent="0.2">
      <c r="A45" s="52" t="s">
        <v>66</v>
      </c>
      <c r="B45" s="51"/>
      <c r="C45" s="51"/>
      <c r="D45" s="73"/>
      <c r="E45" s="74" t="e">
        <f>D10*(B11-20)/(B11-F11)</f>
        <v>#DIV/0!</v>
      </c>
      <c r="F45" s="74"/>
      <c r="G45" s="75">
        <f>(20+B11)/2</f>
        <v>10</v>
      </c>
      <c r="H45" s="73"/>
      <c r="I45" s="74" t="e">
        <f>H10*(F11-20)/(F11-J11)</f>
        <v>#DIV/0!</v>
      </c>
      <c r="J45" s="74"/>
      <c r="K45" s="75">
        <f>(20+F11)/2</f>
        <v>10</v>
      </c>
      <c r="L45" s="73"/>
      <c r="M45" s="74" t="e">
        <f>L10*(J11-20)/(J11-N11)</f>
        <v>#DIV/0!</v>
      </c>
      <c r="N45" s="74"/>
      <c r="O45" s="75">
        <f>(20+J11)/2</f>
        <v>10</v>
      </c>
      <c r="P45" s="73"/>
      <c r="Q45" s="74" t="e">
        <f>P10*(N11-20)/(N11-R11)</f>
        <v>#DIV/0!</v>
      </c>
      <c r="R45" s="74"/>
      <c r="S45" s="75">
        <f>(20+N11)/2</f>
        <v>10</v>
      </c>
      <c r="T45" s="73"/>
      <c r="U45" s="74" t="e">
        <f>T10*(R11-20)/(R11-V11)</f>
        <v>#DIV/0!</v>
      </c>
      <c r="V45" s="74"/>
      <c r="W45" s="75">
        <f>(20+R11)/2</f>
        <v>10</v>
      </c>
      <c r="X45" s="73"/>
      <c r="Y45" s="74" t="e">
        <f>X10*(V11-20)/(V11-Z11)</f>
        <v>#DIV/0!</v>
      </c>
      <c r="Z45" s="74"/>
      <c r="AA45" s="75">
        <f>(20+V11)/2</f>
        <v>10</v>
      </c>
      <c r="AB45" s="73"/>
      <c r="AC45" s="74" t="e">
        <f>AB10*(Z11-20)/(Z11-AD11)</f>
        <v>#DIV/0!</v>
      </c>
      <c r="AD45" s="74"/>
      <c r="AE45" s="75">
        <f>(20+Z11)/2</f>
        <v>10</v>
      </c>
      <c r="AF45" s="73"/>
      <c r="AG45" s="74" t="e">
        <f>AF10*(AD11-20)/(AD11-AH11)</f>
        <v>#DIV/0!</v>
      </c>
      <c r="AH45" s="74"/>
      <c r="AI45" s="75">
        <f>(20+AD11)/2</f>
        <v>10</v>
      </c>
      <c r="AJ45" s="73"/>
      <c r="AK45" s="74" t="e">
        <f>AJ10*(AH11-20)/(AH11-AL11)</f>
        <v>#DIV/0!</v>
      </c>
      <c r="AL45" s="74"/>
      <c r="AM45" s="75">
        <f>(20+AH11)/2</f>
        <v>10</v>
      </c>
      <c r="AN45" s="73"/>
      <c r="AO45" s="74" t="e">
        <f>AN10*(AL11-20)/(AL11-AP11)</f>
        <v>#DIV/0!</v>
      </c>
      <c r="AP45" s="74"/>
      <c r="AQ45" s="75">
        <f>(20+AL11)/2</f>
        <v>10</v>
      </c>
      <c r="AR45" s="73"/>
      <c r="AS45" s="74" t="e">
        <f>AR10*(AP11-20)/(AP11-AT11)</f>
        <v>#DIV/0!</v>
      </c>
      <c r="AT45" s="74"/>
      <c r="AU45" s="75">
        <f>(20+AP11)/2</f>
        <v>10</v>
      </c>
      <c r="AV45" s="73"/>
      <c r="AW45" s="74" t="e">
        <f>AV10*(AT11-20)/(AT11-AX11)</f>
        <v>#DIV/0!</v>
      </c>
      <c r="AX45" s="74"/>
      <c r="AY45" s="75">
        <f>(20+AT11)/2</f>
        <v>10</v>
      </c>
    </row>
    <row r="46" spans="1:51" hidden="1" x14ac:dyDescent="0.2">
      <c r="A46" s="52"/>
      <c r="B46" s="51"/>
      <c r="C46" s="51"/>
      <c r="D46" s="73"/>
      <c r="E46" s="76" t="e">
        <f>D45+E45</f>
        <v>#DIV/0!</v>
      </c>
      <c r="F46" s="76" t="e">
        <f>E45*G45</f>
        <v>#DIV/0!</v>
      </c>
      <c r="G46" s="75"/>
      <c r="H46" s="73"/>
      <c r="I46" s="76" t="e">
        <f>H45+I45</f>
        <v>#DIV/0!</v>
      </c>
      <c r="J46" s="76" t="e">
        <f>I45*K45</f>
        <v>#DIV/0!</v>
      </c>
      <c r="K46" s="75"/>
      <c r="L46" s="73"/>
      <c r="M46" s="76" t="e">
        <f>L45+M45</f>
        <v>#DIV/0!</v>
      </c>
      <c r="N46" s="76" t="e">
        <f>M45*O45</f>
        <v>#DIV/0!</v>
      </c>
      <c r="O46" s="75"/>
      <c r="P46" s="73"/>
      <c r="Q46" s="76" t="e">
        <f>P45+Q45</f>
        <v>#DIV/0!</v>
      </c>
      <c r="R46" s="76" t="e">
        <f>Q45*S45</f>
        <v>#DIV/0!</v>
      </c>
      <c r="S46" s="75"/>
      <c r="T46" s="73"/>
      <c r="U46" s="76" t="e">
        <f>T45+U45</f>
        <v>#DIV/0!</v>
      </c>
      <c r="V46" s="76" t="e">
        <f>U45*W45</f>
        <v>#DIV/0!</v>
      </c>
      <c r="W46" s="75"/>
      <c r="X46" s="73"/>
      <c r="Y46" s="76" t="e">
        <f>X45+Y45</f>
        <v>#DIV/0!</v>
      </c>
      <c r="Z46" s="76" t="e">
        <f>Y45*AA45</f>
        <v>#DIV/0!</v>
      </c>
      <c r="AA46" s="75"/>
      <c r="AB46" s="73"/>
      <c r="AC46" s="76" t="e">
        <f>AB45+AC45</f>
        <v>#DIV/0!</v>
      </c>
      <c r="AD46" s="76" t="e">
        <f>AC45*AE45</f>
        <v>#DIV/0!</v>
      </c>
      <c r="AE46" s="75"/>
      <c r="AF46" s="73"/>
      <c r="AG46" s="76" t="e">
        <f>AF45+AG45</f>
        <v>#DIV/0!</v>
      </c>
      <c r="AH46" s="76" t="e">
        <f>AG45*AI45</f>
        <v>#DIV/0!</v>
      </c>
      <c r="AI46" s="75"/>
      <c r="AJ46" s="73"/>
      <c r="AK46" s="76" t="e">
        <f>AJ45+AK45</f>
        <v>#DIV/0!</v>
      </c>
      <c r="AL46" s="76" t="e">
        <f>AK45*AM45</f>
        <v>#DIV/0!</v>
      </c>
      <c r="AM46" s="75"/>
      <c r="AN46" s="73"/>
      <c r="AO46" s="76" t="e">
        <f>AN45+AO45</f>
        <v>#DIV/0!</v>
      </c>
      <c r="AP46" s="76" t="e">
        <f>AO45*AQ45</f>
        <v>#DIV/0!</v>
      </c>
      <c r="AQ46" s="75"/>
      <c r="AR46" s="73"/>
      <c r="AS46" s="76" t="e">
        <f>AR45+AS45</f>
        <v>#DIV/0!</v>
      </c>
      <c r="AT46" s="76" t="e">
        <f>AS45*AU45</f>
        <v>#DIV/0!</v>
      </c>
      <c r="AU46" s="75"/>
      <c r="AV46" s="73"/>
      <c r="AW46" s="76" t="e">
        <f>AV45+AW45</f>
        <v>#DIV/0!</v>
      </c>
      <c r="AX46" s="76" t="e">
        <f>AW45*AY45</f>
        <v>#DIV/0!</v>
      </c>
      <c r="AY46" s="75"/>
    </row>
    <row r="47" spans="1:51" hidden="1" x14ac:dyDescent="0.2">
      <c r="A47" s="52" t="s">
        <v>67</v>
      </c>
      <c r="B47" s="51"/>
      <c r="C47" s="51"/>
      <c r="D47" s="73" t="e">
        <f>D10-E47</f>
        <v>#DIV/0!</v>
      </c>
      <c r="E47" s="74" t="e">
        <f>D10*(30-B11)/(F11-B11)</f>
        <v>#DIV/0!</v>
      </c>
      <c r="F47" s="74">
        <v>30</v>
      </c>
      <c r="G47" s="75">
        <f>(30+B11)/2</f>
        <v>15</v>
      </c>
      <c r="H47" s="73" t="e">
        <f>H10-I47</f>
        <v>#DIV/0!</v>
      </c>
      <c r="I47" s="74" t="e">
        <f>H10*(30-F11)/(J11-F11)</f>
        <v>#DIV/0!</v>
      </c>
      <c r="J47" s="74">
        <v>30</v>
      </c>
      <c r="K47" s="75">
        <f>(30+F11)/2</f>
        <v>15</v>
      </c>
      <c r="L47" s="73" t="e">
        <f>L10-M47</f>
        <v>#DIV/0!</v>
      </c>
      <c r="M47" s="74" t="e">
        <f>L10*(30-J11)/(N11-J11)</f>
        <v>#DIV/0!</v>
      </c>
      <c r="N47" s="74">
        <v>30</v>
      </c>
      <c r="O47" s="75">
        <f>(30+J11)/2</f>
        <v>15</v>
      </c>
      <c r="P47" s="73" t="e">
        <f>P10-Q47</f>
        <v>#DIV/0!</v>
      </c>
      <c r="Q47" s="74" t="e">
        <f>P10*(30-N11)/(R11-N11)</f>
        <v>#DIV/0!</v>
      </c>
      <c r="R47" s="74">
        <v>30</v>
      </c>
      <c r="S47" s="75">
        <f>(30+N11)/2</f>
        <v>15</v>
      </c>
      <c r="T47" s="73" t="e">
        <f>T10-U47</f>
        <v>#DIV/0!</v>
      </c>
      <c r="U47" s="74" t="e">
        <f>T10*(30-R11)/(V11-R11)</f>
        <v>#DIV/0!</v>
      </c>
      <c r="V47" s="74">
        <v>30</v>
      </c>
      <c r="W47" s="75">
        <f>(30+R11)/2</f>
        <v>15</v>
      </c>
      <c r="X47" s="73" t="e">
        <f>X10-Y47</f>
        <v>#DIV/0!</v>
      </c>
      <c r="Y47" s="74" t="e">
        <f>X10*(30-V11)/(Z11-V11)</f>
        <v>#DIV/0!</v>
      </c>
      <c r="Z47" s="74">
        <v>30</v>
      </c>
      <c r="AA47" s="75">
        <f>(30+V11)/2</f>
        <v>15</v>
      </c>
      <c r="AB47" s="73" t="e">
        <f>AB10-AC47</f>
        <v>#DIV/0!</v>
      </c>
      <c r="AC47" s="74" t="e">
        <f>AB10*(30-Z11)/(AD11-Z11)</f>
        <v>#DIV/0!</v>
      </c>
      <c r="AD47" s="74">
        <v>30</v>
      </c>
      <c r="AE47" s="75">
        <f>(30+Z11)/2</f>
        <v>15</v>
      </c>
      <c r="AF47" s="73" t="e">
        <f>AF10-AG47</f>
        <v>#DIV/0!</v>
      </c>
      <c r="AG47" s="74" t="e">
        <f>AF10*(30-AD11)/(AH11-AD11)</f>
        <v>#DIV/0!</v>
      </c>
      <c r="AH47" s="74">
        <v>30</v>
      </c>
      <c r="AI47" s="75">
        <f>(30+AD11)/2</f>
        <v>15</v>
      </c>
      <c r="AJ47" s="73" t="e">
        <f>AJ10-AK47</f>
        <v>#DIV/0!</v>
      </c>
      <c r="AK47" s="74" t="e">
        <f>AJ10*(30-AH11)/(AL11-AH11)</f>
        <v>#DIV/0!</v>
      </c>
      <c r="AL47" s="74">
        <v>30</v>
      </c>
      <c r="AM47" s="75">
        <f>(30+AH11)/2</f>
        <v>15</v>
      </c>
      <c r="AN47" s="73" t="e">
        <f>AN10-AO47</f>
        <v>#DIV/0!</v>
      </c>
      <c r="AO47" s="74" t="e">
        <f>AN10*(30-AL11)/(AP11-AL11)</f>
        <v>#DIV/0!</v>
      </c>
      <c r="AP47" s="74">
        <v>30</v>
      </c>
      <c r="AQ47" s="75">
        <f>(30+AL11)/2</f>
        <v>15</v>
      </c>
      <c r="AR47" s="73" t="e">
        <f>AR10-AS47</f>
        <v>#DIV/0!</v>
      </c>
      <c r="AS47" s="74" t="e">
        <f>AR10*(30-AP11)/(AT11-AP11)</f>
        <v>#DIV/0!</v>
      </c>
      <c r="AT47" s="74">
        <v>30</v>
      </c>
      <c r="AU47" s="75">
        <f>(30+AP11)/2</f>
        <v>15</v>
      </c>
      <c r="AV47" s="73" t="e">
        <f>AV10-AW47</f>
        <v>#DIV/0!</v>
      </c>
      <c r="AW47" s="74" t="e">
        <f>AV10*(30-AT11)/(AX11-AT11)</f>
        <v>#DIV/0!</v>
      </c>
      <c r="AX47" s="74">
        <v>30</v>
      </c>
      <c r="AY47" s="75">
        <f>(30+AT11)/2</f>
        <v>15</v>
      </c>
    </row>
    <row r="48" spans="1:51" hidden="1" x14ac:dyDescent="0.2">
      <c r="A48" s="52"/>
      <c r="B48" s="51"/>
      <c r="C48" s="51"/>
      <c r="D48" s="73"/>
      <c r="E48" s="76" t="e">
        <f>D47+E47</f>
        <v>#DIV/0!</v>
      </c>
      <c r="F48" s="76" t="e">
        <f>(E47*G47)+(D47*F47)</f>
        <v>#DIV/0!</v>
      </c>
      <c r="G48" s="75"/>
      <c r="H48" s="73"/>
      <c r="I48" s="76" t="e">
        <f>H47+I47</f>
        <v>#DIV/0!</v>
      </c>
      <c r="J48" s="76" t="e">
        <f>(I47*K47)+(H47*J47)</f>
        <v>#DIV/0!</v>
      </c>
      <c r="K48" s="75"/>
      <c r="L48" s="73"/>
      <c r="M48" s="76" t="e">
        <f>L47+M47</f>
        <v>#DIV/0!</v>
      </c>
      <c r="N48" s="76" t="e">
        <f>(M47*O47)+(L47*N47)</f>
        <v>#DIV/0!</v>
      </c>
      <c r="O48" s="75"/>
      <c r="P48" s="73"/>
      <c r="Q48" s="76" t="e">
        <f>P47+Q47</f>
        <v>#DIV/0!</v>
      </c>
      <c r="R48" s="76" t="e">
        <f>(Q47*S47)+(P47*R47)</f>
        <v>#DIV/0!</v>
      </c>
      <c r="S48" s="75"/>
      <c r="T48" s="73"/>
      <c r="U48" s="76" t="e">
        <f>T47+U47</f>
        <v>#DIV/0!</v>
      </c>
      <c r="V48" s="76" t="e">
        <f>(U47*W47)+(T47*V47)</f>
        <v>#DIV/0!</v>
      </c>
      <c r="W48" s="75"/>
      <c r="X48" s="73"/>
      <c r="Y48" s="76" t="e">
        <f>X47+Y47</f>
        <v>#DIV/0!</v>
      </c>
      <c r="Z48" s="76" t="e">
        <f>(Y47*AA47)+(X47*Z47)</f>
        <v>#DIV/0!</v>
      </c>
      <c r="AA48" s="75"/>
      <c r="AB48" s="73"/>
      <c r="AC48" s="76" t="e">
        <f>AB47+AC47</f>
        <v>#DIV/0!</v>
      </c>
      <c r="AD48" s="76" t="e">
        <f>(AC47*AE47)+(AB47*AD47)</f>
        <v>#DIV/0!</v>
      </c>
      <c r="AE48" s="75"/>
      <c r="AF48" s="73"/>
      <c r="AG48" s="76" t="e">
        <f>AF47+AG47</f>
        <v>#DIV/0!</v>
      </c>
      <c r="AH48" s="76" t="e">
        <f>(AG47*AI47)+(AF47*AH47)</f>
        <v>#DIV/0!</v>
      </c>
      <c r="AI48" s="75"/>
      <c r="AJ48" s="73"/>
      <c r="AK48" s="76" t="e">
        <f>AJ47+AK47</f>
        <v>#DIV/0!</v>
      </c>
      <c r="AL48" s="76" t="e">
        <f>(AK47*AM47)+(AJ47*AL47)</f>
        <v>#DIV/0!</v>
      </c>
      <c r="AM48" s="75"/>
      <c r="AN48" s="73"/>
      <c r="AO48" s="76" t="e">
        <f>AN47+AO47</f>
        <v>#DIV/0!</v>
      </c>
      <c r="AP48" s="76" t="e">
        <f>(AO47*AQ47)+(AN47*AP47)</f>
        <v>#DIV/0!</v>
      </c>
      <c r="AQ48" s="75"/>
      <c r="AR48" s="73"/>
      <c r="AS48" s="76" t="e">
        <f>AR47+AS47</f>
        <v>#DIV/0!</v>
      </c>
      <c r="AT48" s="76" t="e">
        <f>(AS47*AU47)+(AR47*AT47)</f>
        <v>#DIV/0!</v>
      </c>
      <c r="AU48" s="75"/>
      <c r="AV48" s="73"/>
      <c r="AW48" s="76" t="e">
        <f>AV47+AW47</f>
        <v>#DIV/0!</v>
      </c>
      <c r="AX48" s="76" t="e">
        <f>(AW47*AY47)+(AV47*AX47)</f>
        <v>#DIV/0!</v>
      </c>
      <c r="AY48" s="75"/>
    </row>
    <row r="49" spans="1:52" hidden="1" x14ac:dyDescent="0.2">
      <c r="A49" s="52" t="s">
        <v>68</v>
      </c>
      <c r="B49" s="51"/>
      <c r="C49" s="51"/>
      <c r="D49" s="73" t="e">
        <f>D10-E49</f>
        <v>#DIV/0!</v>
      </c>
      <c r="E49" s="74" t="e">
        <f>D10*(30-F11)/(B11-F11)</f>
        <v>#DIV/0!</v>
      </c>
      <c r="F49" s="74">
        <v>30</v>
      </c>
      <c r="G49" s="75">
        <f>(30+F11)/2</f>
        <v>15</v>
      </c>
      <c r="H49" s="73" t="e">
        <f>H10-I49</f>
        <v>#DIV/0!</v>
      </c>
      <c r="I49" s="74" t="e">
        <f>H10*(30-J11)/(F11-J11)</f>
        <v>#DIV/0!</v>
      </c>
      <c r="J49" s="74">
        <v>30</v>
      </c>
      <c r="K49" s="75">
        <f>(30+J11)/2</f>
        <v>15</v>
      </c>
      <c r="L49" s="73" t="e">
        <f>L10-M49</f>
        <v>#DIV/0!</v>
      </c>
      <c r="M49" s="74" t="e">
        <f>L10*(30-N11)/(J11-N11)</f>
        <v>#DIV/0!</v>
      </c>
      <c r="N49" s="74">
        <v>30</v>
      </c>
      <c r="O49" s="75">
        <f>(30+N11)/2</f>
        <v>15</v>
      </c>
      <c r="P49" s="73" t="e">
        <f>P10-Q49</f>
        <v>#DIV/0!</v>
      </c>
      <c r="Q49" s="74" t="e">
        <f>P10*(30-R11)/(N11-R11)</f>
        <v>#DIV/0!</v>
      </c>
      <c r="R49" s="74">
        <v>30</v>
      </c>
      <c r="S49" s="75">
        <f>(30+R11)/2</f>
        <v>15</v>
      </c>
      <c r="T49" s="73" t="e">
        <f>T10-U49</f>
        <v>#DIV/0!</v>
      </c>
      <c r="U49" s="74" t="e">
        <f>T10*(30-V11)/(R11-V11)</f>
        <v>#DIV/0!</v>
      </c>
      <c r="V49" s="74">
        <v>30</v>
      </c>
      <c r="W49" s="75">
        <f>(30+V11)/2</f>
        <v>15</v>
      </c>
      <c r="X49" s="73" t="e">
        <f>X10-Y49</f>
        <v>#DIV/0!</v>
      </c>
      <c r="Y49" s="74" t="e">
        <f>X10*(30-Z11)/(V11-Z11)</f>
        <v>#DIV/0!</v>
      </c>
      <c r="Z49" s="74">
        <v>30</v>
      </c>
      <c r="AA49" s="75">
        <f>(30+Z11)/2</f>
        <v>15</v>
      </c>
      <c r="AB49" s="73" t="e">
        <f>AB10-AC49</f>
        <v>#DIV/0!</v>
      </c>
      <c r="AC49" s="74" t="e">
        <f>AB10*(30-AD11)/(Z11-AD11)</f>
        <v>#DIV/0!</v>
      </c>
      <c r="AD49" s="74">
        <v>30</v>
      </c>
      <c r="AE49" s="75">
        <f>(30+AD11)/2</f>
        <v>15</v>
      </c>
      <c r="AF49" s="73" t="e">
        <f>AF10-AG49</f>
        <v>#DIV/0!</v>
      </c>
      <c r="AG49" s="74" t="e">
        <f>AF10*(30-AH11)/(AD11-AH11)</f>
        <v>#DIV/0!</v>
      </c>
      <c r="AH49" s="74">
        <v>30</v>
      </c>
      <c r="AI49" s="75">
        <f>(30+AH11)/2</f>
        <v>15</v>
      </c>
      <c r="AJ49" s="73" t="e">
        <f>AJ10-AK49</f>
        <v>#DIV/0!</v>
      </c>
      <c r="AK49" s="74" t="e">
        <f>AJ10*(30-AL11)/(AH11-AL11)</f>
        <v>#DIV/0!</v>
      </c>
      <c r="AL49" s="74">
        <v>30</v>
      </c>
      <c r="AM49" s="75">
        <f>(30+AL11)/2</f>
        <v>15</v>
      </c>
      <c r="AN49" s="73" t="e">
        <f>AN10-AO49</f>
        <v>#DIV/0!</v>
      </c>
      <c r="AO49" s="74" t="e">
        <f>AN10*(30-AP11)/(AL11-AP11)</f>
        <v>#DIV/0!</v>
      </c>
      <c r="AP49" s="74">
        <v>30</v>
      </c>
      <c r="AQ49" s="75">
        <f>(30+AP11)/2</f>
        <v>15</v>
      </c>
      <c r="AR49" s="73" t="e">
        <f>AR10-AS49</f>
        <v>#DIV/0!</v>
      </c>
      <c r="AS49" s="74" t="e">
        <f>AR10*(30-AT11)/(AP11-AT11)</f>
        <v>#DIV/0!</v>
      </c>
      <c r="AT49" s="74">
        <v>30</v>
      </c>
      <c r="AU49" s="75">
        <f>(30+AT11)/2</f>
        <v>15</v>
      </c>
      <c r="AV49" s="73" t="e">
        <f>AV10-AW49</f>
        <v>#DIV/0!</v>
      </c>
      <c r="AW49" s="74" t="e">
        <f>AV10*(30-AX11)/(AT11-AX11)</f>
        <v>#DIV/0!</v>
      </c>
      <c r="AX49" s="74">
        <v>30</v>
      </c>
      <c r="AY49" s="75">
        <f>(30+AX11)/2</f>
        <v>15</v>
      </c>
    </row>
    <row r="50" spans="1:52" hidden="1" x14ac:dyDescent="0.2">
      <c r="A50" s="34"/>
      <c r="B50" s="51"/>
      <c r="C50" s="51"/>
      <c r="D50" s="73"/>
      <c r="E50" s="76" t="e">
        <f>D49+E49</f>
        <v>#DIV/0!</v>
      </c>
      <c r="F50" s="76" t="e">
        <f>(E49*G49)+(D49*F49)</f>
        <v>#DIV/0!</v>
      </c>
      <c r="G50" s="75"/>
      <c r="H50" s="73"/>
      <c r="I50" s="76" t="e">
        <f>H49+I49</f>
        <v>#DIV/0!</v>
      </c>
      <c r="J50" s="76" t="e">
        <f>(I49*K49)+(H49*J49)</f>
        <v>#DIV/0!</v>
      </c>
      <c r="K50" s="75"/>
      <c r="L50" s="73"/>
      <c r="M50" s="76" t="e">
        <f>L49+M49</f>
        <v>#DIV/0!</v>
      </c>
      <c r="N50" s="76" t="e">
        <f>(M49*O49)+(L49*N49)</f>
        <v>#DIV/0!</v>
      </c>
      <c r="O50" s="75"/>
      <c r="P50" s="73"/>
      <c r="Q50" s="76" t="e">
        <f>P49+Q49</f>
        <v>#DIV/0!</v>
      </c>
      <c r="R50" s="76" t="e">
        <f>(Q49*S49)+(P49*R49)</f>
        <v>#DIV/0!</v>
      </c>
      <c r="S50" s="75"/>
      <c r="T50" s="73"/>
      <c r="U50" s="76" t="e">
        <f>T49+U49</f>
        <v>#DIV/0!</v>
      </c>
      <c r="V50" s="76" t="e">
        <f>(U49*W49)+(T49*V49)</f>
        <v>#DIV/0!</v>
      </c>
      <c r="W50" s="75"/>
      <c r="X50" s="73"/>
      <c r="Y50" s="76" t="e">
        <f>X49+Y49</f>
        <v>#DIV/0!</v>
      </c>
      <c r="Z50" s="76" t="e">
        <f>(Y49*AA49)+(X49*Z49)</f>
        <v>#DIV/0!</v>
      </c>
      <c r="AA50" s="75"/>
      <c r="AB50" s="73"/>
      <c r="AC50" s="76" t="e">
        <f>AB49+AC49</f>
        <v>#DIV/0!</v>
      </c>
      <c r="AD50" s="76" t="e">
        <f>(AC49*AE49)+(AB49*AD49)</f>
        <v>#DIV/0!</v>
      </c>
      <c r="AE50" s="75"/>
      <c r="AF50" s="73"/>
      <c r="AG50" s="76" t="e">
        <f>AF49+AG49</f>
        <v>#DIV/0!</v>
      </c>
      <c r="AH50" s="76" t="e">
        <f>(AG49*AI49)+(AF49*AH49)</f>
        <v>#DIV/0!</v>
      </c>
      <c r="AI50" s="75"/>
      <c r="AJ50" s="73"/>
      <c r="AK50" s="76" t="e">
        <f>AJ49+AK49</f>
        <v>#DIV/0!</v>
      </c>
      <c r="AL50" s="76" t="e">
        <f>(AK49*AM49)+(AJ49*AL49)</f>
        <v>#DIV/0!</v>
      </c>
      <c r="AM50" s="75"/>
      <c r="AN50" s="73"/>
      <c r="AO50" s="76" t="e">
        <f>AN49+AO49</f>
        <v>#DIV/0!</v>
      </c>
      <c r="AP50" s="76" t="e">
        <f>(AO49*AQ49)+(AN49*AP49)</f>
        <v>#DIV/0!</v>
      </c>
      <c r="AQ50" s="75"/>
      <c r="AR50" s="73"/>
      <c r="AS50" s="76" t="e">
        <f>AR49+AS49</f>
        <v>#DIV/0!</v>
      </c>
      <c r="AT50" s="76" t="e">
        <f>(AS49*AU49)+(AR49*AT49)</f>
        <v>#DIV/0!</v>
      </c>
      <c r="AU50" s="75"/>
      <c r="AV50" s="73"/>
      <c r="AW50" s="76" t="e">
        <f>AV49+AW49</f>
        <v>#DIV/0!</v>
      </c>
      <c r="AX50" s="76" t="e">
        <f>(AW49*AY49)+(AV49*AX49)</f>
        <v>#DIV/0!</v>
      </c>
      <c r="AY50" s="75"/>
    </row>
    <row r="52" spans="1:52" s="1" customFormat="1" x14ac:dyDescent="0.2">
      <c r="A52" s="65" t="s">
        <v>51</v>
      </c>
      <c r="B52" s="564">
        <f>AX9</f>
        <v>13</v>
      </c>
      <c r="C52" s="565"/>
      <c r="D52" s="566"/>
      <c r="E52" s="66"/>
      <c r="F52" s="553">
        <f>B52+1</f>
        <v>14</v>
      </c>
      <c r="G52" s="554"/>
      <c r="H52" s="555"/>
      <c r="I52" s="66"/>
      <c r="J52" s="553">
        <f>F52+1</f>
        <v>15</v>
      </c>
      <c r="K52" s="554"/>
      <c r="L52" s="555"/>
      <c r="M52" s="66"/>
      <c r="N52" s="553">
        <f>J52+1</f>
        <v>16</v>
      </c>
      <c r="O52" s="554"/>
      <c r="P52" s="555"/>
      <c r="Q52" s="66"/>
      <c r="R52" s="553">
        <f>N52+1</f>
        <v>17</v>
      </c>
      <c r="S52" s="554"/>
      <c r="T52" s="555"/>
      <c r="U52" s="66"/>
      <c r="V52" s="553">
        <f>R52+1</f>
        <v>18</v>
      </c>
      <c r="W52" s="554"/>
      <c r="X52" s="555"/>
      <c r="Y52" s="66"/>
      <c r="Z52" s="553">
        <f>V52+1</f>
        <v>19</v>
      </c>
      <c r="AA52" s="554"/>
      <c r="AB52" s="555"/>
      <c r="AC52" s="66"/>
      <c r="AD52" s="553">
        <f>Z52+1</f>
        <v>20</v>
      </c>
      <c r="AE52" s="554"/>
      <c r="AF52" s="555"/>
      <c r="AG52" s="66"/>
      <c r="AH52" s="553">
        <f>AD52+1</f>
        <v>21</v>
      </c>
      <c r="AI52" s="554"/>
      <c r="AJ52" s="555"/>
      <c r="AK52" s="66"/>
      <c r="AL52" s="553">
        <f>AH52+1</f>
        <v>22</v>
      </c>
      <c r="AM52" s="554"/>
      <c r="AN52" s="555"/>
      <c r="AO52" s="66"/>
      <c r="AP52" s="553">
        <f>AL52+1</f>
        <v>23</v>
      </c>
      <c r="AQ52" s="554"/>
      <c r="AR52" s="555"/>
      <c r="AS52" s="66"/>
      <c r="AT52" s="553">
        <f>AP52+1</f>
        <v>24</v>
      </c>
      <c r="AU52" s="554"/>
      <c r="AV52" s="555"/>
      <c r="AW52" s="66"/>
      <c r="AX52" s="553">
        <f>AT52+1</f>
        <v>25</v>
      </c>
      <c r="AY52" s="554"/>
      <c r="AZ52" s="555"/>
    </row>
    <row r="53" spans="1:52" x14ac:dyDescent="0.2">
      <c r="A53" s="65" t="s">
        <v>70</v>
      </c>
      <c r="B53" s="68"/>
      <c r="C53" s="69"/>
      <c r="D53" s="546"/>
      <c r="E53" s="547"/>
      <c r="F53" s="548"/>
      <c r="G53" s="77"/>
      <c r="H53" s="546"/>
      <c r="I53" s="547"/>
      <c r="J53" s="548"/>
      <c r="K53" s="77"/>
      <c r="L53" s="546"/>
      <c r="M53" s="547"/>
      <c r="N53" s="548"/>
      <c r="O53" s="77"/>
      <c r="P53" s="546"/>
      <c r="Q53" s="547"/>
      <c r="R53" s="548"/>
      <c r="S53" s="77"/>
      <c r="T53" s="546"/>
      <c r="U53" s="547"/>
      <c r="V53" s="548"/>
      <c r="W53" s="77"/>
      <c r="X53" s="546"/>
      <c r="Y53" s="547"/>
      <c r="Z53" s="548"/>
      <c r="AA53" s="77"/>
      <c r="AB53" s="546"/>
      <c r="AC53" s="547"/>
      <c r="AD53" s="548"/>
      <c r="AE53" s="77"/>
      <c r="AF53" s="546"/>
      <c r="AG53" s="547"/>
      <c r="AH53" s="548"/>
      <c r="AI53" s="77"/>
      <c r="AJ53" s="546"/>
      <c r="AK53" s="547"/>
      <c r="AL53" s="548"/>
      <c r="AM53" s="77"/>
      <c r="AN53" s="546"/>
      <c r="AO53" s="547"/>
      <c r="AP53" s="548"/>
      <c r="AQ53" s="77"/>
      <c r="AR53" s="546"/>
      <c r="AS53" s="547"/>
      <c r="AT53" s="548"/>
      <c r="AU53" s="77"/>
      <c r="AV53" s="546"/>
      <c r="AW53" s="547"/>
      <c r="AX53" s="548"/>
      <c r="AY53" s="69"/>
      <c r="AZ53" s="1"/>
    </row>
    <row r="54" spans="1:52" x14ac:dyDescent="0.2">
      <c r="A54" s="65" t="s">
        <v>69</v>
      </c>
      <c r="B54" s="549">
        <f>AX11</f>
        <v>0</v>
      </c>
      <c r="C54" s="550"/>
      <c r="D54" s="551"/>
      <c r="E54" s="69"/>
      <c r="F54" s="552"/>
      <c r="G54" s="547"/>
      <c r="H54" s="548"/>
      <c r="I54" s="77"/>
      <c r="J54" s="552"/>
      <c r="K54" s="547"/>
      <c r="L54" s="548"/>
      <c r="M54" s="77"/>
      <c r="N54" s="552"/>
      <c r="O54" s="547"/>
      <c r="P54" s="548"/>
      <c r="Q54" s="77"/>
      <c r="R54" s="552"/>
      <c r="S54" s="547"/>
      <c r="T54" s="548"/>
      <c r="U54" s="77"/>
      <c r="V54" s="552"/>
      <c r="W54" s="547"/>
      <c r="X54" s="548"/>
      <c r="Y54" s="77"/>
      <c r="Z54" s="552"/>
      <c r="AA54" s="547"/>
      <c r="AB54" s="548"/>
      <c r="AC54" s="77"/>
      <c r="AD54" s="552"/>
      <c r="AE54" s="547"/>
      <c r="AF54" s="548"/>
      <c r="AG54" s="77"/>
      <c r="AH54" s="552"/>
      <c r="AI54" s="547"/>
      <c r="AJ54" s="548"/>
      <c r="AK54" s="77"/>
      <c r="AL54" s="552"/>
      <c r="AM54" s="547"/>
      <c r="AN54" s="548"/>
      <c r="AO54" s="77"/>
      <c r="AP54" s="552"/>
      <c r="AQ54" s="547"/>
      <c r="AR54" s="548"/>
      <c r="AS54" s="77"/>
      <c r="AT54" s="552"/>
      <c r="AU54" s="547"/>
      <c r="AV54" s="548"/>
      <c r="AW54" s="77"/>
      <c r="AX54" s="552"/>
      <c r="AY54" s="547"/>
      <c r="AZ54" s="548"/>
    </row>
    <row r="55" spans="1:52" hidden="1" x14ac:dyDescent="0.2">
      <c r="A55" s="70">
        <f>IF(OR(G55=0,E55=0),0,G55/E55)</f>
        <v>0</v>
      </c>
      <c r="B55" s="49">
        <f>SUM(E55,I55,M55,Q55,U55,Y55,AC55,AG55,AK55,AO55,AS55,AW55)</f>
        <v>0</v>
      </c>
      <c r="C55" s="49">
        <f>SUM(G55,K55,O55,S55,W55,AA55,AE55,AI55,AM55,AQ55,AU55,AY55)</f>
        <v>0</v>
      </c>
      <c r="D55" s="72"/>
      <c r="E55" s="71">
        <f>IF($A$7=TRUE,D56+E56,D57+E57)</f>
        <v>0</v>
      </c>
      <c r="F55" s="72"/>
      <c r="G55" s="71">
        <f>IF($A$7=TRUE,F56+G56,F57+G57)</f>
        <v>0</v>
      </c>
      <c r="H55" s="72"/>
      <c r="I55" s="71">
        <f>IF($A$7=TRUE,H56+I56,H57+I57)</f>
        <v>0</v>
      </c>
      <c r="J55" s="72"/>
      <c r="K55" s="71">
        <f>IF($A$7=TRUE,J56+K56,J57+K57)</f>
        <v>0</v>
      </c>
      <c r="L55" s="72"/>
      <c r="M55" s="71">
        <f>IF($A$7=TRUE,L56+M56,L57+M57)</f>
        <v>0</v>
      </c>
      <c r="N55" s="72"/>
      <c r="O55" s="71">
        <f>IF($A$7=TRUE,N56+O56,N57+O57)</f>
        <v>0</v>
      </c>
      <c r="P55" s="72"/>
      <c r="Q55" s="71">
        <f>IF($A$7=TRUE,P56+Q56,P57+Q57)</f>
        <v>0</v>
      </c>
      <c r="R55" s="72"/>
      <c r="S55" s="71">
        <f>IF($A$7=TRUE,R56+S56,R57+S57)</f>
        <v>0</v>
      </c>
      <c r="T55" s="72"/>
      <c r="U55" s="71">
        <f>IF($A$7=TRUE,T56+U56,T57+U57)</f>
        <v>0</v>
      </c>
      <c r="V55" s="72"/>
      <c r="W55" s="71">
        <f>IF($A$7=TRUE,V56+W56,V57+W57)</f>
        <v>0</v>
      </c>
      <c r="X55" s="72"/>
      <c r="Y55" s="71">
        <f>IF($A$7=TRUE,X56+Y56,X57+Y57)</f>
        <v>0</v>
      </c>
      <c r="Z55" s="72"/>
      <c r="AA55" s="71">
        <f>IF($A$7=TRUE,Z56+AA56,Z57+AA57)</f>
        <v>0</v>
      </c>
      <c r="AB55" s="72"/>
      <c r="AC55" s="71">
        <f>IF($A$7=TRUE,AB56+AC56,AB57+AC57)</f>
        <v>0</v>
      </c>
      <c r="AD55" s="72"/>
      <c r="AE55" s="71">
        <f>IF($A$7=TRUE,AD56+AE56,AD57+AE57)</f>
        <v>0</v>
      </c>
      <c r="AF55" s="72"/>
      <c r="AG55" s="71">
        <f>IF($A$7=TRUE,AF56+AG56,AF57+AG57)</f>
        <v>0</v>
      </c>
      <c r="AH55" s="72"/>
      <c r="AI55" s="71">
        <f>IF($A$7=TRUE,AH56+AI56,AH57+AI57)</f>
        <v>0</v>
      </c>
      <c r="AJ55" s="72"/>
      <c r="AK55" s="71">
        <f>IF($A$7=TRUE,AJ56+AK56,AJ57+AK57)</f>
        <v>0</v>
      </c>
      <c r="AL55" s="72"/>
      <c r="AM55" s="71">
        <f>IF($A$7=TRUE,AL56+AM56,AL57+AM57)</f>
        <v>0</v>
      </c>
      <c r="AN55" s="72"/>
      <c r="AO55" s="71">
        <f>IF($A$7=TRUE,AN56+AO56,AN57+AO57)</f>
        <v>0</v>
      </c>
      <c r="AP55" s="72"/>
      <c r="AQ55" s="71">
        <f>IF($A$7=TRUE,AP56+AQ56,AP57+AQ57)</f>
        <v>0</v>
      </c>
      <c r="AR55" s="72"/>
      <c r="AS55" s="71">
        <f>IF($A$7=TRUE,AR56+AS56,AR57+AS57)</f>
        <v>0</v>
      </c>
      <c r="AT55" s="72"/>
      <c r="AU55" s="71">
        <f>IF($A$7=TRUE,AT56+AU56,AT57+AU57)</f>
        <v>0</v>
      </c>
      <c r="AV55" s="72"/>
      <c r="AW55" s="71">
        <f>IF($A$7=TRUE,AV56+AW56,AV57+AW57)</f>
        <v>0</v>
      </c>
      <c r="AX55" s="72"/>
      <c r="AY55" s="71">
        <f>IF($A$7=TRUE,AX56+AY56,AX57+AY57)</f>
        <v>0</v>
      </c>
    </row>
    <row r="56" spans="1:52" hidden="1" x14ac:dyDescent="0.2">
      <c r="A56" s="70"/>
      <c r="B56" s="49"/>
      <c r="C56" s="49"/>
      <c r="D56" s="72">
        <f>IF(AND(F54&gt;60,B54&gt;=20,B54&lt;=60),E73,IF(AND(B54&gt;60,F54&gt;=20,F54&lt;=60),E75,0))</f>
        <v>0</v>
      </c>
      <c r="E56" s="72">
        <f>IF(AND(B54&lt;=60,F54&lt;=60,B54&gt;=20,F54&gt;=20),E59,IF(AND(B54&lt;20,F54&lt;20),E61,IF(AND(B54&gt;60,F54&gt;60),E63,IF(AND(B54&lt;20,F54&gt;60),E65,IF(AND(F54&lt;20,B54&gt;60),E67,IF(AND(B54&lt;20,F54&gt;=20,F54&lt;=60),E69,IF(AND(F54&lt;20,B54&gt;=20,B54&lt;=60),E71,0)))))))</f>
        <v>0</v>
      </c>
      <c r="F56" s="72">
        <f>IF(AND(F54&gt;60,B54&gt;=20,B54&lt;=60),F73,IF(AND(B54&gt;60,F54&gt;=20,F54&lt;=60),F75,0))</f>
        <v>0</v>
      </c>
      <c r="G56" s="72">
        <f>IF(AND(B54&lt;=60,F54&lt;=60,B54&gt;=20,F54&gt;=20),F59,IF(AND(B54&lt;20,F54&lt;20),F61,IF(AND(B54&gt;60,F54&gt;60),F63,IF(AND(B54&lt;20,F54&gt;60),F65,IF(AND(F54&lt;20,B54&gt;60),F67,IF(AND(B54&lt;20,F54&gt;=20,F54&lt;=60),F69,IF(AND(F54&lt;20,B54&gt;=20,B54&lt;=60),F71,0)))))))</f>
        <v>0</v>
      </c>
      <c r="H56" s="72">
        <f>IF(AND(J54&gt;60,F54&gt;=20,F54&lt;=60),I73,IF(AND(F54&gt;60,J54&gt;=20,J54&lt;=60),I75,0))</f>
        <v>0</v>
      </c>
      <c r="I56" s="72">
        <f>IF(AND(F54&lt;=60,J54&lt;=60,F54&gt;=20,J54&gt;=20),I59,IF(AND(F54&lt;20,J54&lt;20),I61,IF(AND(F54&gt;60,J54&gt;60),I63,IF(AND(F54&lt;20,J54&gt;60),I65,IF(AND(J54&lt;20,F54&gt;60),I67,IF(AND(F54&lt;20,J54&gt;=20,J54&lt;=60),I69,IF(AND(J54&lt;20,F54&gt;=20,F54&lt;=60),I71,0)))))))</f>
        <v>0</v>
      </c>
      <c r="J56" s="72">
        <f>IF(AND(J54&gt;60,F54&gt;=20,F54&lt;=60),J73,IF(AND(F54&gt;60,J54&gt;=20,J54&lt;=60),J75,0))</f>
        <v>0</v>
      </c>
      <c r="K56" s="72">
        <f>IF(AND(F54&lt;=60,J54&lt;=60,F54&gt;=20,J54&gt;=20),J59,IF(AND(F54&lt;20,J54&lt;20),J61,IF(AND(F54&gt;60,J54&gt;60),J63,IF(AND(F54&lt;20,J54&gt;60),J65,IF(AND(J54&lt;20,F54&gt;60),J67,IF(AND(F54&lt;20,J54&gt;=20,J54&lt;=60),J69,IF(AND(J54&lt;20,F54&gt;=20,F54&lt;=60),J71,0)))))))</f>
        <v>0</v>
      </c>
      <c r="L56" s="72">
        <f>IF(AND(N54&gt;60,J54&gt;=20,J54&lt;=60),M73,IF(AND(J54&gt;60,N54&gt;=20,N54&lt;=60),M75,0))</f>
        <v>0</v>
      </c>
      <c r="M56" s="72">
        <f>IF(AND(J54&lt;=60,N54&lt;=60,J54&gt;=20,N54&gt;=20),M59,IF(AND(J54&lt;20,N54&lt;20),M61,IF(AND(J54&gt;60,N54&gt;60),M63,IF(AND(J54&lt;20,N54&gt;60),M65,IF(AND(N54&lt;20,J54&gt;60),M67,IF(AND(J54&lt;20,N54&gt;=20,N54&lt;=60),M69,IF(AND(N54&lt;20,J54&gt;=20,J54&lt;=60),M71,0)))))))</f>
        <v>0</v>
      </c>
      <c r="N56" s="72">
        <f>IF(AND(N54&gt;60,J54&gt;=20,J54&lt;=60),N73,IF(AND(J54&gt;60,N54&gt;=20,N54&lt;=60),N75,0))</f>
        <v>0</v>
      </c>
      <c r="O56" s="72">
        <f>IF(AND(J54&lt;=60,N54&lt;=60,J54&gt;=20,N54&gt;=20),N59,IF(AND(J54&lt;20,N54&lt;20),N61,IF(AND(J54&gt;60,N54&gt;60),N63,IF(AND(J54&lt;20,N54&gt;60),N65,IF(AND(N54&lt;20,J54&gt;60),N67,IF(AND(J54&lt;20,N54&gt;=20,N54&lt;=60),N69,IF(AND(N54&lt;20,J54&gt;=20,J54&lt;=60),N71,0)))))))</f>
        <v>0</v>
      </c>
      <c r="P56" s="72">
        <f>IF(AND(R54&gt;60,N54&gt;=20,N54&lt;=60),Q73,IF(AND(N54&gt;60,R54&gt;=20,R54&lt;=60),Q75,0))</f>
        <v>0</v>
      </c>
      <c r="Q56" s="72">
        <f>IF(AND(N54&lt;=60,R54&lt;=60,N54&gt;=20,R54&gt;=20),Q59,IF(AND(N54&lt;20,R54&lt;20),Q61,IF(AND(N54&gt;60,R54&gt;60),Q63,IF(AND(N54&lt;20,R54&gt;60),Q65,IF(AND(R54&lt;20,N54&gt;60),Q67,IF(AND(N54&lt;20,R54&gt;=20,R54&lt;=60),Q69,IF(AND(R54&lt;20,N54&gt;=20,N54&lt;=60),Q71,0)))))))</f>
        <v>0</v>
      </c>
      <c r="R56" s="72">
        <f>IF(AND(R54&gt;60,N54&gt;=20,N54&lt;=60),R73,IF(AND(N54&gt;60,R54&gt;=20,R54&lt;=60),R75,0))</f>
        <v>0</v>
      </c>
      <c r="S56" s="72">
        <f>IF(AND(N54&lt;=60,R54&lt;=60,N54&gt;=20,R54&gt;=20),R59,IF(AND(N54&lt;20,R54&lt;20),R61,IF(AND(N54&gt;60,R54&gt;60),R63,IF(AND(N54&lt;20,R54&gt;60),R65,IF(AND(R54&lt;20,N54&gt;60),R67,IF(AND(N54&lt;20,R54&gt;=20,R54&lt;=60),R69,IF(AND(R54&lt;20,N54&gt;=20,N54&lt;=60),R71,0)))))))</f>
        <v>0</v>
      </c>
      <c r="T56" s="72">
        <f>IF(AND(V54&gt;60,R54&gt;=20,R54&lt;=60),U73,IF(AND(R54&gt;60,V54&gt;=20,V54&lt;=60),U75,0))</f>
        <v>0</v>
      </c>
      <c r="U56" s="72">
        <f>IF(AND(R54&lt;=60,V54&lt;=60,R54&gt;=20,V54&gt;=20),U59,IF(AND(R54&lt;20,V54&lt;20),U61,IF(AND(R54&gt;60,V54&gt;60),U63,IF(AND(R54&lt;20,V54&gt;60),U65,IF(AND(V54&lt;20,R54&gt;60),U67,IF(AND(R54&lt;20,V54&gt;=20,V54&lt;=60),U69,IF(AND(V54&lt;20,R54&gt;=20,R54&lt;=60),U71,0)))))))</f>
        <v>0</v>
      </c>
      <c r="V56" s="72">
        <f>IF(AND(V54&gt;60,R54&gt;=20,R54&lt;=60),V73,IF(AND(R54&gt;60,V54&gt;=20,V54&lt;=60),V75,0))</f>
        <v>0</v>
      </c>
      <c r="W56" s="72">
        <f>IF(AND(R54&lt;=60,V54&lt;=60,R54&gt;=20,V54&gt;=20),V59,IF(AND(R54&lt;20,V54&lt;20),V61,IF(AND(R54&gt;60,V54&gt;60),V63,IF(AND(R54&lt;20,V54&gt;60),V65,IF(AND(V54&lt;20,R54&gt;60),V67,IF(AND(R54&lt;20,V54&gt;=20,V54&lt;=60),V69,IF(AND(V54&lt;20,R54&gt;=20,R54&lt;=60),V71,0)))))))</f>
        <v>0</v>
      </c>
      <c r="X56" s="72">
        <f>IF(AND(Z54&gt;60,V54&gt;=20,V54&lt;=60),Y73,IF(AND(V54&gt;60,Z54&gt;=20,Z54&lt;=60),Y75,0))</f>
        <v>0</v>
      </c>
      <c r="Y56" s="72">
        <f>IF(AND(V54&lt;=60,Z54&lt;=60,V54&gt;=20,Z54&gt;=20),Y59,IF(AND(V54&lt;20,Z54&lt;20),Y61,IF(AND(V54&gt;60,Z54&gt;60),Y63,IF(AND(V54&lt;20,Z54&gt;60),Y65,IF(AND(Z54&lt;20,V54&gt;60),Y67,IF(AND(V54&lt;20,Z54&gt;=20,Z54&lt;=60),Y69,IF(AND(Z54&lt;20,V54&gt;=20,V54&lt;=60),Y71,0)))))))</f>
        <v>0</v>
      </c>
      <c r="Z56" s="72">
        <f>IF(AND(Z54&gt;60,V54&gt;=20,V54&lt;=60),Z73,IF(AND(V54&gt;60,Z54&gt;=20,Z54&lt;=60),Z75,0))</f>
        <v>0</v>
      </c>
      <c r="AA56" s="72">
        <f>IF(AND(V54&lt;=60,Z54&lt;=60,V54&gt;=20,Z54&gt;=20),Z59,IF(AND(V54&lt;20,Z54&lt;20),Z61,IF(AND(V54&gt;60,Z54&gt;60),Z63,IF(AND(V54&lt;20,Z54&gt;60),Z65,IF(AND(Z54&lt;20,V54&gt;60),Z67,IF(AND(V54&lt;20,Z54&gt;=20,Z54&lt;=60),Z69,IF(AND(Z54&lt;20,V54&gt;=20,V54&lt;=60),Z71,0)))))))</f>
        <v>0</v>
      </c>
      <c r="AB56" s="72">
        <f>IF(AND(AD54&gt;60,Z54&gt;=20,Z54&lt;=60),AC73,IF(AND(Z54&gt;60,AD54&gt;=20,AD54&lt;=60),AC75,0))</f>
        <v>0</v>
      </c>
      <c r="AC56" s="72">
        <f>IF(AND(Z54&lt;=60,AD54&lt;=60,Z54&gt;=20,AD54&gt;=20),AC59,IF(AND(Z54&lt;20,AD54&lt;20),AC61,IF(AND(Z54&gt;60,AD54&gt;60),AC63,IF(AND(Z54&lt;20,AD54&gt;60),AC65,IF(AND(AD54&lt;20,Z54&gt;60),AC67,IF(AND(Z54&lt;20,AD54&gt;=20,AD54&lt;=60),AC69,IF(AND(AD54&lt;20,Z54&gt;=20,Z54&lt;=60),AC71,0)))))))</f>
        <v>0</v>
      </c>
      <c r="AD56" s="72">
        <f>IF(AND(AD54&gt;60,Z54&gt;=20,Z54&lt;=60),AD73,IF(AND(Z54&gt;60,AD54&gt;=20,AD54&lt;=60),AD75,0))</f>
        <v>0</v>
      </c>
      <c r="AE56" s="72">
        <f>IF(AND(Z54&lt;=60,AD54&lt;=60,Z54&gt;=20,AD54&gt;=20),AD59,IF(AND(Z54&lt;20,AD54&lt;20),AD61,IF(AND(Z54&gt;60,AD54&gt;60),AD63,IF(AND(Z54&lt;20,AD54&gt;60),AD65,IF(AND(AD54&lt;20,Z54&gt;60),AD67,IF(AND(Z54&lt;20,AD54&gt;=20,AD54&lt;=60),AD69,IF(AND(AD54&lt;20,Z54&gt;=20,Z54&lt;=60),AD71,0)))))))</f>
        <v>0</v>
      </c>
      <c r="AF56" s="72">
        <f>IF(AND(AH54&gt;60,AD54&gt;=20,AD54&lt;=60),AG73,IF(AND(AD54&gt;60,AH54&gt;=20,AH54&lt;=60),AG75,0))</f>
        <v>0</v>
      </c>
      <c r="AG56" s="72">
        <f>IF(AND(AD54&lt;=60,AH54&lt;=60,AD54&gt;=20,AH54&gt;=20),AG59,IF(AND(AD54&lt;20,AH54&lt;20),AG61,IF(AND(AD54&gt;60,AH54&gt;60),AG63,IF(AND(AD54&lt;20,AH54&gt;60),AG65,IF(AND(AH54&lt;20,AD54&gt;60),AG67,IF(AND(AD54&lt;20,AH54&gt;=20,AH54&lt;=60),AG69,IF(AND(AH54&lt;20,AD54&gt;=20,AD54&lt;=60),AG71,0)))))))</f>
        <v>0</v>
      </c>
      <c r="AH56" s="72">
        <f>IF(AND(AH54&gt;60,AD54&gt;=20,AD54&lt;=60),AH73,IF(AND(AD54&gt;60,AH54&gt;=20,AH54&lt;=60),AH75,0))</f>
        <v>0</v>
      </c>
      <c r="AI56" s="72">
        <f>IF(AND(AD54&lt;=60,AH54&lt;=60,AD54&gt;=20,AH54&gt;=20),AH59,IF(AND(AD54&lt;20,AH54&lt;20),AH61,IF(AND(AD54&gt;60,AH54&gt;60),AH63,IF(AND(AD54&lt;20,AH54&gt;60),AH65,IF(AND(AH54&lt;20,AD54&gt;60),AH67,IF(AND(AD54&lt;20,AH54&gt;=20,AH54&lt;=60),AH69,IF(AND(AH54&lt;20,AD54&gt;=20,AD54&lt;=60),AH71,0)))))))</f>
        <v>0</v>
      </c>
      <c r="AJ56" s="72">
        <f>IF(AND(AL54&gt;60,AH54&gt;=20,AH54&lt;=60),AK73,IF(AND(AH54&gt;60,AL54&gt;=20,AL54&lt;=60),AK75,0))</f>
        <v>0</v>
      </c>
      <c r="AK56" s="72">
        <f>IF(AND(AH54&lt;=60,AL54&lt;=60,AH54&gt;=20,AL54&gt;=20),AK59,IF(AND(AH54&lt;20,AL54&lt;20),AK61,IF(AND(AH54&gt;60,AL54&gt;60),AK63,IF(AND(AH54&lt;20,AL54&gt;60),AK65,IF(AND(AL54&lt;20,AH54&gt;60),AK67,IF(AND(AH54&lt;20,AL54&gt;=20,AL54&lt;=60),AK69,IF(AND(AL54&lt;20,AH54&gt;=20,AH54&lt;=60),AK71,0)))))))</f>
        <v>0</v>
      </c>
      <c r="AL56" s="72">
        <f>IF(AND(AL54&gt;60,AH54&gt;=20,AH54&lt;=60),AL73,IF(AND(AH54&gt;60,AL54&gt;=20,AL54&lt;=60),AL75,0))</f>
        <v>0</v>
      </c>
      <c r="AM56" s="72">
        <f>IF(AND(AH54&lt;=60,AL54&lt;=60,AH54&gt;=20,AL54&gt;=20),AL59,IF(AND(AH54&lt;20,AL54&lt;20),AL61,IF(AND(AH54&gt;60,AL54&gt;60),AL63,IF(AND(AH54&lt;20,AL54&gt;60),AL65,IF(AND(AL54&lt;20,AH54&gt;60),AL67,IF(AND(AH54&lt;20,AL54&gt;=20,AL54&lt;=60),AL69,IF(AND(AL54&lt;20,AH54&gt;=20,AH54&lt;=60),AL71,0)))))))</f>
        <v>0</v>
      </c>
      <c r="AN56" s="72">
        <f>IF(AND(AP54&gt;60,AL54&gt;=20,AL54&lt;=60),AO73,IF(AND(AL54&gt;60,AP54&gt;=20,AP54&lt;=60),AO75,0))</f>
        <v>0</v>
      </c>
      <c r="AO56" s="72">
        <f>IF(AND(AL54&lt;=60,AP54&lt;=60,AL54&gt;=20,AP54&gt;=20),AO59,IF(AND(AL54&lt;20,AP54&lt;20),AO61,IF(AND(AL54&gt;60,AP54&gt;60),AO63,IF(AND(AL54&lt;20,AP54&gt;60),AO65,IF(AND(AP54&lt;20,AL54&gt;60),AO67,IF(AND(AL54&lt;20,AP54&gt;=20,AP54&lt;=60),AO69,IF(AND(AP54&lt;20,AL54&gt;=20,AL54&lt;=60),AO71,0)))))))</f>
        <v>0</v>
      </c>
      <c r="AP56" s="72">
        <f>IF(AND(AP54&gt;60,AL54&gt;=20,AL54&lt;=60),AP73,IF(AND(AL54&gt;60,AP54&gt;=20,AP54&lt;=60),AP75,0))</f>
        <v>0</v>
      </c>
      <c r="AQ56" s="72">
        <f>IF(AND(AL54&lt;=60,AP54&lt;=60,AL54&gt;=20,AP54&gt;=20),AP59,IF(AND(AL54&lt;20,AP54&lt;20),AP61,IF(AND(AL54&gt;60,AP54&gt;60),AP63,IF(AND(AL54&lt;20,AP54&gt;60),AP65,IF(AND(AP54&lt;20,AL54&gt;60),AP67,IF(AND(AL54&lt;20,AP54&gt;=20,AP54&lt;=60),AP69,IF(AND(AP54&lt;20,AL54&gt;=20,AL54&lt;=60),AP71,0)))))))</f>
        <v>0</v>
      </c>
      <c r="AR56" s="72">
        <f>IF(AND(AT54&gt;60,AP54&gt;=20,AP54&lt;=60),AS73,IF(AND(AP54&gt;60,AT54&gt;=20,AT54&lt;=60),AS75,0))</f>
        <v>0</v>
      </c>
      <c r="AS56" s="72">
        <f>IF(AND(AP54&lt;=60,AT54&lt;=60,AP54&gt;=20,AT54&gt;=20),AS59,IF(AND(AP54&lt;20,AT54&lt;20),AS61,IF(AND(AP54&gt;60,AT54&gt;60),AS63,IF(AND(AP54&lt;20,AT54&gt;60),AS65,IF(AND(AT54&lt;20,AP54&gt;60),AS67,IF(AND(AP54&lt;20,AT54&gt;=20,AT54&lt;=60),AS69,IF(AND(AT54&lt;20,AP54&gt;=20,AP54&lt;=60),AS71,0)))))))</f>
        <v>0</v>
      </c>
      <c r="AT56" s="72">
        <f>IF(AND(AT54&gt;60,AP54&gt;=20,AP54&lt;=60),AT73,IF(AND(AP54&gt;60,AT54&gt;=20,AT54&lt;=60),AT75,0))</f>
        <v>0</v>
      </c>
      <c r="AU56" s="72">
        <f>IF(AND(AP54&lt;=60,AT54&lt;=60,AP54&gt;=20,AT54&gt;=20),AT59,IF(AND(AP54&lt;20,AT54&lt;20),AT61,IF(AND(AP54&gt;60,AT54&gt;60),AT63,IF(AND(AP54&lt;20,AT54&gt;60),AT65,IF(AND(AT54&lt;20,AP54&gt;60),AT67,IF(AND(AP54&lt;20,AT54&gt;=20,AT54&lt;=60),AT69,IF(AND(AT54&lt;20,AP54&gt;=20,AP54&lt;=60),AT71,0)))))))</f>
        <v>0</v>
      </c>
      <c r="AV56" s="72">
        <f>IF(AND(AX54&gt;60,AT54&gt;=20,AT54&lt;=60),AW73,IF(AND(AT54&gt;60,AX54&gt;=20,AX54&lt;=60),AW75,0))</f>
        <v>0</v>
      </c>
      <c r="AW56" s="72">
        <f>IF(AND(AT54&lt;=60,AX54&lt;=60,AT54&gt;=20,AX54&gt;=20),AW59,IF(AND(AT54&lt;20,AX54&lt;20),AW61,IF(AND(AT54&gt;60,AX54&gt;60),AW63,IF(AND(AT54&lt;20,AX54&gt;60),AW65,IF(AND(AX54&lt;20,AT54&gt;60),AW67,IF(AND(AT54&lt;20,AX54&gt;=20,AX54&lt;=60),AW69,IF(AND(AX54&lt;20,AT54&gt;=20,AT54&lt;=60),AW71,0)))))))</f>
        <v>0</v>
      </c>
      <c r="AX56" s="72">
        <f>IF(AND(AX54&gt;60,AT54&gt;=20,AT54&lt;=60),AX73,IF(AND(AT54&gt;60,AX54&gt;=20,AX54&lt;=60),AX75,0))</f>
        <v>0</v>
      </c>
      <c r="AY56" s="72">
        <f>IF(AND(AT54&lt;=60,AX54&lt;=60,AT54&gt;=20,AX54&gt;=20),AX59,IF(AND(AT54&lt;20,AX54&lt;20),AX61,IF(AND(AT54&gt;60,AX54&gt;60),AX63,IF(AND(AT54&lt;20,AX54&gt;60),AX65,IF(AND(AX54&lt;20,AT54&gt;60),AX67,IF(AND(AT54&lt;20,AX54&gt;=20,AX54&lt;=60),AX69,IF(AND(AX54&lt;20,AT54&gt;=20,AT54&lt;=60),AX71,0)))))))</f>
        <v>0</v>
      </c>
    </row>
    <row r="57" spans="1:52" hidden="1" x14ac:dyDescent="0.2">
      <c r="A57" s="70"/>
      <c r="B57" s="49"/>
      <c r="C57" s="49">
        <f>SUM(D53,H53,L53,P53,T53,X53,AB53,AF53,AJ53,AN53,AR53,AV53)</f>
        <v>0</v>
      </c>
      <c r="D57" s="72">
        <f>IF(AND(F54&gt;30,B54&gt;=20,B54&lt;=30),E91,IF(AND(B54&gt;30,F54&gt;=20,F54&lt;=30),E93,0))</f>
        <v>0</v>
      </c>
      <c r="E57" s="72">
        <f>IF(AND(B54&lt;=30,F54&lt;=30,B54&gt;=20,F54&gt;=20),E77,IF(AND(B54&lt;20,F54&lt;20),E79,IF(AND(B54&gt;30,F54&gt;30),E81,IF(AND(B54&lt;20,F54&gt;30),E83,IF(AND(F54&lt;20,B54&gt;30),E85,IF(AND(B54&lt;20,F54&gt;=20,F54&lt;=30),E87,IF(AND(F54&lt;20,B54&gt;=20,B54&lt;=30),E89,0)))))))</f>
        <v>0</v>
      </c>
      <c r="F57" s="72">
        <f>IF(AND(F54&gt;30,B54&gt;=20,B54&lt;=30),F91,IF(AND(B54&gt;30,F54&gt;=20,F54&lt;=30),F93,0))</f>
        <v>0</v>
      </c>
      <c r="G57" s="72">
        <f>IF(AND(B54&lt;=30,F54&lt;=30,B54&gt;=20,F54&gt;=20),F77,IF(AND(B54&lt;20,F54&lt;20),F79,IF(AND(B54&gt;30,F54&gt;30),F81,IF(AND(B54&lt;20,F54&gt;30),F83,IF(AND(F54&lt;20,B54&gt;30),F85,IF(AND(B54&lt;20,F54&gt;=20,F54&lt;=30),F87,IF(AND(F54&lt;20,B54&gt;=20,B54&lt;=30),F89,0)))))))</f>
        <v>0</v>
      </c>
      <c r="H57" s="72">
        <f>IF(AND(J54&gt;30,F54&gt;=20,F54&lt;=30),I91,IF(AND(F54&gt;30,J54&gt;=20,J54&lt;=30),I93,0))</f>
        <v>0</v>
      </c>
      <c r="I57" s="72">
        <f>IF(AND(F54&lt;=30,J54&lt;=30,F54&gt;=20,J54&gt;=20),I77,IF(AND(F54&lt;20,J54&lt;20),I79,IF(AND(F54&gt;30,J54&gt;30),I81,IF(AND(F54&lt;20,J54&gt;30),I83,IF(AND(J54&lt;20,F54&gt;30),I85,IF(AND(F54&lt;20,J54&gt;=20,J54&lt;=30),I87,IF(AND(J54&lt;20,F54&gt;=20,F54&lt;=30),I89,0)))))))</f>
        <v>0</v>
      </c>
      <c r="J57" s="72">
        <f>IF(AND(J54&gt;30,F54&gt;=20,F54&lt;=30),J91,IF(AND(F54&gt;30,J54&gt;=20,J54&lt;=30),J93,0))</f>
        <v>0</v>
      </c>
      <c r="K57" s="72">
        <f>IF(AND(F54&lt;=30,J54&lt;=30,F54&gt;=20,J54&gt;=20),J77,IF(AND(F54&lt;20,J54&lt;20),J79,IF(AND(F54&gt;30,J54&gt;30),J81,IF(AND(F54&lt;20,J54&gt;30),J83,IF(AND(J54&lt;20,F54&gt;30),J85,IF(AND(F54&lt;20,J54&gt;=20,J54&lt;=30),J87,IF(AND(J54&lt;20,F54&gt;=20,F54&lt;=30),J89,0)))))))</f>
        <v>0</v>
      </c>
      <c r="L57" s="72">
        <f>IF(AND(N54&gt;30,J54&gt;=20,J54&lt;=30),M91,IF(AND(J54&gt;30,N54&gt;=20,N54&lt;=30),M93,0))</f>
        <v>0</v>
      </c>
      <c r="M57" s="72">
        <f>IF(AND(J54&lt;=30,N54&lt;=30,J54&gt;=20,N54&gt;=20),M77,IF(AND(J54&lt;20,N54&lt;20),M79,IF(AND(J54&gt;30,N54&gt;30),M81,IF(AND(J54&lt;20,N54&gt;30),M83,IF(AND(N54&lt;20,J54&gt;30),M85,IF(AND(J54&lt;20,N54&gt;=20,N54&lt;=30),M87,IF(AND(N54&lt;20,J54&gt;=20,J54&lt;=30),M89,0)))))))</f>
        <v>0</v>
      </c>
      <c r="N57" s="72">
        <f>IF(AND(N54&gt;30,J54&gt;=20,J54&lt;=30),N91,IF(AND(J54&gt;30,N54&gt;=20,N54&lt;=30),N93,0))</f>
        <v>0</v>
      </c>
      <c r="O57" s="72">
        <f>IF(AND(J54&lt;=30,N54&lt;=30,J54&gt;=20,N54&gt;=20),N77,IF(AND(J54&lt;20,N54&lt;20),N79,IF(AND(J54&gt;30,N54&gt;30),N81,IF(AND(J54&lt;20,N54&gt;30),N83,IF(AND(N54&lt;20,J54&gt;30),N85,IF(AND(J54&lt;20,N54&gt;=20,N54&lt;=30),N87,IF(AND(N54&lt;20,J54&gt;=20,J54&lt;=30),N89,0)))))))</f>
        <v>0</v>
      </c>
      <c r="P57" s="72">
        <f>IF(AND(R54&gt;30,N54&gt;=20,N54&lt;=30),Q91,IF(AND(N54&gt;30,R54&gt;=20,R54&lt;=30),Q93,0))</f>
        <v>0</v>
      </c>
      <c r="Q57" s="72">
        <f>IF(AND(N54&lt;=30,R54&lt;=30,N54&gt;=20,R54&gt;=20),Q77,IF(AND(N54&lt;20,R54&lt;20),Q79,IF(AND(N54&gt;30,R54&gt;30),Q81,IF(AND(N54&lt;20,R54&gt;30),Q83,IF(AND(R54&lt;20,N54&gt;30),Q85,IF(AND(N54&lt;20,R54&gt;=20,R54&lt;=30),Q87,IF(AND(R54&lt;20,N54&gt;=20,N54&lt;=30),Q89,0)))))))</f>
        <v>0</v>
      </c>
      <c r="R57" s="72">
        <f>IF(AND(R54&gt;30,N54&gt;=20,N54&lt;=30),R91,IF(AND(N54&gt;30,R54&gt;=20,R54&lt;=30),R93,0))</f>
        <v>0</v>
      </c>
      <c r="S57" s="72">
        <f>IF(AND(N54&lt;=30,R54&lt;=30,N54&gt;=20,R54&gt;=20),R77,IF(AND(N54&lt;20,R54&lt;20),R79,IF(AND(N54&gt;30,R54&gt;30),R81,IF(AND(N54&lt;20,R54&gt;30),R83,IF(AND(R54&lt;20,N54&gt;30),R85,IF(AND(N54&lt;20,R54&gt;=20,R54&lt;=30),R87,IF(AND(R54&lt;20,N54&gt;=20,N54&lt;=30),R89,0)))))))</f>
        <v>0</v>
      </c>
      <c r="T57" s="72">
        <f>IF(AND(V54&gt;30,R54&gt;=20,R54&lt;=30),U91,IF(AND(R54&gt;30,V54&gt;=20,V54&lt;=30),U93,0))</f>
        <v>0</v>
      </c>
      <c r="U57" s="72">
        <f>IF(AND(R54&lt;=30,V54&lt;=30,R54&gt;=20,V54&gt;=20),U77,IF(AND(R54&lt;20,V54&lt;20),U79,IF(AND(R54&gt;30,V54&gt;30),U81,IF(AND(R54&lt;20,V54&gt;30),U83,IF(AND(V54&lt;20,R54&gt;30),U85,IF(AND(R54&lt;20,V54&gt;=20,V54&lt;=30),U87,IF(AND(V54&lt;20,R54&gt;=20,R54&lt;=30),U89,0)))))))</f>
        <v>0</v>
      </c>
      <c r="V57" s="72">
        <f>IF(AND(V54&gt;30,R54&gt;=20,R54&lt;=30),V91,IF(AND(R54&gt;30,V54&gt;=20,V54&lt;=30),V93,0))</f>
        <v>0</v>
      </c>
      <c r="W57" s="72">
        <f>IF(AND(R54&lt;=30,V54&lt;=30,R54&gt;=20,V54&gt;=20),V77,IF(AND(R54&lt;20,V54&lt;20),V79,IF(AND(R54&gt;30,V54&gt;30),V81,IF(AND(R54&lt;20,V54&gt;30),V83,IF(AND(V54&lt;20,R54&gt;30),V85,IF(AND(R54&lt;20,V54&gt;=20,V54&lt;=30),V87,IF(AND(V54&lt;20,R54&gt;=20,R54&lt;=30),V89,0)))))))</f>
        <v>0</v>
      </c>
      <c r="X57" s="72">
        <f>IF(AND(Z54&gt;30,V54&gt;=20,V54&lt;=30),Y91,IF(AND(V54&gt;30,Z54&gt;=20,Z54&lt;=30),Y93,0))</f>
        <v>0</v>
      </c>
      <c r="Y57" s="72">
        <f>IF(AND(V54&lt;=30,Z54&lt;=30,V54&gt;=20,Z54&gt;=20),Y77,IF(AND(V54&lt;20,Z54&lt;20),Y79,IF(AND(V54&gt;30,Z54&gt;30),Y81,IF(AND(V54&lt;20,Z54&gt;30),Y83,IF(AND(Z54&lt;20,V54&gt;30),Y85,IF(AND(V54&lt;20,Z54&gt;=20,Z54&lt;=30),Y87,IF(AND(Z54&lt;20,V54&gt;=20,V54&lt;=30),Y89,0)))))))</f>
        <v>0</v>
      </c>
      <c r="Z57" s="72">
        <f>IF(AND(Z54&gt;30,V54&gt;=20,V54&lt;=30),Z91,IF(AND(V54&gt;30,Z54&gt;=20,Z54&lt;=30),Z93,0))</f>
        <v>0</v>
      </c>
      <c r="AA57" s="72">
        <f>IF(AND(V54&lt;=30,Z54&lt;=30,V54&gt;=20,Z54&gt;=20),Z77,IF(AND(V54&lt;20,Z54&lt;20),Z79,IF(AND(V54&gt;30,Z54&gt;30),Z81,IF(AND(V54&lt;20,Z54&gt;30),Z83,IF(AND(Z54&lt;20,V54&gt;30),Z85,IF(AND(V54&lt;20,Z54&gt;=20,Z54&lt;=30),Z87,IF(AND(Z54&lt;20,V54&gt;=20,V54&lt;=30),Z89,0)))))))</f>
        <v>0</v>
      </c>
      <c r="AB57" s="72">
        <f>IF(AND(AD54&gt;30,Z54&gt;=20,Z54&lt;=30),AC91,IF(AND(Z54&gt;30,AD54&gt;=20,AD54&lt;=30),AC93,0))</f>
        <v>0</v>
      </c>
      <c r="AC57" s="72">
        <f>IF(AND(Z54&lt;=30,AD54&lt;=30,Z54&gt;=20,AD54&gt;=20),AC77,IF(AND(Z54&lt;20,AD54&lt;20),AC79,IF(AND(Z54&gt;30,AD54&gt;30),AC81,IF(AND(Z54&lt;20,AD54&gt;30),AC83,IF(AND(AD54&lt;20,Z54&gt;30),AC85,IF(AND(Z54&lt;20,AD54&gt;=20,AD54&lt;=30),AC87,IF(AND(AD54&lt;20,Z54&gt;=20,Z54&lt;=30),AC89,0)))))))</f>
        <v>0</v>
      </c>
      <c r="AD57" s="72">
        <f>IF(AND(AD54&gt;30,Z54&gt;=20,Z54&lt;=30),AD91,IF(AND(Z54&gt;30,AD54&gt;=20,AD54&lt;=30),AD93,0))</f>
        <v>0</v>
      </c>
      <c r="AE57" s="72">
        <f>IF(AND(Z54&lt;=30,AD54&lt;=30,Z54&gt;=20,AD54&gt;=20),AD77,IF(AND(Z54&lt;20,AD54&lt;20),AD79,IF(AND(Z54&gt;30,AD54&gt;30),AD81,IF(AND(Z54&lt;20,AD54&gt;30),AD83,IF(AND(AD54&lt;20,Z54&gt;30),AD85,IF(AND(Z54&lt;20,AD54&gt;=20,AD54&lt;=30),AD87,IF(AND(AD54&lt;20,Z54&gt;=20,Z54&lt;=30),AD89,0)))))))</f>
        <v>0</v>
      </c>
      <c r="AF57" s="72">
        <f>IF(AND(AH54&gt;30,AD54&gt;=20,AD54&lt;=30),AG91,IF(AND(AD54&gt;30,AH54&gt;=20,AH54&lt;=30),AG93,0))</f>
        <v>0</v>
      </c>
      <c r="AG57" s="72">
        <f>IF(AND(AD54&lt;=30,AH54&lt;=30,AD54&gt;=20,AH54&gt;=20),AG77,IF(AND(AD54&lt;20,AH54&lt;20),AG79,IF(AND(AD54&gt;30,AH54&gt;30),AG81,IF(AND(AD54&lt;20,AH54&gt;30),AG83,IF(AND(AH54&lt;20,AD54&gt;30),AG85,IF(AND(AD54&lt;20,AH54&gt;=20,AH54&lt;=30),AG87,IF(AND(AH54&lt;20,AD54&gt;=20,AD54&lt;=30),AG89,0)))))))</f>
        <v>0</v>
      </c>
      <c r="AH57" s="72">
        <f>IF(AND(AH54&gt;30,AD54&gt;=20,AD54&lt;=30),AH91,IF(AND(AD54&gt;30,AH54&gt;=20,AH54&lt;=30),AH93,0))</f>
        <v>0</v>
      </c>
      <c r="AI57" s="72">
        <f>IF(AND(AD54&lt;=30,AH54&lt;=30,AD54&gt;=20,AH54&gt;=20),AH77,IF(AND(AD54&lt;20,AH54&lt;20),AH79,IF(AND(AD54&gt;30,AH54&gt;30),AH81,IF(AND(AD54&lt;20,AH54&gt;30),AH83,IF(AND(AH54&lt;20,AD54&gt;30),AH85,IF(AND(AD54&lt;20,AH54&gt;=20,AH54&lt;=30),AH87,IF(AND(AH54&lt;20,AD54&gt;=20,AD54&lt;=30),AH89,0)))))))</f>
        <v>0</v>
      </c>
      <c r="AJ57" s="72">
        <f>IF(AND(AL54&gt;30,AH54&gt;=20,AH54&lt;=30),AK91,IF(AND(AH54&gt;30,AL54&gt;=20,AL54&lt;=30),AK93,0))</f>
        <v>0</v>
      </c>
      <c r="AK57" s="72">
        <f>IF(AND(AH54&lt;=30,AL54&lt;=30,AH54&gt;=20,AL54&gt;=20),AK77,IF(AND(AH54&lt;20,AL54&lt;20),AK79,IF(AND(AH54&gt;30,AL54&gt;30),AK81,IF(AND(AH54&lt;20,AL54&gt;30),AK83,IF(AND(AL54&lt;20,AH54&gt;30),AK85,IF(AND(AH54&lt;20,AL54&gt;=20,AL54&lt;=30),AK87,IF(AND(AL54&lt;20,AH54&gt;=20,AH54&lt;=30),AK89,0)))))))</f>
        <v>0</v>
      </c>
      <c r="AL57" s="72">
        <f>IF(AND(AL54&gt;30,AH54&gt;=20,AH54&lt;=30),AL91,IF(AND(AH54&gt;30,AL54&gt;=20,AL54&lt;=30),AL93,0))</f>
        <v>0</v>
      </c>
      <c r="AM57" s="72">
        <f>IF(AND(AH54&lt;=30,AL54&lt;=30,AH54&gt;=20,AL54&gt;=20),AL77,IF(AND(AH54&lt;20,AL54&lt;20),AL79,IF(AND(AH54&gt;30,AL54&gt;30),AL81,IF(AND(AH54&lt;20,AL54&gt;30),AL83,IF(AND(AL54&lt;20,AH54&gt;30),AL85,IF(AND(AH54&lt;20,AL54&gt;=20,AL54&lt;=30),AL87,IF(AND(AL54&lt;20,AH54&gt;=20,AH54&lt;=30),AL89,0)))))))</f>
        <v>0</v>
      </c>
      <c r="AN57" s="72">
        <f>IF(AND(AP54&gt;30,AL54&gt;=20,AL54&lt;=30),AO91,IF(AND(AL54&gt;30,AP54&gt;=20,AP54&lt;=30),AO93,0))</f>
        <v>0</v>
      </c>
      <c r="AO57" s="72">
        <f>IF(AND(AL54&lt;=30,AP54&lt;=30,AL54&gt;=20,AP54&gt;=20),AO77,IF(AND(AL54&lt;20,AP54&lt;20),AO79,IF(AND(AL54&gt;30,AP54&gt;30),AO81,IF(AND(AL54&lt;20,AP54&gt;30),AO83,IF(AND(AP54&lt;20,AL54&gt;30),AO85,IF(AND(AL54&lt;20,AP54&gt;=20,AP54&lt;=30),AO87,IF(AND(AP54&lt;20,AL54&gt;=20,AL54&lt;=30),AO89,0)))))))</f>
        <v>0</v>
      </c>
      <c r="AP57" s="72">
        <f>IF(AND(AP54&gt;30,AL54&gt;=20,AL54&lt;=30),AP91,IF(AND(AL54&gt;30,AP54&gt;=20,AP54&lt;=30),AP93,0))</f>
        <v>0</v>
      </c>
      <c r="AQ57" s="72">
        <f>IF(AND(AL54&lt;=30,AP54&lt;=30,AL54&gt;=20,AP54&gt;=20),AP77,IF(AND(AL54&lt;20,AP54&lt;20),AP79,IF(AND(AL54&gt;30,AP54&gt;30),AP81,IF(AND(AL54&lt;20,AP54&gt;30),AP83,IF(AND(AP54&lt;20,AL54&gt;30),AP85,IF(AND(AL54&lt;20,AP54&gt;=20,AP54&lt;=30),AP87,IF(AND(AP54&lt;20,AL54&gt;=20,AL54&lt;=30),AP89,0)))))))</f>
        <v>0</v>
      </c>
      <c r="AR57" s="72">
        <f>IF(AND(AT54&gt;30,AP54&gt;=20,AP54&lt;=30),AS91,IF(AND(AP54&gt;30,AT54&gt;=20,AT54&lt;=30),AS93,0))</f>
        <v>0</v>
      </c>
      <c r="AS57" s="72">
        <f>IF(AND(AP54&lt;=30,AT54&lt;=30,AP54&gt;=20,AT54&gt;=20),AS77,IF(AND(AP54&lt;20,AT54&lt;20),AS79,IF(AND(AP54&gt;30,AT54&gt;30),AS81,IF(AND(AP54&lt;20,AT54&gt;30),AS83,IF(AND(AT54&lt;20,AP54&gt;30),AS85,IF(AND(AP54&lt;20,AT54&gt;=20,AT54&lt;=30),AS87,IF(AND(AT54&lt;20,AP54&gt;=20,AP54&lt;=30),AS89,0)))))))</f>
        <v>0</v>
      </c>
      <c r="AT57" s="72">
        <f>IF(AND(AT54&gt;30,AP54&gt;=20,AP54&lt;=30),AT91,IF(AND(AP54&gt;30,AT54&gt;=20,AT54&lt;=30),AT93,0))</f>
        <v>0</v>
      </c>
      <c r="AU57" s="72">
        <f>IF(AND(AP54&lt;=30,AT54&lt;=30,AP54&gt;=20,AT54&gt;=20),AT77,IF(AND(AP54&lt;20,AT54&lt;20),AT79,IF(AND(AP54&gt;30,AT54&gt;30),AT81,IF(AND(AP54&lt;20,AT54&gt;30),AT83,IF(AND(AT54&lt;20,AP54&gt;30),AT85,IF(AND(AP54&lt;20,AT54&gt;=20,AT54&lt;=30),AT87,IF(AND(AT54&lt;20,AP54&gt;=20,AP54&lt;=30),AT89,0)))))))</f>
        <v>0</v>
      </c>
      <c r="AV57" s="72">
        <f>IF(AND(AX54&gt;30,AT54&gt;=20,AT54&lt;=30),AW91,IF(AND(AT54&gt;30,AX54&gt;=20,AX54&lt;=30),AW93,0))</f>
        <v>0</v>
      </c>
      <c r="AW57" s="72">
        <f>IF(AND(AT54&lt;=30,AX54&lt;=30,AT54&gt;=20,AX54&gt;=20),AW77,IF(AND(AT54&lt;20,AX54&lt;20),AW79,IF(AND(AT54&gt;30,AX54&gt;30),AW81,IF(AND(AT54&lt;20,AX54&gt;30),AW83,IF(AND(AX54&lt;20,AT54&gt;30),AW85,IF(AND(AT54&lt;20,AX54&gt;=20,AX54&lt;=30),AW87,IF(AND(AX54&lt;20,AT54&gt;=20,AT54&lt;=30),AW89,0)))))))</f>
        <v>0</v>
      </c>
      <c r="AX57" s="72">
        <f>IF(AND(AX54&gt;30,AT54&gt;=20,AT54&lt;=30),AX91,IF(AND(AT54&gt;30,AX54&gt;=20,AX54&lt;=30),AX93,0))</f>
        <v>0</v>
      </c>
      <c r="AY57" s="72">
        <f>IF(AND(AT54&lt;=30,AX54&lt;=30,AT54&gt;=20,AX54&gt;=20),AX77,IF(AND(AT54&lt;20,AX54&lt;20),AX79,IF(AND(AT54&gt;30,AX54&gt;30),AX81,IF(AND(AT54&lt;20,AX54&gt;30),AX83,IF(AND(AX54&lt;20,AT54&gt;30),AX85,IF(AND(AT54&lt;20,AX54&gt;=20,AX54&lt;=30),AX87,IF(AND(AX54&lt;20,AT54&gt;=20,AT54&lt;=30),AX89,0)))))))</f>
        <v>0</v>
      </c>
    </row>
    <row r="58" spans="1:52" hidden="1" x14ac:dyDescent="0.2">
      <c r="A58" s="50" t="s">
        <v>52</v>
      </c>
      <c r="B58" s="34"/>
      <c r="C58" s="34"/>
      <c r="D58" s="73"/>
      <c r="E58" s="74">
        <f>D53</f>
        <v>0</v>
      </c>
      <c r="F58" s="74"/>
      <c r="G58" s="75">
        <f>(B54+F54)/2</f>
        <v>0</v>
      </c>
      <c r="H58" s="73"/>
      <c r="I58" s="74">
        <f>H53</f>
        <v>0</v>
      </c>
      <c r="J58" s="74"/>
      <c r="K58" s="75">
        <f>(F54+J54)/2</f>
        <v>0</v>
      </c>
      <c r="L58" s="73"/>
      <c r="M58" s="74">
        <f>L53</f>
        <v>0</v>
      </c>
      <c r="N58" s="74"/>
      <c r="O58" s="75">
        <f>(J54+N54)/2</f>
        <v>0</v>
      </c>
      <c r="P58" s="73"/>
      <c r="Q58" s="74">
        <f>P53</f>
        <v>0</v>
      </c>
      <c r="R58" s="74"/>
      <c r="S58" s="75">
        <f>(N54+R54)/2</f>
        <v>0</v>
      </c>
      <c r="T58" s="73"/>
      <c r="U58" s="74">
        <f>T53</f>
        <v>0</v>
      </c>
      <c r="V58" s="74"/>
      <c r="W58" s="75">
        <f>(R54+V54)/2</f>
        <v>0</v>
      </c>
      <c r="X58" s="73"/>
      <c r="Y58" s="74">
        <f>X53</f>
        <v>0</v>
      </c>
      <c r="Z58" s="74"/>
      <c r="AA58" s="75">
        <f>(V54+Z54)/2</f>
        <v>0</v>
      </c>
      <c r="AB58" s="73"/>
      <c r="AC58" s="74">
        <f>AB53</f>
        <v>0</v>
      </c>
      <c r="AD58" s="74"/>
      <c r="AE58" s="75">
        <f>(Z54+AD54)/2</f>
        <v>0</v>
      </c>
      <c r="AF58" s="73"/>
      <c r="AG58" s="74">
        <f>AF53</f>
        <v>0</v>
      </c>
      <c r="AH58" s="74"/>
      <c r="AI58" s="75">
        <f>(AD54+AH54)/2</f>
        <v>0</v>
      </c>
      <c r="AJ58" s="73"/>
      <c r="AK58" s="74">
        <f>AJ53</f>
        <v>0</v>
      </c>
      <c r="AL58" s="74"/>
      <c r="AM58" s="75">
        <f>(AH54+AL54)/2</f>
        <v>0</v>
      </c>
      <c r="AN58" s="73"/>
      <c r="AO58" s="74">
        <f>AN53</f>
        <v>0</v>
      </c>
      <c r="AP58" s="74"/>
      <c r="AQ58" s="75">
        <f>(AL54+AP54)/2</f>
        <v>0</v>
      </c>
      <c r="AR58" s="73"/>
      <c r="AS58" s="74">
        <f>AR53</f>
        <v>0</v>
      </c>
      <c r="AT58" s="74"/>
      <c r="AU58" s="75">
        <f>(AP54+AT54)/2</f>
        <v>0</v>
      </c>
      <c r="AV58" s="73"/>
      <c r="AW58" s="74">
        <f>AV53</f>
        <v>0</v>
      </c>
      <c r="AX58" s="74"/>
      <c r="AY58" s="75">
        <f>(AT54+AX54)/2</f>
        <v>0</v>
      </c>
    </row>
    <row r="59" spans="1:52" hidden="1" x14ac:dyDescent="0.2">
      <c r="A59" s="50"/>
      <c r="B59" s="34"/>
      <c r="C59" s="34"/>
      <c r="D59" s="73"/>
      <c r="E59" s="76">
        <f>D58+E58</f>
        <v>0</v>
      </c>
      <c r="F59" s="76">
        <f>E58*G58</f>
        <v>0</v>
      </c>
      <c r="G59" s="75"/>
      <c r="H59" s="73"/>
      <c r="I59" s="76">
        <f>H58+I58</f>
        <v>0</v>
      </c>
      <c r="J59" s="76">
        <f>I58*K58</f>
        <v>0</v>
      </c>
      <c r="K59" s="75"/>
      <c r="L59" s="73"/>
      <c r="M59" s="76">
        <f>L58+M58</f>
        <v>0</v>
      </c>
      <c r="N59" s="76">
        <f>M58*O58</f>
        <v>0</v>
      </c>
      <c r="O59" s="75"/>
      <c r="P59" s="73"/>
      <c r="Q59" s="76">
        <f>P58+Q58</f>
        <v>0</v>
      </c>
      <c r="R59" s="76">
        <f>Q58*S58</f>
        <v>0</v>
      </c>
      <c r="S59" s="75"/>
      <c r="T59" s="73"/>
      <c r="U59" s="76">
        <f>T58+U58</f>
        <v>0</v>
      </c>
      <c r="V59" s="76">
        <f>U58*W58</f>
        <v>0</v>
      </c>
      <c r="W59" s="75"/>
      <c r="X59" s="73"/>
      <c r="Y59" s="76">
        <f>X58+Y58</f>
        <v>0</v>
      </c>
      <c r="Z59" s="76">
        <f>Y58*AA58</f>
        <v>0</v>
      </c>
      <c r="AA59" s="75"/>
      <c r="AB59" s="73"/>
      <c r="AC59" s="76">
        <f>AB58+AC58</f>
        <v>0</v>
      </c>
      <c r="AD59" s="76">
        <f>AC58*AE58</f>
        <v>0</v>
      </c>
      <c r="AE59" s="75"/>
      <c r="AF59" s="73"/>
      <c r="AG59" s="76">
        <f>AF58+AG58</f>
        <v>0</v>
      </c>
      <c r="AH59" s="76">
        <f>AG58*AI58</f>
        <v>0</v>
      </c>
      <c r="AI59" s="75"/>
      <c r="AJ59" s="73"/>
      <c r="AK59" s="76">
        <f>AJ58+AK58</f>
        <v>0</v>
      </c>
      <c r="AL59" s="76">
        <f>AK58*AM58</f>
        <v>0</v>
      </c>
      <c r="AM59" s="75"/>
      <c r="AN59" s="73"/>
      <c r="AO59" s="76">
        <f>AN58+AO58</f>
        <v>0</v>
      </c>
      <c r="AP59" s="76">
        <f>AO58*AQ58</f>
        <v>0</v>
      </c>
      <c r="AQ59" s="75"/>
      <c r="AR59" s="73"/>
      <c r="AS59" s="76">
        <f>AR58+AS58</f>
        <v>0</v>
      </c>
      <c r="AT59" s="76">
        <f>AS58*AU58</f>
        <v>0</v>
      </c>
      <c r="AU59" s="75"/>
      <c r="AV59" s="73"/>
      <c r="AW59" s="76">
        <f>AV58+AW58</f>
        <v>0</v>
      </c>
      <c r="AX59" s="76">
        <f>AW58*AY58</f>
        <v>0</v>
      </c>
      <c r="AY59" s="75"/>
    </row>
    <row r="60" spans="1:52" hidden="1" x14ac:dyDescent="0.2">
      <c r="A60" s="50" t="s">
        <v>53</v>
      </c>
      <c r="B60" s="34"/>
      <c r="C60" s="34"/>
      <c r="D60" s="73"/>
      <c r="E60" s="74">
        <v>0</v>
      </c>
      <c r="F60" s="74"/>
      <c r="G60" s="75">
        <v>0</v>
      </c>
      <c r="H60" s="73"/>
      <c r="I60" s="74">
        <v>0</v>
      </c>
      <c r="J60" s="74"/>
      <c r="K60" s="75">
        <v>0</v>
      </c>
      <c r="L60" s="73"/>
      <c r="M60" s="74">
        <v>0</v>
      </c>
      <c r="N60" s="74"/>
      <c r="O60" s="75">
        <v>0</v>
      </c>
      <c r="P60" s="73"/>
      <c r="Q60" s="74">
        <v>0</v>
      </c>
      <c r="R60" s="74"/>
      <c r="S60" s="75">
        <v>0</v>
      </c>
      <c r="T60" s="73"/>
      <c r="U60" s="74">
        <v>0</v>
      </c>
      <c r="V60" s="74"/>
      <c r="W60" s="75">
        <v>0</v>
      </c>
      <c r="X60" s="73"/>
      <c r="Y60" s="74">
        <v>0</v>
      </c>
      <c r="Z60" s="74"/>
      <c r="AA60" s="75">
        <v>0</v>
      </c>
      <c r="AB60" s="73"/>
      <c r="AC60" s="74">
        <v>0</v>
      </c>
      <c r="AD60" s="74"/>
      <c r="AE60" s="75">
        <v>0</v>
      </c>
      <c r="AF60" s="73"/>
      <c r="AG60" s="74">
        <v>0</v>
      </c>
      <c r="AH60" s="74"/>
      <c r="AI60" s="75">
        <v>0</v>
      </c>
      <c r="AJ60" s="73"/>
      <c r="AK60" s="74">
        <v>0</v>
      </c>
      <c r="AL60" s="74"/>
      <c r="AM60" s="75">
        <v>0</v>
      </c>
      <c r="AN60" s="73"/>
      <c r="AO60" s="74">
        <v>0</v>
      </c>
      <c r="AP60" s="74"/>
      <c r="AQ60" s="75">
        <v>0</v>
      </c>
      <c r="AR60" s="73"/>
      <c r="AS60" s="74">
        <v>0</v>
      </c>
      <c r="AT60" s="74"/>
      <c r="AU60" s="75">
        <v>0</v>
      </c>
      <c r="AV60" s="73"/>
      <c r="AW60" s="74">
        <v>0</v>
      </c>
      <c r="AX60" s="74"/>
      <c r="AY60" s="75">
        <v>0</v>
      </c>
    </row>
    <row r="61" spans="1:52" hidden="1" x14ac:dyDescent="0.2">
      <c r="A61" s="50"/>
      <c r="B61" s="34"/>
      <c r="C61" s="34"/>
      <c r="D61" s="73"/>
      <c r="E61" s="76">
        <f>D60+E60</f>
        <v>0</v>
      </c>
      <c r="F61" s="76">
        <f>E60*G60</f>
        <v>0</v>
      </c>
      <c r="G61" s="75"/>
      <c r="H61" s="73"/>
      <c r="I61" s="76">
        <f>H60+I60</f>
        <v>0</v>
      </c>
      <c r="J61" s="76">
        <f>I60*K60</f>
        <v>0</v>
      </c>
      <c r="K61" s="75"/>
      <c r="L61" s="73"/>
      <c r="M61" s="76">
        <f>L60+M60</f>
        <v>0</v>
      </c>
      <c r="N61" s="76">
        <f>M60*O60</f>
        <v>0</v>
      </c>
      <c r="O61" s="75"/>
      <c r="P61" s="73"/>
      <c r="Q61" s="76">
        <f>P60+Q60</f>
        <v>0</v>
      </c>
      <c r="R61" s="76">
        <f>Q60*S60</f>
        <v>0</v>
      </c>
      <c r="S61" s="75"/>
      <c r="T61" s="73"/>
      <c r="U61" s="76">
        <f>T60+U60</f>
        <v>0</v>
      </c>
      <c r="V61" s="76">
        <f>U60*W60</f>
        <v>0</v>
      </c>
      <c r="W61" s="75"/>
      <c r="X61" s="73"/>
      <c r="Y61" s="76">
        <f>X60+Y60</f>
        <v>0</v>
      </c>
      <c r="Z61" s="76">
        <f>Y60*AA60</f>
        <v>0</v>
      </c>
      <c r="AA61" s="75"/>
      <c r="AB61" s="73"/>
      <c r="AC61" s="76">
        <f>AB60+AC60</f>
        <v>0</v>
      </c>
      <c r="AD61" s="76">
        <f>AC60*AE60</f>
        <v>0</v>
      </c>
      <c r="AE61" s="75"/>
      <c r="AF61" s="73"/>
      <c r="AG61" s="76">
        <f>AF60+AG60</f>
        <v>0</v>
      </c>
      <c r="AH61" s="76">
        <f>AG60*AI60</f>
        <v>0</v>
      </c>
      <c r="AI61" s="75"/>
      <c r="AJ61" s="73"/>
      <c r="AK61" s="76">
        <f>AJ60+AK60</f>
        <v>0</v>
      </c>
      <c r="AL61" s="76">
        <f>AK60*AM60</f>
        <v>0</v>
      </c>
      <c r="AM61" s="75"/>
      <c r="AN61" s="73"/>
      <c r="AO61" s="76">
        <f>AN60+AO60</f>
        <v>0</v>
      </c>
      <c r="AP61" s="76">
        <f>AO60*AQ60</f>
        <v>0</v>
      </c>
      <c r="AQ61" s="75"/>
      <c r="AR61" s="73"/>
      <c r="AS61" s="76">
        <f>AR60+AS60</f>
        <v>0</v>
      </c>
      <c r="AT61" s="76">
        <f>AS60*AU60</f>
        <v>0</v>
      </c>
      <c r="AU61" s="75"/>
      <c r="AV61" s="73"/>
      <c r="AW61" s="76">
        <f>AV60+AW60</f>
        <v>0</v>
      </c>
      <c r="AX61" s="76">
        <f>AW60*AY60</f>
        <v>0</v>
      </c>
      <c r="AY61" s="75"/>
    </row>
    <row r="62" spans="1:52" hidden="1" x14ac:dyDescent="0.2">
      <c r="A62" s="50" t="s">
        <v>54</v>
      </c>
      <c r="B62" s="34"/>
      <c r="C62" s="34"/>
      <c r="D62" s="73"/>
      <c r="E62" s="74">
        <f>D53</f>
        <v>0</v>
      </c>
      <c r="F62" s="74"/>
      <c r="G62" s="75">
        <v>60</v>
      </c>
      <c r="H62" s="73"/>
      <c r="I62" s="74">
        <f>H53</f>
        <v>0</v>
      </c>
      <c r="J62" s="74"/>
      <c r="K62" s="75">
        <v>60</v>
      </c>
      <c r="L62" s="73"/>
      <c r="M62" s="74">
        <f>L53</f>
        <v>0</v>
      </c>
      <c r="N62" s="74"/>
      <c r="O62" s="75">
        <v>60</v>
      </c>
      <c r="P62" s="73"/>
      <c r="Q62" s="74">
        <f>P53</f>
        <v>0</v>
      </c>
      <c r="R62" s="74"/>
      <c r="S62" s="75">
        <v>60</v>
      </c>
      <c r="T62" s="73"/>
      <c r="U62" s="74">
        <f>T53</f>
        <v>0</v>
      </c>
      <c r="V62" s="74"/>
      <c r="W62" s="75">
        <v>60</v>
      </c>
      <c r="X62" s="73"/>
      <c r="Y62" s="74">
        <f>X53</f>
        <v>0</v>
      </c>
      <c r="Z62" s="74"/>
      <c r="AA62" s="75">
        <v>60</v>
      </c>
      <c r="AB62" s="73"/>
      <c r="AC62" s="74">
        <f>AB53</f>
        <v>0</v>
      </c>
      <c r="AD62" s="74"/>
      <c r="AE62" s="75">
        <v>60</v>
      </c>
      <c r="AF62" s="73"/>
      <c r="AG62" s="74">
        <f>AF53</f>
        <v>0</v>
      </c>
      <c r="AH62" s="74"/>
      <c r="AI62" s="75">
        <v>60</v>
      </c>
      <c r="AJ62" s="73"/>
      <c r="AK62" s="74">
        <f>AJ53</f>
        <v>0</v>
      </c>
      <c r="AL62" s="74"/>
      <c r="AM62" s="75">
        <v>60</v>
      </c>
      <c r="AN62" s="73"/>
      <c r="AO62" s="74">
        <f>AN53</f>
        <v>0</v>
      </c>
      <c r="AP62" s="74"/>
      <c r="AQ62" s="75">
        <v>60</v>
      </c>
      <c r="AR62" s="73"/>
      <c r="AS62" s="74">
        <f>AR53</f>
        <v>0</v>
      </c>
      <c r="AT62" s="74"/>
      <c r="AU62" s="75">
        <v>60</v>
      </c>
      <c r="AV62" s="73"/>
      <c r="AW62" s="74">
        <f>AV53</f>
        <v>0</v>
      </c>
      <c r="AX62" s="74"/>
      <c r="AY62" s="75">
        <v>60</v>
      </c>
    </row>
    <row r="63" spans="1:52" hidden="1" x14ac:dyDescent="0.2">
      <c r="A63" s="50"/>
      <c r="B63" s="34"/>
      <c r="C63" s="34"/>
      <c r="D63" s="73"/>
      <c r="E63" s="76">
        <f>D62+E62</f>
        <v>0</v>
      </c>
      <c r="F63" s="76">
        <f>E62*G62</f>
        <v>0</v>
      </c>
      <c r="G63" s="75"/>
      <c r="H63" s="73"/>
      <c r="I63" s="76">
        <f>H62+I62</f>
        <v>0</v>
      </c>
      <c r="J63" s="76">
        <f>I62*K62</f>
        <v>0</v>
      </c>
      <c r="K63" s="75"/>
      <c r="L63" s="73"/>
      <c r="M63" s="76">
        <f>L62+M62</f>
        <v>0</v>
      </c>
      <c r="N63" s="76">
        <f>M62*O62</f>
        <v>0</v>
      </c>
      <c r="O63" s="75"/>
      <c r="P63" s="73"/>
      <c r="Q63" s="76">
        <f>P62+Q62</f>
        <v>0</v>
      </c>
      <c r="R63" s="76">
        <f>Q62*S62</f>
        <v>0</v>
      </c>
      <c r="S63" s="75"/>
      <c r="T63" s="73"/>
      <c r="U63" s="76">
        <f>T62+U62</f>
        <v>0</v>
      </c>
      <c r="V63" s="76">
        <f>U62*W62</f>
        <v>0</v>
      </c>
      <c r="W63" s="75"/>
      <c r="X63" s="73"/>
      <c r="Y63" s="76">
        <f>X62+Y62</f>
        <v>0</v>
      </c>
      <c r="Z63" s="76">
        <f>Y62*AA62</f>
        <v>0</v>
      </c>
      <c r="AA63" s="75"/>
      <c r="AB63" s="73"/>
      <c r="AC63" s="76">
        <f>AB62+AC62</f>
        <v>0</v>
      </c>
      <c r="AD63" s="76">
        <f>AC62*AE62</f>
        <v>0</v>
      </c>
      <c r="AE63" s="75"/>
      <c r="AF63" s="73"/>
      <c r="AG63" s="76">
        <f>AF62+AG62</f>
        <v>0</v>
      </c>
      <c r="AH63" s="76">
        <f>AG62*AI62</f>
        <v>0</v>
      </c>
      <c r="AI63" s="75"/>
      <c r="AJ63" s="73"/>
      <c r="AK63" s="76">
        <f>AJ62+AK62</f>
        <v>0</v>
      </c>
      <c r="AL63" s="76">
        <f>AK62*AM62</f>
        <v>0</v>
      </c>
      <c r="AM63" s="75"/>
      <c r="AN63" s="73"/>
      <c r="AO63" s="76">
        <f>AN62+AO62</f>
        <v>0</v>
      </c>
      <c r="AP63" s="76">
        <f>AO62*AQ62</f>
        <v>0</v>
      </c>
      <c r="AQ63" s="75"/>
      <c r="AR63" s="73"/>
      <c r="AS63" s="76">
        <f>AR62+AS62</f>
        <v>0</v>
      </c>
      <c r="AT63" s="76">
        <f>AS62*AU62</f>
        <v>0</v>
      </c>
      <c r="AU63" s="75"/>
      <c r="AV63" s="73"/>
      <c r="AW63" s="76">
        <f>AV62+AW62</f>
        <v>0</v>
      </c>
      <c r="AX63" s="76">
        <f>AW62*AY62</f>
        <v>0</v>
      </c>
      <c r="AY63" s="75"/>
    </row>
    <row r="64" spans="1:52" hidden="1" x14ac:dyDescent="0.2">
      <c r="A64" s="50" t="s">
        <v>55</v>
      </c>
      <c r="B64" s="51"/>
      <c r="C64" s="51"/>
      <c r="D64" s="73" t="e">
        <f>(F54-60)*(D53+(B54*D53)/(F54-B54))/F54</f>
        <v>#DIV/0!</v>
      </c>
      <c r="E64" s="74" t="e">
        <f>(D53-(D53*(20-B54)/(F54-B54))-((F54-60)*(D53+(B54*D53)/(F54-B54))/F54))</f>
        <v>#DIV/0!</v>
      </c>
      <c r="F64" s="74">
        <v>60</v>
      </c>
      <c r="G64" s="75">
        <v>40</v>
      </c>
      <c r="H64" s="73" t="e">
        <f>(J54-60)*(H53+(F54*H53)/(J54-F54))/J54</f>
        <v>#DIV/0!</v>
      </c>
      <c r="I64" s="74" t="e">
        <f>(H53-(H53*(20-F54)/(J54-F54))-((J54-60)*(H53+(F54*H53)/(J54-F54))/J54))</f>
        <v>#DIV/0!</v>
      </c>
      <c r="J64" s="74">
        <v>60</v>
      </c>
      <c r="K64" s="75">
        <v>40</v>
      </c>
      <c r="L64" s="73" t="e">
        <f>(N54-60)*(L53+(J54*L53)/(N54-J54))/N54</f>
        <v>#DIV/0!</v>
      </c>
      <c r="M64" s="74" t="e">
        <f>(L53-(L53*(20-J54)/(N54-J54))-((N54-60)*(L53+(J54*L53)/(N54-J54))/N54))</f>
        <v>#DIV/0!</v>
      </c>
      <c r="N64" s="74">
        <v>60</v>
      </c>
      <c r="O64" s="75">
        <v>40</v>
      </c>
      <c r="P64" s="73" t="e">
        <f>(R54-60)*(P53+(N54*P53)/(R54-N54))/R54</f>
        <v>#DIV/0!</v>
      </c>
      <c r="Q64" s="74" t="e">
        <f>(P53-(P53*(20-N54)/(R54-N54))-((R54-60)*(P53+(N54*P53)/(R54-N54))/R54))</f>
        <v>#DIV/0!</v>
      </c>
      <c r="R64" s="74">
        <v>60</v>
      </c>
      <c r="S64" s="75">
        <v>40</v>
      </c>
      <c r="T64" s="73" t="e">
        <f>(V54-60)*(T53+(R54*T53)/(V54-R54))/V54</f>
        <v>#DIV/0!</v>
      </c>
      <c r="U64" s="74" t="e">
        <f>(T53-(T53*(20-R54)/(V54-R54))-((V54-60)*(T53+(R54*T53)/(V54-R54))/V54))</f>
        <v>#DIV/0!</v>
      </c>
      <c r="V64" s="74">
        <v>60</v>
      </c>
      <c r="W64" s="75">
        <v>40</v>
      </c>
      <c r="X64" s="73" t="e">
        <f>(Z54-60)*(X53+(V54*X53)/(Z54-V54))/Z54</f>
        <v>#DIV/0!</v>
      </c>
      <c r="Y64" s="74" t="e">
        <f>(X53-(X53*(20-V54)/(Z54-V54))-((Z54-60)*(X53+(V54*X53)/(Z54-V54))/Z54))</f>
        <v>#DIV/0!</v>
      </c>
      <c r="Z64" s="74">
        <v>60</v>
      </c>
      <c r="AA64" s="75">
        <v>40</v>
      </c>
      <c r="AB64" s="73" t="e">
        <f>(AD54-60)*(AB53+(Z54*AB53)/(AD54-Z54))/AD54</f>
        <v>#DIV/0!</v>
      </c>
      <c r="AC64" s="74" t="e">
        <f>(AB53-(AB53*(20-Z54)/(AD54-Z54))-((AD54-60)*(AB53+(Z54*AB53)/(AD54-Z54))/AD54))</f>
        <v>#DIV/0!</v>
      </c>
      <c r="AD64" s="74">
        <v>60</v>
      </c>
      <c r="AE64" s="75">
        <v>40</v>
      </c>
      <c r="AF64" s="73" t="e">
        <f>(AH54-60)*(AF53+(AD54*AF53)/(AH54-AD54))/AH54</f>
        <v>#DIV/0!</v>
      </c>
      <c r="AG64" s="74" t="e">
        <f>(AF53-(AF53*(20-AD54)/(AH54-AD54))-((AH54-60)*(AF53+(AD54*AF53)/(AH54-AD54))/AH54))</f>
        <v>#DIV/0!</v>
      </c>
      <c r="AH64" s="74">
        <v>60</v>
      </c>
      <c r="AI64" s="75">
        <v>40</v>
      </c>
      <c r="AJ64" s="73" t="e">
        <f>(AL54-60)*(AJ53+(AH54*AJ53)/(AL54-AH54))/AL54</f>
        <v>#DIV/0!</v>
      </c>
      <c r="AK64" s="74" t="e">
        <f>(AJ53-(AJ53*(20-AH54)/(AL54-AH54))-((AL54-60)*(AJ53+(AH54*AJ53)/(AL54-AH54))/AL54))</f>
        <v>#DIV/0!</v>
      </c>
      <c r="AL64" s="74">
        <v>60</v>
      </c>
      <c r="AM64" s="75">
        <v>40</v>
      </c>
      <c r="AN64" s="73" t="e">
        <f>(AP54-60)*(AN53+(AL54*AN53)/(AP54-AL54))/AP54</f>
        <v>#DIV/0!</v>
      </c>
      <c r="AO64" s="74" t="e">
        <f>(AN53-(AN53*(20-AL54)/(AP54-AL54))-((AP54-60)*(AN53+(AL54*AN53)/(AP54-AL54))/AP54))</f>
        <v>#DIV/0!</v>
      </c>
      <c r="AP64" s="74">
        <v>60</v>
      </c>
      <c r="AQ64" s="75">
        <v>40</v>
      </c>
      <c r="AR64" s="73" t="e">
        <f>(AT54-60)*(AR53+(AP54*AR53)/(AT54-AP54))/AT54</f>
        <v>#DIV/0!</v>
      </c>
      <c r="AS64" s="74" t="e">
        <f>(AR53-(AR53*(20-AP54)/(AT54-AP54))-((AT54-60)*(AR53+(AP54*AR53)/(AT54-AP54))/AT54))</f>
        <v>#DIV/0!</v>
      </c>
      <c r="AT64" s="74">
        <v>60</v>
      </c>
      <c r="AU64" s="75">
        <v>40</v>
      </c>
      <c r="AV64" s="73" t="e">
        <f>(AX54-60)*(AV53+(AT54*AV53)/(AX54-AT54))/AX54</f>
        <v>#DIV/0!</v>
      </c>
      <c r="AW64" s="74" t="e">
        <f>(AV53-(AV53*(20-AT54)/(AX54-AT54))-((AX54-60)*(AV53+(AT54*AV53)/(AX54-AT54))/AX54))</f>
        <v>#DIV/0!</v>
      </c>
      <c r="AX64" s="74">
        <v>60</v>
      </c>
      <c r="AY64" s="75">
        <v>40</v>
      </c>
    </row>
    <row r="65" spans="1:51" hidden="1" x14ac:dyDescent="0.2">
      <c r="A65" s="50"/>
      <c r="B65" s="51"/>
      <c r="C65" s="51"/>
      <c r="D65" s="73"/>
      <c r="E65" s="76" t="e">
        <f>D64+E64</f>
        <v>#DIV/0!</v>
      </c>
      <c r="F65" s="76" t="e">
        <f>(E64*G64)+(D64*F64)</f>
        <v>#DIV/0!</v>
      </c>
      <c r="G65" s="75"/>
      <c r="H65" s="73"/>
      <c r="I65" s="76" t="e">
        <f>H64+I64</f>
        <v>#DIV/0!</v>
      </c>
      <c r="J65" s="76" t="e">
        <f>(I64*K64)+(H64*J64)</f>
        <v>#DIV/0!</v>
      </c>
      <c r="K65" s="75"/>
      <c r="L65" s="73"/>
      <c r="M65" s="76" t="e">
        <f>L64+M64</f>
        <v>#DIV/0!</v>
      </c>
      <c r="N65" s="76" t="e">
        <f>(M64*O64)+(L64*N64)</f>
        <v>#DIV/0!</v>
      </c>
      <c r="O65" s="75"/>
      <c r="P65" s="73"/>
      <c r="Q65" s="76" t="e">
        <f>P64+Q64</f>
        <v>#DIV/0!</v>
      </c>
      <c r="R65" s="76" t="e">
        <f>(Q64*S64)+(P64*R64)</f>
        <v>#DIV/0!</v>
      </c>
      <c r="S65" s="75"/>
      <c r="T65" s="73"/>
      <c r="U65" s="76" t="e">
        <f>T64+U64</f>
        <v>#DIV/0!</v>
      </c>
      <c r="V65" s="76" t="e">
        <f>(U64*W64)+(T64*V64)</f>
        <v>#DIV/0!</v>
      </c>
      <c r="W65" s="75"/>
      <c r="X65" s="73"/>
      <c r="Y65" s="76" t="e">
        <f>X64+Y64</f>
        <v>#DIV/0!</v>
      </c>
      <c r="Z65" s="76" t="e">
        <f>(Y64*AA64)+(X64*Z64)</f>
        <v>#DIV/0!</v>
      </c>
      <c r="AA65" s="75"/>
      <c r="AB65" s="73"/>
      <c r="AC65" s="76" t="e">
        <f>AB64+AC64</f>
        <v>#DIV/0!</v>
      </c>
      <c r="AD65" s="76" t="e">
        <f>(AC64*AE64)+(AB64*AD64)</f>
        <v>#DIV/0!</v>
      </c>
      <c r="AE65" s="75"/>
      <c r="AF65" s="73"/>
      <c r="AG65" s="76" t="e">
        <f>AF64+AG64</f>
        <v>#DIV/0!</v>
      </c>
      <c r="AH65" s="76" t="e">
        <f>(AG64*AI64)+(AF64*AH64)</f>
        <v>#DIV/0!</v>
      </c>
      <c r="AI65" s="75"/>
      <c r="AJ65" s="73"/>
      <c r="AK65" s="76" t="e">
        <f>AJ64+AK64</f>
        <v>#DIV/0!</v>
      </c>
      <c r="AL65" s="76" t="e">
        <f>(AK64*AM64)+(AJ64*AL64)</f>
        <v>#DIV/0!</v>
      </c>
      <c r="AM65" s="75"/>
      <c r="AN65" s="73"/>
      <c r="AO65" s="76" t="e">
        <f>AN64+AO64</f>
        <v>#DIV/0!</v>
      </c>
      <c r="AP65" s="76" t="e">
        <f>(AO64*AQ64)+(AN64*AP64)</f>
        <v>#DIV/0!</v>
      </c>
      <c r="AQ65" s="75"/>
      <c r="AR65" s="73"/>
      <c r="AS65" s="76" t="e">
        <f>AR64+AS64</f>
        <v>#DIV/0!</v>
      </c>
      <c r="AT65" s="76" t="e">
        <f>(AS64*AU64)+(AR64*AT64)</f>
        <v>#DIV/0!</v>
      </c>
      <c r="AU65" s="75"/>
      <c r="AV65" s="73"/>
      <c r="AW65" s="76" t="e">
        <f>AV64+AW64</f>
        <v>#DIV/0!</v>
      </c>
      <c r="AX65" s="76" t="e">
        <f>(AW64*AY64)+(AV64*AX64)</f>
        <v>#DIV/0!</v>
      </c>
      <c r="AY65" s="75"/>
    </row>
    <row r="66" spans="1:51" hidden="1" x14ac:dyDescent="0.2">
      <c r="A66" s="50" t="s">
        <v>56</v>
      </c>
      <c r="B66" s="51"/>
      <c r="C66" s="51"/>
      <c r="D66" s="73" t="e">
        <f>(B54-60)*(D53+(F54*D53)/(B54-F54))/B54</f>
        <v>#DIV/0!</v>
      </c>
      <c r="E66" s="74" t="e">
        <f>(D53-(D53*(20-F54)/(B54-F54))-((B54-60)*(D53+(F54*D53)/(B54-F54))/B54))</f>
        <v>#DIV/0!</v>
      </c>
      <c r="F66" s="74">
        <v>60</v>
      </c>
      <c r="G66" s="75">
        <v>40</v>
      </c>
      <c r="H66" s="73" t="e">
        <f>(F54-60)*(H53+(J54*H53)/(F54-J54))/F54</f>
        <v>#DIV/0!</v>
      </c>
      <c r="I66" s="74" t="e">
        <f>(H53-(H53*(20-J54)/(F54-J54))-((F54-60)*(H53+(J54*H53)/(F54-J54))/F54))</f>
        <v>#DIV/0!</v>
      </c>
      <c r="J66" s="74">
        <v>60</v>
      </c>
      <c r="K66" s="75">
        <v>40</v>
      </c>
      <c r="L66" s="73" t="e">
        <f>(J54-60)*(L53+(N54*L53)/(J54-N54))/J54</f>
        <v>#DIV/0!</v>
      </c>
      <c r="M66" s="74" t="e">
        <f>(L53-(L53*(20-N54)/(J54-N54))-((J54-60)*(L53+(N54*L53)/(J54-N54))/J54))</f>
        <v>#DIV/0!</v>
      </c>
      <c r="N66" s="74">
        <v>60</v>
      </c>
      <c r="O66" s="75">
        <v>40</v>
      </c>
      <c r="P66" s="73" t="e">
        <f>(N54-60)*(P53+(R54*P53)/(N54-R54))/N54</f>
        <v>#DIV/0!</v>
      </c>
      <c r="Q66" s="74" t="e">
        <f>(P53-(P53*(20-R54)/(N54-R54))-((N54-60)*(P53+(R54*P53)/(N54-R54))/N54))</f>
        <v>#DIV/0!</v>
      </c>
      <c r="R66" s="74">
        <v>60</v>
      </c>
      <c r="S66" s="75">
        <v>40</v>
      </c>
      <c r="T66" s="73" t="e">
        <f>(R54-60)*(T53+(V54*T53)/(R54-V54))/R54</f>
        <v>#DIV/0!</v>
      </c>
      <c r="U66" s="74" t="e">
        <f>(T53-(T53*(20-V54)/(R54-V54))-((R54-60)*(T53+(V54*T53)/(R54-V54))/R54))</f>
        <v>#DIV/0!</v>
      </c>
      <c r="V66" s="74">
        <v>60</v>
      </c>
      <c r="W66" s="75">
        <v>40</v>
      </c>
      <c r="X66" s="73" t="e">
        <f>(V54-60)*(X53+(Z54*X53)/(V54-Z54))/V54</f>
        <v>#DIV/0!</v>
      </c>
      <c r="Y66" s="74" t="e">
        <f>(X53-(X53*(20-Z54)/(V54-Z54))-((V54-60)*(X53+(Z54*X53)/(V54-Z54))/V54))</f>
        <v>#DIV/0!</v>
      </c>
      <c r="Z66" s="74">
        <v>60</v>
      </c>
      <c r="AA66" s="75">
        <v>40</v>
      </c>
      <c r="AB66" s="73" t="e">
        <f>(Z54-60)*(AB53+(AD54*AB53)/(Z54-AD54))/Z54</f>
        <v>#DIV/0!</v>
      </c>
      <c r="AC66" s="74" t="e">
        <f>(AB53-(AB53*(20-AD54)/(Z54-AD54))-((Z54-60)*(AB53+(AD54*AB53)/(Z54-AD54))/Z54))</f>
        <v>#DIV/0!</v>
      </c>
      <c r="AD66" s="74">
        <v>60</v>
      </c>
      <c r="AE66" s="75">
        <v>40</v>
      </c>
      <c r="AF66" s="73" t="e">
        <f>(AD54-60)*(AF53+(AH54*AF53)/(AD54-AH54))/AD54</f>
        <v>#DIV/0!</v>
      </c>
      <c r="AG66" s="74" t="e">
        <f>(AF53-(AF53*(20-AH54)/(AD54-AH54))-((AD54-60)*(AF53+(AH54*AF53)/(AD54-AH54))/AD54))</f>
        <v>#DIV/0!</v>
      </c>
      <c r="AH66" s="74">
        <v>60</v>
      </c>
      <c r="AI66" s="75">
        <v>40</v>
      </c>
      <c r="AJ66" s="73" t="e">
        <f>(AH54-60)*(AJ53+(AL54*AJ53)/(AH54-AL54))/AH54</f>
        <v>#DIV/0!</v>
      </c>
      <c r="AK66" s="74" t="e">
        <f>(AJ53-(AJ53*(20-AL54)/(AH54-AL54))-((AH54-60)*(AJ53+(AL54*AJ53)/(AH54-AL54))/AH54))</f>
        <v>#DIV/0!</v>
      </c>
      <c r="AL66" s="74">
        <v>60</v>
      </c>
      <c r="AM66" s="75">
        <v>40</v>
      </c>
      <c r="AN66" s="73" t="e">
        <f>(AL54-60)*(AN53+(AP54*AN53)/(AL54-AP54))/AL54</f>
        <v>#DIV/0!</v>
      </c>
      <c r="AO66" s="74" t="e">
        <f>(AN53-(AN53*(20-AP54)/(AL54-AP54))-((AL54-60)*(AN53+(AP54*AN53)/(AL54-AP54))/AL54))</f>
        <v>#DIV/0!</v>
      </c>
      <c r="AP66" s="74">
        <v>60</v>
      </c>
      <c r="AQ66" s="75">
        <v>40</v>
      </c>
      <c r="AR66" s="73" t="e">
        <f>(AP54-60)*(AR53+(AT54*AR53)/(AP54-AT54))/AP54</f>
        <v>#DIV/0!</v>
      </c>
      <c r="AS66" s="74" t="e">
        <f>(AR53-(AR53*(20-AT54)/(AP54-AT54))-((AP54-60)*(AR53+(AT54*AR53)/(AP54-AT54))/AP54))</f>
        <v>#DIV/0!</v>
      </c>
      <c r="AT66" s="74">
        <v>60</v>
      </c>
      <c r="AU66" s="75">
        <v>40</v>
      </c>
      <c r="AV66" s="73" t="e">
        <f>(AT54-60)*(AV53+(AX54*AV53)/(AT54-AX54))/AT54</f>
        <v>#DIV/0!</v>
      </c>
      <c r="AW66" s="74" t="e">
        <f>(AV53-(AV53*(20-AX54)/(AT54-AX54))-((AT54-60)*(AV53+(AX54*AV53)/(AT54-AX54))/AT54))</f>
        <v>#DIV/0!</v>
      </c>
      <c r="AX66" s="74">
        <v>60</v>
      </c>
      <c r="AY66" s="75">
        <v>40</v>
      </c>
    </row>
    <row r="67" spans="1:51" hidden="1" x14ac:dyDescent="0.2">
      <c r="A67" s="50"/>
      <c r="B67" s="51"/>
      <c r="C67" s="51"/>
      <c r="D67" s="73"/>
      <c r="E67" s="76" t="e">
        <f>D66+E66</f>
        <v>#DIV/0!</v>
      </c>
      <c r="F67" s="76" t="e">
        <f>(E66*G66)+(D66*F66)</f>
        <v>#DIV/0!</v>
      </c>
      <c r="G67" s="75"/>
      <c r="H67" s="73"/>
      <c r="I67" s="76" t="e">
        <f>H66+I66</f>
        <v>#DIV/0!</v>
      </c>
      <c r="J67" s="76" t="e">
        <f>(I66*K66)+(H66*J66)</f>
        <v>#DIV/0!</v>
      </c>
      <c r="K67" s="75"/>
      <c r="L67" s="73"/>
      <c r="M67" s="76" t="e">
        <f>L66+M66</f>
        <v>#DIV/0!</v>
      </c>
      <c r="N67" s="76" t="e">
        <f>(M66*O66)+(L66*N66)</f>
        <v>#DIV/0!</v>
      </c>
      <c r="O67" s="75"/>
      <c r="P67" s="73"/>
      <c r="Q67" s="76" t="e">
        <f>P66+Q66</f>
        <v>#DIV/0!</v>
      </c>
      <c r="R67" s="76" t="e">
        <f>(Q66*S66)+(P66*R66)</f>
        <v>#DIV/0!</v>
      </c>
      <c r="S67" s="75"/>
      <c r="T67" s="73"/>
      <c r="U67" s="76" t="e">
        <f>T66+U66</f>
        <v>#DIV/0!</v>
      </c>
      <c r="V67" s="76" t="e">
        <f>(U66*W66)+(T66*V66)</f>
        <v>#DIV/0!</v>
      </c>
      <c r="W67" s="75"/>
      <c r="X67" s="73"/>
      <c r="Y67" s="76" t="e">
        <f>X66+Y66</f>
        <v>#DIV/0!</v>
      </c>
      <c r="Z67" s="76" t="e">
        <f>(Y66*AA66)+(X66*Z66)</f>
        <v>#DIV/0!</v>
      </c>
      <c r="AA67" s="75"/>
      <c r="AB67" s="73"/>
      <c r="AC67" s="76" t="e">
        <f>AB66+AC66</f>
        <v>#DIV/0!</v>
      </c>
      <c r="AD67" s="76" t="e">
        <f>(AC66*AE66)+(AB66*AD66)</f>
        <v>#DIV/0!</v>
      </c>
      <c r="AE67" s="75"/>
      <c r="AF67" s="73"/>
      <c r="AG67" s="76" t="e">
        <f>AF66+AG66</f>
        <v>#DIV/0!</v>
      </c>
      <c r="AH67" s="76" t="e">
        <f>(AG66*AI66)+(AF66*AH66)</f>
        <v>#DIV/0!</v>
      </c>
      <c r="AI67" s="75"/>
      <c r="AJ67" s="73"/>
      <c r="AK67" s="76" t="e">
        <f>AJ66+AK66</f>
        <v>#DIV/0!</v>
      </c>
      <c r="AL67" s="76" t="e">
        <f>(AK66*AM66)+(AJ66*AL66)</f>
        <v>#DIV/0!</v>
      </c>
      <c r="AM67" s="75"/>
      <c r="AN67" s="73"/>
      <c r="AO67" s="76" t="e">
        <f>AN66+AO66</f>
        <v>#DIV/0!</v>
      </c>
      <c r="AP67" s="76" t="e">
        <f>(AO66*AQ66)+(AN66*AP66)</f>
        <v>#DIV/0!</v>
      </c>
      <c r="AQ67" s="75"/>
      <c r="AR67" s="73"/>
      <c r="AS67" s="76" t="e">
        <f>AR66+AS66</f>
        <v>#DIV/0!</v>
      </c>
      <c r="AT67" s="76" t="e">
        <f>(AS66*AU66)+(AR66*AT66)</f>
        <v>#DIV/0!</v>
      </c>
      <c r="AU67" s="75"/>
      <c r="AV67" s="73"/>
      <c r="AW67" s="76" t="e">
        <f>AV66+AW66</f>
        <v>#DIV/0!</v>
      </c>
      <c r="AX67" s="76" t="e">
        <f>(AW66*AY66)+(AV66*AX66)</f>
        <v>#DIV/0!</v>
      </c>
      <c r="AY67" s="75"/>
    </row>
    <row r="68" spans="1:51" hidden="1" x14ac:dyDescent="0.2">
      <c r="A68" s="50" t="s">
        <v>57</v>
      </c>
      <c r="B68" s="51"/>
      <c r="C68" s="51"/>
      <c r="D68" s="73"/>
      <c r="E68" s="74" t="e">
        <f>D53*(F54-20)/(F54-B54)</f>
        <v>#DIV/0!</v>
      </c>
      <c r="F68" s="74"/>
      <c r="G68" s="75">
        <f>(20+F54)/2</f>
        <v>10</v>
      </c>
      <c r="H68" s="73"/>
      <c r="I68" s="74" t="e">
        <f>H53*(J54-20)/(J54-F54)</f>
        <v>#DIV/0!</v>
      </c>
      <c r="J68" s="74"/>
      <c r="K68" s="75">
        <f>(20+J54)/2</f>
        <v>10</v>
      </c>
      <c r="L68" s="73"/>
      <c r="M68" s="74" t="e">
        <f>L53*(N54-20)/(N54-J54)</f>
        <v>#DIV/0!</v>
      </c>
      <c r="N68" s="74"/>
      <c r="O68" s="75">
        <f>(20+N54)/2</f>
        <v>10</v>
      </c>
      <c r="P68" s="73"/>
      <c r="Q68" s="74" t="e">
        <f>P53*(R54-20)/(R54-N54)</f>
        <v>#DIV/0!</v>
      </c>
      <c r="R68" s="74"/>
      <c r="S68" s="75">
        <f>(20+R54)/2</f>
        <v>10</v>
      </c>
      <c r="T68" s="73"/>
      <c r="U68" s="74" t="e">
        <f>T53*(V54-20)/(V54-R54)</f>
        <v>#DIV/0!</v>
      </c>
      <c r="V68" s="74"/>
      <c r="W68" s="75">
        <f>(20+V54)/2</f>
        <v>10</v>
      </c>
      <c r="X68" s="73"/>
      <c r="Y68" s="74" t="e">
        <f>X53*(Z54-20)/(Z54-V54)</f>
        <v>#DIV/0!</v>
      </c>
      <c r="Z68" s="74"/>
      <c r="AA68" s="75">
        <f>(20+Z54)/2</f>
        <v>10</v>
      </c>
      <c r="AB68" s="73"/>
      <c r="AC68" s="74" t="e">
        <f>AB53*(AD54-20)/(AD54-Z54)</f>
        <v>#DIV/0!</v>
      </c>
      <c r="AD68" s="74"/>
      <c r="AE68" s="75">
        <f>(20+AD54)/2</f>
        <v>10</v>
      </c>
      <c r="AF68" s="73"/>
      <c r="AG68" s="74" t="e">
        <f>AF53*(AH54-20)/(AH54-AD54)</f>
        <v>#DIV/0!</v>
      </c>
      <c r="AH68" s="74"/>
      <c r="AI68" s="75">
        <f>(20+AH54)/2</f>
        <v>10</v>
      </c>
      <c r="AJ68" s="73"/>
      <c r="AK68" s="74" t="e">
        <f>AJ53*(AL54-20)/(AL54-AH54)</f>
        <v>#DIV/0!</v>
      </c>
      <c r="AL68" s="74"/>
      <c r="AM68" s="75">
        <f>(20+AL54)/2</f>
        <v>10</v>
      </c>
      <c r="AN68" s="73"/>
      <c r="AO68" s="74" t="e">
        <f>AN53*(AP54-20)/(AP54-AL54)</f>
        <v>#DIV/0!</v>
      </c>
      <c r="AP68" s="74"/>
      <c r="AQ68" s="75">
        <f>(20+AP54)/2</f>
        <v>10</v>
      </c>
      <c r="AR68" s="73"/>
      <c r="AS68" s="74" t="e">
        <f>AR53*(AT54-20)/(AT54-AP54)</f>
        <v>#DIV/0!</v>
      </c>
      <c r="AT68" s="74"/>
      <c r="AU68" s="75">
        <f>(20+AT54)/2</f>
        <v>10</v>
      </c>
      <c r="AV68" s="73"/>
      <c r="AW68" s="74" t="e">
        <f>AV53*(AX54-20)/(AX54-AT54)</f>
        <v>#DIV/0!</v>
      </c>
      <c r="AX68" s="74"/>
      <c r="AY68" s="75">
        <f>(20+AX54)/2</f>
        <v>10</v>
      </c>
    </row>
    <row r="69" spans="1:51" hidden="1" x14ac:dyDescent="0.2">
      <c r="A69" s="50"/>
      <c r="B69" s="51"/>
      <c r="C69" s="51"/>
      <c r="D69" s="73"/>
      <c r="E69" s="76" t="e">
        <f>D68+E68</f>
        <v>#DIV/0!</v>
      </c>
      <c r="F69" s="76" t="e">
        <f>E68*G68</f>
        <v>#DIV/0!</v>
      </c>
      <c r="G69" s="75"/>
      <c r="H69" s="73"/>
      <c r="I69" s="76" t="e">
        <f>H68+I68</f>
        <v>#DIV/0!</v>
      </c>
      <c r="J69" s="76" t="e">
        <f>I68*K68</f>
        <v>#DIV/0!</v>
      </c>
      <c r="K69" s="75"/>
      <c r="L69" s="73"/>
      <c r="M69" s="76" t="e">
        <f>L68+M68</f>
        <v>#DIV/0!</v>
      </c>
      <c r="N69" s="76" t="e">
        <f>M68*O68</f>
        <v>#DIV/0!</v>
      </c>
      <c r="O69" s="75"/>
      <c r="P69" s="73"/>
      <c r="Q69" s="76" t="e">
        <f>P68+Q68</f>
        <v>#DIV/0!</v>
      </c>
      <c r="R69" s="76" t="e">
        <f>Q68*S68</f>
        <v>#DIV/0!</v>
      </c>
      <c r="S69" s="75"/>
      <c r="T69" s="73"/>
      <c r="U69" s="76" t="e">
        <f>T68+U68</f>
        <v>#DIV/0!</v>
      </c>
      <c r="V69" s="76" t="e">
        <f>U68*W68</f>
        <v>#DIV/0!</v>
      </c>
      <c r="W69" s="75"/>
      <c r="X69" s="73"/>
      <c r="Y69" s="76" t="e">
        <f>X68+Y68</f>
        <v>#DIV/0!</v>
      </c>
      <c r="Z69" s="76" t="e">
        <f>Y68*AA68</f>
        <v>#DIV/0!</v>
      </c>
      <c r="AA69" s="75"/>
      <c r="AB69" s="73"/>
      <c r="AC69" s="76" t="e">
        <f>AB68+AC68</f>
        <v>#DIV/0!</v>
      </c>
      <c r="AD69" s="76" t="e">
        <f>AC68*AE68</f>
        <v>#DIV/0!</v>
      </c>
      <c r="AE69" s="75"/>
      <c r="AF69" s="73"/>
      <c r="AG69" s="76" t="e">
        <f>AF68+AG68</f>
        <v>#DIV/0!</v>
      </c>
      <c r="AH69" s="76" t="e">
        <f>AG68*AI68</f>
        <v>#DIV/0!</v>
      </c>
      <c r="AI69" s="75"/>
      <c r="AJ69" s="73"/>
      <c r="AK69" s="76" t="e">
        <f>AJ68+AK68</f>
        <v>#DIV/0!</v>
      </c>
      <c r="AL69" s="76" t="e">
        <f>AK68*AM68</f>
        <v>#DIV/0!</v>
      </c>
      <c r="AM69" s="75"/>
      <c r="AN69" s="73"/>
      <c r="AO69" s="76" t="e">
        <f>AN68+AO68</f>
        <v>#DIV/0!</v>
      </c>
      <c r="AP69" s="76" t="e">
        <f>AO68*AQ68</f>
        <v>#DIV/0!</v>
      </c>
      <c r="AQ69" s="75"/>
      <c r="AR69" s="73"/>
      <c r="AS69" s="76" t="e">
        <f>AR68+AS68</f>
        <v>#DIV/0!</v>
      </c>
      <c r="AT69" s="76" t="e">
        <f>AS68*AU68</f>
        <v>#DIV/0!</v>
      </c>
      <c r="AU69" s="75"/>
      <c r="AV69" s="73"/>
      <c r="AW69" s="76" t="e">
        <f>AV68+AW68</f>
        <v>#DIV/0!</v>
      </c>
      <c r="AX69" s="76" t="e">
        <f>AW68*AY68</f>
        <v>#DIV/0!</v>
      </c>
      <c r="AY69" s="75"/>
    </row>
    <row r="70" spans="1:51" hidden="1" x14ac:dyDescent="0.2">
      <c r="A70" s="50" t="s">
        <v>58</v>
      </c>
      <c r="B70" s="51"/>
      <c r="C70" s="51"/>
      <c r="D70" s="73"/>
      <c r="E70" s="74" t="e">
        <f>D53*(B54-20)/(B54-F54)</f>
        <v>#DIV/0!</v>
      </c>
      <c r="F70" s="74"/>
      <c r="G70" s="75">
        <f>(20+B54)/2</f>
        <v>10</v>
      </c>
      <c r="H70" s="73"/>
      <c r="I70" s="74" t="e">
        <f>H53*(F54-20)/(F54-J54)</f>
        <v>#DIV/0!</v>
      </c>
      <c r="J70" s="74"/>
      <c r="K70" s="75">
        <f>(20+F54)/2</f>
        <v>10</v>
      </c>
      <c r="L70" s="73"/>
      <c r="M70" s="74" t="e">
        <f>L53*(J54-20)/(J54-N54)</f>
        <v>#DIV/0!</v>
      </c>
      <c r="N70" s="74"/>
      <c r="O70" s="75">
        <f>(20+J54)/2</f>
        <v>10</v>
      </c>
      <c r="P70" s="73"/>
      <c r="Q70" s="74" t="e">
        <f>P53*(N54-20)/(N54-R54)</f>
        <v>#DIV/0!</v>
      </c>
      <c r="R70" s="74"/>
      <c r="S70" s="75">
        <f>(20+N54)/2</f>
        <v>10</v>
      </c>
      <c r="T70" s="73"/>
      <c r="U70" s="74" t="e">
        <f>T53*(R54-20)/(R54-V54)</f>
        <v>#DIV/0!</v>
      </c>
      <c r="V70" s="74"/>
      <c r="W70" s="75">
        <f>(20+R54)/2</f>
        <v>10</v>
      </c>
      <c r="X70" s="73"/>
      <c r="Y70" s="74" t="e">
        <f>X53*(V54-20)/(V54-Z54)</f>
        <v>#DIV/0!</v>
      </c>
      <c r="Z70" s="74"/>
      <c r="AA70" s="75">
        <f>(20+V54)/2</f>
        <v>10</v>
      </c>
      <c r="AB70" s="73"/>
      <c r="AC70" s="74" t="e">
        <f>AB53*(Z54-20)/(Z54-AD54)</f>
        <v>#DIV/0!</v>
      </c>
      <c r="AD70" s="74"/>
      <c r="AE70" s="75">
        <f>(20+Z54)/2</f>
        <v>10</v>
      </c>
      <c r="AF70" s="73"/>
      <c r="AG70" s="74" t="e">
        <f>AF53*(AD54-20)/(AD54-AH54)</f>
        <v>#DIV/0!</v>
      </c>
      <c r="AH70" s="74"/>
      <c r="AI70" s="75">
        <f>(20+AD54)/2</f>
        <v>10</v>
      </c>
      <c r="AJ70" s="73"/>
      <c r="AK70" s="74" t="e">
        <f>AJ53*(AH54-20)/(AH54-AL54)</f>
        <v>#DIV/0!</v>
      </c>
      <c r="AL70" s="74"/>
      <c r="AM70" s="75">
        <f>(20+AH54)/2</f>
        <v>10</v>
      </c>
      <c r="AN70" s="73"/>
      <c r="AO70" s="74" t="e">
        <f>AN53*(AL54-20)/(AL54-AP54)</f>
        <v>#DIV/0!</v>
      </c>
      <c r="AP70" s="74"/>
      <c r="AQ70" s="75">
        <f>(20+AL54)/2</f>
        <v>10</v>
      </c>
      <c r="AR70" s="73"/>
      <c r="AS70" s="74" t="e">
        <f>AR53*(AP54-20)/(AP54-AT54)</f>
        <v>#DIV/0!</v>
      </c>
      <c r="AT70" s="74"/>
      <c r="AU70" s="75">
        <f>(20+AP54)/2</f>
        <v>10</v>
      </c>
      <c r="AV70" s="73"/>
      <c r="AW70" s="74" t="e">
        <f>AV53*(AT54-20)/(AT54-AX54)</f>
        <v>#DIV/0!</v>
      </c>
      <c r="AX70" s="74"/>
      <c r="AY70" s="75">
        <f>(20+AT54)/2</f>
        <v>10</v>
      </c>
    </row>
    <row r="71" spans="1:51" hidden="1" x14ac:dyDescent="0.2">
      <c r="A71" s="50"/>
      <c r="B71" s="51"/>
      <c r="C71" s="51"/>
      <c r="D71" s="73"/>
      <c r="E71" s="76" t="e">
        <f>D70+E70</f>
        <v>#DIV/0!</v>
      </c>
      <c r="F71" s="76" t="e">
        <f>E70*G70</f>
        <v>#DIV/0!</v>
      </c>
      <c r="G71" s="75"/>
      <c r="H71" s="73"/>
      <c r="I71" s="76" t="e">
        <f>H70+I70</f>
        <v>#DIV/0!</v>
      </c>
      <c r="J71" s="76" t="e">
        <f>I70*K70</f>
        <v>#DIV/0!</v>
      </c>
      <c r="K71" s="75"/>
      <c r="L71" s="73"/>
      <c r="M71" s="76" t="e">
        <f>L70+M70</f>
        <v>#DIV/0!</v>
      </c>
      <c r="N71" s="76" t="e">
        <f>M70*O70</f>
        <v>#DIV/0!</v>
      </c>
      <c r="O71" s="75"/>
      <c r="P71" s="73"/>
      <c r="Q71" s="76" t="e">
        <f>P70+Q70</f>
        <v>#DIV/0!</v>
      </c>
      <c r="R71" s="76" t="e">
        <f>Q70*S70</f>
        <v>#DIV/0!</v>
      </c>
      <c r="S71" s="75"/>
      <c r="T71" s="73"/>
      <c r="U71" s="76" t="e">
        <f>T70+U70</f>
        <v>#DIV/0!</v>
      </c>
      <c r="V71" s="76" t="e">
        <f>U70*W70</f>
        <v>#DIV/0!</v>
      </c>
      <c r="W71" s="75"/>
      <c r="X71" s="73"/>
      <c r="Y71" s="76" t="e">
        <f>X70+Y70</f>
        <v>#DIV/0!</v>
      </c>
      <c r="Z71" s="76" t="e">
        <f>Y70*AA70</f>
        <v>#DIV/0!</v>
      </c>
      <c r="AA71" s="75"/>
      <c r="AB71" s="73"/>
      <c r="AC71" s="76" t="e">
        <f>AB70+AC70</f>
        <v>#DIV/0!</v>
      </c>
      <c r="AD71" s="76" t="e">
        <f>AC70*AE70</f>
        <v>#DIV/0!</v>
      </c>
      <c r="AE71" s="75"/>
      <c r="AF71" s="73"/>
      <c r="AG71" s="76" t="e">
        <f>AF70+AG70</f>
        <v>#DIV/0!</v>
      </c>
      <c r="AH71" s="76" t="e">
        <f>AG70*AI70</f>
        <v>#DIV/0!</v>
      </c>
      <c r="AI71" s="75"/>
      <c r="AJ71" s="73"/>
      <c r="AK71" s="76" t="e">
        <f>AJ70+AK70</f>
        <v>#DIV/0!</v>
      </c>
      <c r="AL71" s="76" t="e">
        <f>AK70*AM70</f>
        <v>#DIV/0!</v>
      </c>
      <c r="AM71" s="75"/>
      <c r="AN71" s="73"/>
      <c r="AO71" s="76" t="e">
        <f>AN70+AO70</f>
        <v>#DIV/0!</v>
      </c>
      <c r="AP71" s="76" t="e">
        <f>AO70*AQ70</f>
        <v>#DIV/0!</v>
      </c>
      <c r="AQ71" s="75"/>
      <c r="AR71" s="73"/>
      <c r="AS71" s="76" t="e">
        <f>AR70+AS70</f>
        <v>#DIV/0!</v>
      </c>
      <c r="AT71" s="76" t="e">
        <f>AS70*AU70</f>
        <v>#DIV/0!</v>
      </c>
      <c r="AU71" s="75"/>
      <c r="AV71" s="73"/>
      <c r="AW71" s="76" t="e">
        <f>AV70+AW70</f>
        <v>#DIV/0!</v>
      </c>
      <c r="AX71" s="76" t="e">
        <f>AW70*AY70</f>
        <v>#DIV/0!</v>
      </c>
      <c r="AY71" s="75"/>
    </row>
    <row r="72" spans="1:51" hidden="1" x14ac:dyDescent="0.2">
      <c r="A72" s="50" t="s">
        <v>59</v>
      </c>
      <c r="B72" s="51"/>
      <c r="C72" s="51"/>
      <c r="D72" s="73" t="e">
        <f>D53-E72</f>
        <v>#DIV/0!</v>
      </c>
      <c r="E72" s="74" t="e">
        <f>D53*(60-B54)/(F54-B54)</f>
        <v>#DIV/0!</v>
      </c>
      <c r="F72" s="74">
        <v>60</v>
      </c>
      <c r="G72" s="75">
        <f>(60+B54)/2</f>
        <v>30</v>
      </c>
      <c r="H72" s="73" t="e">
        <f>H53-I72</f>
        <v>#DIV/0!</v>
      </c>
      <c r="I72" s="74" t="e">
        <f>H53*(60-F54)/(J54-F54)</f>
        <v>#DIV/0!</v>
      </c>
      <c r="J72" s="74">
        <v>60</v>
      </c>
      <c r="K72" s="75">
        <f>(60+F54)/2</f>
        <v>30</v>
      </c>
      <c r="L72" s="73" t="e">
        <f>L53-M72</f>
        <v>#DIV/0!</v>
      </c>
      <c r="M72" s="74" t="e">
        <f>L53*(60-J54)/(N54-J54)</f>
        <v>#DIV/0!</v>
      </c>
      <c r="N72" s="74">
        <v>60</v>
      </c>
      <c r="O72" s="75">
        <f>(60+J54)/2</f>
        <v>30</v>
      </c>
      <c r="P72" s="73" t="e">
        <f>P53-Q72</f>
        <v>#DIV/0!</v>
      </c>
      <c r="Q72" s="74" t="e">
        <f>P53*(60-N54)/(R54-N54)</f>
        <v>#DIV/0!</v>
      </c>
      <c r="R72" s="74">
        <v>60</v>
      </c>
      <c r="S72" s="75">
        <f>(60+N54)/2</f>
        <v>30</v>
      </c>
      <c r="T72" s="73" t="e">
        <f>T53-U72</f>
        <v>#DIV/0!</v>
      </c>
      <c r="U72" s="74" t="e">
        <f>T53*(60-R54)/(V54-R54)</f>
        <v>#DIV/0!</v>
      </c>
      <c r="V72" s="74">
        <v>60</v>
      </c>
      <c r="W72" s="75">
        <f>(60+R54)/2</f>
        <v>30</v>
      </c>
      <c r="X72" s="73" t="e">
        <f>X53-Y72</f>
        <v>#DIV/0!</v>
      </c>
      <c r="Y72" s="74" t="e">
        <f>X53*(60-V54)/(Z54-V54)</f>
        <v>#DIV/0!</v>
      </c>
      <c r="Z72" s="74">
        <v>60</v>
      </c>
      <c r="AA72" s="75">
        <f>(60+V54)/2</f>
        <v>30</v>
      </c>
      <c r="AB72" s="73" t="e">
        <f>AB53-AC72</f>
        <v>#DIV/0!</v>
      </c>
      <c r="AC72" s="74" t="e">
        <f>AB53*(60-Z54)/(AD54-Z54)</f>
        <v>#DIV/0!</v>
      </c>
      <c r="AD72" s="74">
        <v>60</v>
      </c>
      <c r="AE72" s="75">
        <f>(60+Z54)/2</f>
        <v>30</v>
      </c>
      <c r="AF72" s="73" t="e">
        <f>AF53-AG72</f>
        <v>#DIV/0!</v>
      </c>
      <c r="AG72" s="74" t="e">
        <f>AF53*(60-AD54)/(AH54-AD54)</f>
        <v>#DIV/0!</v>
      </c>
      <c r="AH72" s="74">
        <v>60</v>
      </c>
      <c r="AI72" s="75">
        <f>(60+AD54)/2</f>
        <v>30</v>
      </c>
      <c r="AJ72" s="73" t="e">
        <f>AJ53-AK72</f>
        <v>#DIV/0!</v>
      </c>
      <c r="AK72" s="74" t="e">
        <f>AJ53*(60-AH54)/(AL54-AH54)</f>
        <v>#DIV/0!</v>
      </c>
      <c r="AL72" s="74">
        <v>60</v>
      </c>
      <c r="AM72" s="75">
        <f>(60+AH54)/2</f>
        <v>30</v>
      </c>
      <c r="AN72" s="73" t="e">
        <f>AN53-AO72</f>
        <v>#DIV/0!</v>
      </c>
      <c r="AO72" s="74" t="e">
        <f>AN53*(60-AL54)/(AP54-AL54)</f>
        <v>#DIV/0!</v>
      </c>
      <c r="AP72" s="74">
        <v>60</v>
      </c>
      <c r="AQ72" s="75">
        <f>(60+AL54)/2</f>
        <v>30</v>
      </c>
      <c r="AR72" s="73" t="e">
        <f>AR53-AS72</f>
        <v>#DIV/0!</v>
      </c>
      <c r="AS72" s="74" t="e">
        <f>AR53*(60-AP54)/(AT54-AP54)</f>
        <v>#DIV/0!</v>
      </c>
      <c r="AT72" s="74">
        <v>60</v>
      </c>
      <c r="AU72" s="75">
        <f>(60+AP54)/2</f>
        <v>30</v>
      </c>
      <c r="AV72" s="73" t="e">
        <f>AV53-AW72</f>
        <v>#DIV/0!</v>
      </c>
      <c r="AW72" s="74" t="e">
        <f>AV53*(60-AT54)/(AX54-AT54)</f>
        <v>#DIV/0!</v>
      </c>
      <c r="AX72" s="74">
        <v>60</v>
      </c>
      <c r="AY72" s="75">
        <f>(60+AT54)/2</f>
        <v>30</v>
      </c>
    </row>
    <row r="73" spans="1:51" hidden="1" x14ac:dyDescent="0.2">
      <c r="A73" s="50"/>
      <c r="B73" s="51"/>
      <c r="C73" s="51"/>
      <c r="D73" s="73"/>
      <c r="E73" s="76" t="e">
        <f>D72+E72</f>
        <v>#DIV/0!</v>
      </c>
      <c r="F73" s="76" t="e">
        <f>(E72*G72)+(D72*F72)</f>
        <v>#DIV/0!</v>
      </c>
      <c r="G73" s="75"/>
      <c r="H73" s="73"/>
      <c r="I73" s="76" t="e">
        <f>H72+I72</f>
        <v>#DIV/0!</v>
      </c>
      <c r="J73" s="76" t="e">
        <f>(I72*K72)+(H72*J72)</f>
        <v>#DIV/0!</v>
      </c>
      <c r="K73" s="75"/>
      <c r="L73" s="73"/>
      <c r="M73" s="76" t="e">
        <f>L72+M72</f>
        <v>#DIV/0!</v>
      </c>
      <c r="N73" s="76" t="e">
        <f>(M72*O72)+(L72*N72)</f>
        <v>#DIV/0!</v>
      </c>
      <c r="O73" s="75"/>
      <c r="P73" s="73"/>
      <c r="Q73" s="76" t="e">
        <f>P72+Q72</f>
        <v>#DIV/0!</v>
      </c>
      <c r="R73" s="76" t="e">
        <f>(Q72*S72)+(P72*R72)</f>
        <v>#DIV/0!</v>
      </c>
      <c r="S73" s="75"/>
      <c r="T73" s="73"/>
      <c r="U73" s="76" t="e">
        <f>T72+U72</f>
        <v>#DIV/0!</v>
      </c>
      <c r="V73" s="76" t="e">
        <f>(U72*W72)+(T72*V72)</f>
        <v>#DIV/0!</v>
      </c>
      <c r="W73" s="75"/>
      <c r="X73" s="73"/>
      <c r="Y73" s="76" t="e">
        <f>X72+Y72</f>
        <v>#DIV/0!</v>
      </c>
      <c r="Z73" s="76" t="e">
        <f>(Y72*AA72)+(X72*Z72)</f>
        <v>#DIV/0!</v>
      </c>
      <c r="AA73" s="75"/>
      <c r="AB73" s="73"/>
      <c r="AC73" s="76" t="e">
        <f>AB72+AC72</f>
        <v>#DIV/0!</v>
      </c>
      <c r="AD73" s="76" t="e">
        <f>(AC72*AE72)+(AB72*AD72)</f>
        <v>#DIV/0!</v>
      </c>
      <c r="AE73" s="75"/>
      <c r="AF73" s="73"/>
      <c r="AG73" s="76" t="e">
        <f>AF72+AG72</f>
        <v>#DIV/0!</v>
      </c>
      <c r="AH73" s="76" t="e">
        <f>(AG72*AI72)+(AF72*AH72)</f>
        <v>#DIV/0!</v>
      </c>
      <c r="AI73" s="75"/>
      <c r="AJ73" s="73"/>
      <c r="AK73" s="76" t="e">
        <f>AJ72+AK72</f>
        <v>#DIV/0!</v>
      </c>
      <c r="AL73" s="76" t="e">
        <f>(AK72*AM72)+(AJ72*AL72)</f>
        <v>#DIV/0!</v>
      </c>
      <c r="AM73" s="75"/>
      <c r="AN73" s="73"/>
      <c r="AO73" s="76" t="e">
        <f>AN72+AO72</f>
        <v>#DIV/0!</v>
      </c>
      <c r="AP73" s="76" t="e">
        <f>(AO72*AQ72)+(AN72*AP72)</f>
        <v>#DIV/0!</v>
      </c>
      <c r="AQ73" s="75"/>
      <c r="AR73" s="73"/>
      <c r="AS73" s="76" t="e">
        <f>AR72+AS72</f>
        <v>#DIV/0!</v>
      </c>
      <c r="AT73" s="76" t="e">
        <f>(AS72*AU72)+(AR72*AT72)</f>
        <v>#DIV/0!</v>
      </c>
      <c r="AU73" s="75"/>
      <c r="AV73" s="73"/>
      <c r="AW73" s="76" t="e">
        <f>AV72+AW72</f>
        <v>#DIV/0!</v>
      </c>
      <c r="AX73" s="76" t="e">
        <f>(AW72*AY72)+(AV72*AX72)</f>
        <v>#DIV/0!</v>
      </c>
      <c r="AY73" s="75"/>
    </row>
    <row r="74" spans="1:51" hidden="1" x14ac:dyDescent="0.2">
      <c r="A74" s="50" t="s">
        <v>60</v>
      </c>
      <c r="B74" s="51"/>
      <c r="C74" s="51"/>
      <c r="D74" s="73" t="e">
        <f>D53-E74</f>
        <v>#DIV/0!</v>
      </c>
      <c r="E74" s="74" t="e">
        <f>D53*(60-F54)/(B54-F54)</f>
        <v>#DIV/0!</v>
      </c>
      <c r="F74" s="74">
        <v>60</v>
      </c>
      <c r="G74" s="75">
        <f>(60+F54)/2</f>
        <v>30</v>
      </c>
      <c r="H74" s="73" t="e">
        <f>H53-I74</f>
        <v>#DIV/0!</v>
      </c>
      <c r="I74" s="74" t="e">
        <f>H53*(60-J54)/(F54-J54)</f>
        <v>#DIV/0!</v>
      </c>
      <c r="J74" s="74">
        <v>60</v>
      </c>
      <c r="K74" s="75">
        <f>(60+J54)/2</f>
        <v>30</v>
      </c>
      <c r="L74" s="73" t="e">
        <f>L53-M74</f>
        <v>#DIV/0!</v>
      </c>
      <c r="M74" s="74" t="e">
        <f>L53*(60-N54)/(J54-N54)</f>
        <v>#DIV/0!</v>
      </c>
      <c r="N74" s="74">
        <v>60</v>
      </c>
      <c r="O74" s="75">
        <f>(60+N54)/2</f>
        <v>30</v>
      </c>
      <c r="P74" s="73" t="e">
        <f>P53-Q74</f>
        <v>#DIV/0!</v>
      </c>
      <c r="Q74" s="74" t="e">
        <f>P53*(60-R54)/(N54-R54)</f>
        <v>#DIV/0!</v>
      </c>
      <c r="R74" s="74">
        <v>60</v>
      </c>
      <c r="S74" s="75">
        <f>(60+R54)/2</f>
        <v>30</v>
      </c>
      <c r="T74" s="73" t="e">
        <f>T53-U74</f>
        <v>#DIV/0!</v>
      </c>
      <c r="U74" s="74" t="e">
        <f>T53*(60-V54)/(R54-V54)</f>
        <v>#DIV/0!</v>
      </c>
      <c r="V74" s="74">
        <v>60</v>
      </c>
      <c r="W74" s="75">
        <f>(60+V54)/2</f>
        <v>30</v>
      </c>
      <c r="X74" s="73" t="e">
        <f>X53-Y74</f>
        <v>#DIV/0!</v>
      </c>
      <c r="Y74" s="74" t="e">
        <f>X53*(60-Z54)/(V54-Z54)</f>
        <v>#DIV/0!</v>
      </c>
      <c r="Z74" s="74">
        <v>60</v>
      </c>
      <c r="AA74" s="75">
        <f>(60+Z54)/2</f>
        <v>30</v>
      </c>
      <c r="AB74" s="73" t="e">
        <f>AB53-AC74</f>
        <v>#DIV/0!</v>
      </c>
      <c r="AC74" s="74" t="e">
        <f>AB53*(60-AD54)/(Z54-AD54)</f>
        <v>#DIV/0!</v>
      </c>
      <c r="AD74" s="74">
        <v>60</v>
      </c>
      <c r="AE74" s="75">
        <f>(60+AD54)/2</f>
        <v>30</v>
      </c>
      <c r="AF74" s="73" t="e">
        <f>AF53-AG74</f>
        <v>#DIV/0!</v>
      </c>
      <c r="AG74" s="74" t="e">
        <f>AF53*(60-AH54)/(AD54-AH54)</f>
        <v>#DIV/0!</v>
      </c>
      <c r="AH74" s="74">
        <v>60</v>
      </c>
      <c r="AI74" s="75">
        <f>(60+AH54)/2</f>
        <v>30</v>
      </c>
      <c r="AJ74" s="73" t="e">
        <f>AJ53-AK74</f>
        <v>#DIV/0!</v>
      </c>
      <c r="AK74" s="74" t="e">
        <f>AJ53*(60-AL54)/(AH54-AL54)</f>
        <v>#DIV/0!</v>
      </c>
      <c r="AL74" s="74">
        <v>60</v>
      </c>
      <c r="AM74" s="75">
        <f>(60+AL54)/2</f>
        <v>30</v>
      </c>
      <c r="AN74" s="73" t="e">
        <f>AN53-AO74</f>
        <v>#DIV/0!</v>
      </c>
      <c r="AO74" s="74" t="e">
        <f>AN53*(60-AP54)/(AL54-AP54)</f>
        <v>#DIV/0!</v>
      </c>
      <c r="AP74" s="74">
        <v>60</v>
      </c>
      <c r="AQ74" s="75">
        <f>(60+AP54)/2</f>
        <v>30</v>
      </c>
      <c r="AR74" s="73" t="e">
        <f>AR53-AS74</f>
        <v>#DIV/0!</v>
      </c>
      <c r="AS74" s="74" t="e">
        <f>AR53*(60-AT54)/(AP54-AT54)</f>
        <v>#DIV/0!</v>
      </c>
      <c r="AT74" s="74">
        <v>60</v>
      </c>
      <c r="AU74" s="75">
        <f>(60+AT54)/2</f>
        <v>30</v>
      </c>
      <c r="AV74" s="73" t="e">
        <f>AV53-AW74</f>
        <v>#DIV/0!</v>
      </c>
      <c r="AW74" s="74" t="e">
        <f>AV53*(60-AX54)/(AT54-AX54)</f>
        <v>#DIV/0!</v>
      </c>
      <c r="AX74" s="74">
        <v>60</v>
      </c>
      <c r="AY74" s="75">
        <f>(60+AX54)/2</f>
        <v>30</v>
      </c>
    </row>
    <row r="75" spans="1:51" hidden="1" x14ac:dyDescent="0.2">
      <c r="A75" s="34"/>
      <c r="B75" s="51"/>
      <c r="C75" s="51"/>
      <c r="D75" s="73"/>
      <c r="E75" s="76" t="e">
        <f>D74+E74</f>
        <v>#DIV/0!</v>
      </c>
      <c r="F75" s="76" t="e">
        <f>(E74*G74)+(D74*F74)</f>
        <v>#DIV/0!</v>
      </c>
      <c r="G75" s="75"/>
      <c r="H75" s="73"/>
      <c r="I75" s="76" t="e">
        <f>H74+I74</f>
        <v>#DIV/0!</v>
      </c>
      <c r="J75" s="76" t="e">
        <f>(I74*K74)+(H74*J74)</f>
        <v>#DIV/0!</v>
      </c>
      <c r="K75" s="75"/>
      <c r="L75" s="73"/>
      <c r="M75" s="76" t="e">
        <f>L74+M74</f>
        <v>#DIV/0!</v>
      </c>
      <c r="N75" s="76" t="e">
        <f>(M74*O74)+(L74*N74)</f>
        <v>#DIV/0!</v>
      </c>
      <c r="O75" s="75"/>
      <c r="P75" s="73"/>
      <c r="Q75" s="76" t="e">
        <f>P74+Q74</f>
        <v>#DIV/0!</v>
      </c>
      <c r="R75" s="76" t="e">
        <f>(Q74*S74)+(P74*R74)</f>
        <v>#DIV/0!</v>
      </c>
      <c r="S75" s="75"/>
      <c r="T75" s="73"/>
      <c r="U75" s="76" t="e">
        <f>T74+U74</f>
        <v>#DIV/0!</v>
      </c>
      <c r="V75" s="76" t="e">
        <f>(U74*W74)+(T74*V74)</f>
        <v>#DIV/0!</v>
      </c>
      <c r="W75" s="75"/>
      <c r="X75" s="73"/>
      <c r="Y75" s="76" t="e">
        <f>X74+Y74</f>
        <v>#DIV/0!</v>
      </c>
      <c r="Z75" s="76" t="e">
        <f>(Y74*AA74)+(X74*Z74)</f>
        <v>#DIV/0!</v>
      </c>
      <c r="AA75" s="75"/>
      <c r="AB75" s="73"/>
      <c r="AC75" s="76" t="e">
        <f>AB74+AC74</f>
        <v>#DIV/0!</v>
      </c>
      <c r="AD75" s="76" t="e">
        <f>(AC74*AE74)+(AB74*AD74)</f>
        <v>#DIV/0!</v>
      </c>
      <c r="AE75" s="75"/>
      <c r="AF75" s="73"/>
      <c r="AG75" s="76" t="e">
        <f>AF74+AG74</f>
        <v>#DIV/0!</v>
      </c>
      <c r="AH75" s="76" t="e">
        <f>(AG74*AI74)+(AF74*AH74)</f>
        <v>#DIV/0!</v>
      </c>
      <c r="AI75" s="75"/>
      <c r="AJ75" s="73"/>
      <c r="AK75" s="76" t="e">
        <f>AJ74+AK74</f>
        <v>#DIV/0!</v>
      </c>
      <c r="AL75" s="76" t="e">
        <f>(AK74*AM74)+(AJ74*AL74)</f>
        <v>#DIV/0!</v>
      </c>
      <c r="AM75" s="75"/>
      <c r="AN75" s="73"/>
      <c r="AO75" s="76" t="e">
        <f>AN74+AO74</f>
        <v>#DIV/0!</v>
      </c>
      <c r="AP75" s="76" t="e">
        <f>(AO74*AQ74)+(AN74*AP74)</f>
        <v>#DIV/0!</v>
      </c>
      <c r="AQ75" s="75"/>
      <c r="AR75" s="73"/>
      <c r="AS75" s="76" t="e">
        <f>AR74+AS74</f>
        <v>#DIV/0!</v>
      </c>
      <c r="AT75" s="76" t="e">
        <f>(AS74*AU74)+(AR74*AT74)</f>
        <v>#DIV/0!</v>
      </c>
      <c r="AU75" s="75"/>
      <c r="AV75" s="73"/>
      <c r="AW75" s="76" t="e">
        <f>AV74+AW74</f>
        <v>#DIV/0!</v>
      </c>
      <c r="AX75" s="76" t="e">
        <f>(AW74*AY74)+(AV74*AX74)</f>
        <v>#DIV/0!</v>
      </c>
      <c r="AY75" s="75"/>
    </row>
    <row r="76" spans="1:51" hidden="1" x14ac:dyDescent="0.2">
      <c r="A76" s="52" t="s">
        <v>61</v>
      </c>
      <c r="B76" s="34"/>
      <c r="C76" s="34"/>
      <c r="D76" s="73"/>
      <c r="E76" s="74">
        <f>D53</f>
        <v>0</v>
      </c>
      <c r="F76" s="74"/>
      <c r="G76" s="75">
        <f>(B54+F54)/2</f>
        <v>0</v>
      </c>
      <c r="H76" s="73"/>
      <c r="I76" s="74">
        <f>H53</f>
        <v>0</v>
      </c>
      <c r="J76" s="74"/>
      <c r="K76" s="75">
        <f>(F54+J54)/2</f>
        <v>0</v>
      </c>
      <c r="L76" s="73"/>
      <c r="M76" s="74">
        <f>L53</f>
        <v>0</v>
      </c>
      <c r="N76" s="74"/>
      <c r="O76" s="75">
        <f>(J54+N54)/2</f>
        <v>0</v>
      </c>
      <c r="P76" s="73"/>
      <c r="Q76" s="74">
        <f>P53</f>
        <v>0</v>
      </c>
      <c r="R76" s="74"/>
      <c r="S76" s="75">
        <f>(N54+R54)/2</f>
        <v>0</v>
      </c>
      <c r="T76" s="73"/>
      <c r="U76" s="74">
        <f>T53</f>
        <v>0</v>
      </c>
      <c r="V76" s="74"/>
      <c r="W76" s="75">
        <f>(R54+V54)/2</f>
        <v>0</v>
      </c>
      <c r="X76" s="73"/>
      <c r="Y76" s="74">
        <f>X53</f>
        <v>0</v>
      </c>
      <c r="Z76" s="74"/>
      <c r="AA76" s="75">
        <f>(V54+Z54)/2</f>
        <v>0</v>
      </c>
      <c r="AB76" s="73"/>
      <c r="AC76" s="74">
        <f>AB53</f>
        <v>0</v>
      </c>
      <c r="AD76" s="74"/>
      <c r="AE76" s="75">
        <f>(Z54+AD54)/2</f>
        <v>0</v>
      </c>
      <c r="AF76" s="73"/>
      <c r="AG76" s="74">
        <f>AF53</f>
        <v>0</v>
      </c>
      <c r="AH76" s="74"/>
      <c r="AI76" s="75">
        <f>(AD54+AH54)/2</f>
        <v>0</v>
      </c>
      <c r="AJ76" s="73"/>
      <c r="AK76" s="74">
        <f>AJ53</f>
        <v>0</v>
      </c>
      <c r="AL76" s="74"/>
      <c r="AM76" s="75">
        <f>(AH54+AL54)/2</f>
        <v>0</v>
      </c>
      <c r="AN76" s="73"/>
      <c r="AO76" s="74">
        <f>AN53</f>
        <v>0</v>
      </c>
      <c r="AP76" s="74"/>
      <c r="AQ76" s="75">
        <f>(AL54+AP54)/2</f>
        <v>0</v>
      </c>
      <c r="AR76" s="73"/>
      <c r="AS76" s="74">
        <f>AR53</f>
        <v>0</v>
      </c>
      <c r="AT76" s="74"/>
      <c r="AU76" s="75">
        <f>(AP54+AT54)/2</f>
        <v>0</v>
      </c>
      <c r="AV76" s="73"/>
      <c r="AW76" s="74">
        <f>AV53</f>
        <v>0</v>
      </c>
      <c r="AX76" s="74"/>
      <c r="AY76" s="75">
        <f>(AT54+AX54)/2</f>
        <v>0</v>
      </c>
    </row>
    <row r="77" spans="1:51" hidden="1" x14ac:dyDescent="0.2">
      <c r="A77" s="52"/>
      <c r="B77" s="34"/>
      <c r="C77" s="34"/>
      <c r="D77" s="73"/>
      <c r="E77" s="76">
        <f>D76+E76</f>
        <v>0</v>
      </c>
      <c r="F77" s="76">
        <f>E76*G76</f>
        <v>0</v>
      </c>
      <c r="G77" s="75"/>
      <c r="H77" s="73"/>
      <c r="I77" s="76">
        <f>H76+I76</f>
        <v>0</v>
      </c>
      <c r="J77" s="76">
        <f>I76*K76</f>
        <v>0</v>
      </c>
      <c r="K77" s="75"/>
      <c r="L77" s="73"/>
      <c r="M77" s="76">
        <f>L76+M76</f>
        <v>0</v>
      </c>
      <c r="N77" s="76">
        <f>M76*O76</f>
        <v>0</v>
      </c>
      <c r="O77" s="75"/>
      <c r="P77" s="73"/>
      <c r="Q77" s="76">
        <f>P76+Q76</f>
        <v>0</v>
      </c>
      <c r="R77" s="76">
        <f>Q76*S76</f>
        <v>0</v>
      </c>
      <c r="S77" s="75"/>
      <c r="T77" s="73"/>
      <c r="U77" s="76">
        <f>T76+U76</f>
        <v>0</v>
      </c>
      <c r="V77" s="76">
        <f>U76*W76</f>
        <v>0</v>
      </c>
      <c r="W77" s="75"/>
      <c r="X77" s="73"/>
      <c r="Y77" s="76">
        <f>X76+Y76</f>
        <v>0</v>
      </c>
      <c r="Z77" s="76">
        <f>Y76*AA76</f>
        <v>0</v>
      </c>
      <c r="AA77" s="75"/>
      <c r="AB77" s="73"/>
      <c r="AC77" s="76">
        <f>AB76+AC76</f>
        <v>0</v>
      </c>
      <c r="AD77" s="76">
        <f>AC76*AE76</f>
        <v>0</v>
      </c>
      <c r="AE77" s="75"/>
      <c r="AF77" s="73"/>
      <c r="AG77" s="76">
        <f>AF76+AG76</f>
        <v>0</v>
      </c>
      <c r="AH77" s="76">
        <f>AG76*AI76</f>
        <v>0</v>
      </c>
      <c r="AI77" s="75"/>
      <c r="AJ77" s="73"/>
      <c r="AK77" s="76">
        <f>AJ76+AK76</f>
        <v>0</v>
      </c>
      <c r="AL77" s="76">
        <f>AK76*AM76</f>
        <v>0</v>
      </c>
      <c r="AM77" s="75"/>
      <c r="AN77" s="73"/>
      <c r="AO77" s="76">
        <f>AN76+AO76</f>
        <v>0</v>
      </c>
      <c r="AP77" s="76">
        <f>AO76*AQ76</f>
        <v>0</v>
      </c>
      <c r="AQ77" s="75"/>
      <c r="AR77" s="73"/>
      <c r="AS77" s="76">
        <f>AR76+AS76</f>
        <v>0</v>
      </c>
      <c r="AT77" s="76">
        <f>AS76*AU76</f>
        <v>0</v>
      </c>
      <c r="AU77" s="75"/>
      <c r="AV77" s="73"/>
      <c r="AW77" s="76">
        <f>AV76+AW76</f>
        <v>0</v>
      </c>
      <c r="AX77" s="76">
        <f>AW76*AY76</f>
        <v>0</v>
      </c>
      <c r="AY77" s="75"/>
    </row>
    <row r="78" spans="1:51" hidden="1" x14ac:dyDescent="0.2">
      <c r="A78" s="52" t="s">
        <v>53</v>
      </c>
      <c r="B78" s="34"/>
      <c r="C78" s="34"/>
      <c r="D78" s="73"/>
      <c r="E78" s="74">
        <v>0</v>
      </c>
      <c r="F78" s="74"/>
      <c r="G78" s="75">
        <v>0</v>
      </c>
      <c r="H78" s="73"/>
      <c r="I78" s="74">
        <v>0</v>
      </c>
      <c r="J78" s="74"/>
      <c r="K78" s="75">
        <v>0</v>
      </c>
      <c r="L78" s="73"/>
      <c r="M78" s="74">
        <v>0</v>
      </c>
      <c r="N78" s="74"/>
      <c r="O78" s="75">
        <v>0</v>
      </c>
      <c r="P78" s="73"/>
      <c r="Q78" s="74">
        <v>0</v>
      </c>
      <c r="R78" s="74"/>
      <c r="S78" s="75">
        <v>0</v>
      </c>
      <c r="T78" s="73"/>
      <c r="U78" s="74">
        <v>0</v>
      </c>
      <c r="V78" s="74"/>
      <c r="W78" s="75">
        <v>0</v>
      </c>
      <c r="X78" s="73"/>
      <c r="Y78" s="74">
        <v>0</v>
      </c>
      <c r="Z78" s="74"/>
      <c r="AA78" s="75">
        <v>0</v>
      </c>
      <c r="AB78" s="73"/>
      <c r="AC78" s="74">
        <v>0</v>
      </c>
      <c r="AD78" s="74"/>
      <c r="AE78" s="75">
        <v>0</v>
      </c>
      <c r="AF78" s="73"/>
      <c r="AG78" s="74">
        <v>0</v>
      </c>
      <c r="AH78" s="74"/>
      <c r="AI78" s="75">
        <v>0</v>
      </c>
      <c r="AJ78" s="73"/>
      <c r="AK78" s="74">
        <v>0</v>
      </c>
      <c r="AL78" s="74"/>
      <c r="AM78" s="75">
        <v>0</v>
      </c>
      <c r="AN78" s="73"/>
      <c r="AO78" s="74">
        <v>0</v>
      </c>
      <c r="AP78" s="74"/>
      <c r="AQ78" s="75">
        <v>0</v>
      </c>
      <c r="AR78" s="73"/>
      <c r="AS78" s="74">
        <v>0</v>
      </c>
      <c r="AT78" s="74"/>
      <c r="AU78" s="75">
        <v>0</v>
      </c>
      <c r="AV78" s="73"/>
      <c r="AW78" s="74">
        <v>0</v>
      </c>
      <c r="AX78" s="74"/>
      <c r="AY78" s="75">
        <v>0</v>
      </c>
    </row>
    <row r="79" spans="1:51" hidden="1" x14ac:dyDescent="0.2">
      <c r="A79" s="52"/>
      <c r="B79" s="34"/>
      <c r="C79" s="34"/>
      <c r="D79" s="73"/>
      <c r="E79" s="76">
        <f>D78+E78</f>
        <v>0</v>
      </c>
      <c r="F79" s="76">
        <f>E78*G78</f>
        <v>0</v>
      </c>
      <c r="G79" s="75"/>
      <c r="H79" s="73"/>
      <c r="I79" s="76">
        <f>H78+I78</f>
        <v>0</v>
      </c>
      <c r="J79" s="76">
        <f>I78*K78</f>
        <v>0</v>
      </c>
      <c r="K79" s="75"/>
      <c r="L79" s="73"/>
      <c r="M79" s="76">
        <f>L78+M78</f>
        <v>0</v>
      </c>
      <c r="N79" s="76">
        <f>M78*O78</f>
        <v>0</v>
      </c>
      <c r="O79" s="75"/>
      <c r="P79" s="73"/>
      <c r="Q79" s="76">
        <f>P78+Q78</f>
        <v>0</v>
      </c>
      <c r="R79" s="76">
        <f>Q78*S78</f>
        <v>0</v>
      </c>
      <c r="S79" s="75"/>
      <c r="T79" s="73"/>
      <c r="U79" s="76">
        <f>T78+U78</f>
        <v>0</v>
      </c>
      <c r="V79" s="76">
        <f>U78*W78</f>
        <v>0</v>
      </c>
      <c r="W79" s="75"/>
      <c r="X79" s="73"/>
      <c r="Y79" s="76">
        <f>X78+Y78</f>
        <v>0</v>
      </c>
      <c r="Z79" s="76">
        <f>Y78*AA78</f>
        <v>0</v>
      </c>
      <c r="AA79" s="75"/>
      <c r="AB79" s="73"/>
      <c r="AC79" s="76">
        <f>AB78+AC78</f>
        <v>0</v>
      </c>
      <c r="AD79" s="76">
        <f>AC78*AE78</f>
        <v>0</v>
      </c>
      <c r="AE79" s="75"/>
      <c r="AF79" s="73"/>
      <c r="AG79" s="76">
        <f>AF78+AG78</f>
        <v>0</v>
      </c>
      <c r="AH79" s="76">
        <f>AG78*AI78</f>
        <v>0</v>
      </c>
      <c r="AI79" s="75"/>
      <c r="AJ79" s="73"/>
      <c r="AK79" s="76">
        <f>AJ78+AK78</f>
        <v>0</v>
      </c>
      <c r="AL79" s="76">
        <f>AK78*AM78</f>
        <v>0</v>
      </c>
      <c r="AM79" s="75"/>
      <c r="AN79" s="73"/>
      <c r="AO79" s="76">
        <f>AN78+AO78</f>
        <v>0</v>
      </c>
      <c r="AP79" s="76">
        <f>AO78*AQ78</f>
        <v>0</v>
      </c>
      <c r="AQ79" s="75"/>
      <c r="AR79" s="73"/>
      <c r="AS79" s="76">
        <f>AR78+AS78</f>
        <v>0</v>
      </c>
      <c r="AT79" s="76">
        <f>AS78*AU78</f>
        <v>0</v>
      </c>
      <c r="AU79" s="75"/>
      <c r="AV79" s="73"/>
      <c r="AW79" s="76">
        <f>AV78+AW78</f>
        <v>0</v>
      </c>
      <c r="AX79" s="76">
        <f>AW78*AY78</f>
        <v>0</v>
      </c>
      <c r="AY79" s="75"/>
    </row>
    <row r="80" spans="1:51" hidden="1" x14ac:dyDescent="0.2">
      <c r="A80" s="52" t="s">
        <v>62</v>
      </c>
      <c r="B80" s="34"/>
      <c r="C80" s="34"/>
      <c r="D80" s="73"/>
      <c r="E80" s="74">
        <f>D53</f>
        <v>0</v>
      </c>
      <c r="F80" s="74"/>
      <c r="G80" s="75">
        <v>30</v>
      </c>
      <c r="H80" s="73"/>
      <c r="I80" s="74">
        <f>H53</f>
        <v>0</v>
      </c>
      <c r="J80" s="74"/>
      <c r="K80" s="75">
        <v>30</v>
      </c>
      <c r="L80" s="73"/>
      <c r="M80" s="74">
        <f>L53</f>
        <v>0</v>
      </c>
      <c r="N80" s="74"/>
      <c r="O80" s="75">
        <v>30</v>
      </c>
      <c r="P80" s="73"/>
      <c r="Q80" s="74">
        <f>P53</f>
        <v>0</v>
      </c>
      <c r="R80" s="74"/>
      <c r="S80" s="75">
        <v>30</v>
      </c>
      <c r="T80" s="73"/>
      <c r="U80" s="74">
        <f>T53</f>
        <v>0</v>
      </c>
      <c r="V80" s="74"/>
      <c r="W80" s="75">
        <v>30</v>
      </c>
      <c r="X80" s="73"/>
      <c r="Y80" s="74">
        <f>X53</f>
        <v>0</v>
      </c>
      <c r="Z80" s="74"/>
      <c r="AA80" s="75">
        <v>30</v>
      </c>
      <c r="AB80" s="73"/>
      <c r="AC80" s="74">
        <f>AB53</f>
        <v>0</v>
      </c>
      <c r="AD80" s="74"/>
      <c r="AE80" s="75">
        <v>30</v>
      </c>
      <c r="AF80" s="73"/>
      <c r="AG80" s="74">
        <f>AF53</f>
        <v>0</v>
      </c>
      <c r="AH80" s="74"/>
      <c r="AI80" s="75">
        <v>30</v>
      </c>
      <c r="AJ80" s="73"/>
      <c r="AK80" s="74">
        <f>AJ53</f>
        <v>0</v>
      </c>
      <c r="AL80" s="74"/>
      <c r="AM80" s="75">
        <v>30</v>
      </c>
      <c r="AN80" s="73"/>
      <c r="AO80" s="74">
        <f>AN53</f>
        <v>0</v>
      </c>
      <c r="AP80" s="74"/>
      <c r="AQ80" s="75">
        <v>30</v>
      </c>
      <c r="AR80" s="73"/>
      <c r="AS80" s="74">
        <f>AR53</f>
        <v>0</v>
      </c>
      <c r="AT80" s="74"/>
      <c r="AU80" s="75">
        <v>30</v>
      </c>
      <c r="AV80" s="73"/>
      <c r="AW80" s="74">
        <f>AV53</f>
        <v>0</v>
      </c>
      <c r="AX80" s="74"/>
      <c r="AY80" s="75">
        <v>30</v>
      </c>
    </row>
    <row r="81" spans="1:52" hidden="1" x14ac:dyDescent="0.2">
      <c r="A81" s="52"/>
      <c r="B81" s="34"/>
      <c r="C81" s="34"/>
      <c r="D81" s="73"/>
      <c r="E81" s="76">
        <f>D80+E80</f>
        <v>0</v>
      </c>
      <c r="F81" s="76">
        <f>E80*G80</f>
        <v>0</v>
      </c>
      <c r="G81" s="75"/>
      <c r="H81" s="73"/>
      <c r="I81" s="76">
        <f>H80+I80</f>
        <v>0</v>
      </c>
      <c r="J81" s="76">
        <f>I80*K80</f>
        <v>0</v>
      </c>
      <c r="K81" s="75"/>
      <c r="L81" s="73"/>
      <c r="M81" s="76">
        <f>L80+M80</f>
        <v>0</v>
      </c>
      <c r="N81" s="76">
        <f>M80*O80</f>
        <v>0</v>
      </c>
      <c r="O81" s="75"/>
      <c r="P81" s="73"/>
      <c r="Q81" s="76">
        <f>P80+Q80</f>
        <v>0</v>
      </c>
      <c r="R81" s="76">
        <f>Q80*S80</f>
        <v>0</v>
      </c>
      <c r="S81" s="75"/>
      <c r="T81" s="73"/>
      <c r="U81" s="76">
        <f>T80+U80</f>
        <v>0</v>
      </c>
      <c r="V81" s="76">
        <f>U80*W80</f>
        <v>0</v>
      </c>
      <c r="W81" s="75"/>
      <c r="X81" s="73"/>
      <c r="Y81" s="76">
        <f>X80+Y80</f>
        <v>0</v>
      </c>
      <c r="Z81" s="76">
        <f>Y80*AA80</f>
        <v>0</v>
      </c>
      <c r="AA81" s="75"/>
      <c r="AB81" s="73"/>
      <c r="AC81" s="76">
        <f>AB80+AC80</f>
        <v>0</v>
      </c>
      <c r="AD81" s="76">
        <f>AC80*AE80</f>
        <v>0</v>
      </c>
      <c r="AE81" s="75"/>
      <c r="AF81" s="73"/>
      <c r="AG81" s="76">
        <f>AF80+AG80</f>
        <v>0</v>
      </c>
      <c r="AH81" s="76">
        <f>AG80*AI80</f>
        <v>0</v>
      </c>
      <c r="AI81" s="75"/>
      <c r="AJ81" s="73"/>
      <c r="AK81" s="76">
        <f>AJ80+AK80</f>
        <v>0</v>
      </c>
      <c r="AL81" s="76">
        <f>AK80*AM80</f>
        <v>0</v>
      </c>
      <c r="AM81" s="75"/>
      <c r="AN81" s="73"/>
      <c r="AO81" s="76">
        <f>AN80+AO80</f>
        <v>0</v>
      </c>
      <c r="AP81" s="76">
        <f>AO80*AQ80</f>
        <v>0</v>
      </c>
      <c r="AQ81" s="75"/>
      <c r="AR81" s="73"/>
      <c r="AS81" s="76">
        <f>AR80+AS80</f>
        <v>0</v>
      </c>
      <c r="AT81" s="76">
        <f>AS80*AU80</f>
        <v>0</v>
      </c>
      <c r="AU81" s="75"/>
      <c r="AV81" s="73"/>
      <c r="AW81" s="76">
        <f>AV80+AW80</f>
        <v>0</v>
      </c>
      <c r="AX81" s="76">
        <f>AW80*AY80</f>
        <v>0</v>
      </c>
      <c r="AY81" s="75"/>
    </row>
    <row r="82" spans="1:52" hidden="1" x14ac:dyDescent="0.2">
      <c r="A82" s="52" t="s">
        <v>63</v>
      </c>
      <c r="B82" s="51"/>
      <c r="C82" s="51"/>
      <c r="D82" s="73" t="e">
        <f>((F54-30)*(D53+(B54*D53)/(F54-B54))/F54)</f>
        <v>#DIV/0!</v>
      </c>
      <c r="E82" s="74" t="e">
        <f>(D53-(D53*(20-B54)/(F54-B54))-((F54-30)*(D53+(B54*D53)/(F54-B54))/F54))</f>
        <v>#DIV/0!</v>
      </c>
      <c r="F82" s="74">
        <v>30</v>
      </c>
      <c r="G82" s="75">
        <v>25</v>
      </c>
      <c r="H82" s="73" t="e">
        <f>((J54-30)*(H53+(F54*H53)/(J54-F54))/J54)</f>
        <v>#DIV/0!</v>
      </c>
      <c r="I82" s="74" t="e">
        <f>(H53-(H53*(20-F54)/(J54-F54))-((J54-30)*(H53+(F54*H53)/(J54-F54))/J54))</f>
        <v>#DIV/0!</v>
      </c>
      <c r="J82" s="74">
        <v>30</v>
      </c>
      <c r="K82" s="75">
        <v>25</v>
      </c>
      <c r="L82" s="73" t="e">
        <f>((N54-30)*(L53+(J54*L53)/(N54-J54))/N54)</f>
        <v>#DIV/0!</v>
      </c>
      <c r="M82" s="74" t="e">
        <f>(L53-(L53*(20-J54)/(N54-J54))-((N54-30)*(L53+(J54*L53)/(N54-J54))/N54))</f>
        <v>#DIV/0!</v>
      </c>
      <c r="N82" s="74">
        <v>30</v>
      </c>
      <c r="O82" s="75">
        <v>25</v>
      </c>
      <c r="P82" s="73" t="e">
        <f>((R54-30)*(P53+(N54*P53)/(R54-N54))/R54)</f>
        <v>#DIV/0!</v>
      </c>
      <c r="Q82" s="74" t="e">
        <f>(P53-(P53*(20-N54)/(R54-N54))-((R54-30)*(P53+(N54*P53)/(R54-N54))/R54))</f>
        <v>#DIV/0!</v>
      </c>
      <c r="R82" s="74">
        <v>30</v>
      </c>
      <c r="S82" s="75">
        <v>25</v>
      </c>
      <c r="T82" s="73" t="e">
        <f>((V54-30)*(T53+(R54*T53)/(V54-R54))/V54)</f>
        <v>#DIV/0!</v>
      </c>
      <c r="U82" s="74" t="e">
        <f>(T53-(T53*(20-R54)/(V54-R54))-((V54-30)*(T53+(R54*T53)/(V54-R54))/V54))</f>
        <v>#DIV/0!</v>
      </c>
      <c r="V82" s="74">
        <v>30</v>
      </c>
      <c r="W82" s="75">
        <v>25</v>
      </c>
      <c r="X82" s="73" t="e">
        <f>((Z54-30)*(X53+(V54*X53)/(Z54-V54))/Z54)</f>
        <v>#DIV/0!</v>
      </c>
      <c r="Y82" s="74" t="e">
        <f>(X53-(X53*(20-V54)/(Z54-V54))-((Z54-30)*(X53+(V54*X53)/(Z54-V54))/Z54))</f>
        <v>#DIV/0!</v>
      </c>
      <c r="Z82" s="74">
        <v>30</v>
      </c>
      <c r="AA82" s="75">
        <v>25</v>
      </c>
      <c r="AB82" s="73" t="e">
        <f>((AD54-30)*(AB53+(Z54*AB53)/(AD54-Z54))/AD54)</f>
        <v>#DIV/0!</v>
      </c>
      <c r="AC82" s="74" t="e">
        <f>(AB53-(AB53*(20-Z54)/(AD54-Z54))-((AD54-30)*(AB53+(Z54*AB53)/(AD54-Z54))/AD54))</f>
        <v>#DIV/0!</v>
      </c>
      <c r="AD82" s="74">
        <v>30</v>
      </c>
      <c r="AE82" s="75">
        <v>25</v>
      </c>
      <c r="AF82" s="73" t="e">
        <f>((AH54-30)*(AF53+(AD54*AF53)/(AH54-AD54))/AH54)</f>
        <v>#DIV/0!</v>
      </c>
      <c r="AG82" s="74" t="e">
        <f>(AF53-(AF53*(20-AD54)/(AH54-AD54))-((AH54-30)*(AF53+(AD54*AF53)/(AH54-AD54))/AH54))</f>
        <v>#DIV/0!</v>
      </c>
      <c r="AH82" s="74">
        <v>30</v>
      </c>
      <c r="AI82" s="75">
        <v>25</v>
      </c>
      <c r="AJ82" s="73" t="e">
        <f>((AL54-30)*(AJ53+(AH54*AJ53)/(AL54-AH54))/AL54)</f>
        <v>#DIV/0!</v>
      </c>
      <c r="AK82" s="74" t="e">
        <f>(AJ53-(AJ53*(20-AH54)/(AL54-AH54))-((AL54-30)*(AJ53+(AH54*AJ53)/(AL54-AH54))/AL54))</f>
        <v>#DIV/0!</v>
      </c>
      <c r="AL82" s="74">
        <v>30</v>
      </c>
      <c r="AM82" s="75">
        <v>25</v>
      </c>
      <c r="AN82" s="73" t="e">
        <f>((AP54-30)*(AN53+(AL54*AN53)/(AP54-AL54))/AP54)</f>
        <v>#DIV/0!</v>
      </c>
      <c r="AO82" s="74" t="e">
        <f>(AN53-(AN53*(20-AL54)/(AP54-AL54))-((AP54-30)*(AN53+(AL54*AN53)/(AP54-AL54))/AP54))</f>
        <v>#DIV/0!</v>
      </c>
      <c r="AP82" s="74">
        <v>30</v>
      </c>
      <c r="AQ82" s="75">
        <v>25</v>
      </c>
      <c r="AR82" s="73" t="e">
        <f>((AT54-30)*(AR53+(AP54*AR53)/(AT54-AP54))/AT54)</f>
        <v>#DIV/0!</v>
      </c>
      <c r="AS82" s="74" t="e">
        <f>(AR53-(AR53*(20-AP54)/(AT54-AP54))-((AT54-30)*(AR53+(AP54*AR53)/(AT54-AP54))/AT54))</f>
        <v>#DIV/0!</v>
      </c>
      <c r="AT82" s="74">
        <v>30</v>
      </c>
      <c r="AU82" s="75">
        <v>25</v>
      </c>
      <c r="AV82" s="73" t="e">
        <f>((AX54-30)*(AV53+(AT54*AV53)/(AX54-AT54))/AX54)</f>
        <v>#DIV/0!</v>
      </c>
      <c r="AW82" s="74" t="e">
        <f>(AV53-(AV53*(20-AT54)/(AX54-AT54))-((AX54-30)*(AV53+(AT54*AV53)/(AX54-AT54))/AX54))</f>
        <v>#DIV/0!</v>
      </c>
      <c r="AX82" s="74">
        <v>30</v>
      </c>
      <c r="AY82" s="75">
        <v>25</v>
      </c>
    </row>
    <row r="83" spans="1:52" hidden="1" x14ac:dyDescent="0.2">
      <c r="A83" s="52"/>
      <c r="B83" s="51"/>
      <c r="C83" s="51"/>
      <c r="D83" s="73"/>
      <c r="E83" s="76" t="e">
        <f>D82+E82</f>
        <v>#DIV/0!</v>
      </c>
      <c r="F83" s="76" t="e">
        <f>(E82*G82)+(D82*F82)</f>
        <v>#DIV/0!</v>
      </c>
      <c r="G83" s="75"/>
      <c r="H83" s="73"/>
      <c r="I83" s="76" t="e">
        <f>H82+I82</f>
        <v>#DIV/0!</v>
      </c>
      <c r="J83" s="76" t="e">
        <f>(I82*K82)+(H82*J82)</f>
        <v>#DIV/0!</v>
      </c>
      <c r="K83" s="75"/>
      <c r="L83" s="73"/>
      <c r="M83" s="76" t="e">
        <f>L82+M82</f>
        <v>#DIV/0!</v>
      </c>
      <c r="N83" s="76" t="e">
        <f>(M82*O82)+(L82*N82)</f>
        <v>#DIV/0!</v>
      </c>
      <c r="O83" s="75"/>
      <c r="P83" s="73"/>
      <c r="Q83" s="76" t="e">
        <f>P82+Q82</f>
        <v>#DIV/0!</v>
      </c>
      <c r="R83" s="76" t="e">
        <f>(Q82*S82)+(P82*R82)</f>
        <v>#DIV/0!</v>
      </c>
      <c r="S83" s="75"/>
      <c r="T83" s="73"/>
      <c r="U83" s="76" t="e">
        <f>T82+U82</f>
        <v>#DIV/0!</v>
      </c>
      <c r="V83" s="76" t="e">
        <f>(U82*W82)+(T82*V82)</f>
        <v>#DIV/0!</v>
      </c>
      <c r="W83" s="75"/>
      <c r="X83" s="73"/>
      <c r="Y83" s="76" t="e">
        <f>X82+Y82</f>
        <v>#DIV/0!</v>
      </c>
      <c r="Z83" s="76" t="e">
        <f>(Y82*AA82)+(X82*Z82)</f>
        <v>#DIV/0!</v>
      </c>
      <c r="AA83" s="75"/>
      <c r="AB83" s="73"/>
      <c r="AC83" s="76" t="e">
        <f>AB82+AC82</f>
        <v>#DIV/0!</v>
      </c>
      <c r="AD83" s="76" t="e">
        <f>(AC82*AE82)+(AB82*AD82)</f>
        <v>#DIV/0!</v>
      </c>
      <c r="AE83" s="75"/>
      <c r="AF83" s="73"/>
      <c r="AG83" s="76" t="e">
        <f>AF82+AG82</f>
        <v>#DIV/0!</v>
      </c>
      <c r="AH83" s="76" t="e">
        <f>(AG82*AI82)+(AF82*AH82)</f>
        <v>#DIV/0!</v>
      </c>
      <c r="AI83" s="75"/>
      <c r="AJ83" s="73"/>
      <c r="AK83" s="76" t="e">
        <f>AJ82+AK82</f>
        <v>#DIV/0!</v>
      </c>
      <c r="AL83" s="76" t="e">
        <f>(AK82*AM82)+(AJ82*AL82)</f>
        <v>#DIV/0!</v>
      </c>
      <c r="AM83" s="75"/>
      <c r="AN83" s="73"/>
      <c r="AO83" s="76" t="e">
        <f>AN82+AO82</f>
        <v>#DIV/0!</v>
      </c>
      <c r="AP83" s="76" t="e">
        <f>(AO82*AQ82)+(AN82*AP82)</f>
        <v>#DIV/0!</v>
      </c>
      <c r="AQ83" s="75"/>
      <c r="AR83" s="73"/>
      <c r="AS83" s="76" t="e">
        <f>AR82+AS82</f>
        <v>#DIV/0!</v>
      </c>
      <c r="AT83" s="76" t="e">
        <f>(AS82*AU82)+(AR82*AT82)</f>
        <v>#DIV/0!</v>
      </c>
      <c r="AU83" s="75"/>
      <c r="AV83" s="73"/>
      <c r="AW83" s="76" t="e">
        <f>AV82+AW82</f>
        <v>#DIV/0!</v>
      </c>
      <c r="AX83" s="76" t="e">
        <f>(AW82*AY82)+(AV82*AX82)</f>
        <v>#DIV/0!</v>
      </c>
      <c r="AY83" s="75"/>
    </row>
    <row r="84" spans="1:52" hidden="1" x14ac:dyDescent="0.2">
      <c r="A84" s="52" t="s">
        <v>64</v>
      </c>
      <c r="B84" s="51"/>
      <c r="C84" s="51"/>
      <c r="D84" s="73" t="e">
        <f>((B54-30)*(D53+(F54*D53)/(B54-F54))/B54)</f>
        <v>#DIV/0!</v>
      </c>
      <c r="E84" s="74" t="e">
        <f>(D53-(D53*(20-F54)/(B54-F54))-((B54-30)*(D53+(F54*D53)/(B54-F54))/B54))</f>
        <v>#DIV/0!</v>
      </c>
      <c r="F84" s="74">
        <v>30</v>
      </c>
      <c r="G84" s="75">
        <v>25</v>
      </c>
      <c r="H84" s="73" t="e">
        <f>((F54-30)*(H53+(J54*H53)/(F54-J54))/F54)</f>
        <v>#DIV/0!</v>
      </c>
      <c r="I84" s="74" t="e">
        <f>(H53-(H53*(20-J54)/(F54-J54))-((F54-30)*(H53+(J54*H53)/(F54-J54))/F54))</f>
        <v>#DIV/0!</v>
      </c>
      <c r="J84" s="74">
        <v>30</v>
      </c>
      <c r="K84" s="75">
        <v>25</v>
      </c>
      <c r="L84" s="73" t="e">
        <f>((J54-30)*(L53+(N54*L53)/(J54-N54))/J54)</f>
        <v>#DIV/0!</v>
      </c>
      <c r="M84" s="74" t="e">
        <f>(L53-(L53*(20-N54)/(J54-N54))-((J54-30)*(L53+(N54*L53)/(J54-N54))/J54))</f>
        <v>#DIV/0!</v>
      </c>
      <c r="N84" s="74">
        <v>30</v>
      </c>
      <c r="O84" s="75">
        <v>25</v>
      </c>
      <c r="P84" s="73" t="e">
        <f>((N54-30)*(P53+(R54*P53)/(N54-R54))/N54)</f>
        <v>#DIV/0!</v>
      </c>
      <c r="Q84" s="74" t="e">
        <f>(P53-(P53*(20-R54)/(N54-R54))-((N54-30)*(P53+(R54*P53)/(N54-R54))/N54))</f>
        <v>#DIV/0!</v>
      </c>
      <c r="R84" s="74">
        <v>30</v>
      </c>
      <c r="S84" s="75">
        <v>25</v>
      </c>
      <c r="T84" s="73" t="e">
        <f>((R54-30)*(T53+(V54*T53)/(R54-V54))/R54)</f>
        <v>#DIV/0!</v>
      </c>
      <c r="U84" s="74" t="e">
        <f>(T53-(T53*(20-V54)/(R54-V54))-((R54-30)*(T53+(V54*T53)/(R54-V54))/R54))</f>
        <v>#DIV/0!</v>
      </c>
      <c r="V84" s="74">
        <v>30</v>
      </c>
      <c r="W84" s="75">
        <v>25</v>
      </c>
      <c r="X84" s="73" t="e">
        <f>((V54-30)*(X53+(Z54*X53)/(V54-Z54))/V54)</f>
        <v>#DIV/0!</v>
      </c>
      <c r="Y84" s="74" t="e">
        <f>(X53-(X53*(20-Z54)/(V54-Z54))-((V54-30)*(X53+(Z54*X53)/(V54-Z54))/V54))</f>
        <v>#DIV/0!</v>
      </c>
      <c r="Z84" s="74">
        <v>30</v>
      </c>
      <c r="AA84" s="75">
        <v>25</v>
      </c>
      <c r="AB84" s="73" t="e">
        <f>((Z54-30)*(AB53+(AD54*AB53)/(Z54-AD54))/Z54)</f>
        <v>#DIV/0!</v>
      </c>
      <c r="AC84" s="74" t="e">
        <f>(AB53-(AB53*(20-AD54)/(Z54-AD54))-((Z54-30)*(AB53+(AD54*AB53)/(Z54-AD54))/Z54))</f>
        <v>#DIV/0!</v>
      </c>
      <c r="AD84" s="74">
        <v>30</v>
      </c>
      <c r="AE84" s="75">
        <v>25</v>
      </c>
      <c r="AF84" s="73" t="e">
        <f>((AD54-30)*(AF53+(AH54*AF53)/(AD54-AH54))/AD54)</f>
        <v>#DIV/0!</v>
      </c>
      <c r="AG84" s="74" t="e">
        <f>(AF53-(AF53*(20-AH54)/(AD54-AH54))-((AD54-30)*(AF53+(AH54*AF53)/(AD54-AH54))/AD54))</f>
        <v>#DIV/0!</v>
      </c>
      <c r="AH84" s="74">
        <v>30</v>
      </c>
      <c r="AI84" s="75">
        <v>25</v>
      </c>
      <c r="AJ84" s="73" t="e">
        <f>((AH54-30)*(AJ53+(AL54*AJ53)/(AH54-AL54))/AH54)</f>
        <v>#DIV/0!</v>
      </c>
      <c r="AK84" s="74" t="e">
        <f>(AJ53-(AJ53*(20-AL54)/(AH54-AL54))-((AH54-30)*(AJ53+(AL54*AJ53)/(AH54-AL54))/AH54))</f>
        <v>#DIV/0!</v>
      </c>
      <c r="AL84" s="74">
        <v>30</v>
      </c>
      <c r="AM84" s="75">
        <v>25</v>
      </c>
      <c r="AN84" s="73" t="e">
        <f>((AL54-30)*(AN53+(AP54*AN53)/(AL54-AP54))/AL54)</f>
        <v>#DIV/0!</v>
      </c>
      <c r="AO84" s="74" t="e">
        <f>(AN53-(AN53*(20-AP54)/(AL54-AP54))-((AL54-30)*(AN53+(AP54*AN53)/(AL54-AP54))/AL54))</f>
        <v>#DIV/0!</v>
      </c>
      <c r="AP84" s="74">
        <v>30</v>
      </c>
      <c r="AQ84" s="75">
        <v>25</v>
      </c>
      <c r="AR84" s="73" t="e">
        <f>((AP54-30)*(AR53+(AT54*AR53)/(AP54-AT54))/AP54)</f>
        <v>#DIV/0!</v>
      </c>
      <c r="AS84" s="74" t="e">
        <f>(AR53-(AR53*(20-AT54)/(AP54-AT54))-((AP54-30)*(AR53+(AT54*AR53)/(AP54-AT54))/AP54))</f>
        <v>#DIV/0!</v>
      </c>
      <c r="AT84" s="74">
        <v>30</v>
      </c>
      <c r="AU84" s="75">
        <v>25</v>
      </c>
      <c r="AV84" s="73" t="e">
        <f>((AT54-30)*(AV53+(AX54*AV53)/(AT54-AX54))/AT54)</f>
        <v>#DIV/0!</v>
      </c>
      <c r="AW84" s="74" t="e">
        <f>(AV53-(AV53*(20-AX54)/(AT54-AX54))-((AT54-30)*(AV53+(AX54*AV53)/(AT54-AX54))/AT54))</f>
        <v>#DIV/0!</v>
      </c>
      <c r="AX84" s="74">
        <v>30</v>
      </c>
      <c r="AY84" s="75">
        <v>25</v>
      </c>
    </row>
    <row r="85" spans="1:52" hidden="1" x14ac:dyDescent="0.2">
      <c r="A85" s="52"/>
      <c r="B85" s="51"/>
      <c r="C85" s="51"/>
      <c r="D85" s="73"/>
      <c r="E85" s="76" t="e">
        <f>D84+E84</f>
        <v>#DIV/0!</v>
      </c>
      <c r="F85" s="76" t="e">
        <f>(E84*G84)+(D84*F84)</f>
        <v>#DIV/0!</v>
      </c>
      <c r="G85" s="75"/>
      <c r="H85" s="73"/>
      <c r="I85" s="76" t="e">
        <f>H84+I84</f>
        <v>#DIV/0!</v>
      </c>
      <c r="J85" s="76" t="e">
        <f>(I84*K84)+(H84*J84)</f>
        <v>#DIV/0!</v>
      </c>
      <c r="K85" s="75"/>
      <c r="L85" s="73"/>
      <c r="M85" s="76" t="e">
        <f>L84+M84</f>
        <v>#DIV/0!</v>
      </c>
      <c r="N85" s="76" t="e">
        <f>(M84*O84)+(L84*N84)</f>
        <v>#DIV/0!</v>
      </c>
      <c r="O85" s="75"/>
      <c r="P85" s="73"/>
      <c r="Q85" s="76" t="e">
        <f>P84+Q84</f>
        <v>#DIV/0!</v>
      </c>
      <c r="R85" s="76" t="e">
        <f>(Q84*S84)+(P84*R84)</f>
        <v>#DIV/0!</v>
      </c>
      <c r="S85" s="75"/>
      <c r="T85" s="73"/>
      <c r="U85" s="76" t="e">
        <f>T84+U84</f>
        <v>#DIV/0!</v>
      </c>
      <c r="V85" s="76" t="e">
        <f>(U84*W84)+(T84*V84)</f>
        <v>#DIV/0!</v>
      </c>
      <c r="W85" s="75"/>
      <c r="X85" s="73"/>
      <c r="Y85" s="76" t="e">
        <f>X84+Y84</f>
        <v>#DIV/0!</v>
      </c>
      <c r="Z85" s="76" t="e">
        <f>(Y84*AA84)+(X84*Z84)</f>
        <v>#DIV/0!</v>
      </c>
      <c r="AA85" s="75"/>
      <c r="AB85" s="73"/>
      <c r="AC85" s="76" t="e">
        <f>AB84+AC84</f>
        <v>#DIV/0!</v>
      </c>
      <c r="AD85" s="76" t="e">
        <f>(AC84*AE84)+(AB84*AD84)</f>
        <v>#DIV/0!</v>
      </c>
      <c r="AE85" s="75"/>
      <c r="AF85" s="73"/>
      <c r="AG85" s="76" t="e">
        <f>AF84+AG84</f>
        <v>#DIV/0!</v>
      </c>
      <c r="AH85" s="76" t="e">
        <f>(AG84*AI84)+(AF84*AH84)</f>
        <v>#DIV/0!</v>
      </c>
      <c r="AI85" s="75"/>
      <c r="AJ85" s="73"/>
      <c r="AK85" s="76" t="e">
        <f>AJ84+AK84</f>
        <v>#DIV/0!</v>
      </c>
      <c r="AL85" s="76" t="e">
        <f>(AK84*AM84)+(AJ84*AL84)</f>
        <v>#DIV/0!</v>
      </c>
      <c r="AM85" s="75"/>
      <c r="AN85" s="73"/>
      <c r="AO85" s="76" t="e">
        <f>AN84+AO84</f>
        <v>#DIV/0!</v>
      </c>
      <c r="AP85" s="76" t="e">
        <f>(AO84*AQ84)+(AN84*AP84)</f>
        <v>#DIV/0!</v>
      </c>
      <c r="AQ85" s="75"/>
      <c r="AR85" s="73"/>
      <c r="AS85" s="76" t="e">
        <f>AR84+AS84</f>
        <v>#DIV/0!</v>
      </c>
      <c r="AT85" s="76" t="e">
        <f>(AS84*AU84)+(AR84*AT84)</f>
        <v>#DIV/0!</v>
      </c>
      <c r="AU85" s="75"/>
      <c r="AV85" s="73"/>
      <c r="AW85" s="76" t="e">
        <f>AV84+AW84</f>
        <v>#DIV/0!</v>
      </c>
      <c r="AX85" s="76" t="e">
        <f>(AW84*AY84)+(AV84*AX84)</f>
        <v>#DIV/0!</v>
      </c>
      <c r="AY85" s="75"/>
    </row>
    <row r="86" spans="1:52" hidden="1" x14ac:dyDescent="0.2">
      <c r="A86" s="52" t="s">
        <v>65</v>
      </c>
      <c r="B86" s="51"/>
      <c r="C86" s="51"/>
      <c r="D86" s="73"/>
      <c r="E86" s="74" t="e">
        <f>D53*(F54-20)/(F54-B54)</f>
        <v>#DIV/0!</v>
      </c>
      <c r="F86" s="74"/>
      <c r="G86" s="75">
        <f>(20+F54)/2</f>
        <v>10</v>
      </c>
      <c r="H86" s="73"/>
      <c r="I86" s="74" t="e">
        <f>H53*(J54-20)/(J54-F54)</f>
        <v>#DIV/0!</v>
      </c>
      <c r="J86" s="74"/>
      <c r="K86" s="75">
        <f>(20+J54)/2</f>
        <v>10</v>
      </c>
      <c r="L86" s="73"/>
      <c r="M86" s="74" t="e">
        <f>L53*(N54-20)/(N54-J54)</f>
        <v>#DIV/0!</v>
      </c>
      <c r="N86" s="74"/>
      <c r="O86" s="75">
        <f>(20+N54)/2</f>
        <v>10</v>
      </c>
      <c r="P86" s="73"/>
      <c r="Q86" s="74" t="e">
        <f>P53*(R54-20)/(R54-N54)</f>
        <v>#DIV/0!</v>
      </c>
      <c r="R86" s="74"/>
      <c r="S86" s="75">
        <f>(20+R54)/2</f>
        <v>10</v>
      </c>
      <c r="T86" s="73"/>
      <c r="U86" s="74" t="e">
        <f>T53*(V54-20)/(V54-R54)</f>
        <v>#DIV/0!</v>
      </c>
      <c r="V86" s="74"/>
      <c r="W86" s="75">
        <f>(20+V54)/2</f>
        <v>10</v>
      </c>
      <c r="X86" s="73"/>
      <c r="Y86" s="74" t="e">
        <f>X53*(Z54-20)/(Z54-V54)</f>
        <v>#DIV/0!</v>
      </c>
      <c r="Z86" s="74"/>
      <c r="AA86" s="75">
        <f>(20+Z54)/2</f>
        <v>10</v>
      </c>
      <c r="AB86" s="73"/>
      <c r="AC86" s="74" t="e">
        <f>AB53*(AD54-20)/(AD54-Z54)</f>
        <v>#DIV/0!</v>
      </c>
      <c r="AD86" s="74"/>
      <c r="AE86" s="75">
        <f>(20+AD54)/2</f>
        <v>10</v>
      </c>
      <c r="AF86" s="73"/>
      <c r="AG86" s="74" t="e">
        <f>AF53*(AH54-20)/(AH54-AD54)</f>
        <v>#DIV/0!</v>
      </c>
      <c r="AH86" s="74"/>
      <c r="AI86" s="75">
        <f>(20+AH54)/2</f>
        <v>10</v>
      </c>
      <c r="AJ86" s="73"/>
      <c r="AK86" s="74" t="e">
        <f>AJ53*(AL54-20)/(AL54-AH54)</f>
        <v>#DIV/0!</v>
      </c>
      <c r="AL86" s="74"/>
      <c r="AM86" s="75">
        <f>(20+AL54)/2</f>
        <v>10</v>
      </c>
      <c r="AN86" s="73"/>
      <c r="AO86" s="74" t="e">
        <f>AN53*(AP54-20)/(AP54-AL54)</f>
        <v>#DIV/0!</v>
      </c>
      <c r="AP86" s="74"/>
      <c r="AQ86" s="75">
        <f>(20+AP54)/2</f>
        <v>10</v>
      </c>
      <c r="AR86" s="73"/>
      <c r="AS86" s="74" t="e">
        <f>AR53*(AT54-20)/(AT54-AP54)</f>
        <v>#DIV/0!</v>
      </c>
      <c r="AT86" s="74"/>
      <c r="AU86" s="75">
        <f>(20+AT54)/2</f>
        <v>10</v>
      </c>
      <c r="AV86" s="73"/>
      <c r="AW86" s="74" t="e">
        <f>AV53*(AX54-20)/(AX54-AT54)</f>
        <v>#DIV/0!</v>
      </c>
      <c r="AX86" s="74"/>
      <c r="AY86" s="75">
        <f>(20+AX54)/2</f>
        <v>10</v>
      </c>
    </row>
    <row r="87" spans="1:52" hidden="1" x14ac:dyDescent="0.2">
      <c r="A87" s="52"/>
      <c r="B87" s="51"/>
      <c r="C87" s="51"/>
      <c r="D87" s="73"/>
      <c r="E87" s="76" t="e">
        <f>D86+E86</f>
        <v>#DIV/0!</v>
      </c>
      <c r="F87" s="76" t="e">
        <f>E86*G86</f>
        <v>#DIV/0!</v>
      </c>
      <c r="G87" s="75"/>
      <c r="H87" s="73"/>
      <c r="I87" s="76" t="e">
        <f>H86+I86</f>
        <v>#DIV/0!</v>
      </c>
      <c r="J87" s="76" t="e">
        <f>I86*K86</f>
        <v>#DIV/0!</v>
      </c>
      <c r="K87" s="75"/>
      <c r="L87" s="73"/>
      <c r="M87" s="76" t="e">
        <f>L86+M86</f>
        <v>#DIV/0!</v>
      </c>
      <c r="N87" s="76" t="e">
        <f>M86*O86</f>
        <v>#DIV/0!</v>
      </c>
      <c r="O87" s="75"/>
      <c r="P87" s="73"/>
      <c r="Q87" s="76" t="e">
        <f>P86+Q86</f>
        <v>#DIV/0!</v>
      </c>
      <c r="R87" s="76" t="e">
        <f>Q86*S86</f>
        <v>#DIV/0!</v>
      </c>
      <c r="S87" s="75"/>
      <c r="T87" s="73"/>
      <c r="U87" s="76" t="e">
        <f>T86+U86</f>
        <v>#DIV/0!</v>
      </c>
      <c r="V87" s="76" t="e">
        <f>U86*W86</f>
        <v>#DIV/0!</v>
      </c>
      <c r="W87" s="75"/>
      <c r="X87" s="73"/>
      <c r="Y87" s="76" t="e">
        <f>X86+Y86</f>
        <v>#DIV/0!</v>
      </c>
      <c r="Z87" s="76" t="e">
        <f>Y86*AA86</f>
        <v>#DIV/0!</v>
      </c>
      <c r="AA87" s="75"/>
      <c r="AB87" s="73"/>
      <c r="AC87" s="76" t="e">
        <f>AB86+AC86</f>
        <v>#DIV/0!</v>
      </c>
      <c r="AD87" s="76" t="e">
        <f>AC86*AE86</f>
        <v>#DIV/0!</v>
      </c>
      <c r="AE87" s="75"/>
      <c r="AF87" s="73"/>
      <c r="AG87" s="76" t="e">
        <f>AF86+AG86</f>
        <v>#DIV/0!</v>
      </c>
      <c r="AH87" s="76" t="e">
        <f>AG86*AI86</f>
        <v>#DIV/0!</v>
      </c>
      <c r="AI87" s="75"/>
      <c r="AJ87" s="73"/>
      <c r="AK87" s="76" t="e">
        <f>AJ86+AK86</f>
        <v>#DIV/0!</v>
      </c>
      <c r="AL87" s="76" t="e">
        <f>AK86*AM86</f>
        <v>#DIV/0!</v>
      </c>
      <c r="AM87" s="75"/>
      <c r="AN87" s="73"/>
      <c r="AO87" s="76" t="e">
        <f>AN86+AO86</f>
        <v>#DIV/0!</v>
      </c>
      <c r="AP87" s="76" t="e">
        <f>AO86*AQ86</f>
        <v>#DIV/0!</v>
      </c>
      <c r="AQ87" s="75"/>
      <c r="AR87" s="73"/>
      <c r="AS87" s="76" t="e">
        <f>AR86+AS86</f>
        <v>#DIV/0!</v>
      </c>
      <c r="AT87" s="76" t="e">
        <f>AS86*AU86</f>
        <v>#DIV/0!</v>
      </c>
      <c r="AU87" s="75"/>
      <c r="AV87" s="73"/>
      <c r="AW87" s="76" t="e">
        <f>AV86+AW86</f>
        <v>#DIV/0!</v>
      </c>
      <c r="AX87" s="76" t="e">
        <f>AW86*AY86</f>
        <v>#DIV/0!</v>
      </c>
      <c r="AY87" s="75"/>
    </row>
    <row r="88" spans="1:52" hidden="1" x14ac:dyDescent="0.2">
      <c r="A88" s="52" t="s">
        <v>66</v>
      </c>
      <c r="B88" s="51"/>
      <c r="C88" s="51"/>
      <c r="D88" s="73"/>
      <c r="E88" s="74" t="e">
        <f>D53*(B54-20)/(B54-F54)</f>
        <v>#DIV/0!</v>
      </c>
      <c r="F88" s="74"/>
      <c r="G88" s="75">
        <f>(20+B54)/2</f>
        <v>10</v>
      </c>
      <c r="H88" s="73"/>
      <c r="I88" s="74" t="e">
        <f>H53*(F54-20)/(F54-J54)</f>
        <v>#DIV/0!</v>
      </c>
      <c r="J88" s="74"/>
      <c r="K88" s="75">
        <f>(20+F54)/2</f>
        <v>10</v>
      </c>
      <c r="L88" s="73"/>
      <c r="M88" s="74" t="e">
        <f>L53*(J54-20)/(J54-N54)</f>
        <v>#DIV/0!</v>
      </c>
      <c r="N88" s="74"/>
      <c r="O88" s="75">
        <f>(20+J54)/2</f>
        <v>10</v>
      </c>
      <c r="P88" s="73"/>
      <c r="Q88" s="74" t="e">
        <f>P53*(N54-20)/(N54-R54)</f>
        <v>#DIV/0!</v>
      </c>
      <c r="R88" s="74"/>
      <c r="S88" s="75">
        <f>(20+N54)/2</f>
        <v>10</v>
      </c>
      <c r="T88" s="73"/>
      <c r="U88" s="74" t="e">
        <f>T53*(R54-20)/(R54-V54)</f>
        <v>#DIV/0!</v>
      </c>
      <c r="V88" s="74"/>
      <c r="W88" s="75">
        <f>(20+R54)/2</f>
        <v>10</v>
      </c>
      <c r="X88" s="73"/>
      <c r="Y88" s="74" t="e">
        <f>X53*(V54-20)/(V54-Z54)</f>
        <v>#DIV/0!</v>
      </c>
      <c r="Z88" s="74"/>
      <c r="AA88" s="75">
        <f>(20+V54)/2</f>
        <v>10</v>
      </c>
      <c r="AB88" s="73"/>
      <c r="AC88" s="74" t="e">
        <f>AB53*(Z54-20)/(Z54-AD54)</f>
        <v>#DIV/0!</v>
      </c>
      <c r="AD88" s="74"/>
      <c r="AE88" s="75">
        <f>(20+Z54)/2</f>
        <v>10</v>
      </c>
      <c r="AF88" s="73"/>
      <c r="AG88" s="74" t="e">
        <f>AF53*(AD54-20)/(AD54-AH54)</f>
        <v>#DIV/0!</v>
      </c>
      <c r="AH88" s="74"/>
      <c r="AI88" s="75">
        <f>(20+AD54)/2</f>
        <v>10</v>
      </c>
      <c r="AJ88" s="73"/>
      <c r="AK88" s="74" t="e">
        <f>AJ53*(AH54-20)/(AH54-AL54)</f>
        <v>#DIV/0!</v>
      </c>
      <c r="AL88" s="74"/>
      <c r="AM88" s="75">
        <f>(20+AH54)/2</f>
        <v>10</v>
      </c>
      <c r="AN88" s="73"/>
      <c r="AO88" s="74" t="e">
        <f>AN53*(AL54-20)/(AL54-AP54)</f>
        <v>#DIV/0!</v>
      </c>
      <c r="AP88" s="74"/>
      <c r="AQ88" s="75">
        <f>(20+AL54)/2</f>
        <v>10</v>
      </c>
      <c r="AR88" s="73"/>
      <c r="AS88" s="74" t="e">
        <f>AR53*(AP54-20)/(AP54-AT54)</f>
        <v>#DIV/0!</v>
      </c>
      <c r="AT88" s="74"/>
      <c r="AU88" s="75">
        <f>(20+AP54)/2</f>
        <v>10</v>
      </c>
      <c r="AV88" s="73"/>
      <c r="AW88" s="74" t="e">
        <f>AV53*(AT54-20)/(AT54-AX54)</f>
        <v>#DIV/0!</v>
      </c>
      <c r="AX88" s="74"/>
      <c r="AY88" s="75">
        <f>(20+AT54)/2</f>
        <v>10</v>
      </c>
    </row>
    <row r="89" spans="1:52" hidden="1" x14ac:dyDescent="0.2">
      <c r="A89" s="52"/>
      <c r="B89" s="51"/>
      <c r="C89" s="51"/>
      <c r="D89" s="73"/>
      <c r="E89" s="76" t="e">
        <f>D88+E88</f>
        <v>#DIV/0!</v>
      </c>
      <c r="F89" s="76" t="e">
        <f>E88*G88</f>
        <v>#DIV/0!</v>
      </c>
      <c r="G89" s="75"/>
      <c r="H89" s="73"/>
      <c r="I89" s="76" t="e">
        <f>H88+I88</f>
        <v>#DIV/0!</v>
      </c>
      <c r="J89" s="76" t="e">
        <f>I88*K88</f>
        <v>#DIV/0!</v>
      </c>
      <c r="K89" s="75"/>
      <c r="L89" s="73"/>
      <c r="M89" s="76" t="e">
        <f>L88+M88</f>
        <v>#DIV/0!</v>
      </c>
      <c r="N89" s="76" t="e">
        <f>M88*O88</f>
        <v>#DIV/0!</v>
      </c>
      <c r="O89" s="75"/>
      <c r="P89" s="73"/>
      <c r="Q89" s="76" t="e">
        <f>P88+Q88</f>
        <v>#DIV/0!</v>
      </c>
      <c r="R89" s="76" t="e">
        <f>Q88*S88</f>
        <v>#DIV/0!</v>
      </c>
      <c r="S89" s="75"/>
      <c r="T89" s="73"/>
      <c r="U89" s="76" t="e">
        <f>T88+U88</f>
        <v>#DIV/0!</v>
      </c>
      <c r="V89" s="76" t="e">
        <f>U88*W88</f>
        <v>#DIV/0!</v>
      </c>
      <c r="W89" s="75"/>
      <c r="X89" s="73"/>
      <c r="Y89" s="76" t="e">
        <f>X88+Y88</f>
        <v>#DIV/0!</v>
      </c>
      <c r="Z89" s="76" t="e">
        <f>Y88*AA88</f>
        <v>#DIV/0!</v>
      </c>
      <c r="AA89" s="75"/>
      <c r="AB89" s="73"/>
      <c r="AC89" s="76" t="e">
        <f>AB88+AC88</f>
        <v>#DIV/0!</v>
      </c>
      <c r="AD89" s="76" t="e">
        <f>AC88*AE88</f>
        <v>#DIV/0!</v>
      </c>
      <c r="AE89" s="75"/>
      <c r="AF89" s="73"/>
      <c r="AG89" s="76" t="e">
        <f>AF88+AG88</f>
        <v>#DIV/0!</v>
      </c>
      <c r="AH89" s="76" t="e">
        <f>AG88*AI88</f>
        <v>#DIV/0!</v>
      </c>
      <c r="AI89" s="75"/>
      <c r="AJ89" s="73"/>
      <c r="AK89" s="76" t="e">
        <f>AJ88+AK88</f>
        <v>#DIV/0!</v>
      </c>
      <c r="AL89" s="76" t="e">
        <f>AK88*AM88</f>
        <v>#DIV/0!</v>
      </c>
      <c r="AM89" s="75"/>
      <c r="AN89" s="73"/>
      <c r="AO89" s="76" t="e">
        <f>AN88+AO88</f>
        <v>#DIV/0!</v>
      </c>
      <c r="AP89" s="76" t="e">
        <f>AO88*AQ88</f>
        <v>#DIV/0!</v>
      </c>
      <c r="AQ89" s="75"/>
      <c r="AR89" s="73"/>
      <c r="AS89" s="76" t="e">
        <f>AR88+AS88</f>
        <v>#DIV/0!</v>
      </c>
      <c r="AT89" s="76" t="e">
        <f>AS88*AU88</f>
        <v>#DIV/0!</v>
      </c>
      <c r="AU89" s="75"/>
      <c r="AV89" s="73"/>
      <c r="AW89" s="76" t="e">
        <f>AV88+AW88</f>
        <v>#DIV/0!</v>
      </c>
      <c r="AX89" s="76" t="e">
        <f>AW88*AY88</f>
        <v>#DIV/0!</v>
      </c>
      <c r="AY89" s="75"/>
    </row>
    <row r="90" spans="1:52" hidden="1" x14ac:dyDescent="0.2">
      <c r="A90" s="52" t="s">
        <v>67</v>
      </c>
      <c r="B90" s="51"/>
      <c r="C90" s="51"/>
      <c r="D90" s="73" t="e">
        <f>D53-E90</f>
        <v>#DIV/0!</v>
      </c>
      <c r="E90" s="74" t="e">
        <f>D53*(30-B54)/(F54-B54)</f>
        <v>#DIV/0!</v>
      </c>
      <c r="F90" s="74">
        <v>30</v>
      </c>
      <c r="G90" s="75">
        <f>(30+B54)/2</f>
        <v>15</v>
      </c>
      <c r="H90" s="73" t="e">
        <f>H53-I90</f>
        <v>#DIV/0!</v>
      </c>
      <c r="I90" s="74" t="e">
        <f>H53*(30-F54)/(J54-F54)</f>
        <v>#DIV/0!</v>
      </c>
      <c r="J90" s="74">
        <v>30</v>
      </c>
      <c r="K90" s="75">
        <f>(30+F54)/2</f>
        <v>15</v>
      </c>
      <c r="L90" s="73" t="e">
        <f>L53-M90</f>
        <v>#DIV/0!</v>
      </c>
      <c r="M90" s="74" t="e">
        <f>L53*(30-J54)/(N54-J54)</f>
        <v>#DIV/0!</v>
      </c>
      <c r="N90" s="74">
        <v>30</v>
      </c>
      <c r="O90" s="75">
        <f>(30+J54)/2</f>
        <v>15</v>
      </c>
      <c r="P90" s="73" t="e">
        <f>P53-Q90</f>
        <v>#DIV/0!</v>
      </c>
      <c r="Q90" s="74" t="e">
        <f>P53*(30-N54)/(R54-N54)</f>
        <v>#DIV/0!</v>
      </c>
      <c r="R90" s="74">
        <v>30</v>
      </c>
      <c r="S90" s="75">
        <f>(30+N54)/2</f>
        <v>15</v>
      </c>
      <c r="T90" s="73" t="e">
        <f>T53-U90</f>
        <v>#DIV/0!</v>
      </c>
      <c r="U90" s="74" t="e">
        <f>T53*(30-R54)/(V54-R54)</f>
        <v>#DIV/0!</v>
      </c>
      <c r="V90" s="74">
        <v>30</v>
      </c>
      <c r="W90" s="75">
        <f>(30+R54)/2</f>
        <v>15</v>
      </c>
      <c r="X90" s="73" t="e">
        <f>X53-Y90</f>
        <v>#DIV/0!</v>
      </c>
      <c r="Y90" s="74" t="e">
        <f>X53*(30-V54)/(Z54-V54)</f>
        <v>#DIV/0!</v>
      </c>
      <c r="Z90" s="74">
        <v>30</v>
      </c>
      <c r="AA90" s="75">
        <f>(30+V54)/2</f>
        <v>15</v>
      </c>
      <c r="AB90" s="73" t="e">
        <f>AB53-AC90</f>
        <v>#DIV/0!</v>
      </c>
      <c r="AC90" s="74" t="e">
        <f>AB53*(30-Z54)/(AD54-Z54)</f>
        <v>#DIV/0!</v>
      </c>
      <c r="AD90" s="74">
        <v>30</v>
      </c>
      <c r="AE90" s="75">
        <f>(30+Z54)/2</f>
        <v>15</v>
      </c>
      <c r="AF90" s="73" t="e">
        <f>AF53-AG90</f>
        <v>#DIV/0!</v>
      </c>
      <c r="AG90" s="74" t="e">
        <f>AF53*(30-AD54)/(AH54-AD54)</f>
        <v>#DIV/0!</v>
      </c>
      <c r="AH90" s="74">
        <v>30</v>
      </c>
      <c r="AI90" s="75">
        <f>(30+AD54)/2</f>
        <v>15</v>
      </c>
      <c r="AJ90" s="73" t="e">
        <f>AJ53-AK90</f>
        <v>#DIV/0!</v>
      </c>
      <c r="AK90" s="74" t="e">
        <f>AJ53*(30-AH54)/(AL54-AH54)</f>
        <v>#DIV/0!</v>
      </c>
      <c r="AL90" s="74">
        <v>30</v>
      </c>
      <c r="AM90" s="75">
        <f>(30+AH54)/2</f>
        <v>15</v>
      </c>
      <c r="AN90" s="73" t="e">
        <f>AN53-AO90</f>
        <v>#DIV/0!</v>
      </c>
      <c r="AO90" s="74" t="e">
        <f>AN53*(30-AL54)/(AP54-AL54)</f>
        <v>#DIV/0!</v>
      </c>
      <c r="AP90" s="74">
        <v>30</v>
      </c>
      <c r="AQ90" s="75">
        <f>(30+AL54)/2</f>
        <v>15</v>
      </c>
      <c r="AR90" s="73" t="e">
        <f>AR53-AS90</f>
        <v>#DIV/0!</v>
      </c>
      <c r="AS90" s="74" t="e">
        <f>AR53*(30-AP54)/(AT54-AP54)</f>
        <v>#DIV/0!</v>
      </c>
      <c r="AT90" s="74">
        <v>30</v>
      </c>
      <c r="AU90" s="75">
        <f>(30+AP54)/2</f>
        <v>15</v>
      </c>
      <c r="AV90" s="73" t="e">
        <f>AV53-AW90</f>
        <v>#DIV/0!</v>
      </c>
      <c r="AW90" s="74" t="e">
        <f>AV53*(30-AT54)/(AX54-AT54)</f>
        <v>#DIV/0!</v>
      </c>
      <c r="AX90" s="74">
        <v>30</v>
      </c>
      <c r="AY90" s="75">
        <f>(30+AT54)/2</f>
        <v>15</v>
      </c>
    </row>
    <row r="91" spans="1:52" hidden="1" x14ac:dyDescent="0.2">
      <c r="A91" s="52"/>
      <c r="B91" s="51"/>
      <c r="C91" s="51"/>
      <c r="D91" s="73"/>
      <c r="E91" s="76" t="e">
        <f>D90+E90</f>
        <v>#DIV/0!</v>
      </c>
      <c r="F91" s="76" t="e">
        <f>(E90*G90)+(D90*F90)</f>
        <v>#DIV/0!</v>
      </c>
      <c r="G91" s="75"/>
      <c r="H91" s="73"/>
      <c r="I91" s="76" t="e">
        <f>H90+I90</f>
        <v>#DIV/0!</v>
      </c>
      <c r="J91" s="76" t="e">
        <f>(I90*K90)+(H90*J90)</f>
        <v>#DIV/0!</v>
      </c>
      <c r="K91" s="75"/>
      <c r="L91" s="73"/>
      <c r="M91" s="76" t="e">
        <f>L90+M90</f>
        <v>#DIV/0!</v>
      </c>
      <c r="N91" s="76" t="e">
        <f>(M90*O90)+(L90*N90)</f>
        <v>#DIV/0!</v>
      </c>
      <c r="O91" s="75"/>
      <c r="P91" s="73"/>
      <c r="Q91" s="76" t="e">
        <f>P90+Q90</f>
        <v>#DIV/0!</v>
      </c>
      <c r="R91" s="76" t="e">
        <f>(Q90*S90)+(P90*R90)</f>
        <v>#DIV/0!</v>
      </c>
      <c r="S91" s="75"/>
      <c r="T91" s="73"/>
      <c r="U91" s="76" t="e">
        <f>T90+U90</f>
        <v>#DIV/0!</v>
      </c>
      <c r="V91" s="76" t="e">
        <f>(U90*W90)+(T90*V90)</f>
        <v>#DIV/0!</v>
      </c>
      <c r="W91" s="75"/>
      <c r="X91" s="73"/>
      <c r="Y91" s="76" t="e">
        <f>X90+Y90</f>
        <v>#DIV/0!</v>
      </c>
      <c r="Z91" s="76" t="e">
        <f>(Y90*AA90)+(X90*Z90)</f>
        <v>#DIV/0!</v>
      </c>
      <c r="AA91" s="75"/>
      <c r="AB91" s="73"/>
      <c r="AC91" s="76" t="e">
        <f>AB90+AC90</f>
        <v>#DIV/0!</v>
      </c>
      <c r="AD91" s="76" t="e">
        <f>(AC90*AE90)+(AB90*AD90)</f>
        <v>#DIV/0!</v>
      </c>
      <c r="AE91" s="75"/>
      <c r="AF91" s="73"/>
      <c r="AG91" s="76" t="e">
        <f>AF90+AG90</f>
        <v>#DIV/0!</v>
      </c>
      <c r="AH91" s="76" t="e">
        <f>(AG90*AI90)+(AF90*AH90)</f>
        <v>#DIV/0!</v>
      </c>
      <c r="AI91" s="75"/>
      <c r="AJ91" s="73"/>
      <c r="AK91" s="76" t="e">
        <f>AJ90+AK90</f>
        <v>#DIV/0!</v>
      </c>
      <c r="AL91" s="76" t="e">
        <f>(AK90*AM90)+(AJ90*AL90)</f>
        <v>#DIV/0!</v>
      </c>
      <c r="AM91" s="75"/>
      <c r="AN91" s="73"/>
      <c r="AO91" s="76" t="e">
        <f>AN90+AO90</f>
        <v>#DIV/0!</v>
      </c>
      <c r="AP91" s="76" t="e">
        <f>(AO90*AQ90)+(AN90*AP90)</f>
        <v>#DIV/0!</v>
      </c>
      <c r="AQ91" s="75"/>
      <c r="AR91" s="73"/>
      <c r="AS91" s="76" t="e">
        <f>AR90+AS90</f>
        <v>#DIV/0!</v>
      </c>
      <c r="AT91" s="76" t="e">
        <f>(AS90*AU90)+(AR90*AT90)</f>
        <v>#DIV/0!</v>
      </c>
      <c r="AU91" s="75"/>
      <c r="AV91" s="73"/>
      <c r="AW91" s="76" t="e">
        <f>AV90+AW90</f>
        <v>#DIV/0!</v>
      </c>
      <c r="AX91" s="76" t="e">
        <f>(AW90*AY90)+(AV90*AX90)</f>
        <v>#DIV/0!</v>
      </c>
      <c r="AY91" s="75"/>
    </row>
    <row r="92" spans="1:52" hidden="1" x14ac:dyDescent="0.2">
      <c r="A92" s="52" t="s">
        <v>68</v>
      </c>
      <c r="B92" s="51"/>
      <c r="C92" s="51"/>
      <c r="D92" s="73" t="e">
        <f>D53-E92</f>
        <v>#DIV/0!</v>
      </c>
      <c r="E92" s="74" t="e">
        <f>D53*(30-F54)/(B54-F54)</f>
        <v>#DIV/0!</v>
      </c>
      <c r="F92" s="74">
        <v>30</v>
      </c>
      <c r="G92" s="75">
        <f>(30+F54)/2</f>
        <v>15</v>
      </c>
      <c r="H92" s="73" t="e">
        <f>H53-I92</f>
        <v>#DIV/0!</v>
      </c>
      <c r="I92" s="74" t="e">
        <f>H53*(30-J54)/(F54-J54)</f>
        <v>#DIV/0!</v>
      </c>
      <c r="J92" s="74">
        <v>30</v>
      </c>
      <c r="K92" s="75">
        <f>(30+J54)/2</f>
        <v>15</v>
      </c>
      <c r="L92" s="73" t="e">
        <f>L53-M92</f>
        <v>#DIV/0!</v>
      </c>
      <c r="M92" s="74" t="e">
        <f>L53*(30-N54)/(J54-N54)</f>
        <v>#DIV/0!</v>
      </c>
      <c r="N92" s="74">
        <v>30</v>
      </c>
      <c r="O92" s="75">
        <f>(30+N54)/2</f>
        <v>15</v>
      </c>
      <c r="P92" s="73" t="e">
        <f>P53-Q92</f>
        <v>#DIV/0!</v>
      </c>
      <c r="Q92" s="74" t="e">
        <f>P53*(30-R54)/(N54-R54)</f>
        <v>#DIV/0!</v>
      </c>
      <c r="R92" s="74">
        <v>30</v>
      </c>
      <c r="S92" s="75">
        <f>(30+R54)/2</f>
        <v>15</v>
      </c>
      <c r="T92" s="73" t="e">
        <f>T53-U92</f>
        <v>#DIV/0!</v>
      </c>
      <c r="U92" s="74" t="e">
        <f>T53*(30-V54)/(R54-V54)</f>
        <v>#DIV/0!</v>
      </c>
      <c r="V92" s="74">
        <v>30</v>
      </c>
      <c r="W92" s="75">
        <f>(30+V54)/2</f>
        <v>15</v>
      </c>
      <c r="X92" s="73" t="e">
        <f>X53-Y92</f>
        <v>#DIV/0!</v>
      </c>
      <c r="Y92" s="74" t="e">
        <f>X53*(30-Z54)/(V54-Z54)</f>
        <v>#DIV/0!</v>
      </c>
      <c r="Z92" s="74">
        <v>30</v>
      </c>
      <c r="AA92" s="75">
        <f>(30+Z54)/2</f>
        <v>15</v>
      </c>
      <c r="AB92" s="73" t="e">
        <f>AB53-AC92</f>
        <v>#DIV/0!</v>
      </c>
      <c r="AC92" s="74" t="e">
        <f>AB53*(30-AD54)/(Z54-AD54)</f>
        <v>#DIV/0!</v>
      </c>
      <c r="AD92" s="74">
        <v>30</v>
      </c>
      <c r="AE92" s="75">
        <f>(30+AD54)/2</f>
        <v>15</v>
      </c>
      <c r="AF92" s="73" t="e">
        <f>AF53-AG92</f>
        <v>#DIV/0!</v>
      </c>
      <c r="AG92" s="74" t="e">
        <f>AF53*(30-AH54)/(AD54-AH54)</f>
        <v>#DIV/0!</v>
      </c>
      <c r="AH92" s="74">
        <v>30</v>
      </c>
      <c r="AI92" s="75">
        <f>(30+AH54)/2</f>
        <v>15</v>
      </c>
      <c r="AJ92" s="73" t="e">
        <f>AJ53-AK92</f>
        <v>#DIV/0!</v>
      </c>
      <c r="AK92" s="74" t="e">
        <f>AJ53*(30-AL54)/(AH54-AL54)</f>
        <v>#DIV/0!</v>
      </c>
      <c r="AL92" s="74">
        <v>30</v>
      </c>
      <c r="AM92" s="75">
        <f>(30+AL54)/2</f>
        <v>15</v>
      </c>
      <c r="AN92" s="73" t="e">
        <f>AN53-AO92</f>
        <v>#DIV/0!</v>
      </c>
      <c r="AO92" s="74" t="e">
        <f>AN53*(30-AP54)/(AL54-AP54)</f>
        <v>#DIV/0!</v>
      </c>
      <c r="AP92" s="74">
        <v>30</v>
      </c>
      <c r="AQ92" s="75">
        <f>(30+AP54)/2</f>
        <v>15</v>
      </c>
      <c r="AR92" s="73" t="e">
        <f>AR53-AS92</f>
        <v>#DIV/0!</v>
      </c>
      <c r="AS92" s="74" t="e">
        <f>AR53*(30-AT54)/(AP54-AT54)</f>
        <v>#DIV/0!</v>
      </c>
      <c r="AT92" s="74">
        <v>30</v>
      </c>
      <c r="AU92" s="75">
        <f>(30+AT54)/2</f>
        <v>15</v>
      </c>
      <c r="AV92" s="73" t="e">
        <f>AV53-AW92</f>
        <v>#DIV/0!</v>
      </c>
      <c r="AW92" s="74" t="e">
        <f>AV53*(30-AX54)/(AT54-AX54)</f>
        <v>#DIV/0!</v>
      </c>
      <c r="AX92" s="74">
        <v>30</v>
      </c>
      <c r="AY92" s="75">
        <f>(30+AX54)/2</f>
        <v>15</v>
      </c>
    </row>
    <row r="93" spans="1:52" hidden="1" x14ac:dyDescent="0.2">
      <c r="A93" s="34"/>
      <c r="B93" s="51"/>
      <c r="C93" s="51"/>
      <c r="D93" s="73"/>
      <c r="E93" s="76" t="e">
        <f>D92+E92</f>
        <v>#DIV/0!</v>
      </c>
      <c r="F93" s="76" t="e">
        <f>(E92*G92)+(D92*F92)</f>
        <v>#DIV/0!</v>
      </c>
      <c r="G93" s="75"/>
      <c r="H93" s="73"/>
      <c r="I93" s="76" t="e">
        <f>H92+I92</f>
        <v>#DIV/0!</v>
      </c>
      <c r="J93" s="76" t="e">
        <f>(I92*K92)+(H92*J92)</f>
        <v>#DIV/0!</v>
      </c>
      <c r="K93" s="75"/>
      <c r="L93" s="73"/>
      <c r="M93" s="76" t="e">
        <f>L92+M92</f>
        <v>#DIV/0!</v>
      </c>
      <c r="N93" s="76" t="e">
        <f>(M92*O92)+(L92*N92)</f>
        <v>#DIV/0!</v>
      </c>
      <c r="O93" s="75"/>
      <c r="P93" s="73"/>
      <c r="Q93" s="76" t="e">
        <f>P92+Q92</f>
        <v>#DIV/0!</v>
      </c>
      <c r="R93" s="76" t="e">
        <f>(Q92*S92)+(P92*R92)</f>
        <v>#DIV/0!</v>
      </c>
      <c r="S93" s="75"/>
      <c r="T93" s="73"/>
      <c r="U93" s="76" t="e">
        <f>T92+U92</f>
        <v>#DIV/0!</v>
      </c>
      <c r="V93" s="76" t="e">
        <f>(U92*W92)+(T92*V92)</f>
        <v>#DIV/0!</v>
      </c>
      <c r="W93" s="75"/>
      <c r="X93" s="73"/>
      <c r="Y93" s="76" t="e">
        <f>X92+Y92</f>
        <v>#DIV/0!</v>
      </c>
      <c r="Z93" s="76" t="e">
        <f>(Y92*AA92)+(X92*Z92)</f>
        <v>#DIV/0!</v>
      </c>
      <c r="AA93" s="75"/>
      <c r="AB93" s="73"/>
      <c r="AC93" s="76" t="e">
        <f>AB92+AC92</f>
        <v>#DIV/0!</v>
      </c>
      <c r="AD93" s="76" t="e">
        <f>(AC92*AE92)+(AB92*AD92)</f>
        <v>#DIV/0!</v>
      </c>
      <c r="AE93" s="75"/>
      <c r="AF93" s="73"/>
      <c r="AG93" s="76" t="e">
        <f>AF92+AG92</f>
        <v>#DIV/0!</v>
      </c>
      <c r="AH93" s="76" t="e">
        <f>(AG92*AI92)+(AF92*AH92)</f>
        <v>#DIV/0!</v>
      </c>
      <c r="AI93" s="75"/>
      <c r="AJ93" s="73"/>
      <c r="AK93" s="76" t="e">
        <f>AJ92+AK92</f>
        <v>#DIV/0!</v>
      </c>
      <c r="AL93" s="76" t="e">
        <f>(AK92*AM92)+(AJ92*AL92)</f>
        <v>#DIV/0!</v>
      </c>
      <c r="AM93" s="75"/>
      <c r="AN93" s="73"/>
      <c r="AO93" s="76" t="e">
        <f>AN92+AO92</f>
        <v>#DIV/0!</v>
      </c>
      <c r="AP93" s="76" t="e">
        <f>(AO92*AQ92)+(AN92*AP92)</f>
        <v>#DIV/0!</v>
      </c>
      <c r="AQ93" s="75"/>
      <c r="AR93" s="73"/>
      <c r="AS93" s="76" t="e">
        <f>AR92+AS92</f>
        <v>#DIV/0!</v>
      </c>
      <c r="AT93" s="76" t="e">
        <f>(AS92*AU92)+(AR92*AT92)</f>
        <v>#DIV/0!</v>
      </c>
      <c r="AU93" s="75"/>
      <c r="AV93" s="73"/>
      <c r="AW93" s="76" t="e">
        <f>AV92+AW92</f>
        <v>#DIV/0!</v>
      </c>
      <c r="AX93" s="76" t="e">
        <f>(AW92*AY92)+(AV92*AX92)</f>
        <v>#DIV/0!</v>
      </c>
      <c r="AY93" s="75"/>
    </row>
    <row r="95" spans="1:52" s="1" customFormat="1" x14ac:dyDescent="0.2">
      <c r="A95" s="65" t="s">
        <v>51</v>
      </c>
      <c r="B95" s="564">
        <f>AX52</f>
        <v>25</v>
      </c>
      <c r="C95" s="565"/>
      <c r="D95" s="566"/>
      <c r="E95" s="66"/>
      <c r="F95" s="553">
        <f>B95+1</f>
        <v>26</v>
      </c>
      <c r="G95" s="554"/>
      <c r="H95" s="555"/>
      <c r="I95" s="66"/>
      <c r="J95" s="553">
        <f>F95+1</f>
        <v>27</v>
      </c>
      <c r="K95" s="554"/>
      <c r="L95" s="555"/>
      <c r="M95" s="66"/>
      <c r="N95" s="553">
        <f>J95+1</f>
        <v>28</v>
      </c>
      <c r="O95" s="554"/>
      <c r="P95" s="555"/>
      <c r="Q95" s="66"/>
      <c r="R95" s="553">
        <f>N95+1</f>
        <v>29</v>
      </c>
      <c r="S95" s="554"/>
      <c r="T95" s="555"/>
      <c r="U95" s="66"/>
      <c r="V95" s="553">
        <f>R95+1</f>
        <v>30</v>
      </c>
      <c r="W95" s="554"/>
      <c r="X95" s="555"/>
      <c r="Y95" s="66"/>
      <c r="Z95" s="553">
        <f>V95+1</f>
        <v>31</v>
      </c>
      <c r="AA95" s="554"/>
      <c r="AB95" s="555"/>
      <c r="AC95" s="66"/>
      <c r="AD95" s="553">
        <f>Z95+1</f>
        <v>32</v>
      </c>
      <c r="AE95" s="554"/>
      <c r="AF95" s="555"/>
      <c r="AG95" s="66"/>
      <c r="AH95" s="553">
        <f>AD95+1</f>
        <v>33</v>
      </c>
      <c r="AI95" s="554"/>
      <c r="AJ95" s="555"/>
      <c r="AK95" s="66"/>
      <c r="AL95" s="553">
        <f>AH95+1</f>
        <v>34</v>
      </c>
      <c r="AM95" s="554"/>
      <c r="AN95" s="555"/>
      <c r="AO95" s="66"/>
      <c r="AP95" s="553">
        <f>AL95+1</f>
        <v>35</v>
      </c>
      <c r="AQ95" s="554"/>
      <c r="AR95" s="555"/>
      <c r="AS95" s="66"/>
      <c r="AT95" s="553">
        <f>AP95+1</f>
        <v>36</v>
      </c>
      <c r="AU95" s="554"/>
      <c r="AV95" s="555"/>
      <c r="AW95" s="66"/>
      <c r="AX95" s="553">
        <f>AT95+1</f>
        <v>37</v>
      </c>
      <c r="AY95" s="554"/>
      <c r="AZ95" s="555"/>
    </row>
    <row r="96" spans="1:52" x14ac:dyDescent="0.2">
      <c r="A96" s="65" t="s">
        <v>70</v>
      </c>
      <c r="B96" s="68"/>
      <c r="C96" s="69"/>
      <c r="D96" s="546"/>
      <c r="E96" s="547"/>
      <c r="F96" s="548"/>
      <c r="G96" s="77"/>
      <c r="H96" s="546"/>
      <c r="I96" s="547"/>
      <c r="J96" s="548"/>
      <c r="K96" s="77"/>
      <c r="L96" s="546"/>
      <c r="M96" s="547"/>
      <c r="N96" s="548"/>
      <c r="O96" s="77"/>
      <c r="P96" s="546"/>
      <c r="Q96" s="547"/>
      <c r="R96" s="548"/>
      <c r="S96" s="77"/>
      <c r="T96" s="546"/>
      <c r="U96" s="547"/>
      <c r="V96" s="548"/>
      <c r="W96" s="77"/>
      <c r="X96" s="546"/>
      <c r="Y96" s="547"/>
      <c r="Z96" s="548"/>
      <c r="AA96" s="77"/>
      <c r="AB96" s="546"/>
      <c r="AC96" s="547"/>
      <c r="AD96" s="548"/>
      <c r="AE96" s="77"/>
      <c r="AF96" s="546"/>
      <c r="AG96" s="547"/>
      <c r="AH96" s="548"/>
      <c r="AI96" s="77"/>
      <c r="AJ96" s="546"/>
      <c r="AK96" s="547"/>
      <c r="AL96" s="548"/>
      <c r="AM96" s="77"/>
      <c r="AN96" s="546"/>
      <c r="AO96" s="547"/>
      <c r="AP96" s="548"/>
      <c r="AQ96" s="77"/>
      <c r="AR96" s="546"/>
      <c r="AS96" s="547"/>
      <c r="AT96" s="548"/>
      <c r="AU96" s="77"/>
      <c r="AV96" s="546"/>
      <c r="AW96" s="547"/>
      <c r="AX96" s="548"/>
      <c r="AY96" s="69"/>
      <c r="AZ96" s="1"/>
    </row>
    <row r="97" spans="1:52" x14ac:dyDescent="0.2">
      <c r="A97" s="65" t="s">
        <v>69</v>
      </c>
      <c r="B97" s="549">
        <f>AX54</f>
        <v>0</v>
      </c>
      <c r="C97" s="550"/>
      <c r="D97" s="551"/>
      <c r="E97" s="69"/>
      <c r="F97" s="552"/>
      <c r="G97" s="547"/>
      <c r="H97" s="548"/>
      <c r="I97" s="77"/>
      <c r="J97" s="552"/>
      <c r="K97" s="547"/>
      <c r="L97" s="548"/>
      <c r="M97" s="77"/>
      <c r="N97" s="552"/>
      <c r="O97" s="547"/>
      <c r="P97" s="548"/>
      <c r="Q97" s="77"/>
      <c r="R97" s="552"/>
      <c r="S97" s="547"/>
      <c r="T97" s="548"/>
      <c r="U97" s="77"/>
      <c r="V97" s="552"/>
      <c r="W97" s="547"/>
      <c r="X97" s="548"/>
      <c r="Y97" s="77"/>
      <c r="Z97" s="552"/>
      <c r="AA97" s="547"/>
      <c r="AB97" s="548"/>
      <c r="AC97" s="77"/>
      <c r="AD97" s="552"/>
      <c r="AE97" s="547"/>
      <c r="AF97" s="548"/>
      <c r="AG97" s="77"/>
      <c r="AH97" s="552"/>
      <c r="AI97" s="547"/>
      <c r="AJ97" s="548"/>
      <c r="AK97" s="77"/>
      <c r="AL97" s="552"/>
      <c r="AM97" s="547"/>
      <c r="AN97" s="548"/>
      <c r="AO97" s="77"/>
      <c r="AP97" s="552"/>
      <c r="AQ97" s="547"/>
      <c r="AR97" s="548"/>
      <c r="AS97" s="77"/>
      <c r="AT97" s="552"/>
      <c r="AU97" s="547"/>
      <c r="AV97" s="548"/>
      <c r="AW97" s="77"/>
      <c r="AX97" s="552"/>
      <c r="AY97" s="547"/>
      <c r="AZ97" s="548"/>
    </row>
    <row r="98" spans="1:52" hidden="1" x14ac:dyDescent="0.2">
      <c r="A98" s="70">
        <f>IF(OR(G98=0,E98=0),0,G98/E98)</f>
        <v>0</v>
      </c>
      <c r="B98" s="49">
        <f>SUM(E98,I98,M98,Q98,U98,Y98,AC98,AG98,AK98,AO98,AS98,AW98)</f>
        <v>0</v>
      </c>
      <c r="C98" s="49">
        <f>SUM(G98,K98,O98,S98,W98,AA98,AE98,AI98,AM98,AQ98,AU98,AY98)</f>
        <v>0</v>
      </c>
      <c r="D98" s="72"/>
      <c r="E98" s="71">
        <f>IF($A$7=TRUE,D99+E99,D100+E100)</f>
        <v>0</v>
      </c>
      <c r="F98" s="72"/>
      <c r="G98" s="71">
        <f>IF($A$7=TRUE,F99+G99,F100+G100)</f>
        <v>0</v>
      </c>
      <c r="H98" s="72"/>
      <c r="I98" s="71">
        <f>IF($A$7=TRUE,H99+I99,H100+I100)</f>
        <v>0</v>
      </c>
      <c r="J98" s="72"/>
      <c r="K98" s="71">
        <f>IF($A$7=TRUE,J99+K99,J100+K100)</f>
        <v>0</v>
      </c>
      <c r="L98" s="72"/>
      <c r="M98" s="71">
        <f>IF($A$7=TRUE,L99+M99,L100+M100)</f>
        <v>0</v>
      </c>
      <c r="N98" s="72"/>
      <c r="O98" s="71">
        <f>IF($A$7=TRUE,N99+O99,N100+O100)</f>
        <v>0</v>
      </c>
      <c r="P98" s="72"/>
      <c r="Q98" s="71">
        <f>IF($A$7=TRUE,P99+Q99,P100+Q100)</f>
        <v>0</v>
      </c>
      <c r="R98" s="72"/>
      <c r="S98" s="71">
        <f>IF($A$7=TRUE,R99+S99,R100+S100)</f>
        <v>0</v>
      </c>
      <c r="T98" s="72"/>
      <c r="U98" s="71">
        <f>IF($A$7=TRUE,T99+U99,T100+U100)</f>
        <v>0</v>
      </c>
      <c r="V98" s="72"/>
      <c r="W98" s="71">
        <f>IF($A$7=TRUE,V99+W99,V100+W100)</f>
        <v>0</v>
      </c>
      <c r="X98" s="72"/>
      <c r="Y98" s="71">
        <f>IF($A$7=TRUE,X99+Y99,X100+Y100)</f>
        <v>0</v>
      </c>
      <c r="Z98" s="72"/>
      <c r="AA98" s="71">
        <f>IF($A$7=TRUE,Z99+AA99,Z100+AA100)</f>
        <v>0</v>
      </c>
      <c r="AB98" s="72"/>
      <c r="AC98" s="71">
        <f>IF($A$7=TRUE,AB99+AC99,AB100+AC100)</f>
        <v>0</v>
      </c>
      <c r="AD98" s="72"/>
      <c r="AE98" s="71">
        <f>IF($A$7=TRUE,AD99+AE99,AD100+AE100)</f>
        <v>0</v>
      </c>
      <c r="AF98" s="72"/>
      <c r="AG98" s="71">
        <f>IF($A$7=TRUE,AF99+AG99,AF100+AG100)</f>
        <v>0</v>
      </c>
      <c r="AH98" s="72"/>
      <c r="AI98" s="71">
        <f>IF($A$7=TRUE,AH99+AI99,AH100+AI100)</f>
        <v>0</v>
      </c>
      <c r="AJ98" s="72"/>
      <c r="AK98" s="71">
        <f>IF($A$7=TRUE,AJ99+AK99,AJ100+AK100)</f>
        <v>0</v>
      </c>
      <c r="AL98" s="72"/>
      <c r="AM98" s="71">
        <f>IF($A$7=TRUE,AL99+AM99,AL100+AM100)</f>
        <v>0</v>
      </c>
      <c r="AN98" s="72"/>
      <c r="AO98" s="71">
        <f>IF($A$7=TRUE,AN99+AO99,AN100+AO100)</f>
        <v>0</v>
      </c>
      <c r="AP98" s="72"/>
      <c r="AQ98" s="71">
        <f>IF($A$7=TRUE,AP99+AQ99,AP100+AQ100)</f>
        <v>0</v>
      </c>
      <c r="AR98" s="72"/>
      <c r="AS98" s="71">
        <f>IF($A$7=TRUE,AR99+AS99,AR100+AS100)</f>
        <v>0</v>
      </c>
      <c r="AT98" s="72"/>
      <c r="AU98" s="71">
        <f>IF($A$7=TRUE,AT99+AU99,AT100+AU100)</f>
        <v>0</v>
      </c>
      <c r="AV98" s="72"/>
      <c r="AW98" s="71">
        <f>IF($A$7=TRUE,AV99+AW99,AV100+AW100)</f>
        <v>0</v>
      </c>
      <c r="AX98" s="72"/>
      <c r="AY98" s="71">
        <f>IF($A$7=TRUE,AX99+AY99,AX100+AY100)</f>
        <v>0</v>
      </c>
    </row>
    <row r="99" spans="1:52" hidden="1" x14ac:dyDescent="0.2">
      <c r="A99" s="70"/>
      <c r="B99" s="49"/>
      <c r="C99" s="49"/>
      <c r="D99" s="72">
        <f>IF(AND(F97&gt;60,B97&gt;=20,B97&lt;=60),E116,IF(AND(B97&gt;60,F97&gt;=20,F97&lt;=60),E118,0))</f>
        <v>0</v>
      </c>
      <c r="E99" s="72">
        <f>IF(AND(B97&lt;=60,F97&lt;=60,B97&gt;=20,F97&gt;=20),E102,IF(AND(B97&lt;20,F97&lt;20),E104,IF(AND(B97&gt;60,F97&gt;60),E106,IF(AND(B97&lt;20,F97&gt;60),E108,IF(AND(F97&lt;20,B97&gt;60),E110,IF(AND(B97&lt;20,F97&gt;=20,F97&lt;=60),E112,IF(AND(F97&lt;20,B97&gt;=20,B97&lt;=60),E114,0)))))))</f>
        <v>0</v>
      </c>
      <c r="F99" s="72">
        <f>IF(AND(F97&gt;60,B97&gt;=20,B97&lt;=60),F116,IF(AND(B97&gt;60,F97&gt;=20,F97&lt;=60),F118,0))</f>
        <v>0</v>
      </c>
      <c r="G99" s="72">
        <f>IF(AND(B97&lt;=60,F97&lt;=60,B97&gt;=20,F97&gt;=20),F102,IF(AND(B97&lt;20,F97&lt;20),F104,IF(AND(B97&gt;60,F97&gt;60),F106,IF(AND(B97&lt;20,F97&gt;60),F108,IF(AND(F97&lt;20,B97&gt;60),F110,IF(AND(B97&lt;20,F97&gt;=20,F97&lt;=60),F112,IF(AND(F97&lt;20,B97&gt;=20,B97&lt;=60),F114,0)))))))</f>
        <v>0</v>
      </c>
      <c r="H99" s="72">
        <f>IF(AND(J97&gt;60,F97&gt;=20,F97&lt;=60),I116,IF(AND(F97&gt;60,J97&gt;=20,J97&lt;=60),I118,0))</f>
        <v>0</v>
      </c>
      <c r="I99" s="72">
        <f>IF(AND(F97&lt;=60,J97&lt;=60,F97&gt;=20,J97&gt;=20),I102,IF(AND(F97&lt;20,J97&lt;20),I104,IF(AND(F97&gt;60,J97&gt;60),I106,IF(AND(F97&lt;20,J97&gt;60),I108,IF(AND(J97&lt;20,F97&gt;60),I110,IF(AND(F97&lt;20,J97&gt;=20,J97&lt;=60),I112,IF(AND(J97&lt;20,F97&gt;=20,F97&lt;=60),I114,0)))))))</f>
        <v>0</v>
      </c>
      <c r="J99" s="72">
        <f>IF(AND(J97&gt;60,F97&gt;=20,F97&lt;=60),J116,IF(AND(F97&gt;60,J97&gt;=20,J97&lt;=60),J118,0))</f>
        <v>0</v>
      </c>
      <c r="K99" s="72">
        <f>IF(AND(F97&lt;=60,J97&lt;=60,F97&gt;=20,J97&gt;=20),J102,IF(AND(F97&lt;20,J97&lt;20),J104,IF(AND(F97&gt;60,J97&gt;60),J106,IF(AND(F97&lt;20,J97&gt;60),J108,IF(AND(J97&lt;20,F97&gt;60),J110,IF(AND(F97&lt;20,J97&gt;=20,J97&lt;=60),J112,IF(AND(J97&lt;20,F97&gt;=20,F97&lt;=60),J114,0)))))))</f>
        <v>0</v>
      </c>
      <c r="L99" s="72">
        <f>IF(AND(N97&gt;60,J97&gt;=20,J97&lt;=60),M116,IF(AND(J97&gt;60,N97&gt;=20,N97&lt;=60),M118,0))</f>
        <v>0</v>
      </c>
      <c r="M99" s="72">
        <f>IF(AND(J97&lt;=60,N97&lt;=60,J97&gt;=20,N97&gt;=20),M102,IF(AND(J97&lt;20,N97&lt;20),M104,IF(AND(J97&gt;60,N97&gt;60),M106,IF(AND(J97&lt;20,N97&gt;60),M108,IF(AND(N97&lt;20,J97&gt;60),M110,IF(AND(J97&lt;20,N97&gt;=20,N97&lt;=60),M112,IF(AND(N97&lt;20,J97&gt;=20,J97&lt;=60),M114,0)))))))</f>
        <v>0</v>
      </c>
      <c r="N99" s="72">
        <f>IF(AND(N97&gt;60,J97&gt;=20,J97&lt;=60),N116,IF(AND(J97&gt;60,N97&gt;=20,N97&lt;=60),N118,0))</f>
        <v>0</v>
      </c>
      <c r="O99" s="72">
        <f>IF(AND(J97&lt;=60,N97&lt;=60,J97&gt;=20,N97&gt;=20),N102,IF(AND(J97&lt;20,N97&lt;20),N104,IF(AND(J97&gt;60,N97&gt;60),N106,IF(AND(J97&lt;20,N97&gt;60),N108,IF(AND(N97&lt;20,J97&gt;60),N110,IF(AND(J97&lt;20,N97&gt;=20,N97&lt;=60),N112,IF(AND(N97&lt;20,J97&gt;=20,J97&lt;=60),N114,0)))))))</f>
        <v>0</v>
      </c>
      <c r="P99" s="72">
        <f>IF(AND(R97&gt;60,N97&gt;=20,N97&lt;=60),Q116,IF(AND(N97&gt;60,R97&gt;=20,R97&lt;=60),Q118,0))</f>
        <v>0</v>
      </c>
      <c r="Q99" s="72">
        <f>IF(AND(N97&lt;=60,R97&lt;=60,N97&gt;=20,R97&gt;=20),Q102,IF(AND(N97&lt;20,R97&lt;20),Q104,IF(AND(N97&gt;60,R97&gt;60),Q106,IF(AND(N97&lt;20,R97&gt;60),Q108,IF(AND(R97&lt;20,N97&gt;60),Q110,IF(AND(N97&lt;20,R97&gt;=20,R97&lt;=60),Q112,IF(AND(R97&lt;20,N97&gt;=20,N97&lt;=60),Q114,0)))))))</f>
        <v>0</v>
      </c>
      <c r="R99" s="72">
        <f>IF(AND(R97&gt;60,N97&gt;=20,N97&lt;=60),R116,IF(AND(N97&gt;60,R97&gt;=20,R97&lt;=60),R118,0))</f>
        <v>0</v>
      </c>
      <c r="S99" s="72">
        <f>IF(AND(N97&lt;=60,R97&lt;=60,N97&gt;=20,R97&gt;=20),R102,IF(AND(N97&lt;20,R97&lt;20),R104,IF(AND(N97&gt;60,R97&gt;60),R106,IF(AND(N97&lt;20,R97&gt;60),R108,IF(AND(R97&lt;20,N97&gt;60),R110,IF(AND(N97&lt;20,R97&gt;=20,R97&lt;=60),R112,IF(AND(R97&lt;20,N97&gt;=20,N97&lt;=60),R114,0)))))))</f>
        <v>0</v>
      </c>
      <c r="T99" s="72">
        <f>IF(AND(V97&gt;60,R97&gt;=20,R97&lt;=60),U116,IF(AND(R97&gt;60,V97&gt;=20,V97&lt;=60),U118,0))</f>
        <v>0</v>
      </c>
      <c r="U99" s="72">
        <f>IF(AND(R97&lt;=60,V97&lt;=60,R97&gt;=20,V97&gt;=20),U102,IF(AND(R97&lt;20,V97&lt;20),U104,IF(AND(R97&gt;60,V97&gt;60),U106,IF(AND(R97&lt;20,V97&gt;60),U108,IF(AND(V97&lt;20,R97&gt;60),U110,IF(AND(R97&lt;20,V97&gt;=20,V97&lt;=60),U112,IF(AND(V97&lt;20,R97&gt;=20,R97&lt;=60),U114,0)))))))</f>
        <v>0</v>
      </c>
      <c r="V99" s="72">
        <f>IF(AND(V97&gt;60,R97&gt;=20,R97&lt;=60),V116,IF(AND(R97&gt;60,V97&gt;=20,V97&lt;=60),V118,0))</f>
        <v>0</v>
      </c>
      <c r="W99" s="72">
        <f>IF(AND(R97&lt;=60,V97&lt;=60,R97&gt;=20,V97&gt;=20),V102,IF(AND(R97&lt;20,V97&lt;20),V104,IF(AND(R97&gt;60,V97&gt;60),V106,IF(AND(R97&lt;20,V97&gt;60),V108,IF(AND(V97&lt;20,R97&gt;60),V110,IF(AND(R97&lt;20,V97&gt;=20,V97&lt;=60),V112,IF(AND(V97&lt;20,R97&gt;=20,R97&lt;=60),V114,0)))))))</f>
        <v>0</v>
      </c>
      <c r="X99" s="72">
        <f>IF(AND(Z97&gt;60,V97&gt;=20,V97&lt;=60),Y116,IF(AND(V97&gt;60,Z97&gt;=20,Z97&lt;=60),Y118,0))</f>
        <v>0</v>
      </c>
      <c r="Y99" s="72">
        <f>IF(AND(V97&lt;=60,Z97&lt;=60,V97&gt;=20,Z97&gt;=20),Y102,IF(AND(V97&lt;20,Z97&lt;20),Y104,IF(AND(V97&gt;60,Z97&gt;60),Y106,IF(AND(V97&lt;20,Z97&gt;60),Y108,IF(AND(Z97&lt;20,V97&gt;60),Y110,IF(AND(V97&lt;20,Z97&gt;=20,Z97&lt;=60),Y112,IF(AND(Z97&lt;20,V97&gt;=20,V97&lt;=60),Y114,0)))))))</f>
        <v>0</v>
      </c>
      <c r="Z99" s="72">
        <f>IF(AND(Z97&gt;60,V97&gt;=20,V97&lt;=60),Z116,IF(AND(V97&gt;60,Z97&gt;=20,Z97&lt;=60),Z118,0))</f>
        <v>0</v>
      </c>
      <c r="AA99" s="72">
        <f>IF(AND(V97&lt;=60,Z97&lt;=60,V97&gt;=20,Z97&gt;=20),Z102,IF(AND(V97&lt;20,Z97&lt;20),Z104,IF(AND(V97&gt;60,Z97&gt;60),Z106,IF(AND(V97&lt;20,Z97&gt;60),Z108,IF(AND(Z97&lt;20,V97&gt;60),Z110,IF(AND(V97&lt;20,Z97&gt;=20,Z97&lt;=60),Z112,IF(AND(Z97&lt;20,V97&gt;=20,V97&lt;=60),Z114,0)))))))</f>
        <v>0</v>
      </c>
      <c r="AB99" s="72">
        <f>IF(AND(AD97&gt;60,Z97&gt;=20,Z97&lt;=60),AC116,IF(AND(Z97&gt;60,AD97&gt;=20,AD97&lt;=60),AC118,0))</f>
        <v>0</v>
      </c>
      <c r="AC99" s="72">
        <f>IF(AND(Z97&lt;=60,AD97&lt;=60,Z97&gt;=20,AD97&gt;=20),AC102,IF(AND(Z97&lt;20,AD97&lt;20),AC104,IF(AND(Z97&gt;60,AD97&gt;60),AC106,IF(AND(Z97&lt;20,AD97&gt;60),AC108,IF(AND(AD97&lt;20,Z97&gt;60),AC110,IF(AND(Z97&lt;20,AD97&gt;=20,AD97&lt;=60),AC112,IF(AND(AD97&lt;20,Z97&gt;=20,Z97&lt;=60),AC114,0)))))))</f>
        <v>0</v>
      </c>
      <c r="AD99" s="72">
        <f>IF(AND(AD97&gt;60,Z97&gt;=20,Z97&lt;=60),AD116,IF(AND(Z97&gt;60,AD97&gt;=20,AD97&lt;=60),AD118,0))</f>
        <v>0</v>
      </c>
      <c r="AE99" s="72">
        <f>IF(AND(Z97&lt;=60,AD97&lt;=60,Z97&gt;=20,AD97&gt;=20),AD102,IF(AND(Z97&lt;20,AD97&lt;20),AD104,IF(AND(Z97&gt;60,AD97&gt;60),AD106,IF(AND(Z97&lt;20,AD97&gt;60),AD108,IF(AND(AD97&lt;20,Z97&gt;60),AD110,IF(AND(Z97&lt;20,AD97&gt;=20,AD97&lt;=60),AD112,IF(AND(AD97&lt;20,Z97&gt;=20,Z97&lt;=60),AD114,0)))))))</f>
        <v>0</v>
      </c>
      <c r="AF99" s="72">
        <f>IF(AND(AH97&gt;60,AD97&gt;=20,AD97&lt;=60),AG116,IF(AND(AD97&gt;60,AH97&gt;=20,AH97&lt;=60),AG118,0))</f>
        <v>0</v>
      </c>
      <c r="AG99" s="72">
        <f>IF(AND(AD97&lt;=60,AH97&lt;=60,AD97&gt;=20,AH97&gt;=20),AG102,IF(AND(AD97&lt;20,AH97&lt;20),AG104,IF(AND(AD97&gt;60,AH97&gt;60),AG106,IF(AND(AD97&lt;20,AH97&gt;60),AG108,IF(AND(AH97&lt;20,AD97&gt;60),AG110,IF(AND(AD97&lt;20,AH97&gt;=20,AH97&lt;=60),AG112,IF(AND(AH97&lt;20,AD97&gt;=20,AD97&lt;=60),AG114,0)))))))</f>
        <v>0</v>
      </c>
      <c r="AH99" s="72">
        <f>IF(AND(AH97&gt;60,AD97&gt;=20,AD97&lt;=60),AH116,IF(AND(AD97&gt;60,AH97&gt;=20,AH97&lt;=60),AH118,0))</f>
        <v>0</v>
      </c>
      <c r="AI99" s="72">
        <f>IF(AND(AD97&lt;=60,AH97&lt;=60,AD97&gt;=20,AH97&gt;=20),AH102,IF(AND(AD97&lt;20,AH97&lt;20),AH104,IF(AND(AD97&gt;60,AH97&gt;60),AH106,IF(AND(AD97&lt;20,AH97&gt;60),AH108,IF(AND(AH97&lt;20,AD97&gt;60),AH110,IF(AND(AD97&lt;20,AH97&gt;=20,AH97&lt;=60),AH112,IF(AND(AH97&lt;20,AD97&gt;=20,AD97&lt;=60),AH114,0)))))))</f>
        <v>0</v>
      </c>
      <c r="AJ99" s="72">
        <f>IF(AND(AL97&gt;60,AH97&gt;=20,AH97&lt;=60),AK116,IF(AND(AH97&gt;60,AL97&gt;=20,AL97&lt;=60),AK118,0))</f>
        <v>0</v>
      </c>
      <c r="AK99" s="72">
        <f>IF(AND(AH97&lt;=60,AL97&lt;=60,AH97&gt;=20,AL97&gt;=20),AK102,IF(AND(AH97&lt;20,AL97&lt;20),AK104,IF(AND(AH97&gt;60,AL97&gt;60),AK106,IF(AND(AH97&lt;20,AL97&gt;60),AK108,IF(AND(AL97&lt;20,AH97&gt;60),AK110,IF(AND(AH97&lt;20,AL97&gt;=20,AL97&lt;=60),AK112,IF(AND(AL97&lt;20,AH97&gt;=20,AH97&lt;=60),AK114,0)))))))</f>
        <v>0</v>
      </c>
      <c r="AL99" s="72">
        <f>IF(AND(AL97&gt;60,AH97&gt;=20,AH97&lt;=60),AL116,IF(AND(AH97&gt;60,AL97&gt;=20,AL97&lt;=60),AL118,0))</f>
        <v>0</v>
      </c>
      <c r="AM99" s="72">
        <f>IF(AND(AH97&lt;=60,AL97&lt;=60,AH97&gt;=20,AL97&gt;=20),AL102,IF(AND(AH97&lt;20,AL97&lt;20),AL104,IF(AND(AH97&gt;60,AL97&gt;60),AL106,IF(AND(AH97&lt;20,AL97&gt;60),AL108,IF(AND(AL97&lt;20,AH97&gt;60),AL110,IF(AND(AH97&lt;20,AL97&gt;=20,AL97&lt;=60),AL112,IF(AND(AL97&lt;20,AH97&gt;=20,AH97&lt;=60),AL114,0)))))))</f>
        <v>0</v>
      </c>
      <c r="AN99" s="72">
        <f>IF(AND(AP97&gt;60,AL97&gt;=20,AL97&lt;=60),AO116,IF(AND(AL97&gt;60,AP97&gt;=20,AP97&lt;=60),AO118,0))</f>
        <v>0</v>
      </c>
      <c r="AO99" s="72">
        <f>IF(AND(AL97&lt;=60,AP97&lt;=60,AL97&gt;=20,AP97&gt;=20),AO102,IF(AND(AL97&lt;20,AP97&lt;20),AO104,IF(AND(AL97&gt;60,AP97&gt;60),AO106,IF(AND(AL97&lt;20,AP97&gt;60),AO108,IF(AND(AP97&lt;20,AL97&gt;60),AO110,IF(AND(AL97&lt;20,AP97&gt;=20,AP97&lt;=60),AO112,IF(AND(AP97&lt;20,AL97&gt;=20,AL97&lt;=60),AO114,0)))))))</f>
        <v>0</v>
      </c>
      <c r="AP99" s="72">
        <f>IF(AND(AP97&gt;60,AL97&gt;=20,AL97&lt;=60),AP116,IF(AND(AL97&gt;60,AP97&gt;=20,AP97&lt;=60),AP118,0))</f>
        <v>0</v>
      </c>
      <c r="AQ99" s="72">
        <f>IF(AND(AL97&lt;=60,AP97&lt;=60,AL97&gt;=20,AP97&gt;=20),AP102,IF(AND(AL97&lt;20,AP97&lt;20),AP104,IF(AND(AL97&gt;60,AP97&gt;60),AP106,IF(AND(AL97&lt;20,AP97&gt;60),AP108,IF(AND(AP97&lt;20,AL97&gt;60),AP110,IF(AND(AL97&lt;20,AP97&gt;=20,AP97&lt;=60),AP112,IF(AND(AP97&lt;20,AL97&gt;=20,AL97&lt;=60),AP114,0)))))))</f>
        <v>0</v>
      </c>
      <c r="AR99" s="72">
        <f>IF(AND(AT97&gt;60,AP97&gt;=20,AP97&lt;=60),AS116,IF(AND(AP97&gt;60,AT97&gt;=20,AT97&lt;=60),AS118,0))</f>
        <v>0</v>
      </c>
      <c r="AS99" s="72">
        <f>IF(AND(AP97&lt;=60,AT97&lt;=60,AP97&gt;=20,AT97&gt;=20),AS102,IF(AND(AP97&lt;20,AT97&lt;20),AS104,IF(AND(AP97&gt;60,AT97&gt;60),AS106,IF(AND(AP97&lt;20,AT97&gt;60),AS108,IF(AND(AT97&lt;20,AP97&gt;60),AS110,IF(AND(AP97&lt;20,AT97&gt;=20,AT97&lt;=60),AS112,IF(AND(AT97&lt;20,AP97&gt;=20,AP97&lt;=60),AS114,0)))))))</f>
        <v>0</v>
      </c>
      <c r="AT99" s="72">
        <f>IF(AND(AT97&gt;60,AP97&gt;=20,AP97&lt;=60),AT116,IF(AND(AP97&gt;60,AT97&gt;=20,AT97&lt;=60),AT118,0))</f>
        <v>0</v>
      </c>
      <c r="AU99" s="72">
        <f>IF(AND(AP97&lt;=60,AT97&lt;=60,AP97&gt;=20,AT97&gt;=20),AT102,IF(AND(AP97&lt;20,AT97&lt;20),AT104,IF(AND(AP97&gt;60,AT97&gt;60),AT106,IF(AND(AP97&lt;20,AT97&gt;60),AT108,IF(AND(AT97&lt;20,AP97&gt;60),AT110,IF(AND(AP97&lt;20,AT97&gt;=20,AT97&lt;=60),AT112,IF(AND(AT97&lt;20,AP97&gt;=20,AP97&lt;=60),AT114,0)))))))</f>
        <v>0</v>
      </c>
      <c r="AV99" s="72">
        <f>IF(AND(AX97&gt;60,AT97&gt;=20,AT97&lt;=60),AW116,IF(AND(AT97&gt;60,AX97&gt;=20,AX97&lt;=60),AW118,0))</f>
        <v>0</v>
      </c>
      <c r="AW99" s="72">
        <f>IF(AND(AT97&lt;=60,AX97&lt;=60,AT97&gt;=20,AX97&gt;=20),AW102,IF(AND(AT97&lt;20,AX97&lt;20),AW104,IF(AND(AT97&gt;60,AX97&gt;60),AW106,IF(AND(AT97&lt;20,AX97&gt;60),AW108,IF(AND(AX97&lt;20,AT97&gt;60),AW110,IF(AND(AT97&lt;20,AX97&gt;=20,AX97&lt;=60),AW112,IF(AND(AX97&lt;20,AT97&gt;=20,AT97&lt;=60),AW114,0)))))))</f>
        <v>0</v>
      </c>
      <c r="AX99" s="72">
        <f>IF(AND(AX97&gt;60,AT97&gt;=20,AT97&lt;=60),AX116,IF(AND(AT97&gt;60,AX97&gt;=20,AX97&lt;=60),AX118,0))</f>
        <v>0</v>
      </c>
      <c r="AY99" s="72">
        <f>IF(AND(AT97&lt;=60,AX97&lt;=60,AT97&gt;=20,AX97&gt;=20),AX102,IF(AND(AT97&lt;20,AX97&lt;20),AX104,IF(AND(AT97&gt;60,AX97&gt;60),AX106,IF(AND(AT97&lt;20,AX97&gt;60),AX108,IF(AND(AX97&lt;20,AT97&gt;60),AX110,IF(AND(AT97&lt;20,AX97&gt;=20,AX97&lt;=60),AX112,IF(AND(AX97&lt;20,AT97&gt;=20,AT97&lt;=60),AX114,0)))))))</f>
        <v>0</v>
      </c>
    </row>
    <row r="100" spans="1:52" hidden="1" x14ac:dyDescent="0.2">
      <c r="A100" s="70"/>
      <c r="B100" s="49"/>
      <c r="C100" s="49">
        <f>SUM(D96,H96,L96,P96,T96,X96,AB96,AF96,AJ96,AN96,AR96,AV96)</f>
        <v>0</v>
      </c>
      <c r="D100" s="72">
        <f>IF(AND(F97&gt;30,B97&gt;=20,B97&lt;=30),E134,IF(AND(B97&gt;30,F97&gt;=20,F97&lt;=30),E136,0))</f>
        <v>0</v>
      </c>
      <c r="E100" s="72">
        <f>IF(AND(B97&lt;=30,F97&lt;=30,B97&gt;=20,F97&gt;=20),E120,IF(AND(B97&lt;20,F97&lt;20),E122,IF(AND(B97&gt;30,F97&gt;30),E124,IF(AND(B97&lt;20,F97&gt;30),E126,IF(AND(F97&lt;20,B97&gt;30),E128,IF(AND(B97&lt;20,F97&gt;=20,F97&lt;=30),E130,IF(AND(F97&lt;20,B97&gt;=20,B97&lt;=30),E132,0)))))))</f>
        <v>0</v>
      </c>
      <c r="F100" s="72">
        <f>IF(AND(F97&gt;30,B97&gt;=20,B97&lt;=30),F134,IF(AND(B97&gt;30,F97&gt;=20,F97&lt;=30),F136,0))</f>
        <v>0</v>
      </c>
      <c r="G100" s="72">
        <f>IF(AND(B97&lt;=30,F97&lt;=30,B97&gt;=20,F97&gt;=20),F120,IF(AND(B97&lt;20,F97&lt;20),F122,IF(AND(B97&gt;30,F97&gt;30),F124,IF(AND(B97&lt;20,F97&gt;30),F126,IF(AND(F97&lt;20,B97&gt;30),F128,IF(AND(B97&lt;20,F97&gt;=20,F97&lt;=30),F130,IF(AND(F97&lt;20,B97&gt;=20,B97&lt;=30),F132,0)))))))</f>
        <v>0</v>
      </c>
      <c r="H100" s="72">
        <f>IF(AND(J97&gt;30,F97&gt;=20,F97&lt;=30),I134,IF(AND(F97&gt;30,J97&gt;=20,J97&lt;=30),I136,0))</f>
        <v>0</v>
      </c>
      <c r="I100" s="72">
        <f>IF(AND(F97&lt;=30,J97&lt;=30,F97&gt;=20,J97&gt;=20),I120,IF(AND(F97&lt;20,J97&lt;20),I122,IF(AND(F97&gt;30,J97&gt;30),I124,IF(AND(F97&lt;20,J97&gt;30),I126,IF(AND(J97&lt;20,F97&gt;30),I128,IF(AND(F97&lt;20,J97&gt;=20,J97&lt;=30),I130,IF(AND(J97&lt;20,F97&gt;=20,F97&lt;=30),I132,0)))))))</f>
        <v>0</v>
      </c>
      <c r="J100" s="72">
        <f>IF(AND(J97&gt;30,F97&gt;=20,F97&lt;=30),J134,IF(AND(F97&gt;30,J97&gt;=20,J97&lt;=30),J136,0))</f>
        <v>0</v>
      </c>
      <c r="K100" s="72">
        <f>IF(AND(F97&lt;=30,J97&lt;=30,F97&gt;=20,J97&gt;=20),J120,IF(AND(F97&lt;20,J97&lt;20),J122,IF(AND(F97&gt;30,J97&gt;30),J124,IF(AND(F97&lt;20,J97&gt;30),J126,IF(AND(J97&lt;20,F97&gt;30),J128,IF(AND(F97&lt;20,J97&gt;=20,J97&lt;=30),J130,IF(AND(J97&lt;20,F97&gt;=20,F97&lt;=30),J132,0)))))))</f>
        <v>0</v>
      </c>
      <c r="L100" s="72">
        <f>IF(AND(N97&gt;30,J97&gt;=20,J97&lt;=30),M134,IF(AND(J97&gt;30,N97&gt;=20,N97&lt;=30),M136,0))</f>
        <v>0</v>
      </c>
      <c r="M100" s="72">
        <f>IF(AND(J97&lt;=30,N97&lt;=30,J97&gt;=20,N97&gt;=20),M120,IF(AND(J97&lt;20,N97&lt;20),M122,IF(AND(J97&gt;30,N97&gt;30),M124,IF(AND(J97&lt;20,N97&gt;30),M126,IF(AND(N97&lt;20,J97&gt;30),M128,IF(AND(J97&lt;20,N97&gt;=20,N97&lt;=30),M130,IF(AND(N97&lt;20,J97&gt;=20,J97&lt;=30),M132,0)))))))</f>
        <v>0</v>
      </c>
      <c r="N100" s="72">
        <f>IF(AND(N97&gt;30,J97&gt;=20,J97&lt;=30),N134,IF(AND(J97&gt;30,N97&gt;=20,N97&lt;=30),N136,0))</f>
        <v>0</v>
      </c>
      <c r="O100" s="72">
        <f>IF(AND(J97&lt;=30,N97&lt;=30,J97&gt;=20,N97&gt;=20),N120,IF(AND(J97&lt;20,N97&lt;20),N122,IF(AND(J97&gt;30,N97&gt;30),N124,IF(AND(J97&lt;20,N97&gt;30),N126,IF(AND(N97&lt;20,J97&gt;30),N128,IF(AND(J97&lt;20,N97&gt;=20,N97&lt;=30),N130,IF(AND(N97&lt;20,J97&gt;=20,J97&lt;=30),N132,0)))))))</f>
        <v>0</v>
      </c>
      <c r="P100" s="72">
        <f>IF(AND(R97&gt;30,N97&gt;=20,N97&lt;=30),Q134,IF(AND(N97&gt;30,R97&gt;=20,R97&lt;=30),Q136,0))</f>
        <v>0</v>
      </c>
      <c r="Q100" s="72">
        <f>IF(AND(N97&lt;=30,R97&lt;=30,N97&gt;=20,R97&gt;=20),Q120,IF(AND(N97&lt;20,R97&lt;20),Q122,IF(AND(N97&gt;30,R97&gt;30),Q124,IF(AND(N97&lt;20,R97&gt;30),Q126,IF(AND(R97&lt;20,N97&gt;30),Q128,IF(AND(N97&lt;20,R97&gt;=20,R97&lt;=30),Q130,IF(AND(R97&lt;20,N97&gt;=20,N97&lt;=30),Q132,0)))))))</f>
        <v>0</v>
      </c>
      <c r="R100" s="72">
        <f>IF(AND(R97&gt;30,N97&gt;=20,N97&lt;=30),R134,IF(AND(N97&gt;30,R97&gt;=20,R97&lt;=30),R136,0))</f>
        <v>0</v>
      </c>
      <c r="S100" s="72">
        <f>IF(AND(N97&lt;=30,R97&lt;=30,N97&gt;=20,R97&gt;=20),R120,IF(AND(N97&lt;20,R97&lt;20),R122,IF(AND(N97&gt;30,R97&gt;30),R124,IF(AND(N97&lt;20,R97&gt;30),R126,IF(AND(R97&lt;20,N97&gt;30),R128,IF(AND(N97&lt;20,R97&gt;=20,R97&lt;=30),R130,IF(AND(R97&lt;20,N97&gt;=20,N97&lt;=30),R132,0)))))))</f>
        <v>0</v>
      </c>
      <c r="T100" s="72">
        <f>IF(AND(V97&gt;30,R97&gt;=20,R97&lt;=30),U134,IF(AND(R97&gt;30,V97&gt;=20,V97&lt;=30),U136,0))</f>
        <v>0</v>
      </c>
      <c r="U100" s="72">
        <f>IF(AND(R97&lt;=30,V97&lt;=30,R97&gt;=20,V97&gt;=20),U120,IF(AND(R97&lt;20,V97&lt;20),U122,IF(AND(R97&gt;30,V97&gt;30),U124,IF(AND(R97&lt;20,V97&gt;30),U126,IF(AND(V97&lt;20,R97&gt;30),U128,IF(AND(R97&lt;20,V97&gt;=20,V97&lt;=30),U130,IF(AND(V97&lt;20,R97&gt;=20,R97&lt;=30),U132,0)))))))</f>
        <v>0</v>
      </c>
      <c r="V100" s="72">
        <f>IF(AND(V97&gt;30,R97&gt;=20,R97&lt;=30),V134,IF(AND(R97&gt;30,V97&gt;=20,V97&lt;=30),V136,0))</f>
        <v>0</v>
      </c>
      <c r="W100" s="72">
        <f>IF(AND(R97&lt;=30,V97&lt;=30,R97&gt;=20,V97&gt;=20),V120,IF(AND(R97&lt;20,V97&lt;20),V122,IF(AND(R97&gt;30,V97&gt;30),V124,IF(AND(R97&lt;20,V97&gt;30),V126,IF(AND(V97&lt;20,R97&gt;30),V128,IF(AND(R97&lt;20,V97&gt;=20,V97&lt;=30),V130,IF(AND(V97&lt;20,R97&gt;=20,R97&lt;=30),V132,0)))))))</f>
        <v>0</v>
      </c>
      <c r="X100" s="72">
        <f>IF(AND(Z97&gt;30,V97&gt;=20,V97&lt;=30),Y134,IF(AND(V97&gt;30,Z97&gt;=20,Z97&lt;=30),Y136,0))</f>
        <v>0</v>
      </c>
      <c r="Y100" s="72">
        <f>IF(AND(V97&lt;=30,Z97&lt;=30,V97&gt;=20,Z97&gt;=20),Y120,IF(AND(V97&lt;20,Z97&lt;20),Y122,IF(AND(V97&gt;30,Z97&gt;30),Y124,IF(AND(V97&lt;20,Z97&gt;30),Y126,IF(AND(Z97&lt;20,V97&gt;30),Y128,IF(AND(V97&lt;20,Z97&gt;=20,Z97&lt;=30),Y130,IF(AND(Z97&lt;20,V97&gt;=20,V97&lt;=30),Y132,0)))))))</f>
        <v>0</v>
      </c>
      <c r="Z100" s="72">
        <f>IF(AND(Z97&gt;30,V97&gt;=20,V97&lt;=30),Z134,IF(AND(V97&gt;30,Z97&gt;=20,Z97&lt;=30),Z136,0))</f>
        <v>0</v>
      </c>
      <c r="AA100" s="72">
        <f>IF(AND(V97&lt;=30,Z97&lt;=30,V97&gt;=20,Z97&gt;=20),Z120,IF(AND(V97&lt;20,Z97&lt;20),Z122,IF(AND(V97&gt;30,Z97&gt;30),Z124,IF(AND(V97&lt;20,Z97&gt;30),Z126,IF(AND(Z97&lt;20,V97&gt;30),Z128,IF(AND(V97&lt;20,Z97&gt;=20,Z97&lt;=30),Z130,IF(AND(Z97&lt;20,V97&gt;=20,V97&lt;=30),Z132,0)))))))</f>
        <v>0</v>
      </c>
      <c r="AB100" s="72">
        <f>IF(AND(AD97&gt;30,Z97&gt;=20,Z97&lt;=30),AC134,IF(AND(Z97&gt;30,AD97&gt;=20,AD97&lt;=30),AC136,0))</f>
        <v>0</v>
      </c>
      <c r="AC100" s="72">
        <f>IF(AND(Z97&lt;=30,AD97&lt;=30,Z97&gt;=20,AD97&gt;=20),AC120,IF(AND(Z97&lt;20,AD97&lt;20),AC122,IF(AND(Z97&gt;30,AD97&gt;30),AC124,IF(AND(Z97&lt;20,AD97&gt;30),AC126,IF(AND(AD97&lt;20,Z97&gt;30),AC128,IF(AND(Z97&lt;20,AD97&gt;=20,AD97&lt;=30),AC130,IF(AND(AD97&lt;20,Z97&gt;=20,Z97&lt;=30),AC132,0)))))))</f>
        <v>0</v>
      </c>
      <c r="AD100" s="72">
        <f>IF(AND(AD97&gt;30,Z97&gt;=20,Z97&lt;=30),AD134,IF(AND(Z97&gt;30,AD97&gt;=20,AD97&lt;=30),AD136,0))</f>
        <v>0</v>
      </c>
      <c r="AE100" s="72">
        <f>IF(AND(Z97&lt;=30,AD97&lt;=30,Z97&gt;=20,AD97&gt;=20),AD120,IF(AND(Z97&lt;20,AD97&lt;20),AD122,IF(AND(Z97&gt;30,AD97&gt;30),AD124,IF(AND(Z97&lt;20,AD97&gt;30),AD126,IF(AND(AD97&lt;20,Z97&gt;30),AD128,IF(AND(Z97&lt;20,AD97&gt;=20,AD97&lt;=30),AD130,IF(AND(AD97&lt;20,Z97&gt;=20,Z97&lt;=30),AD132,0)))))))</f>
        <v>0</v>
      </c>
      <c r="AF100" s="72">
        <f>IF(AND(AH97&gt;30,AD97&gt;=20,AD97&lt;=30),AG134,IF(AND(AD97&gt;30,AH97&gt;=20,AH97&lt;=30),AG136,0))</f>
        <v>0</v>
      </c>
      <c r="AG100" s="72">
        <f>IF(AND(AD97&lt;=30,AH97&lt;=30,AD97&gt;=20,AH97&gt;=20),AG120,IF(AND(AD97&lt;20,AH97&lt;20),AG122,IF(AND(AD97&gt;30,AH97&gt;30),AG124,IF(AND(AD97&lt;20,AH97&gt;30),AG126,IF(AND(AH97&lt;20,AD97&gt;30),AG128,IF(AND(AD97&lt;20,AH97&gt;=20,AH97&lt;=30),AG130,IF(AND(AH97&lt;20,AD97&gt;=20,AD97&lt;=30),AG132,0)))))))</f>
        <v>0</v>
      </c>
      <c r="AH100" s="72">
        <f>IF(AND(AH97&gt;30,AD97&gt;=20,AD97&lt;=30),AH134,IF(AND(AD97&gt;30,AH97&gt;=20,AH97&lt;=30),AH136,0))</f>
        <v>0</v>
      </c>
      <c r="AI100" s="72">
        <f>IF(AND(AD97&lt;=30,AH97&lt;=30,AD97&gt;=20,AH97&gt;=20),AH120,IF(AND(AD97&lt;20,AH97&lt;20),AH122,IF(AND(AD97&gt;30,AH97&gt;30),AH124,IF(AND(AD97&lt;20,AH97&gt;30),AH126,IF(AND(AH97&lt;20,AD97&gt;30),AH128,IF(AND(AD97&lt;20,AH97&gt;=20,AH97&lt;=30),AH130,IF(AND(AH97&lt;20,AD97&gt;=20,AD97&lt;=30),AH132,0)))))))</f>
        <v>0</v>
      </c>
      <c r="AJ100" s="72">
        <f>IF(AND(AL97&gt;30,AH97&gt;=20,AH97&lt;=30),AK134,IF(AND(AH97&gt;30,AL97&gt;=20,AL97&lt;=30),AK136,0))</f>
        <v>0</v>
      </c>
      <c r="AK100" s="72">
        <f>IF(AND(AH97&lt;=30,AL97&lt;=30,AH97&gt;=20,AL97&gt;=20),AK120,IF(AND(AH97&lt;20,AL97&lt;20),AK122,IF(AND(AH97&gt;30,AL97&gt;30),AK124,IF(AND(AH97&lt;20,AL97&gt;30),AK126,IF(AND(AL97&lt;20,AH97&gt;30),AK128,IF(AND(AH97&lt;20,AL97&gt;=20,AL97&lt;=30),AK130,IF(AND(AL97&lt;20,AH97&gt;=20,AH97&lt;=30),AK132,0)))))))</f>
        <v>0</v>
      </c>
      <c r="AL100" s="72">
        <f>IF(AND(AL97&gt;30,AH97&gt;=20,AH97&lt;=30),AL134,IF(AND(AH97&gt;30,AL97&gt;=20,AL97&lt;=30),AL136,0))</f>
        <v>0</v>
      </c>
      <c r="AM100" s="72">
        <f>IF(AND(AH97&lt;=30,AL97&lt;=30,AH97&gt;=20,AL97&gt;=20),AL120,IF(AND(AH97&lt;20,AL97&lt;20),AL122,IF(AND(AH97&gt;30,AL97&gt;30),AL124,IF(AND(AH97&lt;20,AL97&gt;30),AL126,IF(AND(AL97&lt;20,AH97&gt;30),AL128,IF(AND(AH97&lt;20,AL97&gt;=20,AL97&lt;=30),AL130,IF(AND(AL97&lt;20,AH97&gt;=20,AH97&lt;=30),AL132,0)))))))</f>
        <v>0</v>
      </c>
      <c r="AN100" s="72">
        <f>IF(AND(AP97&gt;30,AL97&gt;=20,AL97&lt;=30),AO134,IF(AND(AL97&gt;30,AP97&gt;=20,AP97&lt;=30),AO136,0))</f>
        <v>0</v>
      </c>
      <c r="AO100" s="72">
        <f>IF(AND(AL97&lt;=30,AP97&lt;=30,AL97&gt;=20,AP97&gt;=20),AO120,IF(AND(AL97&lt;20,AP97&lt;20),AO122,IF(AND(AL97&gt;30,AP97&gt;30),AO124,IF(AND(AL97&lt;20,AP97&gt;30),AO126,IF(AND(AP97&lt;20,AL97&gt;30),AO128,IF(AND(AL97&lt;20,AP97&gt;=20,AP97&lt;=30),AO130,IF(AND(AP97&lt;20,AL97&gt;=20,AL97&lt;=30),AO132,0)))))))</f>
        <v>0</v>
      </c>
      <c r="AP100" s="72">
        <f>IF(AND(AP97&gt;30,AL97&gt;=20,AL97&lt;=30),AP134,IF(AND(AL97&gt;30,AP97&gt;=20,AP97&lt;=30),AP136,0))</f>
        <v>0</v>
      </c>
      <c r="AQ100" s="72">
        <f>IF(AND(AL97&lt;=30,AP97&lt;=30,AL97&gt;=20,AP97&gt;=20),AP120,IF(AND(AL97&lt;20,AP97&lt;20),AP122,IF(AND(AL97&gt;30,AP97&gt;30),AP124,IF(AND(AL97&lt;20,AP97&gt;30),AP126,IF(AND(AP97&lt;20,AL97&gt;30),AP128,IF(AND(AL97&lt;20,AP97&gt;=20,AP97&lt;=30),AP130,IF(AND(AP97&lt;20,AL97&gt;=20,AL97&lt;=30),AP132,0)))))))</f>
        <v>0</v>
      </c>
      <c r="AR100" s="72">
        <f>IF(AND(AT97&gt;30,AP97&gt;=20,AP97&lt;=30),AS134,IF(AND(AP97&gt;30,AT97&gt;=20,AT97&lt;=30),AS136,0))</f>
        <v>0</v>
      </c>
      <c r="AS100" s="72">
        <f>IF(AND(AP97&lt;=30,AT97&lt;=30,AP97&gt;=20,AT97&gt;=20),AS120,IF(AND(AP97&lt;20,AT97&lt;20),AS122,IF(AND(AP97&gt;30,AT97&gt;30),AS124,IF(AND(AP97&lt;20,AT97&gt;30),AS126,IF(AND(AT97&lt;20,AP97&gt;30),AS128,IF(AND(AP97&lt;20,AT97&gt;=20,AT97&lt;=30),AS130,IF(AND(AT97&lt;20,AP97&gt;=20,AP97&lt;=30),AS132,0)))))))</f>
        <v>0</v>
      </c>
      <c r="AT100" s="72">
        <f>IF(AND(AT97&gt;30,AP97&gt;=20,AP97&lt;=30),AT134,IF(AND(AP97&gt;30,AT97&gt;=20,AT97&lt;=30),AT136,0))</f>
        <v>0</v>
      </c>
      <c r="AU100" s="72">
        <f>IF(AND(AP97&lt;=30,AT97&lt;=30,AP97&gt;=20,AT97&gt;=20),AT120,IF(AND(AP97&lt;20,AT97&lt;20),AT122,IF(AND(AP97&gt;30,AT97&gt;30),AT124,IF(AND(AP97&lt;20,AT97&gt;30),AT126,IF(AND(AT97&lt;20,AP97&gt;30),AT128,IF(AND(AP97&lt;20,AT97&gt;=20,AT97&lt;=30),AT130,IF(AND(AT97&lt;20,AP97&gt;=20,AP97&lt;=30),AT132,0)))))))</f>
        <v>0</v>
      </c>
      <c r="AV100" s="72">
        <f>IF(AND(AX97&gt;30,AT97&gt;=20,AT97&lt;=30),AW134,IF(AND(AT97&gt;30,AX97&gt;=20,AX97&lt;=30),AW136,0))</f>
        <v>0</v>
      </c>
      <c r="AW100" s="72">
        <f>IF(AND(AT97&lt;=30,AX97&lt;=30,AT97&gt;=20,AX97&gt;=20),AW120,IF(AND(AT97&lt;20,AX97&lt;20),AW122,IF(AND(AT97&gt;30,AX97&gt;30),AW124,IF(AND(AT97&lt;20,AX97&gt;30),AW126,IF(AND(AX97&lt;20,AT97&gt;30),AW128,IF(AND(AT97&lt;20,AX97&gt;=20,AX97&lt;=30),AW130,IF(AND(AX97&lt;20,AT97&gt;=20,AT97&lt;=30),AW132,0)))))))</f>
        <v>0</v>
      </c>
      <c r="AX100" s="72">
        <f>IF(AND(AX97&gt;30,AT97&gt;=20,AT97&lt;=30),AX134,IF(AND(AT97&gt;30,AX97&gt;=20,AX97&lt;=30),AX136,0))</f>
        <v>0</v>
      </c>
      <c r="AY100" s="72">
        <f>IF(AND(AT97&lt;=30,AX97&lt;=30,AT97&gt;=20,AX97&gt;=20),AX120,IF(AND(AT97&lt;20,AX97&lt;20),AX122,IF(AND(AT97&gt;30,AX97&gt;30),AX124,IF(AND(AT97&lt;20,AX97&gt;30),AX126,IF(AND(AX97&lt;20,AT97&gt;30),AX128,IF(AND(AT97&lt;20,AX97&gt;=20,AX97&lt;=30),AX130,IF(AND(AX97&lt;20,AT97&gt;=20,AT97&lt;=30),AX132,0)))))))</f>
        <v>0</v>
      </c>
    </row>
    <row r="101" spans="1:52" hidden="1" x14ac:dyDescent="0.2">
      <c r="A101" s="50" t="s">
        <v>52</v>
      </c>
      <c r="B101" s="34"/>
      <c r="C101" s="34"/>
      <c r="D101" s="73"/>
      <c r="E101" s="74">
        <f>D96</f>
        <v>0</v>
      </c>
      <c r="F101" s="74"/>
      <c r="G101" s="75">
        <f>(B97+F97)/2</f>
        <v>0</v>
      </c>
      <c r="H101" s="73"/>
      <c r="I101" s="74">
        <f>H96</f>
        <v>0</v>
      </c>
      <c r="J101" s="74"/>
      <c r="K101" s="75">
        <f>(F97+J97)/2</f>
        <v>0</v>
      </c>
      <c r="L101" s="73"/>
      <c r="M101" s="74">
        <f>L96</f>
        <v>0</v>
      </c>
      <c r="N101" s="74"/>
      <c r="O101" s="75">
        <f>(J97+N97)/2</f>
        <v>0</v>
      </c>
      <c r="P101" s="73"/>
      <c r="Q101" s="74">
        <f>P96</f>
        <v>0</v>
      </c>
      <c r="R101" s="74"/>
      <c r="S101" s="75">
        <f>(N97+R97)/2</f>
        <v>0</v>
      </c>
      <c r="T101" s="73"/>
      <c r="U101" s="74">
        <f>T96</f>
        <v>0</v>
      </c>
      <c r="V101" s="74"/>
      <c r="W101" s="75">
        <f>(R97+V97)/2</f>
        <v>0</v>
      </c>
      <c r="X101" s="73"/>
      <c r="Y101" s="74">
        <f>X96</f>
        <v>0</v>
      </c>
      <c r="Z101" s="74"/>
      <c r="AA101" s="75">
        <f>(V97+Z97)/2</f>
        <v>0</v>
      </c>
      <c r="AB101" s="73"/>
      <c r="AC101" s="74">
        <f>AB96</f>
        <v>0</v>
      </c>
      <c r="AD101" s="74"/>
      <c r="AE101" s="75">
        <f>(Z97+AD97)/2</f>
        <v>0</v>
      </c>
      <c r="AF101" s="73"/>
      <c r="AG101" s="74">
        <f>AF96</f>
        <v>0</v>
      </c>
      <c r="AH101" s="74"/>
      <c r="AI101" s="75">
        <f>(AD97+AH97)/2</f>
        <v>0</v>
      </c>
      <c r="AJ101" s="73"/>
      <c r="AK101" s="74">
        <f>AJ96</f>
        <v>0</v>
      </c>
      <c r="AL101" s="74"/>
      <c r="AM101" s="75">
        <f>(AH97+AL97)/2</f>
        <v>0</v>
      </c>
      <c r="AN101" s="73"/>
      <c r="AO101" s="74">
        <f>AN96</f>
        <v>0</v>
      </c>
      <c r="AP101" s="74"/>
      <c r="AQ101" s="75">
        <f>(AL97+AP97)/2</f>
        <v>0</v>
      </c>
      <c r="AR101" s="73"/>
      <c r="AS101" s="74">
        <f>AR96</f>
        <v>0</v>
      </c>
      <c r="AT101" s="74"/>
      <c r="AU101" s="75">
        <f>(AP97+AT97)/2</f>
        <v>0</v>
      </c>
      <c r="AV101" s="73"/>
      <c r="AW101" s="74">
        <f>AV96</f>
        <v>0</v>
      </c>
      <c r="AX101" s="74"/>
      <c r="AY101" s="75">
        <f>(AT97+AX97)/2</f>
        <v>0</v>
      </c>
    </row>
    <row r="102" spans="1:52" hidden="1" x14ac:dyDescent="0.2">
      <c r="A102" s="50"/>
      <c r="B102" s="34"/>
      <c r="C102" s="34"/>
      <c r="D102" s="73"/>
      <c r="E102" s="76">
        <f>D101+E101</f>
        <v>0</v>
      </c>
      <c r="F102" s="76">
        <f>E101*G101</f>
        <v>0</v>
      </c>
      <c r="G102" s="75"/>
      <c r="H102" s="73"/>
      <c r="I102" s="76">
        <f>H101+I101</f>
        <v>0</v>
      </c>
      <c r="J102" s="76">
        <f>I101*K101</f>
        <v>0</v>
      </c>
      <c r="K102" s="75"/>
      <c r="L102" s="73"/>
      <c r="M102" s="76">
        <f>L101+M101</f>
        <v>0</v>
      </c>
      <c r="N102" s="76">
        <f>M101*O101</f>
        <v>0</v>
      </c>
      <c r="O102" s="75"/>
      <c r="P102" s="73"/>
      <c r="Q102" s="76">
        <f>P101+Q101</f>
        <v>0</v>
      </c>
      <c r="R102" s="76">
        <f>Q101*S101</f>
        <v>0</v>
      </c>
      <c r="S102" s="75"/>
      <c r="T102" s="73"/>
      <c r="U102" s="76">
        <f>T101+U101</f>
        <v>0</v>
      </c>
      <c r="V102" s="76">
        <f>U101*W101</f>
        <v>0</v>
      </c>
      <c r="W102" s="75"/>
      <c r="X102" s="73"/>
      <c r="Y102" s="76">
        <f>X101+Y101</f>
        <v>0</v>
      </c>
      <c r="Z102" s="76">
        <f>Y101*AA101</f>
        <v>0</v>
      </c>
      <c r="AA102" s="75"/>
      <c r="AB102" s="73"/>
      <c r="AC102" s="76">
        <f>AB101+AC101</f>
        <v>0</v>
      </c>
      <c r="AD102" s="76">
        <f>AC101*AE101</f>
        <v>0</v>
      </c>
      <c r="AE102" s="75"/>
      <c r="AF102" s="73"/>
      <c r="AG102" s="76">
        <f>AF101+AG101</f>
        <v>0</v>
      </c>
      <c r="AH102" s="76">
        <f>AG101*AI101</f>
        <v>0</v>
      </c>
      <c r="AI102" s="75"/>
      <c r="AJ102" s="73"/>
      <c r="AK102" s="76">
        <f>AJ101+AK101</f>
        <v>0</v>
      </c>
      <c r="AL102" s="76">
        <f>AK101*AM101</f>
        <v>0</v>
      </c>
      <c r="AM102" s="75"/>
      <c r="AN102" s="73"/>
      <c r="AO102" s="76">
        <f>AN101+AO101</f>
        <v>0</v>
      </c>
      <c r="AP102" s="76">
        <f>AO101*AQ101</f>
        <v>0</v>
      </c>
      <c r="AQ102" s="75"/>
      <c r="AR102" s="73"/>
      <c r="AS102" s="76">
        <f>AR101+AS101</f>
        <v>0</v>
      </c>
      <c r="AT102" s="76">
        <f>AS101*AU101</f>
        <v>0</v>
      </c>
      <c r="AU102" s="75"/>
      <c r="AV102" s="73"/>
      <c r="AW102" s="76">
        <f>AV101+AW101</f>
        <v>0</v>
      </c>
      <c r="AX102" s="76">
        <f>AW101*AY101</f>
        <v>0</v>
      </c>
      <c r="AY102" s="75"/>
    </row>
    <row r="103" spans="1:52" hidden="1" x14ac:dyDescent="0.2">
      <c r="A103" s="50" t="s">
        <v>53</v>
      </c>
      <c r="B103" s="34"/>
      <c r="C103" s="34"/>
      <c r="D103" s="73"/>
      <c r="E103" s="74">
        <v>0</v>
      </c>
      <c r="F103" s="74"/>
      <c r="G103" s="75">
        <v>0</v>
      </c>
      <c r="H103" s="73"/>
      <c r="I103" s="74">
        <v>0</v>
      </c>
      <c r="J103" s="74"/>
      <c r="K103" s="75">
        <v>0</v>
      </c>
      <c r="L103" s="73"/>
      <c r="M103" s="74">
        <v>0</v>
      </c>
      <c r="N103" s="74"/>
      <c r="O103" s="75">
        <v>0</v>
      </c>
      <c r="P103" s="73"/>
      <c r="Q103" s="74">
        <v>0</v>
      </c>
      <c r="R103" s="74"/>
      <c r="S103" s="75">
        <v>0</v>
      </c>
      <c r="T103" s="73"/>
      <c r="U103" s="74">
        <v>0</v>
      </c>
      <c r="V103" s="74"/>
      <c r="W103" s="75">
        <v>0</v>
      </c>
      <c r="X103" s="73"/>
      <c r="Y103" s="74">
        <v>0</v>
      </c>
      <c r="Z103" s="74"/>
      <c r="AA103" s="75">
        <v>0</v>
      </c>
      <c r="AB103" s="73"/>
      <c r="AC103" s="74">
        <v>0</v>
      </c>
      <c r="AD103" s="74"/>
      <c r="AE103" s="75">
        <v>0</v>
      </c>
      <c r="AF103" s="73"/>
      <c r="AG103" s="74">
        <v>0</v>
      </c>
      <c r="AH103" s="74"/>
      <c r="AI103" s="75">
        <v>0</v>
      </c>
      <c r="AJ103" s="73"/>
      <c r="AK103" s="74">
        <v>0</v>
      </c>
      <c r="AL103" s="74"/>
      <c r="AM103" s="75">
        <v>0</v>
      </c>
      <c r="AN103" s="73"/>
      <c r="AO103" s="74">
        <v>0</v>
      </c>
      <c r="AP103" s="74"/>
      <c r="AQ103" s="75">
        <v>0</v>
      </c>
      <c r="AR103" s="73"/>
      <c r="AS103" s="74">
        <v>0</v>
      </c>
      <c r="AT103" s="74"/>
      <c r="AU103" s="75">
        <v>0</v>
      </c>
      <c r="AV103" s="73"/>
      <c r="AW103" s="74">
        <v>0</v>
      </c>
      <c r="AX103" s="74"/>
      <c r="AY103" s="75">
        <v>0</v>
      </c>
    </row>
    <row r="104" spans="1:52" hidden="1" x14ac:dyDescent="0.2">
      <c r="A104" s="50"/>
      <c r="B104" s="34"/>
      <c r="C104" s="34"/>
      <c r="D104" s="73"/>
      <c r="E104" s="76">
        <f>D103+E103</f>
        <v>0</v>
      </c>
      <c r="F104" s="76">
        <f>E103*G103</f>
        <v>0</v>
      </c>
      <c r="G104" s="75"/>
      <c r="H104" s="73"/>
      <c r="I104" s="76">
        <f>H103+I103</f>
        <v>0</v>
      </c>
      <c r="J104" s="76">
        <f>I103*K103</f>
        <v>0</v>
      </c>
      <c r="K104" s="75"/>
      <c r="L104" s="73"/>
      <c r="M104" s="76">
        <f>L103+M103</f>
        <v>0</v>
      </c>
      <c r="N104" s="76">
        <f>M103*O103</f>
        <v>0</v>
      </c>
      <c r="O104" s="75"/>
      <c r="P104" s="73"/>
      <c r="Q104" s="76">
        <f>P103+Q103</f>
        <v>0</v>
      </c>
      <c r="R104" s="76">
        <f>Q103*S103</f>
        <v>0</v>
      </c>
      <c r="S104" s="75"/>
      <c r="T104" s="73"/>
      <c r="U104" s="76">
        <f>T103+U103</f>
        <v>0</v>
      </c>
      <c r="V104" s="76">
        <f>U103*W103</f>
        <v>0</v>
      </c>
      <c r="W104" s="75"/>
      <c r="X104" s="73"/>
      <c r="Y104" s="76">
        <f>X103+Y103</f>
        <v>0</v>
      </c>
      <c r="Z104" s="76">
        <f>Y103*AA103</f>
        <v>0</v>
      </c>
      <c r="AA104" s="75"/>
      <c r="AB104" s="73"/>
      <c r="AC104" s="76">
        <f>AB103+AC103</f>
        <v>0</v>
      </c>
      <c r="AD104" s="76">
        <f>AC103*AE103</f>
        <v>0</v>
      </c>
      <c r="AE104" s="75"/>
      <c r="AF104" s="73"/>
      <c r="AG104" s="76">
        <f>AF103+AG103</f>
        <v>0</v>
      </c>
      <c r="AH104" s="76">
        <f>AG103*AI103</f>
        <v>0</v>
      </c>
      <c r="AI104" s="75"/>
      <c r="AJ104" s="73"/>
      <c r="AK104" s="76">
        <f>AJ103+AK103</f>
        <v>0</v>
      </c>
      <c r="AL104" s="76">
        <f>AK103*AM103</f>
        <v>0</v>
      </c>
      <c r="AM104" s="75"/>
      <c r="AN104" s="73"/>
      <c r="AO104" s="76">
        <f>AN103+AO103</f>
        <v>0</v>
      </c>
      <c r="AP104" s="76">
        <f>AO103*AQ103</f>
        <v>0</v>
      </c>
      <c r="AQ104" s="75"/>
      <c r="AR104" s="73"/>
      <c r="AS104" s="76">
        <f>AR103+AS103</f>
        <v>0</v>
      </c>
      <c r="AT104" s="76">
        <f>AS103*AU103</f>
        <v>0</v>
      </c>
      <c r="AU104" s="75"/>
      <c r="AV104" s="73"/>
      <c r="AW104" s="76">
        <f>AV103+AW103</f>
        <v>0</v>
      </c>
      <c r="AX104" s="76">
        <f>AW103*AY103</f>
        <v>0</v>
      </c>
      <c r="AY104" s="75"/>
    </row>
    <row r="105" spans="1:52" hidden="1" x14ac:dyDescent="0.2">
      <c r="A105" s="50" t="s">
        <v>54</v>
      </c>
      <c r="B105" s="34"/>
      <c r="C105" s="34"/>
      <c r="D105" s="73"/>
      <c r="E105" s="74">
        <f>D96</f>
        <v>0</v>
      </c>
      <c r="F105" s="74"/>
      <c r="G105" s="75">
        <v>60</v>
      </c>
      <c r="H105" s="73"/>
      <c r="I105" s="74">
        <f>H96</f>
        <v>0</v>
      </c>
      <c r="J105" s="74"/>
      <c r="K105" s="75">
        <v>60</v>
      </c>
      <c r="L105" s="73"/>
      <c r="M105" s="74">
        <f>L96</f>
        <v>0</v>
      </c>
      <c r="N105" s="74"/>
      <c r="O105" s="75">
        <v>60</v>
      </c>
      <c r="P105" s="73"/>
      <c r="Q105" s="74">
        <f>P96</f>
        <v>0</v>
      </c>
      <c r="R105" s="74"/>
      <c r="S105" s="75">
        <v>60</v>
      </c>
      <c r="T105" s="73"/>
      <c r="U105" s="74">
        <f>T96</f>
        <v>0</v>
      </c>
      <c r="V105" s="74"/>
      <c r="W105" s="75">
        <v>60</v>
      </c>
      <c r="X105" s="73"/>
      <c r="Y105" s="74">
        <f>X96</f>
        <v>0</v>
      </c>
      <c r="Z105" s="74"/>
      <c r="AA105" s="75">
        <v>60</v>
      </c>
      <c r="AB105" s="73"/>
      <c r="AC105" s="74">
        <f>AB96</f>
        <v>0</v>
      </c>
      <c r="AD105" s="74"/>
      <c r="AE105" s="75">
        <v>60</v>
      </c>
      <c r="AF105" s="73"/>
      <c r="AG105" s="74">
        <f>AF96</f>
        <v>0</v>
      </c>
      <c r="AH105" s="74"/>
      <c r="AI105" s="75">
        <v>60</v>
      </c>
      <c r="AJ105" s="73"/>
      <c r="AK105" s="74">
        <f>AJ96</f>
        <v>0</v>
      </c>
      <c r="AL105" s="74"/>
      <c r="AM105" s="75">
        <v>60</v>
      </c>
      <c r="AN105" s="73"/>
      <c r="AO105" s="74">
        <f>AN96</f>
        <v>0</v>
      </c>
      <c r="AP105" s="74"/>
      <c r="AQ105" s="75">
        <v>60</v>
      </c>
      <c r="AR105" s="73"/>
      <c r="AS105" s="74">
        <f>AR96</f>
        <v>0</v>
      </c>
      <c r="AT105" s="74"/>
      <c r="AU105" s="75">
        <v>60</v>
      </c>
      <c r="AV105" s="73"/>
      <c r="AW105" s="74">
        <f>AV96</f>
        <v>0</v>
      </c>
      <c r="AX105" s="74"/>
      <c r="AY105" s="75">
        <v>60</v>
      </c>
    </row>
    <row r="106" spans="1:52" hidden="1" x14ac:dyDescent="0.2">
      <c r="A106" s="50"/>
      <c r="B106" s="34"/>
      <c r="C106" s="34"/>
      <c r="D106" s="73"/>
      <c r="E106" s="76">
        <f>D105+E105</f>
        <v>0</v>
      </c>
      <c r="F106" s="76">
        <f>E105*G105</f>
        <v>0</v>
      </c>
      <c r="G106" s="75"/>
      <c r="H106" s="73"/>
      <c r="I106" s="76">
        <f>H105+I105</f>
        <v>0</v>
      </c>
      <c r="J106" s="76">
        <f>I105*K105</f>
        <v>0</v>
      </c>
      <c r="K106" s="75"/>
      <c r="L106" s="73"/>
      <c r="M106" s="76">
        <f>L105+M105</f>
        <v>0</v>
      </c>
      <c r="N106" s="76">
        <f>M105*O105</f>
        <v>0</v>
      </c>
      <c r="O106" s="75"/>
      <c r="P106" s="73"/>
      <c r="Q106" s="76">
        <f>P105+Q105</f>
        <v>0</v>
      </c>
      <c r="R106" s="76">
        <f>Q105*S105</f>
        <v>0</v>
      </c>
      <c r="S106" s="75"/>
      <c r="T106" s="73"/>
      <c r="U106" s="76">
        <f>T105+U105</f>
        <v>0</v>
      </c>
      <c r="V106" s="76">
        <f>U105*W105</f>
        <v>0</v>
      </c>
      <c r="W106" s="75"/>
      <c r="X106" s="73"/>
      <c r="Y106" s="76">
        <f>X105+Y105</f>
        <v>0</v>
      </c>
      <c r="Z106" s="76">
        <f>Y105*AA105</f>
        <v>0</v>
      </c>
      <c r="AA106" s="75"/>
      <c r="AB106" s="73"/>
      <c r="AC106" s="76">
        <f>AB105+AC105</f>
        <v>0</v>
      </c>
      <c r="AD106" s="76">
        <f>AC105*AE105</f>
        <v>0</v>
      </c>
      <c r="AE106" s="75"/>
      <c r="AF106" s="73"/>
      <c r="AG106" s="76">
        <f>AF105+AG105</f>
        <v>0</v>
      </c>
      <c r="AH106" s="76">
        <f>AG105*AI105</f>
        <v>0</v>
      </c>
      <c r="AI106" s="75"/>
      <c r="AJ106" s="73"/>
      <c r="AK106" s="76">
        <f>AJ105+AK105</f>
        <v>0</v>
      </c>
      <c r="AL106" s="76">
        <f>AK105*AM105</f>
        <v>0</v>
      </c>
      <c r="AM106" s="75"/>
      <c r="AN106" s="73"/>
      <c r="AO106" s="76">
        <f>AN105+AO105</f>
        <v>0</v>
      </c>
      <c r="AP106" s="76">
        <f>AO105*AQ105</f>
        <v>0</v>
      </c>
      <c r="AQ106" s="75"/>
      <c r="AR106" s="73"/>
      <c r="AS106" s="76">
        <f>AR105+AS105</f>
        <v>0</v>
      </c>
      <c r="AT106" s="76">
        <f>AS105*AU105</f>
        <v>0</v>
      </c>
      <c r="AU106" s="75"/>
      <c r="AV106" s="73"/>
      <c r="AW106" s="76">
        <f>AV105+AW105</f>
        <v>0</v>
      </c>
      <c r="AX106" s="76">
        <f>AW105*AY105</f>
        <v>0</v>
      </c>
      <c r="AY106" s="75"/>
    </row>
    <row r="107" spans="1:52" hidden="1" x14ac:dyDescent="0.2">
      <c r="A107" s="50" t="s">
        <v>55</v>
      </c>
      <c r="B107" s="51"/>
      <c r="C107" s="51"/>
      <c r="D107" s="73" t="e">
        <f>(F97-60)*(D96+(B97*D96)/(F97-B97))/F97</f>
        <v>#DIV/0!</v>
      </c>
      <c r="E107" s="74" t="e">
        <f>(D96-(D96*(20-B97)/(F97-B97))-((F97-60)*(D96+(B97*D96)/(F97-B97))/F97))</f>
        <v>#DIV/0!</v>
      </c>
      <c r="F107" s="74">
        <v>60</v>
      </c>
      <c r="G107" s="75">
        <v>40</v>
      </c>
      <c r="H107" s="73" t="e">
        <f>(J97-60)*(H96+(F97*H96)/(J97-F97))/J97</f>
        <v>#DIV/0!</v>
      </c>
      <c r="I107" s="74" t="e">
        <f>(H96-(H96*(20-F97)/(J97-F97))-((J97-60)*(H96+(F97*H96)/(J97-F97))/J97))</f>
        <v>#DIV/0!</v>
      </c>
      <c r="J107" s="74">
        <v>60</v>
      </c>
      <c r="K107" s="75">
        <v>40</v>
      </c>
      <c r="L107" s="73" t="e">
        <f>(N97-60)*(L96+(J97*L96)/(N97-J97))/N97</f>
        <v>#DIV/0!</v>
      </c>
      <c r="M107" s="74" t="e">
        <f>(L96-(L96*(20-J97)/(N97-J97))-((N97-60)*(L96+(J97*L96)/(N97-J97))/N97))</f>
        <v>#DIV/0!</v>
      </c>
      <c r="N107" s="74">
        <v>60</v>
      </c>
      <c r="O107" s="75">
        <v>40</v>
      </c>
      <c r="P107" s="73" t="e">
        <f>(R97-60)*(P96+(N97*P96)/(R97-N97))/R97</f>
        <v>#DIV/0!</v>
      </c>
      <c r="Q107" s="74" t="e">
        <f>(P96-(P96*(20-N97)/(R97-N97))-((R97-60)*(P96+(N97*P96)/(R97-N97))/R97))</f>
        <v>#DIV/0!</v>
      </c>
      <c r="R107" s="74">
        <v>60</v>
      </c>
      <c r="S107" s="75">
        <v>40</v>
      </c>
      <c r="T107" s="73" t="e">
        <f>(V97-60)*(T96+(R97*T96)/(V97-R97))/V97</f>
        <v>#DIV/0!</v>
      </c>
      <c r="U107" s="74" t="e">
        <f>(T96-(T96*(20-R97)/(V97-R97))-((V97-60)*(T96+(R97*T96)/(V97-R97))/V97))</f>
        <v>#DIV/0!</v>
      </c>
      <c r="V107" s="74">
        <v>60</v>
      </c>
      <c r="W107" s="75">
        <v>40</v>
      </c>
      <c r="X107" s="73" t="e">
        <f>(Z97-60)*(X96+(V97*X96)/(Z97-V97))/Z97</f>
        <v>#DIV/0!</v>
      </c>
      <c r="Y107" s="74" t="e">
        <f>(X96-(X96*(20-V97)/(Z97-V97))-((Z97-60)*(X96+(V97*X96)/(Z97-V97))/Z97))</f>
        <v>#DIV/0!</v>
      </c>
      <c r="Z107" s="74">
        <v>60</v>
      </c>
      <c r="AA107" s="75">
        <v>40</v>
      </c>
      <c r="AB107" s="73" t="e">
        <f>(AD97-60)*(AB96+(Z97*AB96)/(AD97-Z97))/AD97</f>
        <v>#DIV/0!</v>
      </c>
      <c r="AC107" s="74" t="e">
        <f>(AB96-(AB96*(20-Z97)/(AD97-Z97))-((AD97-60)*(AB96+(Z97*AB96)/(AD97-Z97))/AD97))</f>
        <v>#DIV/0!</v>
      </c>
      <c r="AD107" s="74">
        <v>60</v>
      </c>
      <c r="AE107" s="75">
        <v>40</v>
      </c>
      <c r="AF107" s="73" t="e">
        <f>(AH97-60)*(AF96+(AD97*AF96)/(AH97-AD97))/AH97</f>
        <v>#DIV/0!</v>
      </c>
      <c r="AG107" s="74" t="e">
        <f>(AF96-(AF96*(20-AD97)/(AH97-AD97))-((AH97-60)*(AF96+(AD97*AF96)/(AH97-AD97))/AH97))</f>
        <v>#DIV/0!</v>
      </c>
      <c r="AH107" s="74">
        <v>60</v>
      </c>
      <c r="AI107" s="75">
        <v>40</v>
      </c>
      <c r="AJ107" s="73" t="e">
        <f>(AL97-60)*(AJ96+(AH97*AJ96)/(AL97-AH97))/AL97</f>
        <v>#DIV/0!</v>
      </c>
      <c r="AK107" s="74" t="e">
        <f>(AJ96-(AJ96*(20-AH97)/(AL97-AH97))-((AL97-60)*(AJ96+(AH97*AJ96)/(AL97-AH97))/AL97))</f>
        <v>#DIV/0!</v>
      </c>
      <c r="AL107" s="74">
        <v>60</v>
      </c>
      <c r="AM107" s="75">
        <v>40</v>
      </c>
      <c r="AN107" s="73" t="e">
        <f>(AP97-60)*(AN96+(AL97*AN96)/(AP97-AL97))/AP97</f>
        <v>#DIV/0!</v>
      </c>
      <c r="AO107" s="74" t="e">
        <f>(AN96-(AN96*(20-AL97)/(AP97-AL97))-((AP97-60)*(AN96+(AL97*AN96)/(AP97-AL97))/AP97))</f>
        <v>#DIV/0!</v>
      </c>
      <c r="AP107" s="74">
        <v>60</v>
      </c>
      <c r="AQ107" s="75">
        <v>40</v>
      </c>
      <c r="AR107" s="73" t="e">
        <f>(AT97-60)*(AR96+(AP97*AR96)/(AT97-AP97))/AT97</f>
        <v>#DIV/0!</v>
      </c>
      <c r="AS107" s="74" t="e">
        <f>(AR96-(AR96*(20-AP97)/(AT97-AP97))-((AT97-60)*(AR96+(AP97*AR96)/(AT97-AP97))/AT97))</f>
        <v>#DIV/0!</v>
      </c>
      <c r="AT107" s="74">
        <v>60</v>
      </c>
      <c r="AU107" s="75">
        <v>40</v>
      </c>
      <c r="AV107" s="73" t="e">
        <f>(AX97-60)*(AV96+(AT97*AV96)/(AX97-AT97))/AX97</f>
        <v>#DIV/0!</v>
      </c>
      <c r="AW107" s="74" t="e">
        <f>(AV96-(AV96*(20-AT97)/(AX97-AT97))-((AX97-60)*(AV96+(AT97*AV96)/(AX97-AT97))/AX97))</f>
        <v>#DIV/0!</v>
      </c>
      <c r="AX107" s="74">
        <v>60</v>
      </c>
      <c r="AY107" s="75">
        <v>40</v>
      </c>
    </row>
    <row r="108" spans="1:52" hidden="1" x14ac:dyDescent="0.2">
      <c r="A108" s="50"/>
      <c r="B108" s="51"/>
      <c r="C108" s="51"/>
      <c r="D108" s="73"/>
      <c r="E108" s="76" t="e">
        <f>D107+E107</f>
        <v>#DIV/0!</v>
      </c>
      <c r="F108" s="76" t="e">
        <f>(E107*G107)+(D107*F107)</f>
        <v>#DIV/0!</v>
      </c>
      <c r="G108" s="75"/>
      <c r="H108" s="73"/>
      <c r="I108" s="76" t="e">
        <f>H107+I107</f>
        <v>#DIV/0!</v>
      </c>
      <c r="J108" s="76" t="e">
        <f>(I107*K107)+(H107*J107)</f>
        <v>#DIV/0!</v>
      </c>
      <c r="K108" s="75"/>
      <c r="L108" s="73"/>
      <c r="M108" s="76" t="e">
        <f>L107+M107</f>
        <v>#DIV/0!</v>
      </c>
      <c r="N108" s="76" t="e">
        <f>(M107*O107)+(L107*N107)</f>
        <v>#DIV/0!</v>
      </c>
      <c r="O108" s="75"/>
      <c r="P108" s="73"/>
      <c r="Q108" s="76" t="e">
        <f>P107+Q107</f>
        <v>#DIV/0!</v>
      </c>
      <c r="R108" s="76" t="e">
        <f>(Q107*S107)+(P107*R107)</f>
        <v>#DIV/0!</v>
      </c>
      <c r="S108" s="75"/>
      <c r="T108" s="73"/>
      <c r="U108" s="76" t="e">
        <f>T107+U107</f>
        <v>#DIV/0!</v>
      </c>
      <c r="V108" s="76" t="e">
        <f>(U107*W107)+(T107*V107)</f>
        <v>#DIV/0!</v>
      </c>
      <c r="W108" s="75"/>
      <c r="X108" s="73"/>
      <c r="Y108" s="76" t="e">
        <f>X107+Y107</f>
        <v>#DIV/0!</v>
      </c>
      <c r="Z108" s="76" t="e">
        <f>(Y107*AA107)+(X107*Z107)</f>
        <v>#DIV/0!</v>
      </c>
      <c r="AA108" s="75"/>
      <c r="AB108" s="73"/>
      <c r="AC108" s="76" t="e">
        <f>AB107+AC107</f>
        <v>#DIV/0!</v>
      </c>
      <c r="AD108" s="76" t="e">
        <f>(AC107*AE107)+(AB107*AD107)</f>
        <v>#DIV/0!</v>
      </c>
      <c r="AE108" s="75"/>
      <c r="AF108" s="73"/>
      <c r="AG108" s="76" t="e">
        <f>AF107+AG107</f>
        <v>#DIV/0!</v>
      </c>
      <c r="AH108" s="76" t="e">
        <f>(AG107*AI107)+(AF107*AH107)</f>
        <v>#DIV/0!</v>
      </c>
      <c r="AI108" s="75"/>
      <c r="AJ108" s="73"/>
      <c r="AK108" s="76" t="e">
        <f>AJ107+AK107</f>
        <v>#DIV/0!</v>
      </c>
      <c r="AL108" s="76" t="e">
        <f>(AK107*AM107)+(AJ107*AL107)</f>
        <v>#DIV/0!</v>
      </c>
      <c r="AM108" s="75"/>
      <c r="AN108" s="73"/>
      <c r="AO108" s="76" t="e">
        <f>AN107+AO107</f>
        <v>#DIV/0!</v>
      </c>
      <c r="AP108" s="76" t="e">
        <f>(AO107*AQ107)+(AN107*AP107)</f>
        <v>#DIV/0!</v>
      </c>
      <c r="AQ108" s="75"/>
      <c r="AR108" s="73"/>
      <c r="AS108" s="76" t="e">
        <f>AR107+AS107</f>
        <v>#DIV/0!</v>
      </c>
      <c r="AT108" s="76" t="e">
        <f>(AS107*AU107)+(AR107*AT107)</f>
        <v>#DIV/0!</v>
      </c>
      <c r="AU108" s="75"/>
      <c r="AV108" s="73"/>
      <c r="AW108" s="76" t="e">
        <f>AV107+AW107</f>
        <v>#DIV/0!</v>
      </c>
      <c r="AX108" s="76" t="e">
        <f>(AW107*AY107)+(AV107*AX107)</f>
        <v>#DIV/0!</v>
      </c>
      <c r="AY108" s="75"/>
    </row>
    <row r="109" spans="1:52" hidden="1" x14ac:dyDescent="0.2">
      <c r="A109" s="50" t="s">
        <v>56</v>
      </c>
      <c r="B109" s="51"/>
      <c r="C109" s="51"/>
      <c r="D109" s="73" t="e">
        <f>(B97-60)*(D96+(F97*D96)/(B97-F97))/B97</f>
        <v>#DIV/0!</v>
      </c>
      <c r="E109" s="74" t="e">
        <f>(D96-(D96*(20-F97)/(B97-F97))-((B97-60)*(D96+(F97*D96)/(B97-F97))/B97))</f>
        <v>#DIV/0!</v>
      </c>
      <c r="F109" s="74">
        <v>60</v>
      </c>
      <c r="G109" s="75">
        <v>40</v>
      </c>
      <c r="H109" s="73" t="e">
        <f>(F97-60)*(H96+(J97*H96)/(F97-J97))/F97</f>
        <v>#DIV/0!</v>
      </c>
      <c r="I109" s="74" t="e">
        <f>(H96-(H96*(20-J97)/(F97-J97))-((F97-60)*(H96+(J97*H96)/(F97-J97))/F97))</f>
        <v>#DIV/0!</v>
      </c>
      <c r="J109" s="74">
        <v>60</v>
      </c>
      <c r="K109" s="75">
        <v>40</v>
      </c>
      <c r="L109" s="73" t="e">
        <f>(J97-60)*(L96+(N97*L96)/(J97-N97))/J97</f>
        <v>#DIV/0!</v>
      </c>
      <c r="M109" s="74" t="e">
        <f>(L96-(L96*(20-N97)/(J97-N97))-((J97-60)*(L96+(N97*L96)/(J97-N97))/J97))</f>
        <v>#DIV/0!</v>
      </c>
      <c r="N109" s="74">
        <v>60</v>
      </c>
      <c r="O109" s="75">
        <v>40</v>
      </c>
      <c r="P109" s="73" t="e">
        <f>(N97-60)*(P96+(R97*P96)/(N97-R97))/N97</f>
        <v>#DIV/0!</v>
      </c>
      <c r="Q109" s="74" t="e">
        <f>(P96-(P96*(20-R97)/(N97-R97))-((N97-60)*(P96+(R97*P96)/(N97-R97))/N97))</f>
        <v>#DIV/0!</v>
      </c>
      <c r="R109" s="74">
        <v>60</v>
      </c>
      <c r="S109" s="75">
        <v>40</v>
      </c>
      <c r="T109" s="73" t="e">
        <f>(R97-60)*(T96+(V97*T96)/(R97-V97))/R97</f>
        <v>#DIV/0!</v>
      </c>
      <c r="U109" s="74" t="e">
        <f>(T96-(T96*(20-V97)/(R97-V97))-((R97-60)*(T96+(V97*T96)/(R97-V97))/R97))</f>
        <v>#DIV/0!</v>
      </c>
      <c r="V109" s="74">
        <v>60</v>
      </c>
      <c r="W109" s="75">
        <v>40</v>
      </c>
      <c r="X109" s="73" t="e">
        <f>(V97-60)*(X96+(Z97*X96)/(V97-Z97))/V97</f>
        <v>#DIV/0!</v>
      </c>
      <c r="Y109" s="74" t="e">
        <f>(X96-(X96*(20-Z97)/(V97-Z97))-((V97-60)*(X96+(Z97*X96)/(V97-Z97))/V97))</f>
        <v>#DIV/0!</v>
      </c>
      <c r="Z109" s="74">
        <v>60</v>
      </c>
      <c r="AA109" s="75">
        <v>40</v>
      </c>
      <c r="AB109" s="73" t="e">
        <f>(Z97-60)*(AB96+(AD97*AB96)/(Z97-AD97))/Z97</f>
        <v>#DIV/0!</v>
      </c>
      <c r="AC109" s="74" t="e">
        <f>(AB96-(AB96*(20-AD97)/(Z97-AD97))-((Z97-60)*(AB96+(AD97*AB96)/(Z97-AD97))/Z97))</f>
        <v>#DIV/0!</v>
      </c>
      <c r="AD109" s="74">
        <v>60</v>
      </c>
      <c r="AE109" s="75">
        <v>40</v>
      </c>
      <c r="AF109" s="73" t="e">
        <f>(AD97-60)*(AF96+(AH97*AF96)/(AD97-AH97))/AD97</f>
        <v>#DIV/0!</v>
      </c>
      <c r="AG109" s="74" t="e">
        <f>(AF96-(AF96*(20-AH97)/(AD97-AH97))-((AD97-60)*(AF96+(AH97*AF96)/(AD97-AH97))/AD97))</f>
        <v>#DIV/0!</v>
      </c>
      <c r="AH109" s="74">
        <v>60</v>
      </c>
      <c r="AI109" s="75">
        <v>40</v>
      </c>
      <c r="AJ109" s="73" t="e">
        <f>(AH97-60)*(AJ96+(AL97*AJ96)/(AH97-AL97))/AH97</f>
        <v>#DIV/0!</v>
      </c>
      <c r="AK109" s="74" t="e">
        <f>(AJ96-(AJ96*(20-AL97)/(AH97-AL97))-((AH97-60)*(AJ96+(AL97*AJ96)/(AH97-AL97))/AH97))</f>
        <v>#DIV/0!</v>
      </c>
      <c r="AL109" s="74">
        <v>60</v>
      </c>
      <c r="AM109" s="75">
        <v>40</v>
      </c>
      <c r="AN109" s="73" t="e">
        <f>(AL97-60)*(AN96+(AP97*AN96)/(AL97-AP97))/AL97</f>
        <v>#DIV/0!</v>
      </c>
      <c r="AO109" s="74" t="e">
        <f>(AN96-(AN96*(20-AP97)/(AL97-AP97))-((AL97-60)*(AN96+(AP97*AN96)/(AL97-AP97))/AL97))</f>
        <v>#DIV/0!</v>
      </c>
      <c r="AP109" s="74">
        <v>60</v>
      </c>
      <c r="AQ109" s="75">
        <v>40</v>
      </c>
      <c r="AR109" s="73" t="e">
        <f>(AP97-60)*(AR96+(AT97*AR96)/(AP97-AT97))/AP97</f>
        <v>#DIV/0!</v>
      </c>
      <c r="AS109" s="74" t="e">
        <f>(AR96-(AR96*(20-AT97)/(AP97-AT97))-((AP97-60)*(AR96+(AT97*AR96)/(AP97-AT97))/AP97))</f>
        <v>#DIV/0!</v>
      </c>
      <c r="AT109" s="74">
        <v>60</v>
      </c>
      <c r="AU109" s="75">
        <v>40</v>
      </c>
      <c r="AV109" s="73" t="e">
        <f>(AT97-60)*(AV96+(AX97*AV96)/(AT97-AX97))/AT97</f>
        <v>#DIV/0!</v>
      </c>
      <c r="AW109" s="74" t="e">
        <f>(AV96-(AV96*(20-AX97)/(AT97-AX97))-((AT97-60)*(AV96+(AX97*AV96)/(AT97-AX97))/AT97))</f>
        <v>#DIV/0!</v>
      </c>
      <c r="AX109" s="74">
        <v>60</v>
      </c>
      <c r="AY109" s="75">
        <v>40</v>
      </c>
    </row>
    <row r="110" spans="1:52" hidden="1" x14ac:dyDescent="0.2">
      <c r="A110" s="50"/>
      <c r="B110" s="51"/>
      <c r="C110" s="51"/>
      <c r="D110" s="73"/>
      <c r="E110" s="76" t="e">
        <f>D109+E109</f>
        <v>#DIV/0!</v>
      </c>
      <c r="F110" s="76" t="e">
        <f>(E109*G109)+(D109*F109)</f>
        <v>#DIV/0!</v>
      </c>
      <c r="G110" s="75"/>
      <c r="H110" s="73"/>
      <c r="I110" s="76" t="e">
        <f>H109+I109</f>
        <v>#DIV/0!</v>
      </c>
      <c r="J110" s="76" t="e">
        <f>(I109*K109)+(H109*J109)</f>
        <v>#DIV/0!</v>
      </c>
      <c r="K110" s="75"/>
      <c r="L110" s="73"/>
      <c r="M110" s="76" t="e">
        <f>L109+M109</f>
        <v>#DIV/0!</v>
      </c>
      <c r="N110" s="76" t="e">
        <f>(M109*O109)+(L109*N109)</f>
        <v>#DIV/0!</v>
      </c>
      <c r="O110" s="75"/>
      <c r="P110" s="73"/>
      <c r="Q110" s="76" t="e">
        <f>P109+Q109</f>
        <v>#DIV/0!</v>
      </c>
      <c r="R110" s="76" t="e">
        <f>(Q109*S109)+(P109*R109)</f>
        <v>#DIV/0!</v>
      </c>
      <c r="S110" s="75"/>
      <c r="T110" s="73"/>
      <c r="U110" s="76" t="e">
        <f>T109+U109</f>
        <v>#DIV/0!</v>
      </c>
      <c r="V110" s="76" t="e">
        <f>(U109*W109)+(T109*V109)</f>
        <v>#DIV/0!</v>
      </c>
      <c r="W110" s="75"/>
      <c r="X110" s="73"/>
      <c r="Y110" s="76" t="e">
        <f>X109+Y109</f>
        <v>#DIV/0!</v>
      </c>
      <c r="Z110" s="76" t="e">
        <f>(Y109*AA109)+(X109*Z109)</f>
        <v>#DIV/0!</v>
      </c>
      <c r="AA110" s="75"/>
      <c r="AB110" s="73"/>
      <c r="AC110" s="76" t="e">
        <f>AB109+AC109</f>
        <v>#DIV/0!</v>
      </c>
      <c r="AD110" s="76" t="e">
        <f>(AC109*AE109)+(AB109*AD109)</f>
        <v>#DIV/0!</v>
      </c>
      <c r="AE110" s="75"/>
      <c r="AF110" s="73"/>
      <c r="AG110" s="76" t="e">
        <f>AF109+AG109</f>
        <v>#DIV/0!</v>
      </c>
      <c r="AH110" s="76" t="e">
        <f>(AG109*AI109)+(AF109*AH109)</f>
        <v>#DIV/0!</v>
      </c>
      <c r="AI110" s="75"/>
      <c r="AJ110" s="73"/>
      <c r="AK110" s="76" t="e">
        <f>AJ109+AK109</f>
        <v>#DIV/0!</v>
      </c>
      <c r="AL110" s="76" t="e">
        <f>(AK109*AM109)+(AJ109*AL109)</f>
        <v>#DIV/0!</v>
      </c>
      <c r="AM110" s="75"/>
      <c r="AN110" s="73"/>
      <c r="AO110" s="76" t="e">
        <f>AN109+AO109</f>
        <v>#DIV/0!</v>
      </c>
      <c r="AP110" s="76" t="e">
        <f>(AO109*AQ109)+(AN109*AP109)</f>
        <v>#DIV/0!</v>
      </c>
      <c r="AQ110" s="75"/>
      <c r="AR110" s="73"/>
      <c r="AS110" s="76" t="e">
        <f>AR109+AS109</f>
        <v>#DIV/0!</v>
      </c>
      <c r="AT110" s="76" t="e">
        <f>(AS109*AU109)+(AR109*AT109)</f>
        <v>#DIV/0!</v>
      </c>
      <c r="AU110" s="75"/>
      <c r="AV110" s="73"/>
      <c r="AW110" s="76" t="e">
        <f>AV109+AW109</f>
        <v>#DIV/0!</v>
      </c>
      <c r="AX110" s="76" t="e">
        <f>(AW109*AY109)+(AV109*AX109)</f>
        <v>#DIV/0!</v>
      </c>
      <c r="AY110" s="75"/>
    </row>
    <row r="111" spans="1:52" hidden="1" x14ac:dyDescent="0.2">
      <c r="A111" s="50" t="s">
        <v>57</v>
      </c>
      <c r="B111" s="51"/>
      <c r="C111" s="51"/>
      <c r="D111" s="73"/>
      <c r="E111" s="74" t="e">
        <f>D96*(F97-20)/(F97-B97)</f>
        <v>#DIV/0!</v>
      </c>
      <c r="F111" s="74"/>
      <c r="G111" s="75">
        <f>(20+F97)/2</f>
        <v>10</v>
      </c>
      <c r="H111" s="73"/>
      <c r="I111" s="74" t="e">
        <f>H96*(J97-20)/(J97-F97)</f>
        <v>#DIV/0!</v>
      </c>
      <c r="J111" s="74"/>
      <c r="K111" s="75">
        <f>(20+J97)/2</f>
        <v>10</v>
      </c>
      <c r="L111" s="73"/>
      <c r="M111" s="74" t="e">
        <f>L96*(N97-20)/(N97-J97)</f>
        <v>#DIV/0!</v>
      </c>
      <c r="N111" s="74"/>
      <c r="O111" s="75">
        <f>(20+N97)/2</f>
        <v>10</v>
      </c>
      <c r="P111" s="73"/>
      <c r="Q111" s="74" t="e">
        <f>P96*(R97-20)/(R97-N97)</f>
        <v>#DIV/0!</v>
      </c>
      <c r="R111" s="74"/>
      <c r="S111" s="75">
        <f>(20+R97)/2</f>
        <v>10</v>
      </c>
      <c r="T111" s="73"/>
      <c r="U111" s="74" t="e">
        <f>T96*(V97-20)/(V97-R97)</f>
        <v>#DIV/0!</v>
      </c>
      <c r="V111" s="74"/>
      <c r="W111" s="75">
        <f>(20+V97)/2</f>
        <v>10</v>
      </c>
      <c r="X111" s="73"/>
      <c r="Y111" s="74" t="e">
        <f>X96*(Z97-20)/(Z97-V97)</f>
        <v>#DIV/0!</v>
      </c>
      <c r="Z111" s="74"/>
      <c r="AA111" s="75">
        <f>(20+Z97)/2</f>
        <v>10</v>
      </c>
      <c r="AB111" s="73"/>
      <c r="AC111" s="74" t="e">
        <f>AB96*(AD97-20)/(AD97-Z97)</f>
        <v>#DIV/0!</v>
      </c>
      <c r="AD111" s="74"/>
      <c r="AE111" s="75">
        <f>(20+AD97)/2</f>
        <v>10</v>
      </c>
      <c r="AF111" s="73"/>
      <c r="AG111" s="74" t="e">
        <f>AF96*(AH97-20)/(AH97-AD97)</f>
        <v>#DIV/0!</v>
      </c>
      <c r="AH111" s="74"/>
      <c r="AI111" s="75">
        <f>(20+AH97)/2</f>
        <v>10</v>
      </c>
      <c r="AJ111" s="73"/>
      <c r="AK111" s="74" t="e">
        <f>AJ96*(AL97-20)/(AL97-AH97)</f>
        <v>#DIV/0!</v>
      </c>
      <c r="AL111" s="74"/>
      <c r="AM111" s="75">
        <f>(20+AL97)/2</f>
        <v>10</v>
      </c>
      <c r="AN111" s="73"/>
      <c r="AO111" s="74" t="e">
        <f>AN96*(AP97-20)/(AP97-AL97)</f>
        <v>#DIV/0!</v>
      </c>
      <c r="AP111" s="74"/>
      <c r="AQ111" s="75">
        <f>(20+AP97)/2</f>
        <v>10</v>
      </c>
      <c r="AR111" s="73"/>
      <c r="AS111" s="74" t="e">
        <f>AR96*(AT97-20)/(AT97-AP97)</f>
        <v>#DIV/0!</v>
      </c>
      <c r="AT111" s="74"/>
      <c r="AU111" s="75">
        <f>(20+AT97)/2</f>
        <v>10</v>
      </c>
      <c r="AV111" s="73"/>
      <c r="AW111" s="74" t="e">
        <f>AV96*(AX97-20)/(AX97-AT97)</f>
        <v>#DIV/0!</v>
      </c>
      <c r="AX111" s="74"/>
      <c r="AY111" s="75">
        <f>(20+AX97)/2</f>
        <v>10</v>
      </c>
    </row>
    <row r="112" spans="1:52" hidden="1" x14ac:dyDescent="0.2">
      <c r="A112" s="50"/>
      <c r="B112" s="51"/>
      <c r="C112" s="51"/>
      <c r="D112" s="73"/>
      <c r="E112" s="76" t="e">
        <f>D111+E111</f>
        <v>#DIV/0!</v>
      </c>
      <c r="F112" s="76" t="e">
        <f>E111*G111</f>
        <v>#DIV/0!</v>
      </c>
      <c r="G112" s="75"/>
      <c r="H112" s="73"/>
      <c r="I112" s="76" t="e">
        <f>H111+I111</f>
        <v>#DIV/0!</v>
      </c>
      <c r="J112" s="76" t="e">
        <f>I111*K111</f>
        <v>#DIV/0!</v>
      </c>
      <c r="K112" s="75"/>
      <c r="L112" s="73"/>
      <c r="M112" s="76" t="e">
        <f>L111+M111</f>
        <v>#DIV/0!</v>
      </c>
      <c r="N112" s="76" t="e">
        <f>M111*O111</f>
        <v>#DIV/0!</v>
      </c>
      <c r="O112" s="75"/>
      <c r="P112" s="73"/>
      <c r="Q112" s="76" t="e">
        <f>P111+Q111</f>
        <v>#DIV/0!</v>
      </c>
      <c r="R112" s="76" t="e">
        <f>Q111*S111</f>
        <v>#DIV/0!</v>
      </c>
      <c r="S112" s="75"/>
      <c r="T112" s="73"/>
      <c r="U112" s="76" t="e">
        <f>T111+U111</f>
        <v>#DIV/0!</v>
      </c>
      <c r="V112" s="76" t="e">
        <f>U111*W111</f>
        <v>#DIV/0!</v>
      </c>
      <c r="W112" s="75"/>
      <c r="X112" s="73"/>
      <c r="Y112" s="76" t="e">
        <f>X111+Y111</f>
        <v>#DIV/0!</v>
      </c>
      <c r="Z112" s="76" t="e">
        <f>Y111*AA111</f>
        <v>#DIV/0!</v>
      </c>
      <c r="AA112" s="75"/>
      <c r="AB112" s="73"/>
      <c r="AC112" s="76" t="e">
        <f>AB111+AC111</f>
        <v>#DIV/0!</v>
      </c>
      <c r="AD112" s="76" t="e">
        <f>AC111*AE111</f>
        <v>#DIV/0!</v>
      </c>
      <c r="AE112" s="75"/>
      <c r="AF112" s="73"/>
      <c r="AG112" s="76" t="e">
        <f>AF111+AG111</f>
        <v>#DIV/0!</v>
      </c>
      <c r="AH112" s="76" t="e">
        <f>AG111*AI111</f>
        <v>#DIV/0!</v>
      </c>
      <c r="AI112" s="75"/>
      <c r="AJ112" s="73"/>
      <c r="AK112" s="76" t="e">
        <f>AJ111+AK111</f>
        <v>#DIV/0!</v>
      </c>
      <c r="AL112" s="76" t="e">
        <f>AK111*AM111</f>
        <v>#DIV/0!</v>
      </c>
      <c r="AM112" s="75"/>
      <c r="AN112" s="73"/>
      <c r="AO112" s="76" t="e">
        <f>AN111+AO111</f>
        <v>#DIV/0!</v>
      </c>
      <c r="AP112" s="76" t="e">
        <f>AO111*AQ111</f>
        <v>#DIV/0!</v>
      </c>
      <c r="AQ112" s="75"/>
      <c r="AR112" s="73"/>
      <c r="AS112" s="76" t="e">
        <f>AR111+AS111</f>
        <v>#DIV/0!</v>
      </c>
      <c r="AT112" s="76" t="e">
        <f>AS111*AU111</f>
        <v>#DIV/0!</v>
      </c>
      <c r="AU112" s="75"/>
      <c r="AV112" s="73"/>
      <c r="AW112" s="76" t="e">
        <f>AV111+AW111</f>
        <v>#DIV/0!</v>
      </c>
      <c r="AX112" s="76" t="e">
        <f>AW111*AY111</f>
        <v>#DIV/0!</v>
      </c>
      <c r="AY112" s="75"/>
    </row>
    <row r="113" spans="1:51" hidden="1" x14ac:dyDescent="0.2">
      <c r="A113" s="50" t="s">
        <v>58</v>
      </c>
      <c r="B113" s="51"/>
      <c r="C113" s="51"/>
      <c r="D113" s="73"/>
      <c r="E113" s="74" t="e">
        <f>D96*(B97-20)/(B97-F97)</f>
        <v>#DIV/0!</v>
      </c>
      <c r="F113" s="74"/>
      <c r="G113" s="75">
        <f>(20+B97)/2</f>
        <v>10</v>
      </c>
      <c r="H113" s="73"/>
      <c r="I113" s="74" t="e">
        <f>H96*(F97-20)/(F97-J97)</f>
        <v>#DIV/0!</v>
      </c>
      <c r="J113" s="74"/>
      <c r="K113" s="75">
        <f>(20+F97)/2</f>
        <v>10</v>
      </c>
      <c r="L113" s="73"/>
      <c r="M113" s="74" t="e">
        <f>L96*(J97-20)/(J97-N97)</f>
        <v>#DIV/0!</v>
      </c>
      <c r="N113" s="74"/>
      <c r="O113" s="75">
        <f>(20+J97)/2</f>
        <v>10</v>
      </c>
      <c r="P113" s="73"/>
      <c r="Q113" s="74" t="e">
        <f>P96*(N97-20)/(N97-R97)</f>
        <v>#DIV/0!</v>
      </c>
      <c r="R113" s="74"/>
      <c r="S113" s="75">
        <f>(20+N97)/2</f>
        <v>10</v>
      </c>
      <c r="T113" s="73"/>
      <c r="U113" s="74" t="e">
        <f>T96*(R97-20)/(R97-V97)</f>
        <v>#DIV/0!</v>
      </c>
      <c r="V113" s="74"/>
      <c r="W113" s="75">
        <f>(20+R97)/2</f>
        <v>10</v>
      </c>
      <c r="X113" s="73"/>
      <c r="Y113" s="74" t="e">
        <f>X96*(V97-20)/(V97-Z97)</f>
        <v>#DIV/0!</v>
      </c>
      <c r="Z113" s="74"/>
      <c r="AA113" s="75">
        <f>(20+V97)/2</f>
        <v>10</v>
      </c>
      <c r="AB113" s="73"/>
      <c r="AC113" s="74" t="e">
        <f>AB96*(Z97-20)/(Z97-AD97)</f>
        <v>#DIV/0!</v>
      </c>
      <c r="AD113" s="74"/>
      <c r="AE113" s="75">
        <f>(20+Z97)/2</f>
        <v>10</v>
      </c>
      <c r="AF113" s="73"/>
      <c r="AG113" s="74" t="e">
        <f>AF96*(AD97-20)/(AD97-AH97)</f>
        <v>#DIV/0!</v>
      </c>
      <c r="AH113" s="74"/>
      <c r="AI113" s="75">
        <f>(20+AD97)/2</f>
        <v>10</v>
      </c>
      <c r="AJ113" s="73"/>
      <c r="AK113" s="74" t="e">
        <f>AJ96*(AH97-20)/(AH97-AL97)</f>
        <v>#DIV/0!</v>
      </c>
      <c r="AL113" s="74"/>
      <c r="AM113" s="75">
        <f>(20+AH97)/2</f>
        <v>10</v>
      </c>
      <c r="AN113" s="73"/>
      <c r="AO113" s="74" t="e">
        <f>AN96*(AL97-20)/(AL97-AP97)</f>
        <v>#DIV/0!</v>
      </c>
      <c r="AP113" s="74"/>
      <c r="AQ113" s="75">
        <f>(20+AL97)/2</f>
        <v>10</v>
      </c>
      <c r="AR113" s="73"/>
      <c r="AS113" s="74" t="e">
        <f>AR96*(AP97-20)/(AP97-AT97)</f>
        <v>#DIV/0!</v>
      </c>
      <c r="AT113" s="74"/>
      <c r="AU113" s="75">
        <f>(20+AP97)/2</f>
        <v>10</v>
      </c>
      <c r="AV113" s="73"/>
      <c r="AW113" s="74" t="e">
        <f>AV96*(AT97-20)/(AT97-AX97)</f>
        <v>#DIV/0!</v>
      </c>
      <c r="AX113" s="74"/>
      <c r="AY113" s="75">
        <f>(20+AT97)/2</f>
        <v>10</v>
      </c>
    </row>
    <row r="114" spans="1:51" hidden="1" x14ac:dyDescent="0.2">
      <c r="A114" s="50"/>
      <c r="B114" s="51"/>
      <c r="C114" s="51"/>
      <c r="D114" s="73"/>
      <c r="E114" s="76" t="e">
        <f>D113+E113</f>
        <v>#DIV/0!</v>
      </c>
      <c r="F114" s="76" t="e">
        <f>E113*G113</f>
        <v>#DIV/0!</v>
      </c>
      <c r="G114" s="75"/>
      <c r="H114" s="73"/>
      <c r="I114" s="76" t="e">
        <f>H113+I113</f>
        <v>#DIV/0!</v>
      </c>
      <c r="J114" s="76" t="e">
        <f>I113*K113</f>
        <v>#DIV/0!</v>
      </c>
      <c r="K114" s="75"/>
      <c r="L114" s="73"/>
      <c r="M114" s="76" t="e">
        <f>L113+M113</f>
        <v>#DIV/0!</v>
      </c>
      <c r="N114" s="76" t="e">
        <f>M113*O113</f>
        <v>#DIV/0!</v>
      </c>
      <c r="O114" s="75"/>
      <c r="P114" s="73"/>
      <c r="Q114" s="76" t="e">
        <f>P113+Q113</f>
        <v>#DIV/0!</v>
      </c>
      <c r="R114" s="76" t="e">
        <f>Q113*S113</f>
        <v>#DIV/0!</v>
      </c>
      <c r="S114" s="75"/>
      <c r="T114" s="73"/>
      <c r="U114" s="76" t="e">
        <f>T113+U113</f>
        <v>#DIV/0!</v>
      </c>
      <c r="V114" s="76" t="e">
        <f>U113*W113</f>
        <v>#DIV/0!</v>
      </c>
      <c r="W114" s="75"/>
      <c r="X114" s="73"/>
      <c r="Y114" s="76" t="e">
        <f>X113+Y113</f>
        <v>#DIV/0!</v>
      </c>
      <c r="Z114" s="76" t="e">
        <f>Y113*AA113</f>
        <v>#DIV/0!</v>
      </c>
      <c r="AA114" s="75"/>
      <c r="AB114" s="73"/>
      <c r="AC114" s="76" t="e">
        <f>AB113+AC113</f>
        <v>#DIV/0!</v>
      </c>
      <c r="AD114" s="76" t="e">
        <f>AC113*AE113</f>
        <v>#DIV/0!</v>
      </c>
      <c r="AE114" s="75"/>
      <c r="AF114" s="73"/>
      <c r="AG114" s="76" t="e">
        <f>AF113+AG113</f>
        <v>#DIV/0!</v>
      </c>
      <c r="AH114" s="76" t="e">
        <f>AG113*AI113</f>
        <v>#DIV/0!</v>
      </c>
      <c r="AI114" s="75"/>
      <c r="AJ114" s="73"/>
      <c r="AK114" s="76" t="e">
        <f>AJ113+AK113</f>
        <v>#DIV/0!</v>
      </c>
      <c r="AL114" s="76" t="e">
        <f>AK113*AM113</f>
        <v>#DIV/0!</v>
      </c>
      <c r="AM114" s="75"/>
      <c r="AN114" s="73"/>
      <c r="AO114" s="76" t="e">
        <f>AN113+AO113</f>
        <v>#DIV/0!</v>
      </c>
      <c r="AP114" s="76" t="e">
        <f>AO113*AQ113</f>
        <v>#DIV/0!</v>
      </c>
      <c r="AQ114" s="75"/>
      <c r="AR114" s="73"/>
      <c r="AS114" s="76" t="e">
        <f>AR113+AS113</f>
        <v>#DIV/0!</v>
      </c>
      <c r="AT114" s="76" t="e">
        <f>AS113*AU113</f>
        <v>#DIV/0!</v>
      </c>
      <c r="AU114" s="75"/>
      <c r="AV114" s="73"/>
      <c r="AW114" s="76" t="e">
        <f>AV113+AW113</f>
        <v>#DIV/0!</v>
      </c>
      <c r="AX114" s="76" t="e">
        <f>AW113*AY113</f>
        <v>#DIV/0!</v>
      </c>
      <c r="AY114" s="75"/>
    </row>
    <row r="115" spans="1:51" hidden="1" x14ac:dyDescent="0.2">
      <c r="A115" s="50" t="s">
        <v>59</v>
      </c>
      <c r="B115" s="51"/>
      <c r="C115" s="51"/>
      <c r="D115" s="73" t="e">
        <f>D96-E115</f>
        <v>#DIV/0!</v>
      </c>
      <c r="E115" s="74" t="e">
        <f>D96*(60-B97)/(F97-B97)</f>
        <v>#DIV/0!</v>
      </c>
      <c r="F115" s="74">
        <v>60</v>
      </c>
      <c r="G115" s="75">
        <f>(60+B97)/2</f>
        <v>30</v>
      </c>
      <c r="H115" s="73" t="e">
        <f>H96-I115</f>
        <v>#DIV/0!</v>
      </c>
      <c r="I115" s="74" t="e">
        <f>H96*(60-F97)/(J97-F97)</f>
        <v>#DIV/0!</v>
      </c>
      <c r="J115" s="74">
        <v>60</v>
      </c>
      <c r="K115" s="75">
        <f>(60+F97)/2</f>
        <v>30</v>
      </c>
      <c r="L115" s="73" t="e">
        <f>L96-M115</f>
        <v>#DIV/0!</v>
      </c>
      <c r="M115" s="74" t="e">
        <f>L96*(60-J97)/(N97-J97)</f>
        <v>#DIV/0!</v>
      </c>
      <c r="N115" s="74">
        <v>60</v>
      </c>
      <c r="O115" s="75">
        <f>(60+J97)/2</f>
        <v>30</v>
      </c>
      <c r="P115" s="73" t="e">
        <f>P96-Q115</f>
        <v>#DIV/0!</v>
      </c>
      <c r="Q115" s="74" t="e">
        <f>P96*(60-N97)/(R97-N97)</f>
        <v>#DIV/0!</v>
      </c>
      <c r="R115" s="74">
        <v>60</v>
      </c>
      <c r="S115" s="75">
        <f>(60+N97)/2</f>
        <v>30</v>
      </c>
      <c r="T115" s="73" t="e">
        <f>T96-U115</f>
        <v>#DIV/0!</v>
      </c>
      <c r="U115" s="74" t="e">
        <f>T96*(60-R97)/(V97-R97)</f>
        <v>#DIV/0!</v>
      </c>
      <c r="V115" s="74">
        <v>60</v>
      </c>
      <c r="W115" s="75">
        <f>(60+R97)/2</f>
        <v>30</v>
      </c>
      <c r="X115" s="73" t="e">
        <f>X96-Y115</f>
        <v>#DIV/0!</v>
      </c>
      <c r="Y115" s="74" t="e">
        <f>X96*(60-V97)/(Z97-V97)</f>
        <v>#DIV/0!</v>
      </c>
      <c r="Z115" s="74">
        <v>60</v>
      </c>
      <c r="AA115" s="75">
        <f>(60+V97)/2</f>
        <v>30</v>
      </c>
      <c r="AB115" s="73" t="e">
        <f>AB96-AC115</f>
        <v>#DIV/0!</v>
      </c>
      <c r="AC115" s="74" t="e">
        <f>AB96*(60-Z97)/(AD97-Z97)</f>
        <v>#DIV/0!</v>
      </c>
      <c r="AD115" s="74">
        <v>60</v>
      </c>
      <c r="AE115" s="75">
        <f>(60+Z97)/2</f>
        <v>30</v>
      </c>
      <c r="AF115" s="73" t="e">
        <f>AF96-AG115</f>
        <v>#DIV/0!</v>
      </c>
      <c r="AG115" s="74" t="e">
        <f>AF96*(60-AD97)/(AH97-AD97)</f>
        <v>#DIV/0!</v>
      </c>
      <c r="AH115" s="74">
        <v>60</v>
      </c>
      <c r="AI115" s="75">
        <f>(60+AD97)/2</f>
        <v>30</v>
      </c>
      <c r="AJ115" s="73" t="e">
        <f>AJ96-AK115</f>
        <v>#DIV/0!</v>
      </c>
      <c r="AK115" s="74" t="e">
        <f>AJ96*(60-AH97)/(AL97-AH97)</f>
        <v>#DIV/0!</v>
      </c>
      <c r="AL115" s="74">
        <v>60</v>
      </c>
      <c r="AM115" s="75">
        <f>(60+AH97)/2</f>
        <v>30</v>
      </c>
      <c r="AN115" s="73" t="e">
        <f>AN96-AO115</f>
        <v>#DIV/0!</v>
      </c>
      <c r="AO115" s="74" t="e">
        <f>AN96*(60-AL97)/(AP97-AL97)</f>
        <v>#DIV/0!</v>
      </c>
      <c r="AP115" s="74">
        <v>60</v>
      </c>
      <c r="AQ115" s="75">
        <f>(60+AL97)/2</f>
        <v>30</v>
      </c>
      <c r="AR115" s="73" t="e">
        <f>AR96-AS115</f>
        <v>#DIV/0!</v>
      </c>
      <c r="AS115" s="74" t="e">
        <f>AR96*(60-AP97)/(AT97-AP97)</f>
        <v>#DIV/0!</v>
      </c>
      <c r="AT115" s="74">
        <v>60</v>
      </c>
      <c r="AU115" s="75">
        <f>(60+AP97)/2</f>
        <v>30</v>
      </c>
      <c r="AV115" s="73" t="e">
        <f>AV96-AW115</f>
        <v>#DIV/0!</v>
      </c>
      <c r="AW115" s="74" t="e">
        <f>AV96*(60-AT97)/(AX97-AT97)</f>
        <v>#DIV/0!</v>
      </c>
      <c r="AX115" s="74">
        <v>60</v>
      </c>
      <c r="AY115" s="75">
        <f>(60+AT97)/2</f>
        <v>30</v>
      </c>
    </row>
    <row r="116" spans="1:51" hidden="1" x14ac:dyDescent="0.2">
      <c r="A116" s="50"/>
      <c r="B116" s="51"/>
      <c r="C116" s="51"/>
      <c r="D116" s="73"/>
      <c r="E116" s="76" t="e">
        <f>D115+E115</f>
        <v>#DIV/0!</v>
      </c>
      <c r="F116" s="76" t="e">
        <f>(E115*G115)+(D115*F115)</f>
        <v>#DIV/0!</v>
      </c>
      <c r="G116" s="75"/>
      <c r="H116" s="73"/>
      <c r="I116" s="76" t="e">
        <f>H115+I115</f>
        <v>#DIV/0!</v>
      </c>
      <c r="J116" s="76" t="e">
        <f>(I115*K115)+(H115*J115)</f>
        <v>#DIV/0!</v>
      </c>
      <c r="K116" s="75"/>
      <c r="L116" s="73"/>
      <c r="M116" s="76" t="e">
        <f>L115+M115</f>
        <v>#DIV/0!</v>
      </c>
      <c r="N116" s="76" t="e">
        <f>(M115*O115)+(L115*N115)</f>
        <v>#DIV/0!</v>
      </c>
      <c r="O116" s="75"/>
      <c r="P116" s="73"/>
      <c r="Q116" s="76" t="e">
        <f>P115+Q115</f>
        <v>#DIV/0!</v>
      </c>
      <c r="R116" s="76" t="e">
        <f>(Q115*S115)+(P115*R115)</f>
        <v>#DIV/0!</v>
      </c>
      <c r="S116" s="75"/>
      <c r="T116" s="73"/>
      <c r="U116" s="76" t="e">
        <f>T115+U115</f>
        <v>#DIV/0!</v>
      </c>
      <c r="V116" s="76" t="e">
        <f>(U115*W115)+(T115*V115)</f>
        <v>#DIV/0!</v>
      </c>
      <c r="W116" s="75"/>
      <c r="X116" s="73"/>
      <c r="Y116" s="76" t="e">
        <f>X115+Y115</f>
        <v>#DIV/0!</v>
      </c>
      <c r="Z116" s="76" t="e">
        <f>(Y115*AA115)+(X115*Z115)</f>
        <v>#DIV/0!</v>
      </c>
      <c r="AA116" s="75"/>
      <c r="AB116" s="73"/>
      <c r="AC116" s="76" t="e">
        <f>AB115+AC115</f>
        <v>#DIV/0!</v>
      </c>
      <c r="AD116" s="76" t="e">
        <f>(AC115*AE115)+(AB115*AD115)</f>
        <v>#DIV/0!</v>
      </c>
      <c r="AE116" s="75"/>
      <c r="AF116" s="73"/>
      <c r="AG116" s="76" t="e">
        <f>AF115+AG115</f>
        <v>#DIV/0!</v>
      </c>
      <c r="AH116" s="76" t="e">
        <f>(AG115*AI115)+(AF115*AH115)</f>
        <v>#DIV/0!</v>
      </c>
      <c r="AI116" s="75"/>
      <c r="AJ116" s="73"/>
      <c r="AK116" s="76" t="e">
        <f>AJ115+AK115</f>
        <v>#DIV/0!</v>
      </c>
      <c r="AL116" s="76" t="e">
        <f>(AK115*AM115)+(AJ115*AL115)</f>
        <v>#DIV/0!</v>
      </c>
      <c r="AM116" s="75"/>
      <c r="AN116" s="73"/>
      <c r="AO116" s="76" t="e">
        <f>AN115+AO115</f>
        <v>#DIV/0!</v>
      </c>
      <c r="AP116" s="76" t="e">
        <f>(AO115*AQ115)+(AN115*AP115)</f>
        <v>#DIV/0!</v>
      </c>
      <c r="AQ116" s="75"/>
      <c r="AR116" s="73"/>
      <c r="AS116" s="76" t="e">
        <f>AR115+AS115</f>
        <v>#DIV/0!</v>
      </c>
      <c r="AT116" s="76" t="e">
        <f>(AS115*AU115)+(AR115*AT115)</f>
        <v>#DIV/0!</v>
      </c>
      <c r="AU116" s="75"/>
      <c r="AV116" s="73"/>
      <c r="AW116" s="76" t="e">
        <f>AV115+AW115</f>
        <v>#DIV/0!</v>
      </c>
      <c r="AX116" s="76" t="e">
        <f>(AW115*AY115)+(AV115*AX115)</f>
        <v>#DIV/0!</v>
      </c>
      <c r="AY116" s="75"/>
    </row>
    <row r="117" spans="1:51" hidden="1" x14ac:dyDescent="0.2">
      <c r="A117" s="50" t="s">
        <v>60</v>
      </c>
      <c r="B117" s="51"/>
      <c r="C117" s="51"/>
      <c r="D117" s="73" t="e">
        <f>D96-E117</f>
        <v>#DIV/0!</v>
      </c>
      <c r="E117" s="74" t="e">
        <f>D96*(60-F97)/(B97-F97)</f>
        <v>#DIV/0!</v>
      </c>
      <c r="F117" s="74">
        <v>60</v>
      </c>
      <c r="G117" s="75">
        <f>(60+F97)/2</f>
        <v>30</v>
      </c>
      <c r="H117" s="73" t="e">
        <f>H96-I117</f>
        <v>#DIV/0!</v>
      </c>
      <c r="I117" s="74" t="e">
        <f>H96*(60-J97)/(F97-J97)</f>
        <v>#DIV/0!</v>
      </c>
      <c r="J117" s="74">
        <v>60</v>
      </c>
      <c r="K117" s="75">
        <f>(60+J97)/2</f>
        <v>30</v>
      </c>
      <c r="L117" s="73" t="e">
        <f>L96-M117</f>
        <v>#DIV/0!</v>
      </c>
      <c r="M117" s="74" t="e">
        <f>L96*(60-N97)/(J97-N97)</f>
        <v>#DIV/0!</v>
      </c>
      <c r="N117" s="74">
        <v>60</v>
      </c>
      <c r="O117" s="75">
        <f>(60+N97)/2</f>
        <v>30</v>
      </c>
      <c r="P117" s="73" t="e">
        <f>P96-Q117</f>
        <v>#DIV/0!</v>
      </c>
      <c r="Q117" s="74" t="e">
        <f>P96*(60-R97)/(N97-R97)</f>
        <v>#DIV/0!</v>
      </c>
      <c r="R117" s="74">
        <v>60</v>
      </c>
      <c r="S117" s="75">
        <f>(60+R97)/2</f>
        <v>30</v>
      </c>
      <c r="T117" s="73" t="e">
        <f>T96-U117</f>
        <v>#DIV/0!</v>
      </c>
      <c r="U117" s="74" t="e">
        <f>T96*(60-V97)/(R97-V97)</f>
        <v>#DIV/0!</v>
      </c>
      <c r="V117" s="74">
        <v>60</v>
      </c>
      <c r="W117" s="75">
        <f>(60+V97)/2</f>
        <v>30</v>
      </c>
      <c r="X117" s="73" t="e">
        <f>X96-Y117</f>
        <v>#DIV/0!</v>
      </c>
      <c r="Y117" s="74" t="e">
        <f>X96*(60-Z97)/(V97-Z97)</f>
        <v>#DIV/0!</v>
      </c>
      <c r="Z117" s="74">
        <v>60</v>
      </c>
      <c r="AA117" s="75">
        <f>(60+Z97)/2</f>
        <v>30</v>
      </c>
      <c r="AB117" s="73" t="e">
        <f>AB96-AC117</f>
        <v>#DIV/0!</v>
      </c>
      <c r="AC117" s="74" t="e">
        <f>AB96*(60-AD97)/(Z97-AD97)</f>
        <v>#DIV/0!</v>
      </c>
      <c r="AD117" s="74">
        <v>60</v>
      </c>
      <c r="AE117" s="75">
        <f>(60+AD97)/2</f>
        <v>30</v>
      </c>
      <c r="AF117" s="73" t="e">
        <f>AF96-AG117</f>
        <v>#DIV/0!</v>
      </c>
      <c r="AG117" s="74" t="e">
        <f>AF96*(60-AH97)/(AD97-AH97)</f>
        <v>#DIV/0!</v>
      </c>
      <c r="AH117" s="74">
        <v>60</v>
      </c>
      <c r="AI117" s="75">
        <f>(60+AH97)/2</f>
        <v>30</v>
      </c>
      <c r="AJ117" s="73" t="e">
        <f>AJ96-AK117</f>
        <v>#DIV/0!</v>
      </c>
      <c r="AK117" s="74" t="e">
        <f>AJ96*(60-AL97)/(AH97-AL97)</f>
        <v>#DIV/0!</v>
      </c>
      <c r="AL117" s="74">
        <v>60</v>
      </c>
      <c r="AM117" s="75">
        <f>(60+AL97)/2</f>
        <v>30</v>
      </c>
      <c r="AN117" s="73" t="e">
        <f>AN96-AO117</f>
        <v>#DIV/0!</v>
      </c>
      <c r="AO117" s="74" t="e">
        <f>AN96*(60-AP97)/(AL97-AP97)</f>
        <v>#DIV/0!</v>
      </c>
      <c r="AP117" s="74">
        <v>60</v>
      </c>
      <c r="AQ117" s="75">
        <f>(60+AP97)/2</f>
        <v>30</v>
      </c>
      <c r="AR117" s="73" t="e">
        <f>AR96-AS117</f>
        <v>#DIV/0!</v>
      </c>
      <c r="AS117" s="74" t="e">
        <f>AR96*(60-AT97)/(AP97-AT97)</f>
        <v>#DIV/0!</v>
      </c>
      <c r="AT117" s="74">
        <v>60</v>
      </c>
      <c r="AU117" s="75">
        <f>(60+AT97)/2</f>
        <v>30</v>
      </c>
      <c r="AV117" s="73" t="e">
        <f>AV96-AW117</f>
        <v>#DIV/0!</v>
      </c>
      <c r="AW117" s="74" t="e">
        <f>AV96*(60-AX97)/(AT97-AX97)</f>
        <v>#DIV/0!</v>
      </c>
      <c r="AX117" s="74">
        <v>60</v>
      </c>
      <c r="AY117" s="75">
        <f>(60+AX97)/2</f>
        <v>30</v>
      </c>
    </row>
    <row r="118" spans="1:51" hidden="1" x14ac:dyDescent="0.2">
      <c r="A118" s="34"/>
      <c r="B118" s="51"/>
      <c r="C118" s="51"/>
      <c r="D118" s="73"/>
      <c r="E118" s="76" t="e">
        <f>D117+E117</f>
        <v>#DIV/0!</v>
      </c>
      <c r="F118" s="76" t="e">
        <f>(E117*G117)+(D117*F117)</f>
        <v>#DIV/0!</v>
      </c>
      <c r="G118" s="75"/>
      <c r="H118" s="73"/>
      <c r="I118" s="76" t="e">
        <f>H117+I117</f>
        <v>#DIV/0!</v>
      </c>
      <c r="J118" s="76" t="e">
        <f>(I117*K117)+(H117*J117)</f>
        <v>#DIV/0!</v>
      </c>
      <c r="K118" s="75"/>
      <c r="L118" s="73"/>
      <c r="M118" s="76" t="e">
        <f>L117+M117</f>
        <v>#DIV/0!</v>
      </c>
      <c r="N118" s="76" t="e">
        <f>(M117*O117)+(L117*N117)</f>
        <v>#DIV/0!</v>
      </c>
      <c r="O118" s="75"/>
      <c r="P118" s="73"/>
      <c r="Q118" s="76" t="e">
        <f>P117+Q117</f>
        <v>#DIV/0!</v>
      </c>
      <c r="R118" s="76" t="e">
        <f>(Q117*S117)+(P117*R117)</f>
        <v>#DIV/0!</v>
      </c>
      <c r="S118" s="75"/>
      <c r="T118" s="73"/>
      <c r="U118" s="76" t="e">
        <f>T117+U117</f>
        <v>#DIV/0!</v>
      </c>
      <c r="V118" s="76" t="e">
        <f>(U117*W117)+(T117*V117)</f>
        <v>#DIV/0!</v>
      </c>
      <c r="W118" s="75"/>
      <c r="X118" s="73"/>
      <c r="Y118" s="76" t="e">
        <f>X117+Y117</f>
        <v>#DIV/0!</v>
      </c>
      <c r="Z118" s="76" t="e">
        <f>(Y117*AA117)+(X117*Z117)</f>
        <v>#DIV/0!</v>
      </c>
      <c r="AA118" s="75"/>
      <c r="AB118" s="73"/>
      <c r="AC118" s="76" t="e">
        <f>AB117+AC117</f>
        <v>#DIV/0!</v>
      </c>
      <c r="AD118" s="76" t="e">
        <f>(AC117*AE117)+(AB117*AD117)</f>
        <v>#DIV/0!</v>
      </c>
      <c r="AE118" s="75"/>
      <c r="AF118" s="73"/>
      <c r="AG118" s="76" t="e">
        <f>AF117+AG117</f>
        <v>#DIV/0!</v>
      </c>
      <c r="AH118" s="76" t="e">
        <f>(AG117*AI117)+(AF117*AH117)</f>
        <v>#DIV/0!</v>
      </c>
      <c r="AI118" s="75"/>
      <c r="AJ118" s="73"/>
      <c r="AK118" s="76" t="e">
        <f>AJ117+AK117</f>
        <v>#DIV/0!</v>
      </c>
      <c r="AL118" s="76" t="e">
        <f>(AK117*AM117)+(AJ117*AL117)</f>
        <v>#DIV/0!</v>
      </c>
      <c r="AM118" s="75"/>
      <c r="AN118" s="73"/>
      <c r="AO118" s="76" t="e">
        <f>AN117+AO117</f>
        <v>#DIV/0!</v>
      </c>
      <c r="AP118" s="76" t="e">
        <f>(AO117*AQ117)+(AN117*AP117)</f>
        <v>#DIV/0!</v>
      </c>
      <c r="AQ118" s="75"/>
      <c r="AR118" s="73"/>
      <c r="AS118" s="76" t="e">
        <f>AR117+AS117</f>
        <v>#DIV/0!</v>
      </c>
      <c r="AT118" s="76" t="e">
        <f>(AS117*AU117)+(AR117*AT117)</f>
        <v>#DIV/0!</v>
      </c>
      <c r="AU118" s="75"/>
      <c r="AV118" s="73"/>
      <c r="AW118" s="76" t="e">
        <f>AV117+AW117</f>
        <v>#DIV/0!</v>
      </c>
      <c r="AX118" s="76" t="e">
        <f>(AW117*AY117)+(AV117*AX117)</f>
        <v>#DIV/0!</v>
      </c>
      <c r="AY118" s="75"/>
    </row>
    <row r="119" spans="1:51" hidden="1" x14ac:dyDescent="0.2">
      <c r="A119" s="52" t="s">
        <v>61</v>
      </c>
      <c r="B119" s="34"/>
      <c r="C119" s="34"/>
      <c r="D119" s="73"/>
      <c r="E119" s="74">
        <f>D96</f>
        <v>0</v>
      </c>
      <c r="F119" s="74"/>
      <c r="G119" s="75">
        <f>(B97+F97)/2</f>
        <v>0</v>
      </c>
      <c r="H119" s="73"/>
      <c r="I119" s="74">
        <f>H96</f>
        <v>0</v>
      </c>
      <c r="J119" s="74"/>
      <c r="K119" s="75">
        <f>(F97+J97)/2</f>
        <v>0</v>
      </c>
      <c r="L119" s="73"/>
      <c r="M119" s="74">
        <f>L96</f>
        <v>0</v>
      </c>
      <c r="N119" s="74"/>
      <c r="O119" s="75">
        <f>(J97+N97)/2</f>
        <v>0</v>
      </c>
      <c r="P119" s="73"/>
      <c r="Q119" s="74">
        <f>P96</f>
        <v>0</v>
      </c>
      <c r="R119" s="74"/>
      <c r="S119" s="75">
        <f>(N97+R97)/2</f>
        <v>0</v>
      </c>
      <c r="T119" s="73"/>
      <c r="U119" s="74">
        <f>T96</f>
        <v>0</v>
      </c>
      <c r="V119" s="74"/>
      <c r="W119" s="75">
        <f>(R97+V97)/2</f>
        <v>0</v>
      </c>
      <c r="X119" s="73"/>
      <c r="Y119" s="74">
        <f>X96</f>
        <v>0</v>
      </c>
      <c r="Z119" s="74"/>
      <c r="AA119" s="75">
        <f>(V97+Z97)/2</f>
        <v>0</v>
      </c>
      <c r="AB119" s="73"/>
      <c r="AC119" s="74">
        <f>AB96</f>
        <v>0</v>
      </c>
      <c r="AD119" s="74"/>
      <c r="AE119" s="75">
        <f>(Z97+AD97)/2</f>
        <v>0</v>
      </c>
      <c r="AF119" s="73"/>
      <c r="AG119" s="74">
        <f>AF96</f>
        <v>0</v>
      </c>
      <c r="AH119" s="74"/>
      <c r="AI119" s="75">
        <f>(AD97+AH97)/2</f>
        <v>0</v>
      </c>
      <c r="AJ119" s="73"/>
      <c r="AK119" s="74">
        <f>AJ96</f>
        <v>0</v>
      </c>
      <c r="AL119" s="74"/>
      <c r="AM119" s="75">
        <f>(AH97+AL97)/2</f>
        <v>0</v>
      </c>
      <c r="AN119" s="73"/>
      <c r="AO119" s="74">
        <f>AN96</f>
        <v>0</v>
      </c>
      <c r="AP119" s="74"/>
      <c r="AQ119" s="75">
        <f>(AL97+AP97)/2</f>
        <v>0</v>
      </c>
      <c r="AR119" s="73"/>
      <c r="AS119" s="74">
        <f>AR96</f>
        <v>0</v>
      </c>
      <c r="AT119" s="74"/>
      <c r="AU119" s="75">
        <f>(AP97+AT97)/2</f>
        <v>0</v>
      </c>
      <c r="AV119" s="73"/>
      <c r="AW119" s="74">
        <f>AV96</f>
        <v>0</v>
      </c>
      <c r="AX119" s="74"/>
      <c r="AY119" s="75">
        <f>(AT97+AX97)/2</f>
        <v>0</v>
      </c>
    </row>
    <row r="120" spans="1:51" hidden="1" x14ac:dyDescent="0.2">
      <c r="A120" s="52"/>
      <c r="B120" s="34"/>
      <c r="C120" s="34"/>
      <c r="D120" s="73"/>
      <c r="E120" s="76">
        <f>D119+E119</f>
        <v>0</v>
      </c>
      <c r="F120" s="76">
        <f>E119*G119</f>
        <v>0</v>
      </c>
      <c r="G120" s="75"/>
      <c r="H120" s="73"/>
      <c r="I120" s="76">
        <f>H119+I119</f>
        <v>0</v>
      </c>
      <c r="J120" s="76">
        <f>I119*K119</f>
        <v>0</v>
      </c>
      <c r="K120" s="75"/>
      <c r="L120" s="73"/>
      <c r="M120" s="76">
        <f>L119+M119</f>
        <v>0</v>
      </c>
      <c r="N120" s="76">
        <f>M119*O119</f>
        <v>0</v>
      </c>
      <c r="O120" s="75"/>
      <c r="P120" s="73"/>
      <c r="Q120" s="76">
        <f>P119+Q119</f>
        <v>0</v>
      </c>
      <c r="R120" s="76">
        <f>Q119*S119</f>
        <v>0</v>
      </c>
      <c r="S120" s="75"/>
      <c r="T120" s="73"/>
      <c r="U120" s="76">
        <f>T119+U119</f>
        <v>0</v>
      </c>
      <c r="V120" s="76">
        <f>U119*W119</f>
        <v>0</v>
      </c>
      <c r="W120" s="75"/>
      <c r="X120" s="73"/>
      <c r="Y120" s="76">
        <f>X119+Y119</f>
        <v>0</v>
      </c>
      <c r="Z120" s="76">
        <f>Y119*AA119</f>
        <v>0</v>
      </c>
      <c r="AA120" s="75"/>
      <c r="AB120" s="73"/>
      <c r="AC120" s="76">
        <f>AB119+AC119</f>
        <v>0</v>
      </c>
      <c r="AD120" s="76">
        <f>AC119*AE119</f>
        <v>0</v>
      </c>
      <c r="AE120" s="75"/>
      <c r="AF120" s="73"/>
      <c r="AG120" s="76">
        <f>AF119+AG119</f>
        <v>0</v>
      </c>
      <c r="AH120" s="76">
        <f>AG119*AI119</f>
        <v>0</v>
      </c>
      <c r="AI120" s="75"/>
      <c r="AJ120" s="73"/>
      <c r="AK120" s="76">
        <f>AJ119+AK119</f>
        <v>0</v>
      </c>
      <c r="AL120" s="76">
        <f>AK119*AM119</f>
        <v>0</v>
      </c>
      <c r="AM120" s="75"/>
      <c r="AN120" s="73"/>
      <c r="AO120" s="76">
        <f>AN119+AO119</f>
        <v>0</v>
      </c>
      <c r="AP120" s="76">
        <f>AO119*AQ119</f>
        <v>0</v>
      </c>
      <c r="AQ120" s="75"/>
      <c r="AR120" s="73"/>
      <c r="AS120" s="76">
        <f>AR119+AS119</f>
        <v>0</v>
      </c>
      <c r="AT120" s="76">
        <f>AS119*AU119</f>
        <v>0</v>
      </c>
      <c r="AU120" s="75"/>
      <c r="AV120" s="73"/>
      <c r="AW120" s="76">
        <f>AV119+AW119</f>
        <v>0</v>
      </c>
      <c r="AX120" s="76">
        <f>AW119*AY119</f>
        <v>0</v>
      </c>
      <c r="AY120" s="75"/>
    </row>
    <row r="121" spans="1:51" hidden="1" x14ac:dyDescent="0.2">
      <c r="A121" s="52" t="s">
        <v>53</v>
      </c>
      <c r="B121" s="34"/>
      <c r="C121" s="34"/>
      <c r="D121" s="73"/>
      <c r="E121" s="74">
        <v>0</v>
      </c>
      <c r="F121" s="74"/>
      <c r="G121" s="75">
        <v>0</v>
      </c>
      <c r="H121" s="73"/>
      <c r="I121" s="74">
        <v>0</v>
      </c>
      <c r="J121" s="74"/>
      <c r="K121" s="75">
        <v>0</v>
      </c>
      <c r="L121" s="73"/>
      <c r="M121" s="74">
        <v>0</v>
      </c>
      <c r="N121" s="74"/>
      <c r="O121" s="75">
        <v>0</v>
      </c>
      <c r="P121" s="73"/>
      <c r="Q121" s="74">
        <v>0</v>
      </c>
      <c r="R121" s="74"/>
      <c r="S121" s="75">
        <v>0</v>
      </c>
      <c r="T121" s="73"/>
      <c r="U121" s="74">
        <v>0</v>
      </c>
      <c r="V121" s="74"/>
      <c r="W121" s="75">
        <v>0</v>
      </c>
      <c r="X121" s="73"/>
      <c r="Y121" s="74">
        <v>0</v>
      </c>
      <c r="Z121" s="74"/>
      <c r="AA121" s="75">
        <v>0</v>
      </c>
      <c r="AB121" s="73"/>
      <c r="AC121" s="74">
        <v>0</v>
      </c>
      <c r="AD121" s="74"/>
      <c r="AE121" s="75">
        <v>0</v>
      </c>
      <c r="AF121" s="73"/>
      <c r="AG121" s="74">
        <v>0</v>
      </c>
      <c r="AH121" s="74"/>
      <c r="AI121" s="75">
        <v>0</v>
      </c>
      <c r="AJ121" s="73"/>
      <c r="AK121" s="74">
        <v>0</v>
      </c>
      <c r="AL121" s="74"/>
      <c r="AM121" s="75">
        <v>0</v>
      </c>
      <c r="AN121" s="73"/>
      <c r="AO121" s="74">
        <v>0</v>
      </c>
      <c r="AP121" s="74"/>
      <c r="AQ121" s="75">
        <v>0</v>
      </c>
      <c r="AR121" s="73"/>
      <c r="AS121" s="74">
        <v>0</v>
      </c>
      <c r="AT121" s="74"/>
      <c r="AU121" s="75">
        <v>0</v>
      </c>
      <c r="AV121" s="73"/>
      <c r="AW121" s="74">
        <v>0</v>
      </c>
      <c r="AX121" s="74"/>
      <c r="AY121" s="75">
        <v>0</v>
      </c>
    </row>
    <row r="122" spans="1:51" hidden="1" x14ac:dyDescent="0.2">
      <c r="A122" s="52"/>
      <c r="B122" s="34"/>
      <c r="C122" s="34"/>
      <c r="D122" s="73"/>
      <c r="E122" s="76">
        <f>D121+E121</f>
        <v>0</v>
      </c>
      <c r="F122" s="76">
        <f>E121*G121</f>
        <v>0</v>
      </c>
      <c r="G122" s="75"/>
      <c r="H122" s="73"/>
      <c r="I122" s="76">
        <f>H121+I121</f>
        <v>0</v>
      </c>
      <c r="J122" s="76">
        <f>I121*K121</f>
        <v>0</v>
      </c>
      <c r="K122" s="75"/>
      <c r="L122" s="73"/>
      <c r="M122" s="76">
        <f>L121+M121</f>
        <v>0</v>
      </c>
      <c r="N122" s="76">
        <f>M121*O121</f>
        <v>0</v>
      </c>
      <c r="O122" s="75"/>
      <c r="P122" s="73"/>
      <c r="Q122" s="76">
        <f>P121+Q121</f>
        <v>0</v>
      </c>
      <c r="R122" s="76">
        <f>Q121*S121</f>
        <v>0</v>
      </c>
      <c r="S122" s="75"/>
      <c r="T122" s="73"/>
      <c r="U122" s="76">
        <f>T121+U121</f>
        <v>0</v>
      </c>
      <c r="V122" s="76">
        <f>U121*W121</f>
        <v>0</v>
      </c>
      <c r="W122" s="75"/>
      <c r="X122" s="73"/>
      <c r="Y122" s="76">
        <f>X121+Y121</f>
        <v>0</v>
      </c>
      <c r="Z122" s="76">
        <f>Y121*AA121</f>
        <v>0</v>
      </c>
      <c r="AA122" s="75"/>
      <c r="AB122" s="73"/>
      <c r="AC122" s="76">
        <f>AB121+AC121</f>
        <v>0</v>
      </c>
      <c r="AD122" s="76">
        <f>AC121*AE121</f>
        <v>0</v>
      </c>
      <c r="AE122" s="75"/>
      <c r="AF122" s="73"/>
      <c r="AG122" s="76">
        <f>AF121+AG121</f>
        <v>0</v>
      </c>
      <c r="AH122" s="76">
        <f>AG121*AI121</f>
        <v>0</v>
      </c>
      <c r="AI122" s="75"/>
      <c r="AJ122" s="73"/>
      <c r="AK122" s="76">
        <f>AJ121+AK121</f>
        <v>0</v>
      </c>
      <c r="AL122" s="76">
        <f>AK121*AM121</f>
        <v>0</v>
      </c>
      <c r="AM122" s="75"/>
      <c r="AN122" s="73"/>
      <c r="AO122" s="76">
        <f>AN121+AO121</f>
        <v>0</v>
      </c>
      <c r="AP122" s="76">
        <f>AO121*AQ121</f>
        <v>0</v>
      </c>
      <c r="AQ122" s="75"/>
      <c r="AR122" s="73"/>
      <c r="AS122" s="76">
        <f>AR121+AS121</f>
        <v>0</v>
      </c>
      <c r="AT122" s="76">
        <f>AS121*AU121</f>
        <v>0</v>
      </c>
      <c r="AU122" s="75"/>
      <c r="AV122" s="73"/>
      <c r="AW122" s="76">
        <f>AV121+AW121</f>
        <v>0</v>
      </c>
      <c r="AX122" s="76">
        <f>AW121*AY121</f>
        <v>0</v>
      </c>
      <c r="AY122" s="75"/>
    </row>
    <row r="123" spans="1:51" hidden="1" x14ac:dyDescent="0.2">
      <c r="A123" s="52" t="s">
        <v>62</v>
      </c>
      <c r="B123" s="34"/>
      <c r="C123" s="34"/>
      <c r="D123" s="73"/>
      <c r="E123" s="74">
        <f>D96</f>
        <v>0</v>
      </c>
      <c r="F123" s="74"/>
      <c r="G123" s="75">
        <v>30</v>
      </c>
      <c r="H123" s="73"/>
      <c r="I123" s="74">
        <f>H96</f>
        <v>0</v>
      </c>
      <c r="J123" s="74"/>
      <c r="K123" s="75">
        <v>30</v>
      </c>
      <c r="L123" s="73"/>
      <c r="M123" s="74">
        <f>L96</f>
        <v>0</v>
      </c>
      <c r="N123" s="74"/>
      <c r="O123" s="75">
        <v>30</v>
      </c>
      <c r="P123" s="73"/>
      <c r="Q123" s="74">
        <f>P96</f>
        <v>0</v>
      </c>
      <c r="R123" s="74"/>
      <c r="S123" s="75">
        <v>30</v>
      </c>
      <c r="T123" s="73"/>
      <c r="U123" s="74">
        <f>T96</f>
        <v>0</v>
      </c>
      <c r="V123" s="74"/>
      <c r="W123" s="75">
        <v>30</v>
      </c>
      <c r="X123" s="73"/>
      <c r="Y123" s="74">
        <f>X96</f>
        <v>0</v>
      </c>
      <c r="Z123" s="74"/>
      <c r="AA123" s="75">
        <v>30</v>
      </c>
      <c r="AB123" s="73"/>
      <c r="AC123" s="74">
        <f>AB96</f>
        <v>0</v>
      </c>
      <c r="AD123" s="74"/>
      <c r="AE123" s="75">
        <v>30</v>
      </c>
      <c r="AF123" s="73"/>
      <c r="AG123" s="74">
        <f>AF96</f>
        <v>0</v>
      </c>
      <c r="AH123" s="74"/>
      <c r="AI123" s="75">
        <v>30</v>
      </c>
      <c r="AJ123" s="73"/>
      <c r="AK123" s="74">
        <f>AJ96</f>
        <v>0</v>
      </c>
      <c r="AL123" s="74"/>
      <c r="AM123" s="75">
        <v>30</v>
      </c>
      <c r="AN123" s="73"/>
      <c r="AO123" s="74">
        <f>AN96</f>
        <v>0</v>
      </c>
      <c r="AP123" s="74"/>
      <c r="AQ123" s="75">
        <v>30</v>
      </c>
      <c r="AR123" s="73"/>
      <c r="AS123" s="74">
        <f>AR96</f>
        <v>0</v>
      </c>
      <c r="AT123" s="74"/>
      <c r="AU123" s="75">
        <v>30</v>
      </c>
      <c r="AV123" s="73"/>
      <c r="AW123" s="74">
        <f>AV96</f>
        <v>0</v>
      </c>
      <c r="AX123" s="74"/>
      <c r="AY123" s="75">
        <v>30</v>
      </c>
    </row>
    <row r="124" spans="1:51" hidden="1" x14ac:dyDescent="0.2">
      <c r="A124" s="52"/>
      <c r="B124" s="34"/>
      <c r="C124" s="34"/>
      <c r="D124" s="73"/>
      <c r="E124" s="76">
        <f>D123+E123</f>
        <v>0</v>
      </c>
      <c r="F124" s="76">
        <f>E123*G123</f>
        <v>0</v>
      </c>
      <c r="G124" s="75"/>
      <c r="H124" s="73"/>
      <c r="I124" s="76">
        <f>H123+I123</f>
        <v>0</v>
      </c>
      <c r="J124" s="76">
        <f>I123*K123</f>
        <v>0</v>
      </c>
      <c r="K124" s="75"/>
      <c r="L124" s="73"/>
      <c r="M124" s="76">
        <f>L123+M123</f>
        <v>0</v>
      </c>
      <c r="N124" s="76">
        <f>M123*O123</f>
        <v>0</v>
      </c>
      <c r="O124" s="75"/>
      <c r="P124" s="73"/>
      <c r="Q124" s="76">
        <f>P123+Q123</f>
        <v>0</v>
      </c>
      <c r="R124" s="76">
        <f>Q123*S123</f>
        <v>0</v>
      </c>
      <c r="S124" s="75"/>
      <c r="T124" s="73"/>
      <c r="U124" s="76">
        <f>T123+U123</f>
        <v>0</v>
      </c>
      <c r="V124" s="76">
        <f>U123*W123</f>
        <v>0</v>
      </c>
      <c r="W124" s="75"/>
      <c r="X124" s="73"/>
      <c r="Y124" s="76">
        <f>X123+Y123</f>
        <v>0</v>
      </c>
      <c r="Z124" s="76">
        <f>Y123*AA123</f>
        <v>0</v>
      </c>
      <c r="AA124" s="75"/>
      <c r="AB124" s="73"/>
      <c r="AC124" s="76">
        <f>AB123+AC123</f>
        <v>0</v>
      </c>
      <c r="AD124" s="76">
        <f>AC123*AE123</f>
        <v>0</v>
      </c>
      <c r="AE124" s="75"/>
      <c r="AF124" s="73"/>
      <c r="AG124" s="76">
        <f>AF123+AG123</f>
        <v>0</v>
      </c>
      <c r="AH124" s="76">
        <f>AG123*AI123</f>
        <v>0</v>
      </c>
      <c r="AI124" s="75"/>
      <c r="AJ124" s="73"/>
      <c r="AK124" s="76">
        <f>AJ123+AK123</f>
        <v>0</v>
      </c>
      <c r="AL124" s="76">
        <f>AK123*AM123</f>
        <v>0</v>
      </c>
      <c r="AM124" s="75"/>
      <c r="AN124" s="73"/>
      <c r="AO124" s="76">
        <f>AN123+AO123</f>
        <v>0</v>
      </c>
      <c r="AP124" s="76">
        <f>AO123*AQ123</f>
        <v>0</v>
      </c>
      <c r="AQ124" s="75"/>
      <c r="AR124" s="73"/>
      <c r="AS124" s="76">
        <f>AR123+AS123</f>
        <v>0</v>
      </c>
      <c r="AT124" s="76">
        <f>AS123*AU123</f>
        <v>0</v>
      </c>
      <c r="AU124" s="75"/>
      <c r="AV124" s="73"/>
      <c r="AW124" s="76">
        <f>AV123+AW123</f>
        <v>0</v>
      </c>
      <c r="AX124" s="76">
        <f>AW123*AY123</f>
        <v>0</v>
      </c>
      <c r="AY124" s="75"/>
    </row>
    <row r="125" spans="1:51" hidden="1" x14ac:dyDescent="0.2">
      <c r="A125" s="52" t="s">
        <v>63</v>
      </c>
      <c r="B125" s="51"/>
      <c r="C125" s="51"/>
      <c r="D125" s="73" t="e">
        <f>((F97-30)*(D96+(B97*D96)/(F97-B97))/F97)</f>
        <v>#DIV/0!</v>
      </c>
      <c r="E125" s="74" t="e">
        <f>(D96-(D96*(20-B97)/(F97-B97))-((F97-30)*(D96+(B97*D96)/(F97-B97))/F97))</f>
        <v>#DIV/0!</v>
      </c>
      <c r="F125" s="74">
        <v>30</v>
      </c>
      <c r="G125" s="75">
        <v>25</v>
      </c>
      <c r="H125" s="73" t="e">
        <f>((J97-30)*(H96+(F97*H96)/(J97-F97))/J97)</f>
        <v>#DIV/0!</v>
      </c>
      <c r="I125" s="74" t="e">
        <f>(H96-(H96*(20-F97)/(J97-F97))-((J97-30)*(H96+(F97*H96)/(J97-F97))/J97))</f>
        <v>#DIV/0!</v>
      </c>
      <c r="J125" s="74">
        <v>30</v>
      </c>
      <c r="K125" s="75">
        <v>25</v>
      </c>
      <c r="L125" s="73" t="e">
        <f>((N97-30)*(L96+(J97*L96)/(N97-J97))/N97)</f>
        <v>#DIV/0!</v>
      </c>
      <c r="M125" s="74" t="e">
        <f>(L96-(L96*(20-J97)/(N97-J97))-((N97-30)*(L96+(J97*L96)/(N97-J97))/N97))</f>
        <v>#DIV/0!</v>
      </c>
      <c r="N125" s="74">
        <v>30</v>
      </c>
      <c r="O125" s="75">
        <v>25</v>
      </c>
      <c r="P125" s="73" t="e">
        <f>((R97-30)*(P96+(N97*P96)/(R97-N97))/R97)</f>
        <v>#DIV/0!</v>
      </c>
      <c r="Q125" s="74" t="e">
        <f>(P96-(P96*(20-N97)/(R97-N97))-((R97-30)*(P96+(N97*P96)/(R97-N97))/R97))</f>
        <v>#DIV/0!</v>
      </c>
      <c r="R125" s="74">
        <v>30</v>
      </c>
      <c r="S125" s="75">
        <v>25</v>
      </c>
      <c r="T125" s="73" t="e">
        <f>((V97-30)*(T96+(R97*T96)/(V97-R97))/V97)</f>
        <v>#DIV/0!</v>
      </c>
      <c r="U125" s="74" t="e">
        <f>(T96-(T96*(20-R97)/(V97-R97))-((V97-30)*(T96+(R97*T96)/(V97-R97))/V97))</f>
        <v>#DIV/0!</v>
      </c>
      <c r="V125" s="74">
        <v>30</v>
      </c>
      <c r="W125" s="75">
        <v>25</v>
      </c>
      <c r="X125" s="73" t="e">
        <f>((Z97-30)*(X96+(V97*X96)/(Z97-V97))/Z97)</f>
        <v>#DIV/0!</v>
      </c>
      <c r="Y125" s="74" t="e">
        <f>(X96-(X96*(20-V97)/(Z97-V97))-((Z97-30)*(X96+(V97*X96)/(Z97-V97))/Z97))</f>
        <v>#DIV/0!</v>
      </c>
      <c r="Z125" s="74">
        <v>30</v>
      </c>
      <c r="AA125" s="75">
        <v>25</v>
      </c>
      <c r="AB125" s="73" t="e">
        <f>((AD97-30)*(AB96+(Z97*AB96)/(AD97-Z97))/AD97)</f>
        <v>#DIV/0!</v>
      </c>
      <c r="AC125" s="74" t="e">
        <f>(AB96-(AB96*(20-Z97)/(AD97-Z97))-((AD97-30)*(AB96+(Z97*AB96)/(AD97-Z97))/AD97))</f>
        <v>#DIV/0!</v>
      </c>
      <c r="AD125" s="74">
        <v>30</v>
      </c>
      <c r="AE125" s="75">
        <v>25</v>
      </c>
      <c r="AF125" s="73" t="e">
        <f>((AH97-30)*(AF96+(AD97*AF96)/(AH97-AD97))/AH97)</f>
        <v>#DIV/0!</v>
      </c>
      <c r="AG125" s="74" t="e">
        <f>(AF96-(AF96*(20-AD97)/(AH97-AD97))-((AH97-30)*(AF96+(AD97*AF96)/(AH97-AD97))/AH97))</f>
        <v>#DIV/0!</v>
      </c>
      <c r="AH125" s="74">
        <v>30</v>
      </c>
      <c r="AI125" s="75">
        <v>25</v>
      </c>
      <c r="AJ125" s="73" t="e">
        <f>((AL97-30)*(AJ96+(AH97*AJ96)/(AL97-AH97))/AL97)</f>
        <v>#DIV/0!</v>
      </c>
      <c r="AK125" s="74" t="e">
        <f>(AJ96-(AJ96*(20-AH97)/(AL97-AH97))-((AL97-30)*(AJ96+(AH97*AJ96)/(AL97-AH97))/AL97))</f>
        <v>#DIV/0!</v>
      </c>
      <c r="AL125" s="74">
        <v>30</v>
      </c>
      <c r="AM125" s="75">
        <v>25</v>
      </c>
      <c r="AN125" s="73" t="e">
        <f>((AP97-30)*(AN96+(AL97*AN96)/(AP97-AL97))/AP97)</f>
        <v>#DIV/0!</v>
      </c>
      <c r="AO125" s="74" t="e">
        <f>(AN96-(AN96*(20-AL97)/(AP97-AL97))-((AP97-30)*(AN96+(AL97*AN96)/(AP97-AL97))/AP97))</f>
        <v>#DIV/0!</v>
      </c>
      <c r="AP125" s="74">
        <v>30</v>
      </c>
      <c r="AQ125" s="75">
        <v>25</v>
      </c>
      <c r="AR125" s="73" t="e">
        <f>((AT97-30)*(AR96+(AP97*AR96)/(AT97-AP97))/AT97)</f>
        <v>#DIV/0!</v>
      </c>
      <c r="AS125" s="74" t="e">
        <f>(AR96-(AR96*(20-AP97)/(AT97-AP97))-((AT97-30)*(AR96+(AP97*AR96)/(AT97-AP97))/AT97))</f>
        <v>#DIV/0!</v>
      </c>
      <c r="AT125" s="74">
        <v>30</v>
      </c>
      <c r="AU125" s="75">
        <v>25</v>
      </c>
      <c r="AV125" s="73" t="e">
        <f>((AX97-30)*(AV96+(AT97*AV96)/(AX97-AT97))/AX97)</f>
        <v>#DIV/0!</v>
      </c>
      <c r="AW125" s="74" t="e">
        <f>(AV96-(AV96*(20-AT97)/(AX97-AT97))-((AX97-30)*(AV96+(AT97*AV96)/(AX97-AT97))/AX97))</f>
        <v>#DIV/0!</v>
      </c>
      <c r="AX125" s="74">
        <v>30</v>
      </c>
      <c r="AY125" s="75">
        <v>25</v>
      </c>
    </row>
    <row r="126" spans="1:51" hidden="1" x14ac:dyDescent="0.2">
      <c r="A126" s="52"/>
      <c r="B126" s="51"/>
      <c r="C126" s="51"/>
      <c r="D126" s="73"/>
      <c r="E126" s="76" t="e">
        <f>D125+E125</f>
        <v>#DIV/0!</v>
      </c>
      <c r="F126" s="76" t="e">
        <f>(E125*G125)+(D125*F125)</f>
        <v>#DIV/0!</v>
      </c>
      <c r="G126" s="75"/>
      <c r="H126" s="73"/>
      <c r="I126" s="76" t="e">
        <f>H125+I125</f>
        <v>#DIV/0!</v>
      </c>
      <c r="J126" s="76" t="e">
        <f>(I125*K125)+(H125*J125)</f>
        <v>#DIV/0!</v>
      </c>
      <c r="K126" s="75"/>
      <c r="L126" s="73"/>
      <c r="M126" s="76" t="e">
        <f>L125+M125</f>
        <v>#DIV/0!</v>
      </c>
      <c r="N126" s="76" t="e">
        <f>(M125*O125)+(L125*N125)</f>
        <v>#DIV/0!</v>
      </c>
      <c r="O126" s="75"/>
      <c r="P126" s="73"/>
      <c r="Q126" s="76" t="e">
        <f>P125+Q125</f>
        <v>#DIV/0!</v>
      </c>
      <c r="R126" s="76" t="e">
        <f>(Q125*S125)+(P125*R125)</f>
        <v>#DIV/0!</v>
      </c>
      <c r="S126" s="75"/>
      <c r="T126" s="73"/>
      <c r="U126" s="76" t="e">
        <f>T125+U125</f>
        <v>#DIV/0!</v>
      </c>
      <c r="V126" s="76" t="e">
        <f>(U125*W125)+(T125*V125)</f>
        <v>#DIV/0!</v>
      </c>
      <c r="W126" s="75"/>
      <c r="X126" s="73"/>
      <c r="Y126" s="76" t="e">
        <f>X125+Y125</f>
        <v>#DIV/0!</v>
      </c>
      <c r="Z126" s="76" t="e">
        <f>(Y125*AA125)+(X125*Z125)</f>
        <v>#DIV/0!</v>
      </c>
      <c r="AA126" s="75"/>
      <c r="AB126" s="73"/>
      <c r="AC126" s="76" t="e">
        <f>AB125+AC125</f>
        <v>#DIV/0!</v>
      </c>
      <c r="AD126" s="76" t="e">
        <f>(AC125*AE125)+(AB125*AD125)</f>
        <v>#DIV/0!</v>
      </c>
      <c r="AE126" s="75"/>
      <c r="AF126" s="73"/>
      <c r="AG126" s="76" t="e">
        <f>AF125+AG125</f>
        <v>#DIV/0!</v>
      </c>
      <c r="AH126" s="76" t="e">
        <f>(AG125*AI125)+(AF125*AH125)</f>
        <v>#DIV/0!</v>
      </c>
      <c r="AI126" s="75"/>
      <c r="AJ126" s="73"/>
      <c r="AK126" s="76" t="e">
        <f>AJ125+AK125</f>
        <v>#DIV/0!</v>
      </c>
      <c r="AL126" s="76" t="e">
        <f>(AK125*AM125)+(AJ125*AL125)</f>
        <v>#DIV/0!</v>
      </c>
      <c r="AM126" s="75"/>
      <c r="AN126" s="73"/>
      <c r="AO126" s="76" t="e">
        <f>AN125+AO125</f>
        <v>#DIV/0!</v>
      </c>
      <c r="AP126" s="76" t="e">
        <f>(AO125*AQ125)+(AN125*AP125)</f>
        <v>#DIV/0!</v>
      </c>
      <c r="AQ126" s="75"/>
      <c r="AR126" s="73"/>
      <c r="AS126" s="76" t="e">
        <f>AR125+AS125</f>
        <v>#DIV/0!</v>
      </c>
      <c r="AT126" s="76" t="e">
        <f>(AS125*AU125)+(AR125*AT125)</f>
        <v>#DIV/0!</v>
      </c>
      <c r="AU126" s="75"/>
      <c r="AV126" s="73"/>
      <c r="AW126" s="76" t="e">
        <f>AV125+AW125</f>
        <v>#DIV/0!</v>
      </c>
      <c r="AX126" s="76" t="e">
        <f>(AW125*AY125)+(AV125*AX125)</f>
        <v>#DIV/0!</v>
      </c>
      <c r="AY126" s="75"/>
    </row>
    <row r="127" spans="1:51" hidden="1" x14ac:dyDescent="0.2">
      <c r="A127" s="52" t="s">
        <v>64</v>
      </c>
      <c r="B127" s="51"/>
      <c r="C127" s="51"/>
      <c r="D127" s="73" t="e">
        <f>((B97-30)*(D96+(F97*D96)/(B97-F97))/B97)</f>
        <v>#DIV/0!</v>
      </c>
      <c r="E127" s="74" t="e">
        <f>(D96-(D96*(20-F97)/(B97-F97))-((B97-30)*(D96+(F97*D96)/(B97-F97))/B97))</f>
        <v>#DIV/0!</v>
      </c>
      <c r="F127" s="74">
        <v>30</v>
      </c>
      <c r="G127" s="75">
        <v>25</v>
      </c>
      <c r="H127" s="73" t="e">
        <f>((F97-30)*(H96+(J97*H96)/(F97-J97))/F97)</f>
        <v>#DIV/0!</v>
      </c>
      <c r="I127" s="74" t="e">
        <f>(H96-(H96*(20-J97)/(F97-J97))-((F97-30)*(H96+(J97*H96)/(F97-J97))/F97))</f>
        <v>#DIV/0!</v>
      </c>
      <c r="J127" s="74">
        <v>30</v>
      </c>
      <c r="K127" s="75">
        <v>25</v>
      </c>
      <c r="L127" s="73" t="e">
        <f>((J97-30)*(L96+(N97*L96)/(J97-N97))/J97)</f>
        <v>#DIV/0!</v>
      </c>
      <c r="M127" s="74" t="e">
        <f>(L96-(L96*(20-N97)/(J97-N97))-((J97-30)*(L96+(N97*L96)/(J97-N97))/J97))</f>
        <v>#DIV/0!</v>
      </c>
      <c r="N127" s="74">
        <v>30</v>
      </c>
      <c r="O127" s="75">
        <v>25</v>
      </c>
      <c r="P127" s="73" t="e">
        <f>((N97-30)*(P96+(R97*P96)/(N97-R97))/N97)</f>
        <v>#DIV/0!</v>
      </c>
      <c r="Q127" s="74" t="e">
        <f>(P96-(P96*(20-R97)/(N97-R97))-((N97-30)*(P96+(R97*P96)/(N97-R97))/N97))</f>
        <v>#DIV/0!</v>
      </c>
      <c r="R127" s="74">
        <v>30</v>
      </c>
      <c r="S127" s="75">
        <v>25</v>
      </c>
      <c r="T127" s="73" t="e">
        <f>((R97-30)*(T96+(V97*T96)/(R97-V97))/R97)</f>
        <v>#DIV/0!</v>
      </c>
      <c r="U127" s="74" t="e">
        <f>(T96-(T96*(20-V97)/(R97-V97))-((R97-30)*(T96+(V97*T96)/(R97-V97))/R97))</f>
        <v>#DIV/0!</v>
      </c>
      <c r="V127" s="74">
        <v>30</v>
      </c>
      <c r="W127" s="75">
        <v>25</v>
      </c>
      <c r="X127" s="73" t="e">
        <f>((V97-30)*(X96+(Z97*X96)/(V97-Z97))/V97)</f>
        <v>#DIV/0!</v>
      </c>
      <c r="Y127" s="74" t="e">
        <f>(X96-(X96*(20-Z97)/(V97-Z97))-((V97-30)*(X96+(Z97*X96)/(V97-Z97))/V97))</f>
        <v>#DIV/0!</v>
      </c>
      <c r="Z127" s="74">
        <v>30</v>
      </c>
      <c r="AA127" s="75">
        <v>25</v>
      </c>
      <c r="AB127" s="73" t="e">
        <f>((Z97-30)*(AB96+(AD97*AB96)/(Z97-AD97))/Z97)</f>
        <v>#DIV/0!</v>
      </c>
      <c r="AC127" s="74" t="e">
        <f>(AB96-(AB96*(20-AD97)/(Z97-AD97))-((Z97-30)*(AB96+(AD97*AB96)/(Z97-AD97))/Z97))</f>
        <v>#DIV/0!</v>
      </c>
      <c r="AD127" s="74">
        <v>30</v>
      </c>
      <c r="AE127" s="75">
        <v>25</v>
      </c>
      <c r="AF127" s="73" t="e">
        <f>((AD97-30)*(AF96+(AH97*AF96)/(AD97-AH97))/AD97)</f>
        <v>#DIV/0!</v>
      </c>
      <c r="AG127" s="74" t="e">
        <f>(AF96-(AF96*(20-AH97)/(AD97-AH97))-((AD97-30)*(AF96+(AH97*AF96)/(AD97-AH97))/AD97))</f>
        <v>#DIV/0!</v>
      </c>
      <c r="AH127" s="74">
        <v>30</v>
      </c>
      <c r="AI127" s="75">
        <v>25</v>
      </c>
      <c r="AJ127" s="73" t="e">
        <f>((AH97-30)*(AJ96+(AL97*AJ96)/(AH97-AL97))/AH97)</f>
        <v>#DIV/0!</v>
      </c>
      <c r="AK127" s="74" t="e">
        <f>(AJ96-(AJ96*(20-AL97)/(AH97-AL97))-((AH97-30)*(AJ96+(AL97*AJ96)/(AH97-AL97))/AH97))</f>
        <v>#DIV/0!</v>
      </c>
      <c r="AL127" s="74">
        <v>30</v>
      </c>
      <c r="AM127" s="75">
        <v>25</v>
      </c>
      <c r="AN127" s="73" t="e">
        <f>((AL97-30)*(AN96+(AP97*AN96)/(AL97-AP97))/AL97)</f>
        <v>#DIV/0!</v>
      </c>
      <c r="AO127" s="74" t="e">
        <f>(AN96-(AN96*(20-AP97)/(AL97-AP97))-((AL97-30)*(AN96+(AP97*AN96)/(AL97-AP97))/AL97))</f>
        <v>#DIV/0!</v>
      </c>
      <c r="AP127" s="74">
        <v>30</v>
      </c>
      <c r="AQ127" s="75">
        <v>25</v>
      </c>
      <c r="AR127" s="73" t="e">
        <f>((AP97-30)*(AR96+(AT97*AR96)/(AP97-AT97))/AP97)</f>
        <v>#DIV/0!</v>
      </c>
      <c r="AS127" s="74" t="e">
        <f>(AR96-(AR96*(20-AT97)/(AP97-AT97))-((AP97-30)*(AR96+(AT97*AR96)/(AP97-AT97))/AP97))</f>
        <v>#DIV/0!</v>
      </c>
      <c r="AT127" s="74">
        <v>30</v>
      </c>
      <c r="AU127" s="75">
        <v>25</v>
      </c>
      <c r="AV127" s="73" t="e">
        <f>((AT97-30)*(AV96+(AX97*AV96)/(AT97-AX97))/AT97)</f>
        <v>#DIV/0!</v>
      </c>
      <c r="AW127" s="74" t="e">
        <f>(AV96-(AV96*(20-AX97)/(AT97-AX97))-((AT97-30)*(AV96+(AX97*AV96)/(AT97-AX97))/AT97))</f>
        <v>#DIV/0!</v>
      </c>
      <c r="AX127" s="74">
        <v>30</v>
      </c>
      <c r="AY127" s="75">
        <v>25</v>
      </c>
    </row>
    <row r="128" spans="1:51" hidden="1" x14ac:dyDescent="0.2">
      <c r="A128" s="52"/>
      <c r="B128" s="51"/>
      <c r="C128" s="51"/>
      <c r="D128" s="73"/>
      <c r="E128" s="76" t="e">
        <f>D127+E127</f>
        <v>#DIV/0!</v>
      </c>
      <c r="F128" s="76" t="e">
        <f>(E127*G127)+(D127*F127)</f>
        <v>#DIV/0!</v>
      </c>
      <c r="G128" s="75"/>
      <c r="H128" s="73"/>
      <c r="I128" s="76" t="e">
        <f>H127+I127</f>
        <v>#DIV/0!</v>
      </c>
      <c r="J128" s="76" t="e">
        <f>(I127*K127)+(H127*J127)</f>
        <v>#DIV/0!</v>
      </c>
      <c r="K128" s="75"/>
      <c r="L128" s="73"/>
      <c r="M128" s="76" t="e">
        <f>L127+M127</f>
        <v>#DIV/0!</v>
      </c>
      <c r="N128" s="76" t="e">
        <f>(M127*O127)+(L127*N127)</f>
        <v>#DIV/0!</v>
      </c>
      <c r="O128" s="75"/>
      <c r="P128" s="73"/>
      <c r="Q128" s="76" t="e">
        <f>P127+Q127</f>
        <v>#DIV/0!</v>
      </c>
      <c r="R128" s="76" t="e">
        <f>(Q127*S127)+(P127*R127)</f>
        <v>#DIV/0!</v>
      </c>
      <c r="S128" s="75"/>
      <c r="T128" s="73"/>
      <c r="U128" s="76" t="e">
        <f>T127+U127</f>
        <v>#DIV/0!</v>
      </c>
      <c r="V128" s="76" t="e">
        <f>(U127*W127)+(T127*V127)</f>
        <v>#DIV/0!</v>
      </c>
      <c r="W128" s="75"/>
      <c r="X128" s="73"/>
      <c r="Y128" s="76" t="e">
        <f>X127+Y127</f>
        <v>#DIV/0!</v>
      </c>
      <c r="Z128" s="76" t="e">
        <f>(Y127*AA127)+(X127*Z127)</f>
        <v>#DIV/0!</v>
      </c>
      <c r="AA128" s="75"/>
      <c r="AB128" s="73"/>
      <c r="AC128" s="76" t="e">
        <f>AB127+AC127</f>
        <v>#DIV/0!</v>
      </c>
      <c r="AD128" s="76" t="e">
        <f>(AC127*AE127)+(AB127*AD127)</f>
        <v>#DIV/0!</v>
      </c>
      <c r="AE128" s="75"/>
      <c r="AF128" s="73"/>
      <c r="AG128" s="76" t="e">
        <f>AF127+AG127</f>
        <v>#DIV/0!</v>
      </c>
      <c r="AH128" s="76" t="e">
        <f>(AG127*AI127)+(AF127*AH127)</f>
        <v>#DIV/0!</v>
      </c>
      <c r="AI128" s="75"/>
      <c r="AJ128" s="73"/>
      <c r="AK128" s="76" t="e">
        <f>AJ127+AK127</f>
        <v>#DIV/0!</v>
      </c>
      <c r="AL128" s="76" t="e">
        <f>(AK127*AM127)+(AJ127*AL127)</f>
        <v>#DIV/0!</v>
      </c>
      <c r="AM128" s="75"/>
      <c r="AN128" s="73"/>
      <c r="AO128" s="76" t="e">
        <f>AN127+AO127</f>
        <v>#DIV/0!</v>
      </c>
      <c r="AP128" s="76" t="e">
        <f>(AO127*AQ127)+(AN127*AP127)</f>
        <v>#DIV/0!</v>
      </c>
      <c r="AQ128" s="75"/>
      <c r="AR128" s="73"/>
      <c r="AS128" s="76" t="e">
        <f>AR127+AS127</f>
        <v>#DIV/0!</v>
      </c>
      <c r="AT128" s="76" t="e">
        <f>(AS127*AU127)+(AR127*AT127)</f>
        <v>#DIV/0!</v>
      </c>
      <c r="AU128" s="75"/>
      <c r="AV128" s="73"/>
      <c r="AW128" s="76" t="e">
        <f>AV127+AW127</f>
        <v>#DIV/0!</v>
      </c>
      <c r="AX128" s="76" t="e">
        <f>(AW127*AY127)+(AV127*AX127)</f>
        <v>#DIV/0!</v>
      </c>
      <c r="AY128" s="75"/>
    </row>
    <row r="129" spans="1:52" hidden="1" x14ac:dyDescent="0.2">
      <c r="A129" s="52" t="s">
        <v>65</v>
      </c>
      <c r="B129" s="51"/>
      <c r="C129" s="51"/>
      <c r="D129" s="73"/>
      <c r="E129" s="74" t="e">
        <f>D96*(F97-20)/(F97-B97)</f>
        <v>#DIV/0!</v>
      </c>
      <c r="F129" s="74"/>
      <c r="G129" s="75">
        <f>(20+F97)/2</f>
        <v>10</v>
      </c>
      <c r="H129" s="73"/>
      <c r="I129" s="74" t="e">
        <f>H96*(J97-20)/(J97-F97)</f>
        <v>#DIV/0!</v>
      </c>
      <c r="J129" s="74"/>
      <c r="K129" s="75">
        <f>(20+J97)/2</f>
        <v>10</v>
      </c>
      <c r="L129" s="73"/>
      <c r="M129" s="74" t="e">
        <f>L96*(N97-20)/(N97-J97)</f>
        <v>#DIV/0!</v>
      </c>
      <c r="N129" s="74"/>
      <c r="O129" s="75">
        <f>(20+N97)/2</f>
        <v>10</v>
      </c>
      <c r="P129" s="73"/>
      <c r="Q129" s="74" t="e">
        <f>P96*(R97-20)/(R97-N97)</f>
        <v>#DIV/0!</v>
      </c>
      <c r="R129" s="74"/>
      <c r="S129" s="75">
        <f>(20+R97)/2</f>
        <v>10</v>
      </c>
      <c r="T129" s="73"/>
      <c r="U129" s="74" t="e">
        <f>T96*(V97-20)/(V97-R97)</f>
        <v>#DIV/0!</v>
      </c>
      <c r="V129" s="74"/>
      <c r="W129" s="75">
        <f>(20+V97)/2</f>
        <v>10</v>
      </c>
      <c r="X129" s="73"/>
      <c r="Y129" s="74" t="e">
        <f>X96*(Z97-20)/(Z97-V97)</f>
        <v>#DIV/0!</v>
      </c>
      <c r="Z129" s="74"/>
      <c r="AA129" s="75">
        <f>(20+Z97)/2</f>
        <v>10</v>
      </c>
      <c r="AB129" s="73"/>
      <c r="AC129" s="74" t="e">
        <f>AB96*(AD97-20)/(AD97-Z97)</f>
        <v>#DIV/0!</v>
      </c>
      <c r="AD129" s="74"/>
      <c r="AE129" s="75">
        <f>(20+AD97)/2</f>
        <v>10</v>
      </c>
      <c r="AF129" s="73"/>
      <c r="AG129" s="74" t="e">
        <f>AF96*(AH97-20)/(AH97-AD97)</f>
        <v>#DIV/0!</v>
      </c>
      <c r="AH129" s="74"/>
      <c r="AI129" s="75">
        <f>(20+AH97)/2</f>
        <v>10</v>
      </c>
      <c r="AJ129" s="73"/>
      <c r="AK129" s="74" t="e">
        <f>AJ96*(AL97-20)/(AL97-AH97)</f>
        <v>#DIV/0!</v>
      </c>
      <c r="AL129" s="74"/>
      <c r="AM129" s="75">
        <f>(20+AL97)/2</f>
        <v>10</v>
      </c>
      <c r="AN129" s="73"/>
      <c r="AO129" s="74" t="e">
        <f>AN96*(AP97-20)/(AP97-AL97)</f>
        <v>#DIV/0!</v>
      </c>
      <c r="AP129" s="74"/>
      <c r="AQ129" s="75">
        <f>(20+AP97)/2</f>
        <v>10</v>
      </c>
      <c r="AR129" s="73"/>
      <c r="AS129" s="74" t="e">
        <f>AR96*(AT97-20)/(AT97-AP97)</f>
        <v>#DIV/0!</v>
      </c>
      <c r="AT129" s="74"/>
      <c r="AU129" s="75">
        <f>(20+AT97)/2</f>
        <v>10</v>
      </c>
      <c r="AV129" s="73"/>
      <c r="AW129" s="74" t="e">
        <f>AV96*(AX97-20)/(AX97-AT97)</f>
        <v>#DIV/0!</v>
      </c>
      <c r="AX129" s="74"/>
      <c r="AY129" s="75">
        <f>(20+AX97)/2</f>
        <v>10</v>
      </c>
    </row>
    <row r="130" spans="1:52" hidden="1" x14ac:dyDescent="0.2">
      <c r="A130" s="52"/>
      <c r="B130" s="51"/>
      <c r="C130" s="51"/>
      <c r="D130" s="73"/>
      <c r="E130" s="76" t="e">
        <f>D129+E129</f>
        <v>#DIV/0!</v>
      </c>
      <c r="F130" s="76" t="e">
        <f>E129*G129</f>
        <v>#DIV/0!</v>
      </c>
      <c r="G130" s="75"/>
      <c r="H130" s="73"/>
      <c r="I130" s="76" t="e">
        <f>H129+I129</f>
        <v>#DIV/0!</v>
      </c>
      <c r="J130" s="76" t="e">
        <f>I129*K129</f>
        <v>#DIV/0!</v>
      </c>
      <c r="K130" s="75"/>
      <c r="L130" s="73"/>
      <c r="M130" s="76" t="e">
        <f>L129+M129</f>
        <v>#DIV/0!</v>
      </c>
      <c r="N130" s="76" t="e">
        <f>M129*O129</f>
        <v>#DIV/0!</v>
      </c>
      <c r="O130" s="75"/>
      <c r="P130" s="73"/>
      <c r="Q130" s="76" t="e">
        <f>P129+Q129</f>
        <v>#DIV/0!</v>
      </c>
      <c r="R130" s="76" t="e">
        <f>Q129*S129</f>
        <v>#DIV/0!</v>
      </c>
      <c r="S130" s="75"/>
      <c r="T130" s="73"/>
      <c r="U130" s="76" t="e">
        <f>T129+U129</f>
        <v>#DIV/0!</v>
      </c>
      <c r="V130" s="76" t="e">
        <f>U129*W129</f>
        <v>#DIV/0!</v>
      </c>
      <c r="W130" s="75"/>
      <c r="X130" s="73"/>
      <c r="Y130" s="76" t="e">
        <f>X129+Y129</f>
        <v>#DIV/0!</v>
      </c>
      <c r="Z130" s="76" t="e">
        <f>Y129*AA129</f>
        <v>#DIV/0!</v>
      </c>
      <c r="AA130" s="75"/>
      <c r="AB130" s="73"/>
      <c r="AC130" s="76" t="e">
        <f>AB129+AC129</f>
        <v>#DIV/0!</v>
      </c>
      <c r="AD130" s="76" t="e">
        <f>AC129*AE129</f>
        <v>#DIV/0!</v>
      </c>
      <c r="AE130" s="75"/>
      <c r="AF130" s="73"/>
      <c r="AG130" s="76" t="e">
        <f>AF129+AG129</f>
        <v>#DIV/0!</v>
      </c>
      <c r="AH130" s="76" t="e">
        <f>AG129*AI129</f>
        <v>#DIV/0!</v>
      </c>
      <c r="AI130" s="75"/>
      <c r="AJ130" s="73"/>
      <c r="AK130" s="76" t="e">
        <f>AJ129+AK129</f>
        <v>#DIV/0!</v>
      </c>
      <c r="AL130" s="76" t="e">
        <f>AK129*AM129</f>
        <v>#DIV/0!</v>
      </c>
      <c r="AM130" s="75"/>
      <c r="AN130" s="73"/>
      <c r="AO130" s="76" t="e">
        <f>AN129+AO129</f>
        <v>#DIV/0!</v>
      </c>
      <c r="AP130" s="76" t="e">
        <f>AO129*AQ129</f>
        <v>#DIV/0!</v>
      </c>
      <c r="AQ130" s="75"/>
      <c r="AR130" s="73"/>
      <c r="AS130" s="76" t="e">
        <f>AR129+AS129</f>
        <v>#DIV/0!</v>
      </c>
      <c r="AT130" s="76" t="e">
        <f>AS129*AU129</f>
        <v>#DIV/0!</v>
      </c>
      <c r="AU130" s="75"/>
      <c r="AV130" s="73"/>
      <c r="AW130" s="76" t="e">
        <f>AV129+AW129</f>
        <v>#DIV/0!</v>
      </c>
      <c r="AX130" s="76" t="e">
        <f>AW129*AY129</f>
        <v>#DIV/0!</v>
      </c>
      <c r="AY130" s="75"/>
    </row>
    <row r="131" spans="1:52" hidden="1" x14ac:dyDescent="0.2">
      <c r="A131" s="52" t="s">
        <v>66</v>
      </c>
      <c r="B131" s="51"/>
      <c r="C131" s="51"/>
      <c r="D131" s="73"/>
      <c r="E131" s="74" t="e">
        <f>D96*(B97-20)/(B97-F97)</f>
        <v>#DIV/0!</v>
      </c>
      <c r="F131" s="74"/>
      <c r="G131" s="75">
        <f>(20+B97)/2</f>
        <v>10</v>
      </c>
      <c r="H131" s="73"/>
      <c r="I131" s="74" t="e">
        <f>H96*(F97-20)/(F97-J97)</f>
        <v>#DIV/0!</v>
      </c>
      <c r="J131" s="74"/>
      <c r="K131" s="75">
        <f>(20+F97)/2</f>
        <v>10</v>
      </c>
      <c r="L131" s="73"/>
      <c r="M131" s="74" t="e">
        <f>L96*(J97-20)/(J97-N97)</f>
        <v>#DIV/0!</v>
      </c>
      <c r="N131" s="74"/>
      <c r="O131" s="75">
        <f>(20+J97)/2</f>
        <v>10</v>
      </c>
      <c r="P131" s="73"/>
      <c r="Q131" s="74" t="e">
        <f>P96*(N97-20)/(N97-R97)</f>
        <v>#DIV/0!</v>
      </c>
      <c r="R131" s="74"/>
      <c r="S131" s="75">
        <f>(20+N97)/2</f>
        <v>10</v>
      </c>
      <c r="T131" s="73"/>
      <c r="U131" s="74" t="e">
        <f>T96*(R97-20)/(R97-V97)</f>
        <v>#DIV/0!</v>
      </c>
      <c r="V131" s="74"/>
      <c r="W131" s="75">
        <f>(20+R97)/2</f>
        <v>10</v>
      </c>
      <c r="X131" s="73"/>
      <c r="Y131" s="74" t="e">
        <f>X96*(V97-20)/(V97-Z97)</f>
        <v>#DIV/0!</v>
      </c>
      <c r="Z131" s="74"/>
      <c r="AA131" s="75">
        <f>(20+V97)/2</f>
        <v>10</v>
      </c>
      <c r="AB131" s="73"/>
      <c r="AC131" s="74" t="e">
        <f>AB96*(Z97-20)/(Z97-AD97)</f>
        <v>#DIV/0!</v>
      </c>
      <c r="AD131" s="74"/>
      <c r="AE131" s="75">
        <f>(20+Z97)/2</f>
        <v>10</v>
      </c>
      <c r="AF131" s="73"/>
      <c r="AG131" s="74" t="e">
        <f>AF96*(AD97-20)/(AD97-AH97)</f>
        <v>#DIV/0!</v>
      </c>
      <c r="AH131" s="74"/>
      <c r="AI131" s="75">
        <f>(20+AD97)/2</f>
        <v>10</v>
      </c>
      <c r="AJ131" s="73"/>
      <c r="AK131" s="74" t="e">
        <f>AJ96*(AH97-20)/(AH97-AL97)</f>
        <v>#DIV/0!</v>
      </c>
      <c r="AL131" s="74"/>
      <c r="AM131" s="75">
        <f>(20+AH97)/2</f>
        <v>10</v>
      </c>
      <c r="AN131" s="73"/>
      <c r="AO131" s="74" t="e">
        <f>AN96*(AL97-20)/(AL97-AP97)</f>
        <v>#DIV/0!</v>
      </c>
      <c r="AP131" s="74"/>
      <c r="AQ131" s="75">
        <f>(20+AL97)/2</f>
        <v>10</v>
      </c>
      <c r="AR131" s="73"/>
      <c r="AS131" s="74" t="e">
        <f>AR96*(AP97-20)/(AP97-AT97)</f>
        <v>#DIV/0!</v>
      </c>
      <c r="AT131" s="74"/>
      <c r="AU131" s="75">
        <f>(20+AP97)/2</f>
        <v>10</v>
      </c>
      <c r="AV131" s="73"/>
      <c r="AW131" s="74" t="e">
        <f>AV96*(AT97-20)/(AT97-AX97)</f>
        <v>#DIV/0!</v>
      </c>
      <c r="AX131" s="74"/>
      <c r="AY131" s="75">
        <f>(20+AT97)/2</f>
        <v>10</v>
      </c>
    </row>
    <row r="132" spans="1:52" hidden="1" x14ac:dyDescent="0.2">
      <c r="A132" s="52"/>
      <c r="B132" s="51"/>
      <c r="C132" s="51"/>
      <c r="D132" s="73"/>
      <c r="E132" s="76" t="e">
        <f>D131+E131</f>
        <v>#DIV/0!</v>
      </c>
      <c r="F132" s="76" t="e">
        <f>E131*G131</f>
        <v>#DIV/0!</v>
      </c>
      <c r="G132" s="75"/>
      <c r="H132" s="73"/>
      <c r="I132" s="76" t="e">
        <f>H131+I131</f>
        <v>#DIV/0!</v>
      </c>
      <c r="J132" s="76" t="e">
        <f>I131*K131</f>
        <v>#DIV/0!</v>
      </c>
      <c r="K132" s="75"/>
      <c r="L132" s="73"/>
      <c r="M132" s="76" t="e">
        <f>L131+M131</f>
        <v>#DIV/0!</v>
      </c>
      <c r="N132" s="76" t="e">
        <f>M131*O131</f>
        <v>#DIV/0!</v>
      </c>
      <c r="O132" s="75"/>
      <c r="P132" s="73"/>
      <c r="Q132" s="76" t="e">
        <f>P131+Q131</f>
        <v>#DIV/0!</v>
      </c>
      <c r="R132" s="76" t="e">
        <f>Q131*S131</f>
        <v>#DIV/0!</v>
      </c>
      <c r="S132" s="75"/>
      <c r="T132" s="73"/>
      <c r="U132" s="76" t="e">
        <f>T131+U131</f>
        <v>#DIV/0!</v>
      </c>
      <c r="V132" s="76" t="e">
        <f>U131*W131</f>
        <v>#DIV/0!</v>
      </c>
      <c r="W132" s="75"/>
      <c r="X132" s="73"/>
      <c r="Y132" s="76" t="e">
        <f>X131+Y131</f>
        <v>#DIV/0!</v>
      </c>
      <c r="Z132" s="76" t="e">
        <f>Y131*AA131</f>
        <v>#DIV/0!</v>
      </c>
      <c r="AA132" s="75"/>
      <c r="AB132" s="73"/>
      <c r="AC132" s="76" t="e">
        <f>AB131+AC131</f>
        <v>#DIV/0!</v>
      </c>
      <c r="AD132" s="76" t="e">
        <f>AC131*AE131</f>
        <v>#DIV/0!</v>
      </c>
      <c r="AE132" s="75"/>
      <c r="AF132" s="73"/>
      <c r="AG132" s="76" t="e">
        <f>AF131+AG131</f>
        <v>#DIV/0!</v>
      </c>
      <c r="AH132" s="76" t="e">
        <f>AG131*AI131</f>
        <v>#DIV/0!</v>
      </c>
      <c r="AI132" s="75"/>
      <c r="AJ132" s="73"/>
      <c r="AK132" s="76" t="e">
        <f>AJ131+AK131</f>
        <v>#DIV/0!</v>
      </c>
      <c r="AL132" s="76" t="e">
        <f>AK131*AM131</f>
        <v>#DIV/0!</v>
      </c>
      <c r="AM132" s="75"/>
      <c r="AN132" s="73"/>
      <c r="AO132" s="76" t="e">
        <f>AN131+AO131</f>
        <v>#DIV/0!</v>
      </c>
      <c r="AP132" s="76" t="e">
        <f>AO131*AQ131</f>
        <v>#DIV/0!</v>
      </c>
      <c r="AQ132" s="75"/>
      <c r="AR132" s="73"/>
      <c r="AS132" s="76" t="e">
        <f>AR131+AS131</f>
        <v>#DIV/0!</v>
      </c>
      <c r="AT132" s="76" t="e">
        <f>AS131*AU131</f>
        <v>#DIV/0!</v>
      </c>
      <c r="AU132" s="75"/>
      <c r="AV132" s="73"/>
      <c r="AW132" s="76" t="e">
        <f>AV131+AW131</f>
        <v>#DIV/0!</v>
      </c>
      <c r="AX132" s="76" t="e">
        <f>AW131*AY131</f>
        <v>#DIV/0!</v>
      </c>
      <c r="AY132" s="75"/>
    </row>
    <row r="133" spans="1:52" hidden="1" x14ac:dyDescent="0.2">
      <c r="A133" s="52" t="s">
        <v>67</v>
      </c>
      <c r="B133" s="51"/>
      <c r="C133" s="51"/>
      <c r="D133" s="73" t="e">
        <f>D96-E133</f>
        <v>#DIV/0!</v>
      </c>
      <c r="E133" s="74" t="e">
        <f>D96*(30-B97)/(F97-B97)</f>
        <v>#DIV/0!</v>
      </c>
      <c r="F133" s="74">
        <v>30</v>
      </c>
      <c r="G133" s="75">
        <f>(30+B97)/2</f>
        <v>15</v>
      </c>
      <c r="H133" s="73" t="e">
        <f>H96-I133</f>
        <v>#DIV/0!</v>
      </c>
      <c r="I133" s="74" t="e">
        <f>H96*(30-F97)/(J97-F97)</f>
        <v>#DIV/0!</v>
      </c>
      <c r="J133" s="74">
        <v>30</v>
      </c>
      <c r="K133" s="75">
        <f>(30+F97)/2</f>
        <v>15</v>
      </c>
      <c r="L133" s="73" t="e">
        <f>L96-M133</f>
        <v>#DIV/0!</v>
      </c>
      <c r="M133" s="74" t="e">
        <f>L96*(30-J97)/(N97-J97)</f>
        <v>#DIV/0!</v>
      </c>
      <c r="N133" s="74">
        <v>30</v>
      </c>
      <c r="O133" s="75">
        <f>(30+J97)/2</f>
        <v>15</v>
      </c>
      <c r="P133" s="73" t="e">
        <f>P96-Q133</f>
        <v>#DIV/0!</v>
      </c>
      <c r="Q133" s="74" t="e">
        <f>P96*(30-N97)/(R97-N97)</f>
        <v>#DIV/0!</v>
      </c>
      <c r="R133" s="74">
        <v>30</v>
      </c>
      <c r="S133" s="75">
        <f>(30+N97)/2</f>
        <v>15</v>
      </c>
      <c r="T133" s="73" t="e">
        <f>T96-U133</f>
        <v>#DIV/0!</v>
      </c>
      <c r="U133" s="74" t="e">
        <f>T96*(30-R97)/(V97-R97)</f>
        <v>#DIV/0!</v>
      </c>
      <c r="V133" s="74">
        <v>30</v>
      </c>
      <c r="W133" s="75">
        <f>(30+R97)/2</f>
        <v>15</v>
      </c>
      <c r="X133" s="73" t="e">
        <f>X96-Y133</f>
        <v>#DIV/0!</v>
      </c>
      <c r="Y133" s="74" t="e">
        <f>X96*(30-V97)/(Z97-V97)</f>
        <v>#DIV/0!</v>
      </c>
      <c r="Z133" s="74">
        <v>30</v>
      </c>
      <c r="AA133" s="75">
        <f>(30+V97)/2</f>
        <v>15</v>
      </c>
      <c r="AB133" s="73" t="e">
        <f>AB96-AC133</f>
        <v>#DIV/0!</v>
      </c>
      <c r="AC133" s="74" t="e">
        <f>AB96*(30-Z97)/(AD97-Z97)</f>
        <v>#DIV/0!</v>
      </c>
      <c r="AD133" s="74">
        <v>30</v>
      </c>
      <c r="AE133" s="75">
        <f>(30+Z97)/2</f>
        <v>15</v>
      </c>
      <c r="AF133" s="73" t="e">
        <f>AF96-AG133</f>
        <v>#DIV/0!</v>
      </c>
      <c r="AG133" s="74" t="e">
        <f>AF96*(30-AD97)/(AH97-AD97)</f>
        <v>#DIV/0!</v>
      </c>
      <c r="AH133" s="74">
        <v>30</v>
      </c>
      <c r="AI133" s="75">
        <f>(30+AD97)/2</f>
        <v>15</v>
      </c>
      <c r="AJ133" s="73" t="e">
        <f>AJ96-AK133</f>
        <v>#DIV/0!</v>
      </c>
      <c r="AK133" s="74" t="e">
        <f>AJ96*(30-AH97)/(AL97-AH97)</f>
        <v>#DIV/0!</v>
      </c>
      <c r="AL133" s="74">
        <v>30</v>
      </c>
      <c r="AM133" s="75">
        <f>(30+AH97)/2</f>
        <v>15</v>
      </c>
      <c r="AN133" s="73" t="e">
        <f>AN96-AO133</f>
        <v>#DIV/0!</v>
      </c>
      <c r="AO133" s="74" t="e">
        <f>AN96*(30-AL97)/(AP97-AL97)</f>
        <v>#DIV/0!</v>
      </c>
      <c r="AP133" s="74">
        <v>30</v>
      </c>
      <c r="AQ133" s="75">
        <f>(30+AL97)/2</f>
        <v>15</v>
      </c>
      <c r="AR133" s="73" t="e">
        <f>AR96-AS133</f>
        <v>#DIV/0!</v>
      </c>
      <c r="AS133" s="74" t="e">
        <f>AR96*(30-AP97)/(AT97-AP97)</f>
        <v>#DIV/0!</v>
      </c>
      <c r="AT133" s="74">
        <v>30</v>
      </c>
      <c r="AU133" s="75">
        <f>(30+AP97)/2</f>
        <v>15</v>
      </c>
      <c r="AV133" s="73" t="e">
        <f>AV96-AW133</f>
        <v>#DIV/0!</v>
      </c>
      <c r="AW133" s="74" t="e">
        <f>AV96*(30-AT97)/(AX97-AT97)</f>
        <v>#DIV/0!</v>
      </c>
      <c r="AX133" s="74">
        <v>30</v>
      </c>
      <c r="AY133" s="75">
        <f>(30+AT97)/2</f>
        <v>15</v>
      </c>
    </row>
    <row r="134" spans="1:52" hidden="1" x14ac:dyDescent="0.2">
      <c r="A134" s="52"/>
      <c r="B134" s="51"/>
      <c r="C134" s="51"/>
      <c r="D134" s="73"/>
      <c r="E134" s="76" t="e">
        <f>D133+E133</f>
        <v>#DIV/0!</v>
      </c>
      <c r="F134" s="76" t="e">
        <f>(E133*G133)+(D133*F133)</f>
        <v>#DIV/0!</v>
      </c>
      <c r="G134" s="75"/>
      <c r="H134" s="73"/>
      <c r="I134" s="76" t="e">
        <f>H133+I133</f>
        <v>#DIV/0!</v>
      </c>
      <c r="J134" s="76" t="e">
        <f>(I133*K133)+(H133*J133)</f>
        <v>#DIV/0!</v>
      </c>
      <c r="K134" s="75"/>
      <c r="L134" s="73"/>
      <c r="M134" s="76" t="e">
        <f>L133+M133</f>
        <v>#DIV/0!</v>
      </c>
      <c r="N134" s="76" t="e">
        <f>(M133*O133)+(L133*N133)</f>
        <v>#DIV/0!</v>
      </c>
      <c r="O134" s="75"/>
      <c r="P134" s="73"/>
      <c r="Q134" s="76" t="e">
        <f>P133+Q133</f>
        <v>#DIV/0!</v>
      </c>
      <c r="R134" s="76" t="e">
        <f>(Q133*S133)+(P133*R133)</f>
        <v>#DIV/0!</v>
      </c>
      <c r="S134" s="75"/>
      <c r="T134" s="73"/>
      <c r="U134" s="76" t="e">
        <f>T133+U133</f>
        <v>#DIV/0!</v>
      </c>
      <c r="V134" s="76" t="e">
        <f>(U133*W133)+(T133*V133)</f>
        <v>#DIV/0!</v>
      </c>
      <c r="W134" s="75"/>
      <c r="X134" s="73"/>
      <c r="Y134" s="76" t="e">
        <f>X133+Y133</f>
        <v>#DIV/0!</v>
      </c>
      <c r="Z134" s="76" t="e">
        <f>(Y133*AA133)+(X133*Z133)</f>
        <v>#DIV/0!</v>
      </c>
      <c r="AA134" s="75"/>
      <c r="AB134" s="73"/>
      <c r="AC134" s="76" t="e">
        <f>AB133+AC133</f>
        <v>#DIV/0!</v>
      </c>
      <c r="AD134" s="76" t="e">
        <f>(AC133*AE133)+(AB133*AD133)</f>
        <v>#DIV/0!</v>
      </c>
      <c r="AE134" s="75"/>
      <c r="AF134" s="73"/>
      <c r="AG134" s="76" t="e">
        <f>AF133+AG133</f>
        <v>#DIV/0!</v>
      </c>
      <c r="AH134" s="76" t="e">
        <f>(AG133*AI133)+(AF133*AH133)</f>
        <v>#DIV/0!</v>
      </c>
      <c r="AI134" s="75"/>
      <c r="AJ134" s="73"/>
      <c r="AK134" s="76" t="e">
        <f>AJ133+AK133</f>
        <v>#DIV/0!</v>
      </c>
      <c r="AL134" s="76" t="e">
        <f>(AK133*AM133)+(AJ133*AL133)</f>
        <v>#DIV/0!</v>
      </c>
      <c r="AM134" s="75"/>
      <c r="AN134" s="73"/>
      <c r="AO134" s="76" t="e">
        <f>AN133+AO133</f>
        <v>#DIV/0!</v>
      </c>
      <c r="AP134" s="76" t="e">
        <f>(AO133*AQ133)+(AN133*AP133)</f>
        <v>#DIV/0!</v>
      </c>
      <c r="AQ134" s="75"/>
      <c r="AR134" s="73"/>
      <c r="AS134" s="76" t="e">
        <f>AR133+AS133</f>
        <v>#DIV/0!</v>
      </c>
      <c r="AT134" s="76" t="e">
        <f>(AS133*AU133)+(AR133*AT133)</f>
        <v>#DIV/0!</v>
      </c>
      <c r="AU134" s="75"/>
      <c r="AV134" s="73"/>
      <c r="AW134" s="76" t="e">
        <f>AV133+AW133</f>
        <v>#DIV/0!</v>
      </c>
      <c r="AX134" s="76" t="e">
        <f>(AW133*AY133)+(AV133*AX133)</f>
        <v>#DIV/0!</v>
      </c>
      <c r="AY134" s="75"/>
    </row>
    <row r="135" spans="1:52" hidden="1" x14ac:dyDescent="0.2">
      <c r="A135" s="52" t="s">
        <v>68</v>
      </c>
      <c r="B135" s="51"/>
      <c r="C135" s="51"/>
      <c r="D135" s="73" t="e">
        <f>D96-E135</f>
        <v>#DIV/0!</v>
      </c>
      <c r="E135" s="74" t="e">
        <f>D96*(30-F97)/(B97-F97)</f>
        <v>#DIV/0!</v>
      </c>
      <c r="F135" s="74">
        <v>30</v>
      </c>
      <c r="G135" s="75">
        <f>(30+F97)/2</f>
        <v>15</v>
      </c>
      <c r="H135" s="73" t="e">
        <f>H96-I135</f>
        <v>#DIV/0!</v>
      </c>
      <c r="I135" s="74" t="e">
        <f>H96*(30-J97)/(F97-J97)</f>
        <v>#DIV/0!</v>
      </c>
      <c r="J135" s="74">
        <v>30</v>
      </c>
      <c r="K135" s="75">
        <f>(30+J97)/2</f>
        <v>15</v>
      </c>
      <c r="L135" s="73" t="e">
        <f>L96-M135</f>
        <v>#DIV/0!</v>
      </c>
      <c r="M135" s="74" t="e">
        <f>L96*(30-N97)/(J97-N97)</f>
        <v>#DIV/0!</v>
      </c>
      <c r="N135" s="74">
        <v>30</v>
      </c>
      <c r="O135" s="75">
        <f>(30+N97)/2</f>
        <v>15</v>
      </c>
      <c r="P135" s="73" t="e">
        <f>P96-Q135</f>
        <v>#DIV/0!</v>
      </c>
      <c r="Q135" s="74" t="e">
        <f>P96*(30-R97)/(N97-R97)</f>
        <v>#DIV/0!</v>
      </c>
      <c r="R135" s="74">
        <v>30</v>
      </c>
      <c r="S135" s="75">
        <f>(30+R97)/2</f>
        <v>15</v>
      </c>
      <c r="T135" s="73" t="e">
        <f>T96-U135</f>
        <v>#DIV/0!</v>
      </c>
      <c r="U135" s="74" t="e">
        <f>T96*(30-V97)/(R97-V97)</f>
        <v>#DIV/0!</v>
      </c>
      <c r="V135" s="74">
        <v>30</v>
      </c>
      <c r="W135" s="75">
        <f>(30+V97)/2</f>
        <v>15</v>
      </c>
      <c r="X135" s="73" t="e">
        <f>X96-Y135</f>
        <v>#DIV/0!</v>
      </c>
      <c r="Y135" s="74" t="e">
        <f>X96*(30-Z97)/(V97-Z97)</f>
        <v>#DIV/0!</v>
      </c>
      <c r="Z135" s="74">
        <v>30</v>
      </c>
      <c r="AA135" s="75">
        <f>(30+Z97)/2</f>
        <v>15</v>
      </c>
      <c r="AB135" s="73" t="e">
        <f>AB96-AC135</f>
        <v>#DIV/0!</v>
      </c>
      <c r="AC135" s="74" t="e">
        <f>AB96*(30-AD97)/(Z97-AD97)</f>
        <v>#DIV/0!</v>
      </c>
      <c r="AD135" s="74">
        <v>30</v>
      </c>
      <c r="AE135" s="75">
        <f>(30+AD97)/2</f>
        <v>15</v>
      </c>
      <c r="AF135" s="73" t="e">
        <f>AF96-AG135</f>
        <v>#DIV/0!</v>
      </c>
      <c r="AG135" s="74" t="e">
        <f>AF96*(30-AH97)/(AD97-AH97)</f>
        <v>#DIV/0!</v>
      </c>
      <c r="AH135" s="74">
        <v>30</v>
      </c>
      <c r="AI135" s="75">
        <f>(30+AH97)/2</f>
        <v>15</v>
      </c>
      <c r="AJ135" s="73" t="e">
        <f>AJ96-AK135</f>
        <v>#DIV/0!</v>
      </c>
      <c r="AK135" s="74" t="e">
        <f>AJ96*(30-AL97)/(AH97-AL97)</f>
        <v>#DIV/0!</v>
      </c>
      <c r="AL135" s="74">
        <v>30</v>
      </c>
      <c r="AM135" s="75">
        <f>(30+AL97)/2</f>
        <v>15</v>
      </c>
      <c r="AN135" s="73" t="e">
        <f>AN96-AO135</f>
        <v>#DIV/0!</v>
      </c>
      <c r="AO135" s="74" t="e">
        <f>AN96*(30-AP97)/(AL97-AP97)</f>
        <v>#DIV/0!</v>
      </c>
      <c r="AP135" s="74">
        <v>30</v>
      </c>
      <c r="AQ135" s="75">
        <f>(30+AP97)/2</f>
        <v>15</v>
      </c>
      <c r="AR135" s="73" t="e">
        <f>AR96-AS135</f>
        <v>#DIV/0!</v>
      </c>
      <c r="AS135" s="74" t="e">
        <f>AR96*(30-AT97)/(AP97-AT97)</f>
        <v>#DIV/0!</v>
      </c>
      <c r="AT135" s="74">
        <v>30</v>
      </c>
      <c r="AU135" s="75">
        <f>(30+AT97)/2</f>
        <v>15</v>
      </c>
      <c r="AV135" s="73" t="e">
        <f>AV96-AW135</f>
        <v>#DIV/0!</v>
      </c>
      <c r="AW135" s="74" t="e">
        <f>AV96*(30-AX97)/(AT97-AX97)</f>
        <v>#DIV/0!</v>
      </c>
      <c r="AX135" s="74">
        <v>30</v>
      </c>
      <c r="AY135" s="75">
        <f>(30+AX97)/2</f>
        <v>15</v>
      </c>
    </row>
    <row r="136" spans="1:52" hidden="1" x14ac:dyDescent="0.2">
      <c r="A136" s="34"/>
      <c r="B136" s="51"/>
      <c r="C136" s="51"/>
      <c r="D136" s="73"/>
      <c r="E136" s="76" t="e">
        <f>D135+E135</f>
        <v>#DIV/0!</v>
      </c>
      <c r="F136" s="76" t="e">
        <f>(E135*G135)+(D135*F135)</f>
        <v>#DIV/0!</v>
      </c>
      <c r="G136" s="75"/>
      <c r="H136" s="73"/>
      <c r="I136" s="76" t="e">
        <f>H135+I135</f>
        <v>#DIV/0!</v>
      </c>
      <c r="J136" s="76" t="e">
        <f>(I135*K135)+(H135*J135)</f>
        <v>#DIV/0!</v>
      </c>
      <c r="K136" s="75"/>
      <c r="L136" s="73"/>
      <c r="M136" s="76" t="e">
        <f>L135+M135</f>
        <v>#DIV/0!</v>
      </c>
      <c r="N136" s="76" t="e">
        <f>(M135*O135)+(L135*N135)</f>
        <v>#DIV/0!</v>
      </c>
      <c r="O136" s="75"/>
      <c r="P136" s="73"/>
      <c r="Q136" s="76" t="e">
        <f>P135+Q135</f>
        <v>#DIV/0!</v>
      </c>
      <c r="R136" s="76" t="e">
        <f>(Q135*S135)+(P135*R135)</f>
        <v>#DIV/0!</v>
      </c>
      <c r="S136" s="75"/>
      <c r="T136" s="73"/>
      <c r="U136" s="76" t="e">
        <f>T135+U135</f>
        <v>#DIV/0!</v>
      </c>
      <c r="V136" s="76" t="e">
        <f>(U135*W135)+(T135*V135)</f>
        <v>#DIV/0!</v>
      </c>
      <c r="W136" s="75"/>
      <c r="X136" s="73"/>
      <c r="Y136" s="76" t="e">
        <f>X135+Y135</f>
        <v>#DIV/0!</v>
      </c>
      <c r="Z136" s="76" t="e">
        <f>(Y135*AA135)+(X135*Z135)</f>
        <v>#DIV/0!</v>
      </c>
      <c r="AA136" s="75"/>
      <c r="AB136" s="73"/>
      <c r="AC136" s="76" t="e">
        <f>AB135+AC135</f>
        <v>#DIV/0!</v>
      </c>
      <c r="AD136" s="76" t="e">
        <f>(AC135*AE135)+(AB135*AD135)</f>
        <v>#DIV/0!</v>
      </c>
      <c r="AE136" s="75"/>
      <c r="AF136" s="73"/>
      <c r="AG136" s="76" t="e">
        <f>AF135+AG135</f>
        <v>#DIV/0!</v>
      </c>
      <c r="AH136" s="76" t="e">
        <f>(AG135*AI135)+(AF135*AH135)</f>
        <v>#DIV/0!</v>
      </c>
      <c r="AI136" s="75"/>
      <c r="AJ136" s="73"/>
      <c r="AK136" s="76" t="e">
        <f>AJ135+AK135</f>
        <v>#DIV/0!</v>
      </c>
      <c r="AL136" s="76" t="e">
        <f>(AK135*AM135)+(AJ135*AL135)</f>
        <v>#DIV/0!</v>
      </c>
      <c r="AM136" s="75"/>
      <c r="AN136" s="73"/>
      <c r="AO136" s="76" t="e">
        <f>AN135+AO135</f>
        <v>#DIV/0!</v>
      </c>
      <c r="AP136" s="76" t="e">
        <f>(AO135*AQ135)+(AN135*AP135)</f>
        <v>#DIV/0!</v>
      </c>
      <c r="AQ136" s="75"/>
      <c r="AR136" s="73"/>
      <c r="AS136" s="76" t="e">
        <f>AR135+AS135</f>
        <v>#DIV/0!</v>
      </c>
      <c r="AT136" s="76" t="e">
        <f>(AS135*AU135)+(AR135*AT135)</f>
        <v>#DIV/0!</v>
      </c>
      <c r="AU136" s="75"/>
      <c r="AV136" s="73"/>
      <c r="AW136" s="76" t="e">
        <f>AV135+AW135</f>
        <v>#DIV/0!</v>
      </c>
      <c r="AX136" s="76" t="e">
        <f>(AW135*AY135)+(AV135*AX135)</f>
        <v>#DIV/0!</v>
      </c>
      <c r="AY136" s="75"/>
    </row>
    <row r="137" spans="1:52" x14ac:dyDescent="0.2">
      <c r="A137" s="445"/>
      <c r="B137" s="446"/>
      <c r="C137" s="446"/>
      <c r="D137" s="446"/>
      <c r="E137" s="446"/>
      <c r="F137" s="446"/>
      <c r="G137" s="446"/>
      <c r="H137" s="446"/>
      <c r="I137" s="446"/>
      <c r="J137" s="446"/>
      <c r="K137" s="446"/>
      <c r="L137" s="446"/>
      <c r="M137" s="446"/>
      <c r="N137" s="446"/>
      <c r="O137" s="446"/>
      <c r="P137" s="446"/>
      <c r="Q137" s="446"/>
      <c r="R137" s="446"/>
      <c r="S137" s="446"/>
      <c r="T137" s="446"/>
      <c r="U137" s="446"/>
      <c r="V137" s="446"/>
      <c r="W137" s="446"/>
      <c r="X137" s="446"/>
      <c r="Y137" s="446"/>
      <c r="Z137" s="446"/>
      <c r="AA137" s="446"/>
      <c r="AB137" s="446"/>
      <c r="AC137" s="446"/>
      <c r="AD137" s="446"/>
      <c r="AE137" s="445"/>
      <c r="AF137" s="445"/>
      <c r="AG137" s="445"/>
      <c r="AH137" s="445"/>
      <c r="AI137" s="445"/>
      <c r="AJ137" s="445"/>
      <c r="AK137" s="445"/>
      <c r="AL137" s="445"/>
      <c r="AM137" s="445"/>
      <c r="AN137" s="445"/>
      <c r="AO137" s="445"/>
      <c r="AP137" s="445"/>
      <c r="AQ137" s="445"/>
      <c r="AR137" s="445"/>
      <c r="AS137" s="445"/>
      <c r="AT137" s="445"/>
      <c r="AU137" s="445"/>
      <c r="AV137" s="445"/>
      <c r="AW137" s="445"/>
      <c r="AX137" s="445"/>
      <c r="AY137" s="445"/>
      <c r="AZ137" s="445"/>
    </row>
  </sheetData>
  <sheetProtection password="C9BC" sheet="1" objects="1" scenarios="1" selectLockedCells="1"/>
  <customSheetViews>
    <customSheetView guid="{C99C1093-CC5A-409C-96B5-E63635B6002F}" showGridLines="0" showRowCol="0" fitToPage="1" hiddenRows="1" hiddenColumns="1">
      <selection activeCell="D10" sqref="D10:F10"/>
      <pageMargins left="0.61" right="0.45" top="1" bottom="1" header="0.5" footer="0.5"/>
      <pageSetup orientation="landscape" r:id="rId1"/>
      <headerFooter alignWithMargins="0">
        <oddHeader>&amp;C&amp;"Times New Roman,Bold Italic"&amp;14Frontage Increase  (I&amp;Yf&amp;Y) Calculations (Sec. 506.3)</oddHeader>
        <oddFooter>&amp;R&amp;D</oddFooter>
      </headerFooter>
    </customSheetView>
    <customSheetView guid="{3F9818B9-F253-4053-A33A-0CFC1B854133}" showGridLines="0" showRowCol="0" fitToPage="1" hiddenRows="1" hiddenColumns="1">
      <selection activeCell="D10" sqref="D10:F10"/>
      <pageMargins left="0.61" right="0.45" top="1" bottom="1" header="0.5" footer="0.5"/>
      <pageSetup orientation="landscape" r:id="rId2"/>
      <headerFooter alignWithMargins="0">
        <oddHeader>&amp;C&amp;"Times New Roman,Bold Italic"&amp;14Frontage Increase  (I&amp;Yf&amp;Y) Calculations (Sec. 506.3)</oddHeader>
        <oddFooter>&amp;R&amp;D</oddFooter>
      </headerFooter>
    </customSheetView>
    <customSheetView guid="{356F0F3B-80AF-47CC-8087-F17A73F87B6E}" showGridLines="0" showRowCol="0" fitToPage="1" hiddenRows="1" hiddenColumns="1" topLeftCell="A94">
      <selection activeCell="D10" sqref="D10:F10"/>
      <pageMargins left="0.61" right="0.45" top="1" bottom="1" header="0.5" footer="0.5"/>
      <pageSetup orientation="landscape" r:id="rId3"/>
      <headerFooter alignWithMargins="0">
        <oddHeader>&amp;C&amp;"Times New Roman,Bold Italic"&amp;14Area Increase Factor (I&amp;Yf&amp;Y) Calculations (Sec. 506.2)</oddHeader>
        <oddFooter>&amp;R&amp;D</oddFooter>
      </headerFooter>
    </customSheetView>
    <customSheetView guid="{09F76BC5-26ED-495D-B8F5-83F6B4183195}" showGridLines="0" showRowCol="0" fitToPage="1" hiddenRows="1" hiddenColumns="1">
      <selection activeCell="D10" sqref="D10:F10"/>
      <pageMargins left="0.61" right="0.45" top="1" bottom="1" header="0.5" footer="0.5"/>
      <pageSetup orientation="landscape" r:id="rId4"/>
      <headerFooter alignWithMargins="0">
        <oddHeader>&amp;C&amp;"Times New Roman,Bold Italic"&amp;14Frontage Increase  (I&amp;Yf&amp;Y) Calculations (Sec. 506.3)</oddHeader>
        <oddFooter>&amp;R&amp;D</oddFooter>
      </headerFooter>
    </customSheetView>
    <customSheetView guid="{02979AA6-E421-4F39-B9A0-7166087A5EF9}" showGridLines="0" showRowCol="0" fitToPage="1" printArea="1" hiddenRows="1" hiddenColumns="1">
      <selection activeCell="D10" sqref="D10:F10"/>
      <pageMargins left="0.61" right="0.45" top="1" bottom="1" header="0.5" footer="0.5"/>
      <pageSetup orientation="landscape" r:id="rId5"/>
      <headerFooter alignWithMargins="0">
        <oddHeader>&amp;C&amp;"Times New Roman,Bold Italic"&amp;14Frontage Increase  (I&amp;Yf&amp;Y) Calculations (Sec. 506.3)</oddHeader>
        <oddFooter>&amp;R&amp;D</oddFooter>
      </headerFooter>
    </customSheetView>
  </customSheetViews>
  <mergeCells count="121">
    <mergeCell ref="B9:D9"/>
    <mergeCell ref="D10:F10"/>
    <mergeCell ref="F9:H9"/>
    <mergeCell ref="B11:D11"/>
    <mergeCell ref="F11:H11"/>
    <mergeCell ref="L10:N10"/>
    <mergeCell ref="P10:R10"/>
    <mergeCell ref="T10:V10"/>
    <mergeCell ref="V9:X9"/>
    <mergeCell ref="X10:Z10"/>
    <mergeCell ref="Z9:AB9"/>
    <mergeCell ref="AB10:AD10"/>
    <mergeCell ref="H10:J10"/>
    <mergeCell ref="J9:L9"/>
    <mergeCell ref="N9:P9"/>
    <mergeCell ref="R9:T9"/>
    <mergeCell ref="AT9:AV9"/>
    <mergeCell ref="AX9:AZ9"/>
    <mergeCell ref="AH11:AJ11"/>
    <mergeCell ref="AF10:AH10"/>
    <mergeCell ref="AD9:AF9"/>
    <mergeCell ref="AH9:AJ9"/>
    <mergeCell ref="AL9:AN9"/>
    <mergeCell ref="AP9:AR9"/>
    <mergeCell ref="AD11:AF11"/>
    <mergeCell ref="V52:X52"/>
    <mergeCell ref="Z52:AB52"/>
    <mergeCell ref="AD52:AF52"/>
    <mergeCell ref="R54:T54"/>
    <mergeCell ref="AN10:AP10"/>
    <mergeCell ref="AR10:AT10"/>
    <mergeCell ref="AL11:AN11"/>
    <mergeCell ref="AP11:AR11"/>
    <mergeCell ref="R11:T11"/>
    <mergeCell ref="V11:X11"/>
    <mergeCell ref="AT11:AV11"/>
    <mergeCell ref="Z11:AB11"/>
    <mergeCell ref="P53:R53"/>
    <mergeCell ref="T53:V53"/>
    <mergeCell ref="X53:Z53"/>
    <mergeCell ref="AT52:AV52"/>
    <mergeCell ref="AV53:AX53"/>
    <mergeCell ref="AR53:AT53"/>
    <mergeCell ref="AX54:AZ54"/>
    <mergeCell ref="AT54:AV54"/>
    <mergeCell ref="AX52:AZ52"/>
    <mergeCell ref="AX11:AZ11"/>
    <mergeCell ref="AV10:AX10"/>
    <mergeCell ref="AJ10:AL10"/>
    <mergeCell ref="D53:F53"/>
    <mergeCell ref="H53:J53"/>
    <mergeCell ref="L53:N53"/>
    <mergeCell ref="J11:L11"/>
    <mergeCell ref="N11:P11"/>
    <mergeCell ref="AN53:AP53"/>
    <mergeCell ref="V95:X95"/>
    <mergeCell ref="Z95:AB95"/>
    <mergeCell ref="AD95:AF95"/>
    <mergeCell ref="AB53:AD53"/>
    <mergeCell ref="AF53:AH53"/>
    <mergeCell ref="AH52:AJ52"/>
    <mergeCell ref="AJ53:AL53"/>
    <mergeCell ref="AL52:AN52"/>
    <mergeCell ref="AP52:AR52"/>
    <mergeCell ref="V54:X54"/>
    <mergeCell ref="Z54:AB54"/>
    <mergeCell ref="AD54:AF54"/>
    <mergeCell ref="AH54:AJ54"/>
    <mergeCell ref="B52:D52"/>
    <mergeCell ref="F52:H52"/>
    <mergeCell ref="J52:L52"/>
    <mergeCell ref="N52:P52"/>
    <mergeCell ref="R52:T52"/>
    <mergeCell ref="B2:D2"/>
    <mergeCell ref="B4:D4"/>
    <mergeCell ref="B5:D5"/>
    <mergeCell ref="B6:D6"/>
    <mergeCell ref="T96:V96"/>
    <mergeCell ref="D96:F96"/>
    <mergeCell ref="AF4:AO4"/>
    <mergeCell ref="AF2:AX2"/>
    <mergeCell ref="AF3:AX3"/>
    <mergeCell ref="AX95:AZ95"/>
    <mergeCell ref="AL95:AN95"/>
    <mergeCell ref="AP95:AR95"/>
    <mergeCell ref="AL54:AN54"/>
    <mergeCell ref="AP54:AR54"/>
    <mergeCell ref="AT95:AV95"/>
    <mergeCell ref="H96:J96"/>
    <mergeCell ref="L96:N96"/>
    <mergeCell ref="P96:R96"/>
    <mergeCell ref="AR96:AT96"/>
    <mergeCell ref="B95:D95"/>
    <mergeCell ref="F95:H95"/>
    <mergeCell ref="J95:L95"/>
    <mergeCell ref="N95:P95"/>
    <mergeCell ref="R95:T95"/>
    <mergeCell ref="AB96:AD96"/>
    <mergeCell ref="B97:D97"/>
    <mergeCell ref="N54:P54"/>
    <mergeCell ref="AJ96:AL96"/>
    <mergeCell ref="AN96:AP96"/>
    <mergeCell ref="AX97:AZ97"/>
    <mergeCell ref="AV96:AX96"/>
    <mergeCell ref="AD97:AF97"/>
    <mergeCell ref="AH97:AJ97"/>
    <mergeCell ref="AL97:AN97"/>
    <mergeCell ref="AP97:AR97"/>
    <mergeCell ref="AF96:AH96"/>
    <mergeCell ref="V97:X97"/>
    <mergeCell ref="Z97:AB97"/>
    <mergeCell ref="X96:Z96"/>
    <mergeCell ref="F97:H97"/>
    <mergeCell ref="J97:L97"/>
    <mergeCell ref="N97:P97"/>
    <mergeCell ref="R97:T97"/>
    <mergeCell ref="AT97:AV97"/>
    <mergeCell ref="AH95:AJ95"/>
    <mergeCell ref="B54:D54"/>
    <mergeCell ref="F54:H54"/>
    <mergeCell ref="J54:L54"/>
  </mergeCells>
  <phoneticPr fontId="5" type="noConversion"/>
  <conditionalFormatting sqref="AF2:AF4">
    <cfRule type="expression" dxfId="2" priority="1" stopIfTrue="1">
      <formula>$AI$3&lt;0</formula>
    </cfRule>
  </conditionalFormatting>
  <hyperlinks>
    <hyperlink ref="AF2" r:id="rId6" display="www.ara4help.com" xr:uid="{00000000-0004-0000-0500-000000000000}"/>
  </hyperlinks>
  <pageMargins left="0.61" right="0.45" top="1" bottom="1" header="0.5" footer="0.5"/>
  <pageSetup orientation="landscape" r:id="rId7"/>
  <headerFooter alignWithMargins="0">
    <oddHeader>&amp;C&amp;"Times New Roman,Bold Italic"&amp;14Frontage Increase  (I&amp;Yf&amp;Y) Calculations (Sec. 506.3)</oddHeader>
    <oddFooter>&amp;R&amp;D</oddFooter>
  </headerFooter>
  <ignoredErrors>
    <ignoredError sqref="E19" formula="1"/>
  </ignoredErrors>
  <drawing r:id="rId8"/>
  <legacyDrawing r:id="rId9"/>
  <oleObjects>
    <mc:AlternateContent xmlns:mc="http://schemas.openxmlformats.org/markup-compatibility/2006">
      <mc:Choice Requires="x14">
        <oleObject progId="AutoCAD.Drawing.16" shapeId="4195" r:id="rId10">
          <objectPr defaultSize="0" autoPict="0" r:id="rId11">
            <anchor moveWithCells="1" sizeWithCells="1">
              <from>
                <xdr:col>0</xdr:col>
                <xdr:colOff>0</xdr:colOff>
                <xdr:row>138</xdr:row>
                <xdr:rowOff>0</xdr:rowOff>
              </from>
              <to>
                <xdr:col>52</xdr:col>
                <xdr:colOff>104775</xdr:colOff>
                <xdr:row>180</xdr:row>
                <xdr:rowOff>57150</xdr:rowOff>
              </to>
            </anchor>
          </objectPr>
        </oleObject>
      </mc:Choice>
      <mc:Fallback>
        <oleObject progId="AutoCAD.Drawing.16" shapeId="4195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12" name="Check Box 1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38100</xdr:rowOff>
                  </from>
                  <to>
                    <xdr:col>31</xdr:col>
                    <xdr:colOff>152400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autoPageBreaks="0" fitToPage="1"/>
  </sheetPr>
  <dimension ref="A1:AD62"/>
  <sheetViews>
    <sheetView showGridLines="0" showRowColHeaders="0" workbookViewId="0">
      <selection activeCell="B2" sqref="B2:C2"/>
    </sheetView>
  </sheetViews>
  <sheetFormatPr defaultRowHeight="12.75" x14ac:dyDescent="0.2"/>
  <cols>
    <col min="1" max="1" width="11.140625" customWidth="1"/>
    <col min="2" max="25" width="4.7109375" style="48" customWidth="1"/>
    <col min="26" max="30" width="5.7109375" style="48" customWidth="1"/>
    <col min="31" max="33" width="5.7109375" customWidth="1"/>
  </cols>
  <sheetData>
    <row r="1" spans="1:25" ht="20.100000000000001" customHeight="1" thickTop="1" x14ac:dyDescent="0.2">
      <c r="A1" s="425" t="s">
        <v>51</v>
      </c>
      <c r="B1" s="569">
        <v>1</v>
      </c>
      <c r="C1" s="569"/>
      <c r="D1" s="569">
        <f>B1+1</f>
        <v>2</v>
      </c>
      <c r="E1" s="569"/>
      <c r="F1" s="569">
        <f>D1+1</f>
        <v>3</v>
      </c>
      <c r="G1" s="569"/>
      <c r="H1" s="569">
        <f>F1+1</f>
        <v>4</v>
      </c>
      <c r="I1" s="569"/>
      <c r="J1" s="569">
        <f>H1+1</f>
        <v>5</v>
      </c>
      <c r="K1" s="569"/>
      <c r="L1" s="569">
        <f>J1+1</f>
        <v>6</v>
      </c>
      <c r="M1" s="569"/>
      <c r="N1" s="569">
        <f>L1+1</f>
        <v>7</v>
      </c>
      <c r="O1" s="569"/>
      <c r="P1" s="569">
        <f>N1+1</f>
        <v>8</v>
      </c>
      <c r="Q1" s="569"/>
      <c r="R1" s="569">
        <f>P1+1</f>
        <v>9</v>
      </c>
      <c r="S1" s="569"/>
      <c r="T1" s="569">
        <f>R1+1</f>
        <v>10</v>
      </c>
      <c r="U1" s="569"/>
      <c r="V1" s="569">
        <f>T1+1</f>
        <v>11</v>
      </c>
      <c r="W1" s="569"/>
      <c r="X1" s="569">
        <f>V1+1</f>
        <v>12</v>
      </c>
      <c r="Y1" s="572"/>
    </row>
    <row r="2" spans="1:25" ht="20.100000000000001" customHeight="1" x14ac:dyDescent="0.2">
      <c r="A2" s="426" t="s">
        <v>206</v>
      </c>
      <c r="B2" s="567"/>
      <c r="C2" s="567"/>
      <c r="D2" s="567"/>
      <c r="E2" s="567"/>
      <c r="F2" s="567"/>
      <c r="G2" s="567"/>
      <c r="H2" s="567"/>
      <c r="I2" s="567"/>
      <c r="J2" s="570"/>
      <c r="K2" s="571"/>
      <c r="L2" s="570"/>
      <c r="M2" s="571"/>
      <c r="N2" s="570"/>
      <c r="O2" s="571"/>
      <c r="P2" s="570"/>
      <c r="Q2" s="571"/>
      <c r="R2" s="570"/>
      <c r="S2" s="571"/>
      <c r="T2" s="570"/>
      <c r="U2" s="571"/>
      <c r="V2" s="567"/>
      <c r="W2" s="567"/>
      <c r="X2" s="567"/>
      <c r="Y2" s="573"/>
    </row>
    <row r="3" spans="1:25" ht="20.100000000000001" customHeight="1" thickBot="1" x14ac:dyDescent="0.25">
      <c r="A3" s="426" t="s">
        <v>207</v>
      </c>
      <c r="B3" s="427"/>
      <c r="C3" s="574"/>
      <c r="D3" s="574"/>
      <c r="E3" s="574"/>
      <c r="F3" s="574"/>
      <c r="G3" s="574"/>
      <c r="H3" s="574"/>
      <c r="I3" s="574"/>
      <c r="J3" s="574"/>
      <c r="K3" s="575"/>
      <c r="L3" s="576"/>
      <c r="M3" s="575"/>
      <c r="N3" s="576"/>
      <c r="O3" s="575"/>
      <c r="P3" s="576"/>
      <c r="Q3" s="575"/>
      <c r="R3" s="576"/>
      <c r="S3" s="575"/>
      <c r="T3" s="576"/>
      <c r="U3" s="574"/>
      <c r="V3" s="574"/>
      <c r="W3" s="574"/>
      <c r="X3" s="574"/>
      <c r="Y3" s="428"/>
    </row>
    <row r="4" spans="1:25" ht="20.100000000000001" hidden="1" customHeight="1" x14ac:dyDescent="0.2">
      <c r="A4" s="429"/>
      <c r="B4" s="430"/>
      <c r="C4" s="568">
        <f>0.5*(B2+D2)*C3</f>
        <v>0</v>
      </c>
      <c r="D4" s="568"/>
      <c r="E4" s="568">
        <f>0.5*(D2+F2)*E3</f>
        <v>0</v>
      </c>
      <c r="F4" s="568"/>
      <c r="G4" s="568">
        <f>0.5*(F2+H2)*G3</f>
        <v>0</v>
      </c>
      <c r="H4" s="568"/>
      <c r="I4" s="568">
        <f>0.5*(H2+J2)*I3</f>
        <v>0</v>
      </c>
      <c r="J4" s="568"/>
      <c r="K4" s="568">
        <f>0.5*(J2+L2)*K3</f>
        <v>0</v>
      </c>
      <c r="L4" s="568"/>
      <c r="M4" s="568">
        <f>0.5*(L2+N2)*M3</f>
        <v>0</v>
      </c>
      <c r="N4" s="568"/>
      <c r="O4" s="568">
        <f>0.5*(N2+P2)*O3</f>
        <v>0</v>
      </c>
      <c r="P4" s="568"/>
      <c r="Q4" s="568">
        <f>0.5*(P2+R2)*Q3</f>
        <v>0</v>
      </c>
      <c r="R4" s="568"/>
      <c r="S4" s="568">
        <f>0.5*(R2+T2)*S3</f>
        <v>0</v>
      </c>
      <c r="T4" s="568"/>
      <c r="U4" s="568">
        <f>0.5*(T2+V2)*U3</f>
        <v>0</v>
      </c>
      <c r="V4" s="568"/>
      <c r="W4" s="568">
        <f>0.5*(V2+X2)*W3</f>
        <v>0</v>
      </c>
      <c r="X4" s="568"/>
      <c r="Y4" s="428"/>
    </row>
    <row r="5" spans="1:25" ht="20.100000000000001" customHeight="1" thickTop="1" x14ac:dyDescent="0.2">
      <c r="A5" s="425" t="s">
        <v>51</v>
      </c>
      <c r="B5" s="569">
        <f>X1</f>
        <v>12</v>
      </c>
      <c r="C5" s="569"/>
      <c r="D5" s="569">
        <f>B5+1</f>
        <v>13</v>
      </c>
      <c r="E5" s="569"/>
      <c r="F5" s="569">
        <f>D5+1</f>
        <v>14</v>
      </c>
      <c r="G5" s="569"/>
      <c r="H5" s="569">
        <f>F5+1</f>
        <v>15</v>
      </c>
      <c r="I5" s="569"/>
      <c r="J5" s="569">
        <f>H5+1</f>
        <v>16</v>
      </c>
      <c r="K5" s="569"/>
      <c r="L5" s="569">
        <f>J5+1</f>
        <v>17</v>
      </c>
      <c r="M5" s="569"/>
      <c r="N5" s="569">
        <f>L5+1</f>
        <v>18</v>
      </c>
      <c r="O5" s="569"/>
      <c r="P5" s="569">
        <f>N5+1</f>
        <v>19</v>
      </c>
      <c r="Q5" s="569"/>
      <c r="R5" s="569">
        <f>P5+1</f>
        <v>20</v>
      </c>
      <c r="S5" s="569"/>
      <c r="T5" s="569">
        <f>R5+1</f>
        <v>21</v>
      </c>
      <c r="U5" s="569"/>
      <c r="V5" s="569">
        <f>T5+1</f>
        <v>22</v>
      </c>
      <c r="W5" s="569"/>
      <c r="X5" s="569">
        <f>V5+1</f>
        <v>23</v>
      </c>
      <c r="Y5" s="572"/>
    </row>
    <row r="6" spans="1:25" ht="20.100000000000001" customHeight="1" x14ac:dyDescent="0.2">
      <c r="A6" s="426" t="s">
        <v>206</v>
      </c>
      <c r="B6" s="577">
        <f>X2</f>
        <v>0</v>
      </c>
      <c r="C6" s="577"/>
      <c r="D6" s="567"/>
      <c r="E6" s="567"/>
      <c r="F6" s="567"/>
      <c r="G6" s="567"/>
      <c r="H6" s="567"/>
      <c r="I6" s="567"/>
      <c r="J6" s="570"/>
      <c r="K6" s="571"/>
      <c r="L6" s="570"/>
      <c r="M6" s="571"/>
      <c r="N6" s="570"/>
      <c r="O6" s="571"/>
      <c r="P6" s="570"/>
      <c r="Q6" s="571"/>
      <c r="R6" s="570"/>
      <c r="S6" s="571"/>
      <c r="T6" s="570"/>
      <c r="U6" s="571"/>
      <c r="V6" s="567"/>
      <c r="W6" s="567"/>
      <c r="X6" s="567"/>
      <c r="Y6" s="573"/>
    </row>
    <row r="7" spans="1:25" ht="20.100000000000001" customHeight="1" thickBot="1" x14ac:dyDescent="0.25">
      <c r="A7" s="426" t="s">
        <v>207</v>
      </c>
      <c r="B7" s="427"/>
      <c r="C7" s="574"/>
      <c r="D7" s="574"/>
      <c r="E7" s="574"/>
      <c r="F7" s="574"/>
      <c r="G7" s="574"/>
      <c r="H7" s="574"/>
      <c r="I7" s="574"/>
      <c r="J7" s="574"/>
      <c r="K7" s="575"/>
      <c r="L7" s="576"/>
      <c r="M7" s="575"/>
      <c r="N7" s="576"/>
      <c r="O7" s="575"/>
      <c r="P7" s="576"/>
      <c r="Q7" s="575"/>
      <c r="R7" s="576"/>
      <c r="S7" s="575"/>
      <c r="T7" s="576"/>
      <c r="U7" s="574"/>
      <c r="V7" s="574"/>
      <c r="W7" s="574"/>
      <c r="X7" s="574"/>
      <c r="Y7" s="428"/>
    </row>
    <row r="8" spans="1:25" ht="20.100000000000001" hidden="1" customHeight="1" x14ac:dyDescent="0.2">
      <c r="A8" s="429"/>
      <c r="B8" s="430"/>
      <c r="C8" s="568">
        <f>0.5*(B6+D6)*C7</f>
        <v>0</v>
      </c>
      <c r="D8" s="568"/>
      <c r="E8" s="568">
        <f>0.5*(D6+F6)*E7</f>
        <v>0</v>
      </c>
      <c r="F8" s="568"/>
      <c r="G8" s="568">
        <f>0.5*(F6+H6)*G7</f>
        <v>0</v>
      </c>
      <c r="H8" s="568"/>
      <c r="I8" s="568">
        <f>0.5*(H6+J6)*I7</f>
        <v>0</v>
      </c>
      <c r="J8" s="568"/>
      <c r="K8" s="568">
        <f>0.5*(J6+L6)*K7</f>
        <v>0</v>
      </c>
      <c r="L8" s="568"/>
      <c r="M8" s="568">
        <f>0.5*(L6+N6)*M7</f>
        <v>0</v>
      </c>
      <c r="N8" s="568"/>
      <c r="O8" s="568">
        <f>0.5*(N6+P6)*O7</f>
        <v>0</v>
      </c>
      <c r="P8" s="568"/>
      <c r="Q8" s="568">
        <f>0.5*(P6+R6)*Q7</f>
        <v>0</v>
      </c>
      <c r="R8" s="568"/>
      <c r="S8" s="568">
        <f>0.5*(R6+T6)*S7</f>
        <v>0</v>
      </c>
      <c r="T8" s="568"/>
      <c r="U8" s="568">
        <f>0.5*(T6+V6)*U7</f>
        <v>0</v>
      </c>
      <c r="V8" s="568"/>
      <c r="W8" s="568">
        <f>0.5*(V6+X6)*W7</f>
        <v>0</v>
      </c>
      <c r="X8" s="568"/>
      <c r="Y8" s="428"/>
    </row>
    <row r="9" spans="1:25" ht="20.100000000000001" customHeight="1" thickTop="1" x14ac:dyDescent="0.2">
      <c r="A9" s="425" t="s">
        <v>51</v>
      </c>
      <c r="B9" s="569">
        <f>X5</f>
        <v>23</v>
      </c>
      <c r="C9" s="569"/>
      <c r="D9" s="569">
        <f>B9+1</f>
        <v>24</v>
      </c>
      <c r="E9" s="569"/>
      <c r="F9" s="569">
        <f>D9+1</f>
        <v>25</v>
      </c>
      <c r="G9" s="569"/>
      <c r="H9" s="569">
        <f>F9+1</f>
        <v>26</v>
      </c>
      <c r="I9" s="569"/>
      <c r="J9" s="569">
        <f>H9+1</f>
        <v>27</v>
      </c>
      <c r="K9" s="569"/>
      <c r="L9" s="569">
        <f>J9+1</f>
        <v>28</v>
      </c>
      <c r="M9" s="569"/>
      <c r="N9" s="569">
        <f>L9+1</f>
        <v>29</v>
      </c>
      <c r="O9" s="569"/>
      <c r="P9" s="569">
        <f>N9+1</f>
        <v>30</v>
      </c>
      <c r="Q9" s="569"/>
      <c r="R9" s="569">
        <f>P9+1</f>
        <v>31</v>
      </c>
      <c r="S9" s="569"/>
      <c r="T9" s="569">
        <f>R9+1</f>
        <v>32</v>
      </c>
      <c r="U9" s="569"/>
      <c r="V9" s="569">
        <f>T9+1</f>
        <v>33</v>
      </c>
      <c r="W9" s="569"/>
      <c r="X9" s="569">
        <f>V9+1</f>
        <v>34</v>
      </c>
      <c r="Y9" s="572"/>
    </row>
    <row r="10" spans="1:25" ht="20.100000000000001" customHeight="1" x14ac:dyDescent="0.2">
      <c r="A10" s="426" t="s">
        <v>206</v>
      </c>
      <c r="B10" s="577">
        <f>X6</f>
        <v>0</v>
      </c>
      <c r="C10" s="577"/>
      <c r="D10" s="567"/>
      <c r="E10" s="567"/>
      <c r="F10" s="567"/>
      <c r="G10" s="567"/>
      <c r="H10" s="567"/>
      <c r="I10" s="567"/>
      <c r="J10" s="570"/>
      <c r="K10" s="571"/>
      <c r="L10" s="570"/>
      <c r="M10" s="571"/>
      <c r="N10" s="570"/>
      <c r="O10" s="571"/>
      <c r="P10" s="570"/>
      <c r="Q10" s="571"/>
      <c r="R10" s="570"/>
      <c r="S10" s="571"/>
      <c r="T10" s="570"/>
      <c r="U10" s="571"/>
      <c r="V10" s="567"/>
      <c r="W10" s="567"/>
      <c r="X10" s="567"/>
      <c r="Y10" s="573"/>
    </row>
    <row r="11" spans="1:25" ht="20.100000000000001" customHeight="1" thickBot="1" x14ac:dyDescent="0.25">
      <c r="A11" s="426" t="s">
        <v>207</v>
      </c>
      <c r="B11" s="427"/>
      <c r="C11" s="574"/>
      <c r="D11" s="574"/>
      <c r="E11" s="574"/>
      <c r="F11" s="574"/>
      <c r="G11" s="574"/>
      <c r="H11" s="574"/>
      <c r="I11" s="574"/>
      <c r="J11" s="574"/>
      <c r="K11" s="575"/>
      <c r="L11" s="576"/>
      <c r="M11" s="575"/>
      <c r="N11" s="576"/>
      <c r="O11" s="575"/>
      <c r="P11" s="576"/>
      <c r="Q11" s="575"/>
      <c r="R11" s="576"/>
      <c r="S11" s="575"/>
      <c r="T11" s="576"/>
      <c r="U11" s="574"/>
      <c r="V11" s="574"/>
      <c r="W11" s="574"/>
      <c r="X11" s="574"/>
      <c r="Y11" s="428"/>
    </row>
    <row r="12" spans="1:25" ht="20.100000000000001" hidden="1" customHeight="1" x14ac:dyDescent="0.2">
      <c r="A12" s="429"/>
      <c r="B12" s="430"/>
      <c r="C12" s="568">
        <f>0.5*(B10+D10)*C11</f>
        <v>0</v>
      </c>
      <c r="D12" s="568"/>
      <c r="E12" s="568">
        <f>0.5*(D10+F10)*E11</f>
        <v>0</v>
      </c>
      <c r="F12" s="568"/>
      <c r="G12" s="568">
        <f>0.5*(F10+H10)*G11</f>
        <v>0</v>
      </c>
      <c r="H12" s="568"/>
      <c r="I12" s="568">
        <f>0.5*(H10+J10)*I11</f>
        <v>0</v>
      </c>
      <c r="J12" s="568"/>
      <c r="K12" s="568">
        <f>0.5*(J10+L10)*K11</f>
        <v>0</v>
      </c>
      <c r="L12" s="568"/>
      <c r="M12" s="568">
        <f>0.5*(L10+N10)*M11</f>
        <v>0</v>
      </c>
      <c r="N12" s="568"/>
      <c r="O12" s="568">
        <f>0.5*(N10+P10)*O11</f>
        <v>0</v>
      </c>
      <c r="P12" s="568"/>
      <c r="Q12" s="568">
        <f>0.5*(P10+R10)*Q11</f>
        <v>0</v>
      </c>
      <c r="R12" s="568"/>
      <c r="S12" s="568">
        <f>0.5*(R10+T10)*S11</f>
        <v>0</v>
      </c>
      <c r="T12" s="568"/>
      <c r="U12" s="568">
        <f>0.5*(T10+V10)*U11</f>
        <v>0</v>
      </c>
      <c r="V12" s="568"/>
      <c r="W12" s="568">
        <f>0.5*(V10+X10)*W11</f>
        <v>0</v>
      </c>
      <c r="X12" s="568"/>
      <c r="Y12" s="428"/>
    </row>
    <row r="13" spans="1:25" ht="20.100000000000001" customHeight="1" thickTop="1" x14ac:dyDescent="0.2">
      <c r="A13" s="425" t="s">
        <v>51</v>
      </c>
      <c r="B13" s="569">
        <f>X9</f>
        <v>34</v>
      </c>
      <c r="C13" s="569"/>
      <c r="D13" s="569">
        <f>B13+1</f>
        <v>35</v>
      </c>
      <c r="E13" s="569"/>
      <c r="F13" s="569">
        <f>D13+1</f>
        <v>36</v>
      </c>
      <c r="G13" s="569"/>
      <c r="H13" s="569">
        <f>F13+1</f>
        <v>37</v>
      </c>
      <c r="I13" s="569"/>
      <c r="J13" s="569">
        <f>H13+1</f>
        <v>38</v>
      </c>
      <c r="K13" s="569"/>
      <c r="L13" s="569">
        <f>J13+1</f>
        <v>39</v>
      </c>
      <c r="M13" s="569"/>
      <c r="N13" s="569">
        <f>L13+1</f>
        <v>40</v>
      </c>
      <c r="O13" s="569"/>
      <c r="P13" s="569">
        <f>N13+1</f>
        <v>41</v>
      </c>
      <c r="Q13" s="569"/>
      <c r="R13" s="569">
        <f>P13+1</f>
        <v>42</v>
      </c>
      <c r="S13" s="569"/>
      <c r="T13" s="569">
        <f>R13+1</f>
        <v>43</v>
      </c>
      <c r="U13" s="569"/>
      <c r="V13" s="569">
        <f>T13+1</f>
        <v>44</v>
      </c>
      <c r="W13" s="569"/>
      <c r="X13" s="569">
        <f>V13+1</f>
        <v>45</v>
      </c>
      <c r="Y13" s="572"/>
    </row>
    <row r="14" spans="1:25" ht="20.100000000000001" customHeight="1" x14ac:dyDescent="0.2">
      <c r="A14" s="426" t="s">
        <v>206</v>
      </c>
      <c r="B14" s="577">
        <f>X10</f>
        <v>0</v>
      </c>
      <c r="C14" s="577"/>
      <c r="D14" s="567"/>
      <c r="E14" s="567"/>
      <c r="F14" s="567"/>
      <c r="G14" s="567"/>
      <c r="H14" s="567"/>
      <c r="I14" s="567"/>
      <c r="J14" s="570"/>
      <c r="K14" s="571"/>
      <c r="L14" s="570"/>
      <c r="M14" s="571"/>
      <c r="N14" s="570"/>
      <c r="O14" s="571"/>
      <c r="P14" s="570"/>
      <c r="Q14" s="571"/>
      <c r="R14" s="570"/>
      <c r="S14" s="571"/>
      <c r="T14" s="570"/>
      <c r="U14" s="571"/>
      <c r="V14" s="567"/>
      <c r="W14" s="567"/>
      <c r="X14" s="567"/>
      <c r="Y14" s="573"/>
    </row>
    <row r="15" spans="1:25" ht="20.100000000000001" customHeight="1" thickBot="1" x14ac:dyDescent="0.25">
      <c r="A15" s="426" t="s">
        <v>207</v>
      </c>
      <c r="B15" s="427"/>
      <c r="C15" s="574"/>
      <c r="D15" s="574"/>
      <c r="E15" s="574"/>
      <c r="F15" s="574"/>
      <c r="G15" s="574"/>
      <c r="H15" s="574"/>
      <c r="I15" s="574"/>
      <c r="J15" s="574"/>
      <c r="K15" s="575"/>
      <c r="L15" s="576"/>
      <c r="M15" s="575"/>
      <c r="N15" s="576"/>
      <c r="O15" s="575"/>
      <c r="P15" s="576"/>
      <c r="Q15" s="575"/>
      <c r="R15" s="576"/>
      <c r="S15" s="575"/>
      <c r="T15" s="576"/>
      <c r="U15" s="574"/>
      <c r="V15" s="574"/>
      <c r="W15" s="574"/>
      <c r="X15" s="574"/>
      <c r="Y15" s="428"/>
    </row>
    <row r="16" spans="1:25" ht="20.100000000000001" hidden="1" customHeight="1" x14ac:dyDescent="0.2">
      <c r="A16" s="429"/>
      <c r="B16" s="430"/>
      <c r="C16" s="568">
        <f>0.5*(B14+D14)*C15</f>
        <v>0</v>
      </c>
      <c r="D16" s="568"/>
      <c r="E16" s="568">
        <f>0.5*(D14+F14)*E15</f>
        <v>0</v>
      </c>
      <c r="F16" s="568"/>
      <c r="G16" s="568">
        <f>0.5*(F14+H14)*G15</f>
        <v>0</v>
      </c>
      <c r="H16" s="568"/>
      <c r="I16" s="568">
        <f>0.5*(H14+J14)*I15</f>
        <v>0</v>
      </c>
      <c r="J16" s="568"/>
      <c r="K16" s="568">
        <f>0.5*(J14+L14)*K15</f>
        <v>0</v>
      </c>
      <c r="L16" s="568"/>
      <c r="M16" s="568">
        <f>0.5*(L14+N14)*M15</f>
        <v>0</v>
      </c>
      <c r="N16" s="568"/>
      <c r="O16" s="568">
        <f>0.5*(N14+P14)*O15</f>
        <v>0</v>
      </c>
      <c r="P16" s="568"/>
      <c r="Q16" s="568">
        <f>0.5*(P14+R14)*Q15</f>
        <v>0</v>
      </c>
      <c r="R16" s="568"/>
      <c r="S16" s="568">
        <f>0.5*(R14+T14)*S15</f>
        <v>0</v>
      </c>
      <c r="T16" s="568"/>
      <c r="U16" s="568">
        <f>0.5*(T14+V14)*U15</f>
        <v>0</v>
      </c>
      <c r="V16" s="568"/>
      <c r="W16" s="568">
        <f>0.5*(V14+X14)*W15</f>
        <v>0</v>
      </c>
      <c r="X16" s="568"/>
      <c r="Y16" s="428"/>
    </row>
    <row r="17" spans="1:29" ht="20.100000000000001" customHeight="1" thickTop="1" x14ac:dyDescent="0.2">
      <c r="A17" s="425" t="s">
        <v>51</v>
      </c>
      <c r="B17" s="569">
        <f>X13</f>
        <v>45</v>
      </c>
      <c r="C17" s="569"/>
      <c r="D17" s="569">
        <f>B17+1</f>
        <v>46</v>
      </c>
      <c r="E17" s="569"/>
      <c r="F17" s="569">
        <f>D17+1</f>
        <v>47</v>
      </c>
      <c r="G17" s="569"/>
      <c r="H17" s="569">
        <f>F17+1</f>
        <v>48</v>
      </c>
      <c r="I17" s="569"/>
      <c r="J17" s="569">
        <f>H17+1</f>
        <v>49</v>
      </c>
      <c r="K17" s="569"/>
      <c r="L17" s="569">
        <f>J17+1</f>
        <v>50</v>
      </c>
      <c r="M17" s="569"/>
      <c r="N17" s="569">
        <f>L17+1</f>
        <v>51</v>
      </c>
      <c r="O17" s="569"/>
      <c r="P17" s="569">
        <f>N17+1</f>
        <v>52</v>
      </c>
      <c r="Q17" s="569"/>
      <c r="R17" s="569">
        <f>P17+1</f>
        <v>53</v>
      </c>
      <c r="S17" s="569"/>
      <c r="T17" s="569">
        <f>R17+1</f>
        <v>54</v>
      </c>
      <c r="U17" s="569"/>
      <c r="V17" s="569">
        <f>T17+1</f>
        <v>55</v>
      </c>
      <c r="W17" s="569"/>
      <c r="X17" s="569">
        <f>V17+1</f>
        <v>56</v>
      </c>
      <c r="Y17" s="572"/>
    </row>
    <row r="18" spans="1:29" ht="20.100000000000001" customHeight="1" x14ac:dyDescent="0.2">
      <c r="A18" s="426" t="s">
        <v>206</v>
      </c>
      <c r="B18" s="577">
        <f>X14</f>
        <v>0</v>
      </c>
      <c r="C18" s="577"/>
      <c r="D18" s="567"/>
      <c r="E18" s="567"/>
      <c r="F18" s="567"/>
      <c r="G18" s="567"/>
      <c r="H18" s="567"/>
      <c r="I18" s="567"/>
      <c r="J18" s="570"/>
      <c r="K18" s="571"/>
      <c r="L18" s="570"/>
      <c r="M18" s="571"/>
      <c r="N18" s="570"/>
      <c r="O18" s="571"/>
      <c r="P18" s="570"/>
      <c r="Q18" s="571"/>
      <c r="R18" s="570"/>
      <c r="S18" s="571"/>
      <c r="T18" s="570"/>
      <c r="U18" s="571"/>
      <c r="V18" s="567"/>
      <c r="W18" s="567"/>
      <c r="X18" s="567"/>
      <c r="Y18" s="573"/>
    </row>
    <row r="19" spans="1:29" ht="20.100000000000001" customHeight="1" thickBot="1" x14ac:dyDescent="0.25">
      <c r="A19" s="431" t="s">
        <v>207</v>
      </c>
      <c r="B19" s="432"/>
      <c r="C19" s="580"/>
      <c r="D19" s="580"/>
      <c r="E19" s="580"/>
      <c r="F19" s="580"/>
      <c r="G19" s="580"/>
      <c r="H19" s="580"/>
      <c r="I19" s="580"/>
      <c r="J19" s="580"/>
      <c r="K19" s="578"/>
      <c r="L19" s="579"/>
      <c r="M19" s="578"/>
      <c r="N19" s="579"/>
      <c r="O19" s="578"/>
      <c r="P19" s="579"/>
      <c r="Q19" s="578"/>
      <c r="R19" s="579"/>
      <c r="S19" s="578"/>
      <c r="T19" s="579"/>
      <c r="U19" s="580"/>
      <c r="V19" s="580"/>
      <c r="W19" s="580"/>
      <c r="X19" s="580"/>
      <c r="Y19" s="433"/>
    </row>
    <row r="20" spans="1:29" ht="20.100000000000001" hidden="1" customHeight="1" x14ac:dyDescent="0.2">
      <c r="A20" s="434"/>
      <c r="B20" s="430"/>
      <c r="C20" s="568">
        <f>0.5*(B18+D18)*C19</f>
        <v>0</v>
      </c>
      <c r="D20" s="568"/>
      <c r="E20" s="568">
        <f>0.5*(D18+F18)*E19</f>
        <v>0</v>
      </c>
      <c r="F20" s="568"/>
      <c r="G20" s="568">
        <f>0.5*(F18+H18)*G19</f>
        <v>0</v>
      </c>
      <c r="H20" s="568"/>
      <c r="I20" s="568">
        <f>0.5*(H18+J18)*I19</f>
        <v>0</v>
      </c>
      <c r="J20" s="568"/>
      <c r="K20" s="568">
        <f>0.5*(J18+L18)*K19</f>
        <v>0</v>
      </c>
      <c r="L20" s="568"/>
      <c r="M20" s="568">
        <f>0.5*(L18+N18)*M19</f>
        <v>0</v>
      </c>
      <c r="N20" s="568"/>
      <c r="O20" s="568">
        <f>0.5*(N18+P18)*O19</f>
        <v>0</v>
      </c>
      <c r="P20" s="568"/>
      <c r="Q20" s="568">
        <f>0.5*(P18+R18)*Q19</f>
        <v>0</v>
      </c>
      <c r="R20" s="568"/>
      <c r="S20" s="568">
        <f>0.5*(R18+T18)*S19</f>
        <v>0</v>
      </c>
      <c r="T20" s="568"/>
      <c r="U20" s="568">
        <f>0.5*(T18+V18)*U19</f>
        <v>0</v>
      </c>
      <c r="V20" s="568"/>
      <c r="W20" s="568">
        <f>0.5*(V18+X18)*W19</f>
        <v>0</v>
      </c>
      <c r="X20" s="568"/>
      <c r="Y20" s="49"/>
    </row>
    <row r="21" spans="1:29" ht="12.7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51"/>
    </row>
    <row r="22" spans="1:29" ht="21.75" thickBot="1" x14ac:dyDescent="0.25">
      <c r="A22" s="581" t="s">
        <v>208</v>
      </c>
      <c r="B22" s="581"/>
      <c r="C22" s="581"/>
      <c r="D22" s="581"/>
      <c r="E22" s="581"/>
      <c r="F22" s="435"/>
      <c r="G22" s="435"/>
      <c r="H22" s="435" t="s">
        <v>211</v>
      </c>
      <c r="I22" s="435"/>
      <c r="J22" s="435"/>
      <c r="K22" s="583" t="s">
        <v>209</v>
      </c>
      <c r="L22" s="582" t="str">
        <f ca="1">IF(ChaCha!AI3&lt;0,"Expired",IF(W22=0,"None",W23 /W22))</f>
        <v>None</v>
      </c>
      <c r="M22" s="582"/>
      <c r="N22" s="582"/>
      <c r="V22" s="35"/>
      <c r="W22" s="584">
        <f>SUM(C3:X3,C7:X7,C11:X11,C15:X15,C19:X19)</f>
        <v>0</v>
      </c>
      <c r="X22" s="584"/>
      <c r="Y22" s="584"/>
    </row>
    <row r="23" spans="1:29" ht="21" x14ac:dyDescent="0.2">
      <c r="A23" s="581"/>
      <c r="B23" s="581"/>
      <c r="C23" s="581"/>
      <c r="D23" s="581"/>
      <c r="E23" s="581"/>
      <c r="F23" s="436"/>
      <c r="G23" s="436"/>
      <c r="H23" s="436" t="s">
        <v>212</v>
      </c>
      <c r="I23" s="436"/>
      <c r="J23" s="436"/>
      <c r="K23" s="583"/>
      <c r="L23" s="582"/>
      <c r="M23" s="582"/>
      <c r="N23" s="582"/>
      <c r="W23" s="584">
        <f>SUM(C4:X4,C8:X8,C12:X12,C16:X16,C20:X20)</f>
        <v>0</v>
      </c>
      <c r="X23" s="584"/>
      <c r="Y23" s="584"/>
    </row>
    <row r="24" spans="1:29" x14ac:dyDescent="0.2">
      <c r="B24" s="437"/>
      <c r="C24" s="437"/>
      <c r="D24" s="437"/>
      <c r="E24" s="437"/>
      <c r="F24" s="437"/>
      <c r="G24" s="437"/>
      <c r="H24" s="437"/>
      <c r="I24" s="437"/>
      <c r="J24" s="437"/>
    </row>
    <row r="25" spans="1:29" x14ac:dyDescent="0.2">
      <c r="B25" s="437"/>
      <c r="C25" s="437"/>
      <c r="D25" s="437"/>
      <c r="E25" s="437"/>
      <c r="F25" s="437"/>
      <c r="G25" s="437"/>
      <c r="H25" s="437"/>
      <c r="I25" s="437"/>
      <c r="J25" s="437"/>
    </row>
    <row r="26" spans="1:29" x14ac:dyDescent="0.2">
      <c r="B26" s="437"/>
      <c r="C26" s="437"/>
      <c r="D26" s="437"/>
      <c r="E26" s="437"/>
      <c r="F26" s="437"/>
      <c r="G26" s="437"/>
      <c r="H26" s="437"/>
      <c r="I26" s="437"/>
      <c r="J26" s="437"/>
    </row>
    <row r="27" spans="1:29" ht="18" x14ac:dyDescent="0.2">
      <c r="A27" s="50"/>
      <c r="B27" s="436"/>
      <c r="C27" s="438" t="s">
        <v>230</v>
      </c>
      <c r="D27" s="436"/>
      <c r="E27" s="436"/>
      <c r="F27" s="436"/>
      <c r="G27" s="34"/>
      <c r="H27" s="34"/>
      <c r="I27" s="35"/>
      <c r="J27" s="51"/>
      <c r="R27" s="439" t="str">
        <f ca="1">L22</f>
        <v>None</v>
      </c>
    </row>
    <row r="28" spans="1:29" ht="18" x14ac:dyDescent="0.2">
      <c r="A28" s="441"/>
      <c r="B28" s="442"/>
      <c r="C28" s="442"/>
      <c r="D28" s="442"/>
      <c r="E28" s="442"/>
      <c r="F28" s="442"/>
      <c r="G28" s="441"/>
      <c r="H28" s="441"/>
      <c r="I28" s="441"/>
      <c r="J28" s="443"/>
      <c r="K28" s="444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AB28" s="51"/>
      <c r="AC28" s="51"/>
    </row>
    <row r="29" spans="1:29" ht="33" x14ac:dyDescent="0.45">
      <c r="A29" s="440" t="s">
        <v>210</v>
      </c>
      <c r="B29" s="34"/>
      <c r="C29" s="34"/>
      <c r="D29" s="34"/>
      <c r="E29" s="34"/>
      <c r="F29" s="34"/>
      <c r="G29" s="34"/>
      <c r="H29" s="34"/>
      <c r="I29" s="34"/>
      <c r="J29" s="51"/>
      <c r="AB29" s="51"/>
      <c r="AC29" s="51"/>
    </row>
    <row r="30" spans="1:29" x14ac:dyDescent="0.2">
      <c r="A30" s="50"/>
      <c r="B30" s="34"/>
      <c r="C30" s="34"/>
      <c r="D30" s="34"/>
      <c r="E30" s="34"/>
      <c r="F30" s="34"/>
      <c r="G30" s="34"/>
      <c r="H30" s="34"/>
      <c r="I30" s="34"/>
      <c r="J30" s="51"/>
      <c r="AB30" s="51"/>
      <c r="AC30" s="51"/>
    </row>
    <row r="31" spans="1:29" x14ac:dyDescent="0.2">
      <c r="A31" s="50"/>
      <c r="B31" s="34"/>
      <c r="C31" s="34"/>
      <c r="D31" s="34"/>
      <c r="E31" s="34"/>
      <c r="F31" s="34"/>
      <c r="G31" s="34"/>
      <c r="H31" s="34"/>
      <c r="I31" s="34"/>
      <c r="J31" s="51"/>
      <c r="AB31" s="51"/>
      <c r="AC31" s="51"/>
    </row>
    <row r="32" spans="1:29" x14ac:dyDescent="0.2">
      <c r="A32" s="50"/>
      <c r="B32" s="34"/>
      <c r="C32" s="34"/>
      <c r="D32" s="34"/>
      <c r="E32" s="34"/>
      <c r="F32" s="34"/>
      <c r="G32" s="34"/>
      <c r="H32" s="34"/>
      <c r="I32" s="34"/>
      <c r="J32" s="51"/>
      <c r="AB32" s="51"/>
      <c r="AC32" s="51"/>
    </row>
    <row r="33" spans="1:29" x14ac:dyDescent="0.2">
      <c r="A33" s="50"/>
      <c r="B33" s="51"/>
      <c r="C33" s="51"/>
      <c r="D33" s="34"/>
      <c r="E33" s="34"/>
      <c r="F33" s="34"/>
      <c r="G33" s="34"/>
      <c r="H33" s="51"/>
      <c r="I33" s="51"/>
      <c r="J33" s="51"/>
      <c r="AB33" s="51"/>
      <c r="AC33" s="51"/>
    </row>
    <row r="34" spans="1:29" x14ac:dyDescent="0.2">
      <c r="A34" s="50"/>
      <c r="B34" s="51"/>
      <c r="C34" s="51"/>
      <c r="D34" s="34"/>
      <c r="E34" s="34"/>
      <c r="F34" s="34"/>
      <c r="G34" s="34"/>
      <c r="H34" s="34"/>
      <c r="I34" s="34"/>
      <c r="J34" s="51"/>
      <c r="AB34" s="51"/>
      <c r="AC34" s="51"/>
    </row>
    <row r="35" spans="1:29" x14ac:dyDescent="0.2">
      <c r="A35" s="50"/>
      <c r="B35" s="51"/>
      <c r="C35" s="51"/>
      <c r="D35" s="34"/>
      <c r="E35" s="34"/>
      <c r="F35" s="34"/>
      <c r="G35" s="34"/>
      <c r="H35" s="51"/>
      <c r="I35" s="51"/>
      <c r="J35" s="51"/>
      <c r="AB35" s="51"/>
      <c r="AC35" s="51"/>
    </row>
    <row r="36" spans="1:29" x14ac:dyDescent="0.2">
      <c r="A36" s="50"/>
      <c r="B36" s="51"/>
      <c r="C36" s="51"/>
      <c r="D36" s="34"/>
      <c r="E36" s="34"/>
      <c r="F36" s="34"/>
      <c r="G36" s="34"/>
      <c r="H36" s="34"/>
      <c r="I36" s="34"/>
      <c r="J36" s="51"/>
      <c r="AB36" s="51"/>
      <c r="AC36" s="51"/>
    </row>
    <row r="37" spans="1:29" x14ac:dyDescent="0.2">
      <c r="A37" s="50"/>
      <c r="B37" s="51"/>
      <c r="C37" s="51"/>
      <c r="D37" s="34"/>
      <c r="E37" s="34"/>
      <c r="F37" s="34"/>
      <c r="G37" s="34"/>
      <c r="H37" s="51"/>
      <c r="I37" s="51"/>
      <c r="J37" s="51"/>
      <c r="AB37" s="51"/>
      <c r="AC37" s="51"/>
    </row>
    <row r="38" spans="1:29" x14ac:dyDescent="0.2">
      <c r="A38" s="50"/>
      <c r="B38" s="51"/>
      <c r="C38" s="51"/>
      <c r="D38" s="34"/>
      <c r="E38" s="34"/>
      <c r="F38" s="34"/>
      <c r="G38" s="34"/>
      <c r="H38" s="51"/>
      <c r="I38" s="51"/>
      <c r="J38" s="51"/>
      <c r="AB38" s="51"/>
      <c r="AC38" s="51"/>
    </row>
    <row r="39" spans="1:29" x14ac:dyDescent="0.2">
      <c r="A39" s="50"/>
      <c r="B39" s="51"/>
      <c r="C39" s="51"/>
      <c r="D39" s="34"/>
      <c r="E39" s="34"/>
      <c r="F39" s="34"/>
      <c r="G39" s="34"/>
      <c r="H39" s="51"/>
      <c r="I39" s="51"/>
      <c r="J39" s="51"/>
      <c r="AB39" s="51"/>
      <c r="AC39" s="51"/>
    </row>
    <row r="40" spans="1:29" x14ac:dyDescent="0.2">
      <c r="A40" s="50"/>
      <c r="B40" s="51"/>
      <c r="C40" s="51"/>
      <c r="D40" s="34"/>
      <c r="E40" s="34"/>
      <c r="F40" s="34"/>
      <c r="G40" s="34"/>
      <c r="H40" s="51"/>
      <c r="I40" s="51"/>
      <c r="J40" s="51"/>
      <c r="AB40" s="51"/>
      <c r="AC40" s="51"/>
    </row>
    <row r="41" spans="1:29" x14ac:dyDescent="0.2">
      <c r="A41" s="50"/>
      <c r="B41" s="51"/>
      <c r="C41" s="51"/>
      <c r="D41" s="34"/>
      <c r="E41" s="34"/>
      <c r="F41" s="34"/>
      <c r="G41" s="34"/>
      <c r="H41" s="51"/>
      <c r="I41" s="51"/>
      <c r="J41" s="51"/>
      <c r="AB41" s="51"/>
      <c r="AC41" s="51"/>
    </row>
    <row r="42" spans="1:29" x14ac:dyDescent="0.2">
      <c r="A42" s="50"/>
      <c r="B42" s="51"/>
      <c r="C42" s="51"/>
      <c r="D42" s="34"/>
      <c r="E42" s="34"/>
      <c r="F42" s="34"/>
      <c r="G42" s="34"/>
      <c r="H42" s="34"/>
      <c r="I42" s="34"/>
      <c r="J42" s="51"/>
      <c r="AB42" s="51"/>
      <c r="AC42" s="51"/>
    </row>
    <row r="43" spans="1:29" x14ac:dyDescent="0.2">
      <c r="A43" s="50"/>
      <c r="B43" s="51"/>
      <c r="C43" s="51"/>
      <c r="D43" s="34"/>
      <c r="E43" s="34"/>
      <c r="F43" s="34"/>
      <c r="G43" s="34"/>
      <c r="H43" s="51"/>
      <c r="I43" s="51"/>
      <c r="J43" s="51"/>
      <c r="AB43" s="51"/>
      <c r="AC43" s="51"/>
    </row>
    <row r="44" spans="1:29" x14ac:dyDescent="0.2">
      <c r="A44" s="34"/>
      <c r="B44" s="51"/>
      <c r="C44" s="51"/>
      <c r="D44" s="34"/>
      <c r="E44" s="34"/>
      <c r="F44" s="34"/>
      <c r="G44" s="34"/>
      <c r="H44" s="34"/>
      <c r="I44" s="34"/>
      <c r="J44" s="51"/>
      <c r="AB44" s="51"/>
      <c r="AC44" s="51"/>
    </row>
    <row r="45" spans="1:29" x14ac:dyDescent="0.2">
      <c r="A45" s="52"/>
      <c r="B45" s="34"/>
      <c r="C45" s="34"/>
      <c r="D45" s="34"/>
      <c r="E45" s="34"/>
      <c r="F45" s="34"/>
      <c r="G45" s="34"/>
      <c r="H45" s="34"/>
      <c r="I45" s="34"/>
      <c r="J45" s="51"/>
    </row>
    <row r="46" spans="1:29" x14ac:dyDescent="0.2">
      <c r="A46" s="52"/>
      <c r="B46" s="34"/>
      <c r="C46" s="34"/>
      <c r="D46" s="34"/>
      <c r="E46" s="34"/>
      <c r="F46" s="34"/>
      <c r="G46" s="34"/>
      <c r="H46" s="34"/>
      <c r="I46" s="34"/>
      <c r="J46" s="51"/>
    </row>
    <row r="47" spans="1:29" x14ac:dyDescent="0.2">
      <c r="A47" s="52"/>
      <c r="B47" s="34"/>
      <c r="C47" s="34"/>
      <c r="D47" s="34"/>
      <c r="E47" s="34"/>
      <c r="F47" s="34"/>
      <c r="G47" s="34"/>
      <c r="H47" s="34"/>
      <c r="I47" s="34"/>
      <c r="J47" s="51"/>
    </row>
    <row r="48" spans="1:29" x14ac:dyDescent="0.2">
      <c r="A48" s="52"/>
      <c r="B48" s="34"/>
      <c r="C48" s="34"/>
      <c r="D48" s="34"/>
      <c r="E48" s="34"/>
      <c r="F48" s="34"/>
      <c r="G48" s="34"/>
      <c r="H48" s="34"/>
      <c r="I48" s="34"/>
      <c r="J48" s="51"/>
    </row>
    <row r="49" spans="1:10" x14ac:dyDescent="0.2">
      <c r="A49" s="52"/>
      <c r="B49" s="34"/>
      <c r="C49" s="34"/>
      <c r="D49" s="34"/>
      <c r="E49" s="34"/>
      <c r="F49" s="34"/>
      <c r="G49" s="34"/>
      <c r="H49" s="34"/>
      <c r="I49" s="34"/>
      <c r="J49" s="51"/>
    </row>
    <row r="50" spans="1:10" x14ac:dyDescent="0.2">
      <c r="A50" s="52"/>
      <c r="B50" s="34"/>
      <c r="C50" s="34"/>
      <c r="D50" s="34"/>
      <c r="E50" s="34"/>
      <c r="F50" s="34"/>
      <c r="G50" s="34"/>
      <c r="H50" s="34"/>
      <c r="I50" s="34"/>
      <c r="J50" s="51"/>
    </row>
    <row r="51" spans="1:10" x14ac:dyDescent="0.2">
      <c r="A51" s="52"/>
      <c r="B51" s="51"/>
      <c r="C51" s="51"/>
      <c r="D51" s="34"/>
      <c r="E51" s="34"/>
      <c r="F51" s="34"/>
      <c r="G51" s="34"/>
      <c r="H51" s="51"/>
      <c r="I51" s="51"/>
      <c r="J51" s="51"/>
    </row>
    <row r="52" spans="1:10" x14ac:dyDescent="0.2">
      <c r="A52" s="52"/>
      <c r="B52" s="51"/>
      <c r="C52" s="51"/>
      <c r="D52" s="34"/>
      <c r="E52" s="34"/>
      <c r="F52" s="34"/>
      <c r="G52" s="34"/>
      <c r="H52" s="34"/>
      <c r="I52" s="34"/>
      <c r="J52" s="51"/>
    </row>
    <row r="53" spans="1:10" x14ac:dyDescent="0.2">
      <c r="A53" s="52"/>
      <c r="B53" s="51"/>
      <c r="C53" s="51"/>
      <c r="D53" s="34"/>
      <c r="E53" s="34"/>
      <c r="F53" s="34"/>
      <c r="G53" s="34"/>
      <c r="H53" s="51"/>
      <c r="I53" s="51"/>
      <c r="J53" s="51"/>
    </row>
    <row r="54" spans="1:10" x14ac:dyDescent="0.2">
      <c r="A54" s="52"/>
      <c r="B54" s="51"/>
      <c r="C54" s="51"/>
      <c r="D54" s="34"/>
      <c r="E54" s="34"/>
      <c r="F54" s="34"/>
      <c r="G54" s="34"/>
      <c r="H54" s="34"/>
      <c r="I54" s="34"/>
      <c r="J54" s="51"/>
    </row>
    <row r="55" spans="1:10" x14ac:dyDescent="0.2">
      <c r="A55" s="52"/>
      <c r="B55" s="51"/>
      <c r="C55" s="51"/>
      <c r="D55" s="34"/>
      <c r="E55" s="34"/>
      <c r="F55" s="34"/>
      <c r="G55" s="34"/>
      <c r="H55" s="51"/>
      <c r="I55" s="51"/>
      <c r="J55" s="51"/>
    </row>
    <row r="56" spans="1:10" x14ac:dyDescent="0.2">
      <c r="A56" s="52"/>
      <c r="B56" s="51"/>
      <c r="C56" s="51"/>
      <c r="D56" s="34"/>
      <c r="E56" s="34"/>
      <c r="F56" s="34"/>
      <c r="G56" s="34"/>
      <c r="H56" s="51"/>
      <c r="I56" s="51"/>
      <c r="J56" s="51"/>
    </row>
    <row r="57" spans="1:10" x14ac:dyDescent="0.2">
      <c r="A57" s="52"/>
      <c r="B57" s="51"/>
      <c r="C57" s="51"/>
      <c r="D57" s="34"/>
      <c r="E57" s="34"/>
      <c r="F57" s="34"/>
      <c r="G57" s="34"/>
      <c r="H57" s="51"/>
      <c r="I57" s="51"/>
      <c r="J57" s="51"/>
    </row>
    <row r="58" spans="1:10" x14ac:dyDescent="0.2">
      <c r="A58" s="52"/>
      <c r="B58" s="51"/>
      <c r="C58" s="51"/>
      <c r="D58" s="34"/>
      <c r="E58" s="34"/>
      <c r="F58" s="34"/>
      <c r="G58" s="34"/>
      <c r="H58" s="51"/>
      <c r="I58" s="51"/>
      <c r="J58" s="51"/>
    </row>
    <row r="59" spans="1:10" x14ac:dyDescent="0.2">
      <c r="A59" s="52"/>
      <c r="B59" s="51"/>
      <c r="C59" s="51"/>
      <c r="D59" s="34"/>
      <c r="E59" s="34"/>
      <c r="F59" s="34"/>
      <c r="G59" s="34"/>
      <c r="H59" s="51"/>
      <c r="I59" s="51"/>
      <c r="J59" s="51"/>
    </row>
    <row r="60" spans="1:10" x14ac:dyDescent="0.2">
      <c r="A60" s="52"/>
      <c r="B60" s="51"/>
      <c r="C60" s="51"/>
      <c r="D60" s="34"/>
      <c r="E60" s="34"/>
      <c r="F60" s="34"/>
      <c r="G60" s="34"/>
      <c r="H60" s="34"/>
      <c r="I60" s="34"/>
      <c r="J60" s="51"/>
    </row>
    <row r="61" spans="1:10" x14ac:dyDescent="0.2">
      <c r="A61" s="52"/>
      <c r="B61" s="51"/>
      <c r="C61" s="51"/>
      <c r="D61" s="34"/>
      <c r="E61" s="34"/>
      <c r="F61" s="34"/>
      <c r="G61" s="34"/>
      <c r="H61" s="51"/>
      <c r="I61" s="51"/>
      <c r="J61" s="51"/>
    </row>
    <row r="62" spans="1:10" x14ac:dyDescent="0.2">
      <c r="A62" s="34"/>
      <c r="B62" s="51"/>
      <c r="C62" s="51"/>
      <c r="D62" s="34"/>
      <c r="E62" s="34"/>
      <c r="F62" s="34"/>
      <c r="G62" s="34"/>
      <c r="H62" s="34"/>
      <c r="I62" s="34"/>
      <c r="J62" s="51"/>
    </row>
  </sheetData>
  <sheetProtection password="C9BC" sheet="1" objects="1" scenarios="1" selectLockedCells="1"/>
  <customSheetViews>
    <customSheetView guid="{C99C1093-CC5A-409C-96B5-E63635B6002F}" showGridLines="0" showRowCol="0" fitToPage="1" hiddenRows="1">
      <selection activeCell="B2" sqref="B2:C2"/>
      <pageMargins left="0.61" right="0.45" top="1" bottom="1" header="0.5" footer="0.5"/>
      <pageSetup fitToHeight="2" orientation="landscape" r:id="rId1"/>
      <headerFooter alignWithMargins="0">
        <oddHeader>&amp;C&amp;"Times New Roman,Bold Italic"&amp;14Grade Plane Calculator</oddHeader>
        <oddFooter>&amp;R&amp;D</oddFooter>
      </headerFooter>
    </customSheetView>
    <customSheetView guid="{3F9818B9-F253-4053-A33A-0CFC1B854133}" showGridLines="0" showRowCol="0" fitToPage="1" hiddenRows="1">
      <selection activeCell="O19" sqref="O19:P19"/>
      <pageMargins left="0.61" right="0.45" top="1" bottom="1" header="0.5" footer="0.5"/>
      <pageSetup fitToHeight="2" orientation="landscape" r:id="rId2"/>
      <headerFooter alignWithMargins="0">
        <oddHeader>&amp;C&amp;"Times New Roman,Bold Italic"&amp;14Grade Plane Calculator</oddHeader>
        <oddFooter>&amp;R&amp;D</oddFooter>
      </headerFooter>
    </customSheetView>
    <customSheetView guid="{356F0F3B-80AF-47CC-8087-F17A73F87B6E}" showGridLines="0" showRowCol="0" fitToPage="1" hiddenRows="1">
      <selection activeCell="O19" sqref="O19:P19"/>
      <pageMargins left="0.61" right="0.45" top="1" bottom="1" header="0.5" footer="0.5"/>
      <pageSetup fitToHeight="2" orientation="landscape" r:id="rId3"/>
      <headerFooter alignWithMargins="0">
        <oddHeader>&amp;C&amp;"Times New Roman,Bold Italic"&amp;14Grade Plane Calculator</oddHeader>
        <oddFooter>&amp;R&amp;D</oddFooter>
      </headerFooter>
    </customSheetView>
    <customSheetView guid="{09F76BC5-26ED-495D-B8F5-83F6B4183195}" showGridLines="0" showRowCol="0" fitToPage="1" hiddenRows="1">
      <selection activeCell="O19" sqref="O19:P19"/>
      <pageMargins left="0.61" right="0.45" top="1" bottom="1" header="0.5" footer="0.5"/>
      <pageSetup fitToHeight="2" orientation="landscape" r:id="rId4"/>
      <headerFooter alignWithMargins="0">
        <oddHeader>&amp;C&amp;"Times New Roman,Bold Italic"&amp;14Grade Plane Calculator</oddHeader>
        <oddFooter>&amp;R&amp;D</oddFooter>
      </headerFooter>
    </customSheetView>
    <customSheetView guid="{02979AA6-E421-4F39-B9A0-7166087A5EF9}" showGridLines="0" showRowCol="0" fitToPage="1" printArea="1" hiddenRows="1">
      <selection activeCell="B2" sqref="B2:C2"/>
      <pageMargins left="0.61" right="0.45" top="1" bottom="1" header="0.5" footer="0.5"/>
      <pageSetup fitToHeight="2" orientation="landscape" r:id="rId5"/>
      <headerFooter alignWithMargins="0">
        <oddHeader>&amp;C&amp;"Times New Roman,Bold Italic"&amp;14Grade Plane Calculator</oddHeader>
        <oddFooter>&amp;R&amp;D</oddFooter>
      </headerFooter>
    </customSheetView>
  </customSheetViews>
  <mergeCells count="235">
    <mergeCell ref="W23:Y23"/>
    <mergeCell ref="W22:Y22"/>
    <mergeCell ref="Q20:R20"/>
    <mergeCell ref="S20:T20"/>
    <mergeCell ref="U20:V20"/>
    <mergeCell ref="W20:X20"/>
    <mergeCell ref="O19:P19"/>
    <mergeCell ref="Q19:R19"/>
    <mergeCell ref="S19:T19"/>
    <mergeCell ref="U19:V19"/>
    <mergeCell ref="W19:X19"/>
    <mergeCell ref="C20:D20"/>
    <mergeCell ref="E20:F20"/>
    <mergeCell ref="G20:H20"/>
    <mergeCell ref="I20:J20"/>
    <mergeCell ref="K20:L20"/>
    <mergeCell ref="M20:N20"/>
    <mergeCell ref="O20:P20"/>
    <mergeCell ref="A22:E23"/>
    <mergeCell ref="L22:N23"/>
    <mergeCell ref="K22:K23"/>
    <mergeCell ref="M19:N19"/>
    <mergeCell ref="B17:C17"/>
    <mergeCell ref="D17:E17"/>
    <mergeCell ref="F17:G17"/>
    <mergeCell ref="P18:Q18"/>
    <mergeCell ref="J17:K17"/>
    <mergeCell ref="L17:M17"/>
    <mergeCell ref="N17:O17"/>
    <mergeCell ref="H17:I17"/>
    <mergeCell ref="N18:O18"/>
    <mergeCell ref="D18:E18"/>
    <mergeCell ref="F18:G18"/>
    <mergeCell ref="H18:I18"/>
    <mergeCell ref="J18:K18"/>
    <mergeCell ref="B18:C18"/>
    <mergeCell ref="C19:D19"/>
    <mergeCell ref="E19:F19"/>
    <mergeCell ref="G19:H19"/>
    <mergeCell ref="I19:J19"/>
    <mergeCell ref="K19:L19"/>
    <mergeCell ref="X17:Y17"/>
    <mergeCell ref="L18:M18"/>
    <mergeCell ref="R18:S18"/>
    <mergeCell ref="T18:U18"/>
    <mergeCell ref="V18:W18"/>
    <mergeCell ref="P17:Q17"/>
    <mergeCell ref="R17:S17"/>
    <mergeCell ref="T17:U17"/>
    <mergeCell ref="V17:W17"/>
    <mergeCell ref="X18:Y18"/>
    <mergeCell ref="C15:D15"/>
    <mergeCell ref="E15:F15"/>
    <mergeCell ref="G15:H15"/>
    <mergeCell ref="I15:J15"/>
    <mergeCell ref="K16:L16"/>
    <mergeCell ref="L14:M14"/>
    <mergeCell ref="K15:L15"/>
    <mergeCell ref="M15:N15"/>
    <mergeCell ref="M16:N16"/>
    <mergeCell ref="G16:H16"/>
    <mergeCell ref="I16:J16"/>
    <mergeCell ref="U16:V16"/>
    <mergeCell ref="W16:X16"/>
    <mergeCell ref="W15:X15"/>
    <mergeCell ref="T14:U14"/>
    <mergeCell ref="V14:W14"/>
    <mergeCell ref="X14:Y14"/>
    <mergeCell ref="S15:T15"/>
    <mergeCell ref="U15:V15"/>
    <mergeCell ref="R14:S14"/>
    <mergeCell ref="Q16:R16"/>
    <mergeCell ref="S16:T16"/>
    <mergeCell ref="X13:Y13"/>
    <mergeCell ref="Q12:R12"/>
    <mergeCell ref="R13:S13"/>
    <mergeCell ref="T13:U13"/>
    <mergeCell ref="V13:W13"/>
    <mergeCell ref="S12:T12"/>
    <mergeCell ref="N14:O14"/>
    <mergeCell ref="P14:Q14"/>
    <mergeCell ref="Q15:R15"/>
    <mergeCell ref="U12:V12"/>
    <mergeCell ref="W12:X12"/>
    <mergeCell ref="L13:M13"/>
    <mergeCell ref="K12:L12"/>
    <mergeCell ref="M12:N12"/>
    <mergeCell ref="O12:P12"/>
    <mergeCell ref="N13:O13"/>
    <mergeCell ref="P13:Q13"/>
    <mergeCell ref="J13:K13"/>
    <mergeCell ref="O16:P16"/>
    <mergeCell ref="B14:C14"/>
    <mergeCell ref="D14:E14"/>
    <mergeCell ref="F14:G14"/>
    <mergeCell ref="H14:I14"/>
    <mergeCell ref="B13:C13"/>
    <mergeCell ref="D13:E13"/>
    <mergeCell ref="F13:G13"/>
    <mergeCell ref="H13:I13"/>
    <mergeCell ref="C12:D12"/>
    <mergeCell ref="E12:F12"/>
    <mergeCell ref="G12:H12"/>
    <mergeCell ref="I12:J12"/>
    <mergeCell ref="J14:K14"/>
    <mergeCell ref="O15:P15"/>
    <mergeCell ref="C16:D16"/>
    <mergeCell ref="E16:F16"/>
    <mergeCell ref="C11:D11"/>
    <mergeCell ref="E11:F11"/>
    <mergeCell ref="G11:H11"/>
    <mergeCell ref="I11:J11"/>
    <mergeCell ref="O11:P11"/>
    <mergeCell ref="L10:M10"/>
    <mergeCell ref="N10:O10"/>
    <mergeCell ref="P10:Q10"/>
    <mergeCell ref="B10:C10"/>
    <mergeCell ref="D10:E10"/>
    <mergeCell ref="Q11:R11"/>
    <mergeCell ref="S11:T11"/>
    <mergeCell ref="F10:G10"/>
    <mergeCell ref="H10:I10"/>
    <mergeCell ref="U11:V11"/>
    <mergeCell ref="L9:M9"/>
    <mergeCell ref="N9:O9"/>
    <mergeCell ref="K11:L11"/>
    <mergeCell ref="M11:N11"/>
    <mergeCell ref="J10:K10"/>
    <mergeCell ref="R10:S10"/>
    <mergeCell ref="V9:W9"/>
    <mergeCell ref="P9:Q9"/>
    <mergeCell ref="R9:S9"/>
    <mergeCell ref="W11:X11"/>
    <mergeCell ref="T10:U10"/>
    <mergeCell ref="V10:W10"/>
    <mergeCell ref="X10:Y10"/>
    <mergeCell ref="W8:X8"/>
    <mergeCell ref="B9:C9"/>
    <mergeCell ref="D9:E9"/>
    <mergeCell ref="F9:G9"/>
    <mergeCell ref="H9:I9"/>
    <mergeCell ref="J9:K9"/>
    <mergeCell ref="M8:N8"/>
    <mergeCell ref="O8:P8"/>
    <mergeCell ref="Q8:R8"/>
    <mergeCell ref="U8:V8"/>
    <mergeCell ref="S8:T8"/>
    <mergeCell ref="X9:Y9"/>
    <mergeCell ref="K8:L8"/>
    <mergeCell ref="C8:D8"/>
    <mergeCell ref="E8:F8"/>
    <mergeCell ref="G8:H8"/>
    <mergeCell ref="I8:J8"/>
    <mergeCell ref="T9:U9"/>
    <mergeCell ref="W7:X7"/>
    <mergeCell ref="C7:D7"/>
    <mergeCell ref="E7:F7"/>
    <mergeCell ref="G7:H7"/>
    <mergeCell ref="I7:J7"/>
    <mergeCell ref="O7:P7"/>
    <mergeCell ref="Q7:R7"/>
    <mergeCell ref="S7:T7"/>
    <mergeCell ref="U7:V7"/>
    <mergeCell ref="K7:L7"/>
    <mergeCell ref="M7:N7"/>
    <mergeCell ref="B2:C2"/>
    <mergeCell ref="D2:E2"/>
    <mergeCell ref="F2:G2"/>
    <mergeCell ref="H2:I2"/>
    <mergeCell ref="B1:C1"/>
    <mergeCell ref="D1:E1"/>
    <mergeCell ref="F1:G1"/>
    <mergeCell ref="H1:I1"/>
    <mergeCell ref="L6:M6"/>
    <mergeCell ref="J5:K5"/>
    <mergeCell ref="L5:M5"/>
    <mergeCell ref="B5:C5"/>
    <mergeCell ref="C3:D3"/>
    <mergeCell ref="E3:F3"/>
    <mergeCell ref="G3:H3"/>
    <mergeCell ref="I3:J3"/>
    <mergeCell ref="F5:G5"/>
    <mergeCell ref="D5:E5"/>
    <mergeCell ref="B6:C6"/>
    <mergeCell ref="I4:J4"/>
    <mergeCell ref="C4:D4"/>
    <mergeCell ref="E4:F4"/>
    <mergeCell ref="D6:E6"/>
    <mergeCell ref="F6:G6"/>
    <mergeCell ref="V1:W1"/>
    <mergeCell ref="X1:Y1"/>
    <mergeCell ref="T1:U1"/>
    <mergeCell ref="T2:U2"/>
    <mergeCell ref="V2:W2"/>
    <mergeCell ref="P2:Q2"/>
    <mergeCell ref="X2:Y2"/>
    <mergeCell ref="J1:K1"/>
    <mergeCell ref="L1:M1"/>
    <mergeCell ref="N1:O1"/>
    <mergeCell ref="P1:Q1"/>
    <mergeCell ref="J2:K2"/>
    <mergeCell ref="R1:S1"/>
    <mergeCell ref="R2:S2"/>
    <mergeCell ref="L2:M2"/>
    <mergeCell ref="N2:O2"/>
    <mergeCell ref="W3:X3"/>
    <mergeCell ref="S3:T3"/>
    <mergeCell ref="U3:V3"/>
    <mergeCell ref="K4:L4"/>
    <mergeCell ref="M4:N4"/>
    <mergeCell ref="S4:T4"/>
    <mergeCell ref="U4:V4"/>
    <mergeCell ref="K3:L3"/>
    <mergeCell ref="M3:N3"/>
    <mergeCell ref="O3:P3"/>
    <mergeCell ref="Q3:R3"/>
    <mergeCell ref="H6:I6"/>
    <mergeCell ref="W4:X4"/>
    <mergeCell ref="O4:P4"/>
    <mergeCell ref="Q4:R4"/>
    <mergeCell ref="R5:S5"/>
    <mergeCell ref="J6:K6"/>
    <mergeCell ref="H5:I5"/>
    <mergeCell ref="G4:H4"/>
    <mergeCell ref="N6:O6"/>
    <mergeCell ref="N5:O5"/>
    <mergeCell ref="P5:Q5"/>
    <mergeCell ref="X5:Y5"/>
    <mergeCell ref="P6:Q6"/>
    <mergeCell ref="R6:S6"/>
    <mergeCell ref="T6:U6"/>
    <mergeCell ref="V6:W6"/>
    <mergeCell ref="X6:Y6"/>
    <mergeCell ref="T5:U5"/>
    <mergeCell ref="V5:W5"/>
  </mergeCells>
  <phoneticPr fontId="5" type="noConversion"/>
  <pageMargins left="0.61" right="0.45" top="1" bottom="1" header="0.5" footer="0.5"/>
  <pageSetup fitToHeight="2" orientation="landscape" r:id="rId6"/>
  <headerFooter alignWithMargins="0">
    <oddHeader>&amp;C&amp;"Times New Roman,Bold Italic"&amp;14Grade Plane Calculator</oddHeader>
    <oddFooter>&amp;R&amp;D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autoPageBreaks="0" fitToPage="1"/>
  </sheetPr>
  <dimension ref="B1:AL63"/>
  <sheetViews>
    <sheetView showGridLines="0" showRowColHeaders="0" showZeros="0" showOutlineSymbols="0" workbookViewId="0">
      <selection activeCell="B2" sqref="B2"/>
    </sheetView>
  </sheetViews>
  <sheetFormatPr defaultRowHeight="12.75" x14ac:dyDescent="0.2"/>
  <cols>
    <col min="1" max="1" width="1" style="355" customWidth="1"/>
    <col min="2" max="2" width="6.85546875" style="355" customWidth="1"/>
    <col min="3" max="3" width="9.85546875" style="355" customWidth="1"/>
    <col min="4" max="4" width="10.28515625" style="355" customWidth="1"/>
    <col min="5" max="12" width="9.140625" style="355"/>
    <col min="13" max="13" width="4.7109375" style="355" hidden="1" customWidth="1"/>
    <col min="14" max="14" width="8.85546875" style="355" hidden="1" customWidth="1"/>
    <col min="15" max="16" width="4.7109375" style="355" hidden="1" customWidth="1"/>
    <col min="17" max="18" width="9.140625" style="355" hidden="1" customWidth="1"/>
    <col min="19" max="19" width="7.42578125" style="355" hidden="1" customWidth="1"/>
    <col min="20" max="30" width="4.7109375" style="355" hidden="1" customWidth="1"/>
    <col min="31" max="31" width="9.140625" style="355" hidden="1" customWidth="1"/>
    <col min="32" max="32" width="12.42578125" style="355" hidden="1" customWidth="1"/>
    <col min="33" max="33" width="17.7109375" style="355" hidden="1" customWidth="1"/>
    <col min="34" max="38" width="9.140625" style="355" hidden="1" customWidth="1"/>
    <col min="39" max="16384" width="9.140625" style="355"/>
  </cols>
  <sheetData>
    <row r="1" spans="2:38" ht="6.75" customHeight="1" x14ac:dyDescent="0.2">
      <c r="B1" s="405"/>
    </row>
    <row r="2" spans="2:38" ht="12.75" customHeight="1" thickBot="1" x14ac:dyDescent="0.3">
      <c r="B2" s="358" t="s">
        <v>245</v>
      </c>
      <c r="M2" s="355" t="s">
        <v>231</v>
      </c>
      <c r="N2" s="355">
        <v>1</v>
      </c>
      <c r="Q2" s="372"/>
      <c r="R2" s="1">
        <v>1</v>
      </c>
      <c r="T2" s="355">
        <f>ChaCha!$G$11</f>
        <v>1</v>
      </c>
      <c r="U2" s="355">
        <f>ChaCha!$M$11</f>
        <v>1</v>
      </c>
      <c r="V2" s="355">
        <f>ChaCha!$S$11</f>
        <v>1</v>
      </c>
      <c r="W2" s="355">
        <f>ChaCha!$Y$11</f>
        <v>1</v>
      </c>
    </row>
    <row r="3" spans="2:38" ht="12.75" customHeight="1" x14ac:dyDescent="0.2">
      <c r="C3" s="371"/>
      <c r="M3" s="96"/>
      <c r="N3" s="355">
        <f>N2+1</f>
        <v>2</v>
      </c>
      <c r="O3" s="96" t="str">
        <f ca="1">IF(ChaCha!$AI$3&lt;0,O2, "I A")</f>
        <v>I A</v>
      </c>
      <c r="Q3" s="92" t="s">
        <v>1</v>
      </c>
      <c r="R3" s="89">
        <v>2</v>
      </c>
      <c r="T3" s="355">
        <f>ChaCha!$G$13</f>
        <v>1</v>
      </c>
      <c r="U3" s="355">
        <f>ChaCha!$M$13</f>
        <v>1</v>
      </c>
      <c r="V3" s="355">
        <f>ChaCha!$S$13</f>
        <v>1</v>
      </c>
      <c r="W3" s="355">
        <f>ChaCha!$Y$13</f>
        <v>1</v>
      </c>
    </row>
    <row r="4" spans="2:38" ht="12.75" customHeight="1" x14ac:dyDescent="0.25">
      <c r="B4" s="359"/>
      <c r="C4" s="371"/>
      <c r="M4" s="97"/>
      <c r="N4" s="355">
        <f t="shared" ref="N4:N11" si="0">N3+1</f>
        <v>3</v>
      </c>
      <c r="O4" s="97" t="str">
        <f ca="1">IF(ChaCha!$AI$3&lt;0,O2, "I B")</f>
        <v>I B</v>
      </c>
      <c r="Q4" s="93" t="s">
        <v>2</v>
      </c>
      <c r="R4" s="90">
        <f>R3+1</f>
        <v>3</v>
      </c>
    </row>
    <row r="5" spans="2:38" ht="12.75" customHeight="1" x14ac:dyDescent="0.2">
      <c r="M5" s="96"/>
      <c r="N5" s="355">
        <f t="shared" si="0"/>
        <v>4</v>
      </c>
      <c r="O5" s="96" t="str">
        <f ca="1">IF(ChaCha!$AI$3&lt;0,O2, "II A")</f>
        <v>II A</v>
      </c>
      <c r="Q5" s="93" t="s">
        <v>3</v>
      </c>
      <c r="R5" s="90">
        <f t="shared" ref="R5:R28" si="1">R4+1</f>
        <v>4</v>
      </c>
    </row>
    <row r="6" spans="2:38" ht="12.75" customHeight="1" x14ac:dyDescent="0.2">
      <c r="B6" s="355" t="str">
        <f>IF($AE$36="",N33,"If this building is surrounded and adjoined by public ways or yards not less than 60 feet, it may be qualified for Unlimited Area")</f>
        <v>Input building information at 'Cha-Cha' tab to find out if the building can be qualified for Unlimited Area</v>
      </c>
      <c r="M6" s="96"/>
      <c r="N6" s="355">
        <f t="shared" si="0"/>
        <v>5</v>
      </c>
      <c r="O6" s="96" t="str">
        <f ca="1">IF(ChaCha!$AI$3&lt;0,O2, "II B")</f>
        <v>II B</v>
      </c>
      <c r="Q6" s="93" t="s">
        <v>4</v>
      </c>
      <c r="R6" s="90">
        <f t="shared" si="1"/>
        <v>5</v>
      </c>
      <c r="T6" s="355" t="s">
        <v>232</v>
      </c>
      <c r="U6" s="355" t="s">
        <v>233</v>
      </c>
      <c r="V6" s="355" t="s">
        <v>244</v>
      </c>
      <c r="W6" s="355" t="s">
        <v>235</v>
      </c>
      <c r="AA6" s="355" t="s">
        <v>236</v>
      </c>
    </row>
    <row r="7" spans="2:38" ht="12.75" customHeight="1" x14ac:dyDescent="0.2">
      <c r="B7" s="355" t="str">
        <f>IF($AE$36="","","The following Code section(s) may apply to this building:")</f>
        <v/>
      </c>
      <c r="M7" s="96"/>
      <c r="N7" s="355">
        <f t="shared" si="0"/>
        <v>6</v>
      </c>
      <c r="O7" s="96" t="str">
        <f ca="1">IF(ChaCha!$AI$3&lt;0,O2, "III A")</f>
        <v>III A</v>
      </c>
      <c r="Q7" s="93" t="s">
        <v>5</v>
      </c>
      <c r="R7" s="90">
        <f t="shared" si="1"/>
        <v>6</v>
      </c>
      <c r="S7" s="487">
        <v>507.5</v>
      </c>
      <c r="T7" s="482">
        <f>IF($N$15=2,0,1)</f>
        <v>1</v>
      </c>
      <c r="U7" s="482">
        <f>IF($N$17=TRUE,0,1)</f>
        <v>1</v>
      </c>
      <c r="V7" s="484">
        <f>IF(MAX($T$2:$W$3)&gt;1,0,1)</f>
        <v>1</v>
      </c>
      <c r="W7" s="482">
        <f>IF(OR($T$2=7,$T$2=9,$T$2=10,$T$2=20,$T$2=25,$T$2=26,$T$2=1),0,1)</f>
        <v>0</v>
      </c>
      <c r="X7" s="482">
        <f>IF(OR($U$2=7,$U$2=9,$U$2=10,$U$2=20,$U$2=25,$U$2=26,$U$2=1),0,1)</f>
        <v>0</v>
      </c>
      <c r="Y7" s="482">
        <f>IF(OR($V$2=7,$V$2=9,$V$2=10,$V$2=20,$V$2=25,$V$2=26,$V$2=1),0,1)</f>
        <v>0</v>
      </c>
      <c r="Z7" s="482">
        <f>IF(OR($W$2=7,$W$2=9,$W$2=10,$W$2=20,$W$2=25,$W$2=26,$W$2=1),0,1)</f>
        <v>0</v>
      </c>
      <c r="AA7" s="482">
        <f>IF(OR($T$3=7,$T$3=9,$T$3=10,$T$3=20,$T$3=25,$T$3=26,$T$3=1),0,1)</f>
        <v>0</v>
      </c>
      <c r="AB7" s="482">
        <f>IF(OR($U$3=7,$U$3=9,$U$3=10,$U$3=20,$U$3=25,$U$3=26,$U$3=1),0,1)</f>
        <v>0</v>
      </c>
      <c r="AC7" s="482">
        <f>IF(OR($V$3=7,$V$3=9,$V$3=10,$V$3=20,$V$3=25,$V$3=26,$V$3=1),0,1)</f>
        <v>0</v>
      </c>
      <c r="AD7" s="482">
        <f>IF(OR($W$3=7,$W$3=9,$W$3=10,$W$3=20,$W$3=25,$W$3=26,$W$3=1),0,1)</f>
        <v>0</v>
      </c>
      <c r="AE7" s="483">
        <f>MAX(T7:AD7)</f>
        <v>1</v>
      </c>
      <c r="AF7" s="487" t="s">
        <v>253</v>
      </c>
      <c r="AG7" s="487" t="s">
        <v>254</v>
      </c>
      <c r="AK7" s="485" t="str">
        <f>IF($AE7=0,AF7,"")</f>
        <v/>
      </c>
      <c r="AL7" s="485" t="str">
        <f>IF($AE7=0,AG7,"")</f>
        <v/>
      </c>
    </row>
    <row r="8" spans="2:38" ht="12.75" customHeight="1" x14ac:dyDescent="0.2">
      <c r="B8" s="585" t="str">
        <f>AE36</f>
        <v/>
      </c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96"/>
      <c r="N8" s="355">
        <f t="shared" si="0"/>
        <v>7</v>
      </c>
      <c r="O8" s="96" t="str">
        <f ca="1">IF(ChaCha!$AI$3&lt;0,O2, "III B")</f>
        <v>III B</v>
      </c>
      <c r="Q8" s="93" t="s">
        <v>6</v>
      </c>
      <c r="R8" s="90">
        <f t="shared" si="1"/>
        <v>7</v>
      </c>
    </row>
    <row r="9" spans="2:38" ht="12.75" customHeight="1" x14ac:dyDescent="0.2"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96"/>
      <c r="N9" s="355">
        <f t="shared" si="0"/>
        <v>8</v>
      </c>
      <c r="O9" s="96" t="str">
        <f ca="1">IF(ChaCha!$AI$3&lt;0,O2, "IV HT")</f>
        <v>IV HT</v>
      </c>
      <c r="Q9" s="93" t="s">
        <v>7</v>
      </c>
      <c r="R9" s="90">
        <f t="shared" si="1"/>
        <v>8</v>
      </c>
      <c r="T9" s="355" t="s">
        <v>232</v>
      </c>
      <c r="U9" s="355" t="s">
        <v>233</v>
      </c>
      <c r="V9" s="355" t="s">
        <v>231</v>
      </c>
      <c r="W9" s="355" t="s">
        <v>234</v>
      </c>
      <c r="AA9" s="355" t="s">
        <v>238</v>
      </c>
    </row>
    <row r="10" spans="2:38" ht="12.75" customHeight="1" x14ac:dyDescent="0.2"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96"/>
      <c r="N10" s="355">
        <f t="shared" si="0"/>
        <v>9</v>
      </c>
      <c r="O10" s="96" t="str">
        <f ca="1">IF(ChaCha!$AI$3&lt;0,O2, "V A")</f>
        <v>V A</v>
      </c>
      <c r="Q10" s="93" t="s">
        <v>8</v>
      </c>
      <c r="R10" s="90">
        <f t="shared" si="1"/>
        <v>9</v>
      </c>
      <c r="S10" s="487">
        <v>507.4</v>
      </c>
      <c r="T10" s="482">
        <f>IF($N$15=1,0,1)</f>
        <v>1</v>
      </c>
      <c r="U10" s="482">
        <f>IF($N$17=TRUE,0,1)</f>
        <v>1</v>
      </c>
      <c r="V10" s="484">
        <f>IF(MAX($T$2:$W$2)&gt;1,0,1)</f>
        <v>1</v>
      </c>
      <c r="W10" s="482">
        <f>IF(OR($T$2=7,$T$2=9,$T$2=10,$T$2=20,$T$2=25,$T$2=26,$T$2=1),0,1)</f>
        <v>0</v>
      </c>
      <c r="X10" s="482">
        <f>IF(OR($U$2=7,$U$2=9,$U$2=10,$U$2=20,$U$2=25,$U$2=26,$U$2=1),0,1)</f>
        <v>0</v>
      </c>
      <c r="Y10" s="482">
        <f>IF(OR($V$2=7,$V$2=9,$V$2=10,$V$2=20,$V$2=25,$V$2=26,$V$2=1),0,1)</f>
        <v>0</v>
      </c>
      <c r="Z10" s="482">
        <f>IF(OR($W$2=7,$W$2=9,$W$2=10,$W$2=20,$W$2=25,$W$2=26,$W$2=1),0,1)</f>
        <v>0</v>
      </c>
      <c r="AE10" s="483">
        <f>MAX(T10:AD10)</f>
        <v>1</v>
      </c>
      <c r="AF10" s="487" t="s">
        <v>247</v>
      </c>
      <c r="AG10" s="487" t="s">
        <v>266</v>
      </c>
      <c r="AK10" s="485" t="str">
        <f>IF($AE10=0,AF10,"")</f>
        <v/>
      </c>
      <c r="AL10" s="485" t="str">
        <f>IF($AE10=0,AG10,"")</f>
        <v/>
      </c>
    </row>
    <row r="11" spans="2:38" ht="12.75" customHeight="1" x14ac:dyDescent="0.2"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98"/>
      <c r="N11" s="355">
        <f t="shared" si="0"/>
        <v>10</v>
      </c>
      <c r="O11" s="98" t="str">
        <f ca="1">IF(ChaCha!$AI$3&lt;0,O2, "V B")</f>
        <v>V B</v>
      </c>
      <c r="Q11" s="93" t="s">
        <v>9</v>
      </c>
      <c r="R11" s="90">
        <f t="shared" si="1"/>
        <v>10</v>
      </c>
      <c r="S11" s="487" t="s">
        <v>237</v>
      </c>
      <c r="T11" s="482">
        <f>IF($N$15=1,0,1)</f>
        <v>1</v>
      </c>
      <c r="U11" s="482">
        <f>IF($N$17=TRUE,0,1)</f>
        <v>1</v>
      </c>
      <c r="V11" s="482">
        <f>IF($N$13&lt;9,0,1)</f>
        <v>0</v>
      </c>
      <c r="W11" s="484">
        <f>IF(MAX($T$2:$W$2)&gt;1,0,1)</f>
        <v>1</v>
      </c>
      <c r="X11" s="486">
        <f>IF(COUNTIF(T2:W3,5)&gt;0,0,1)</f>
        <v>1</v>
      </c>
      <c r="AA11" s="482">
        <f>IF(OR($T$2=7,$T$2=9,$T$2=10,$T$2=20,$T$2=25,$T$2=26,$T$2=5,$T$2=1),0,1)</f>
        <v>0</v>
      </c>
      <c r="AB11" s="482">
        <f>IF(OR($U$2=7,$U$2=9,$U$2=10,$U$2=20,$U$2=25,$U$2=26,$U$2=5,$U$2=1),0,1)</f>
        <v>0</v>
      </c>
      <c r="AC11" s="482">
        <f>IF(OR($V$2=7,$V$2=9,$V$2=10,$V$2=20,$V$2=25,$V$2=26,$V$2=5,$V$2=1),0,1)</f>
        <v>0</v>
      </c>
      <c r="AD11" s="482">
        <f>IF(OR($W$2=7,$W$2=9,$W$2=10,$W$2=20,$W$2=25,$W$2=26,$W$2=5,$W$2=1),0,1)</f>
        <v>0</v>
      </c>
      <c r="AE11" s="483">
        <f>MAX(T11:AD11)</f>
        <v>1</v>
      </c>
      <c r="AF11" s="487" t="s">
        <v>247</v>
      </c>
      <c r="AG11" s="487" t="s">
        <v>266</v>
      </c>
      <c r="AK11" s="485" t="str">
        <f>IF($AE11=0,AF11,"")</f>
        <v/>
      </c>
      <c r="AL11" s="485" t="str">
        <f>IF($AE11=0,AG11,"")</f>
        <v/>
      </c>
    </row>
    <row r="12" spans="2:38" ht="12.75" customHeight="1" x14ac:dyDescent="0.2"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Q12" s="93" t="s">
        <v>10</v>
      </c>
      <c r="R12" s="90">
        <f t="shared" si="1"/>
        <v>11</v>
      </c>
    </row>
    <row r="13" spans="2:38" ht="12.75" customHeight="1" x14ac:dyDescent="0.2">
      <c r="B13" s="586"/>
      <c r="C13" s="586"/>
      <c r="D13" s="586"/>
      <c r="E13" s="586"/>
      <c r="F13" s="586"/>
      <c r="G13" s="586"/>
      <c r="H13" s="586"/>
      <c r="I13" s="586"/>
      <c r="J13" s="586"/>
      <c r="K13" s="586"/>
      <c r="L13" s="586"/>
      <c r="M13" s="355" t="s">
        <v>231</v>
      </c>
      <c r="N13" s="481">
        <f>ChaCha!$G$2</f>
        <v>1</v>
      </c>
      <c r="O13" s="481">
        <f>VLOOKUP(N13,N2:O11,2)</f>
        <v>0</v>
      </c>
      <c r="Q13" s="93" t="s">
        <v>34</v>
      </c>
      <c r="R13" s="90">
        <f t="shared" si="1"/>
        <v>12</v>
      </c>
      <c r="T13" s="355" t="s">
        <v>232</v>
      </c>
      <c r="U13" s="355" t="s">
        <v>233</v>
      </c>
      <c r="V13" s="355" t="s">
        <v>231</v>
      </c>
      <c r="W13" s="355" t="s">
        <v>242</v>
      </c>
      <c r="AA13" s="355" t="s">
        <v>239</v>
      </c>
    </row>
    <row r="14" spans="2:38" ht="12.75" customHeight="1" x14ac:dyDescent="0.2">
      <c r="B14" s="586"/>
      <c r="C14" s="586"/>
      <c r="D14" s="586"/>
      <c r="E14" s="586"/>
      <c r="F14" s="586"/>
      <c r="G14" s="586"/>
      <c r="H14" s="586"/>
      <c r="I14" s="586"/>
      <c r="J14" s="586"/>
      <c r="K14" s="586"/>
      <c r="L14" s="586"/>
      <c r="Q14" s="93" t="s">
        <v>35</v>
      </c>
      <c r="R14" s="90">
        <f t="shared" si="1"/>
        <v>13</v>
      </c>
      <c r="S14" s="487" t="s">
        <v>268</v>
      </c>
      <c r="T14" s="482">
        <f>IF($N$15=1,0,1)</f>
        <v>1</v>
      </c>
      <c r="U14" s="482">
        <f>IF($N$17=TRUE,0,1)</f>
        <v>1</v>
      </c>
      <c r="V14" s="482">
        <f>IF($N$13&lt;9,0,1)</f>
        <v>0</v>
      </c>
      <c r="W14" s="482">
        <f>IF(MAX(T2:W2)&gt;3,0,1)</f>
        <v>1</v>
      </c>
      <c r="X14" s="484">
        <f>IF(MAX($T$2:$W$2)&gt;3,0,1)</f>
        <v>1</v>
      </c>
      <c r="Y14" s="486">
        <f>IF(OR(COUNTIF(T2:W2,2)&gt;0,COUNTIF(T2:W2,3)&gt;0),0,1)</f>
        <v>1</v>
      </c>
      <c r="AA14" s="482">
        <f>IF(OR($T$2=2,$T$2=3,$T$2=7,$T$2=9,$T$2=10,$T$2=20,$T$2=25,$T$2=26,$T$2=5,$T$2=1),0,1)</f>
        <v>0</v>
      </c>
      <c r="AB14" s="482">
        <f>IF(OR($U$2=2,$U$2=3,$U$2=7,$U$2=9,$U$2=10,$U$2=20,$U$2=25,$U$2=26,$U$2=5,$U$2=1),0,1)</f>
        <v>0</v>
      </c>
      <c r="AC14" s="482">
        <f>IF(OR($V$2=2,$V$2=3,$V$2=7,$V$2=9,$V$2=10,$V$2=20,$V$2=25,$V$2=26,$V$2=5,$V$2=1),0,1)</f>
        <v>0</v>
      </c>
      <c r="AD14" s="482">
        <f>IF(OR($W$2=2,$W$2=3,$W$2=7,$W$2=9,$W$2=10,$W$2=20,$W$2=25,$W$2=26,$W$2=5,$W$2=1),0,1)</f>
        <v>0</v>
      </c>
      <c r="AE14" s="483">
        <f>MAX(T14:AD14)</f>
        <v>1</v>
      </c>
      <c r="AF14" s="487" t="s">
        <v>267</v>
      </c>
      <c r="AG14" s="487" t="s">
        <v>269</v>
      </c>
      <c r="AK14" s="485" t="str">
        <f>IF($AE14=0,AF14,"")</f>
        <v/>
      </c>
      <c r="AL14" s="485" t="str">
        <f>IF($AE14=0,AG14,"")</f>
        <v/>
      </c>
    </row>
    <row r="15" spans="2:38" ht="12.75" customHeight="1" x14ac:dyDescent="0.2">
      <c r="B15" s="586"/>
      <c r="C15" s="586"/>
      <c r="D15" s="586"/>
      <c r="E15" s="586"/>
      <c r="F15" s="586"/>
      <c r="G15" s="586"/>
      <c r="H15" s="586"/>
      <c r="I15" s="586"/>
      <c r="J15" s="586"/>
      <c r="K15" s="586"/>
      <c r="L15" s="586"/>
      <c r="M15" s="355" t="s">
        <v>133</v>
      </c>
      <c r="N15" s="481">
        <f>ChaCha!$E$5</f>
        <v>0</v>
      </c>
      <c r="O15" s="481"/>
      <c r="Q15" s="93" t="s">
        <v>11</v>
      </c>
      <c r="R15" s="90">
        <f t="shared" si="1"/>
        <v>14</v>
      </c>
    </row>
    <row r="16" spans="2:38" ht="12.75" customHeight="1" x14ac:dyDescent="0.2"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Q16" s="93" t="s">
        <v>12</v>
      </c>
      <c r="R16" s="90">
        <f t="shared" si="1"/>
        <v>15</v>
      </c>
      <c r="T16" s="355" t="s">
        <v>232</v>
      </c>
      <c r="U16" s="355" t="s">
        <v>233</v>
      </c>
      <c r="V16" s="355" t="s">
        <v>231</v>
      </c>
      <c r="W16" s="355" t="s">
        <v>235</v>
      </c>
    </row>
    <row r="17" spans="2:38" ht="12.75" customHeight="1" x14ac:dyDescent="0.2">
      <c r="B17" s="586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355" t="s">
        <v>233</v>
      </c>
      <c r="N17" s="481" t="b">
        <f>ChaCha!$B$7</f>
        <v>0</v>
      </c>
      <c r="Q17" s="93" t="s">
        <v>13</v>
      </c>
      <c r="R17" s="90">
        <f t="shared" si="1"/>
        <v>16</v>
      </c>
      <c r="S17" s="487">
        <v>507.3</v>
      </c>
      <c r="T17" s="482">
        <f>IF($N$15=1,0,1)</f>
        <v>1</v>
      </c>
      <c r="W17" s="482">
        <f>IF(OR($T$2=10,$T$2=26,$T$2=1),0,1)</f>
        <v>0</v>
      </c>
      <c r="X17" s="482">
        <f>IF(OR($U$2=10,$U$2=26,$U$2=1),0,1)</f>
        <v>0</v>
      </c>
      <c r="Y17" s="482">
        <f>IF(OR($V$2=10,$V$2=26,$V$2=1),0,1)</f>
        <v>0</v>
      </c>
      <c r="Z17" s="482">
        <f>IF(OR($W$2=10,$W$2=26,$W$2=1),0,1)</f>
        <v>0</v>
      </c>
      <c r="AA17" s="484">
        <f>IF(MAX($T$2:$W$2)&gt;1,0,1)</f>
        <v>1</v>
      </c>
      <c r="AE17" s="483">
        <f>MAX(T17:AD17)</f>
        <v>1</v>
      </c>
      <c r="AF17" s="487" t="s">
        <v>248</v>
      </c>
      <c r="AG17" s="487" t="s">
        <v>254</v>
      </c>
      <c r="AK17" s="485" t="str">
        <f>IF($AE17=0,AF17,"")</f>
        <v/>
      </c>
      <c r="AL17" s="485" t="str">
        <f>IF($AE17=0,AG17,"")</f>
        <v/>
      </c>
    </row>
    <row r="18" spans="2:38" ht="12.75" customHeight="1" x14ac:dyDescent="0.2">
      <c r="B18" s="586"/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Q18" s="93" t="s">
        <v>76</v>
      </c>
      <c r="R18" s="90">
        <f t="shared" si="1"/>
        <v>17</v>
      </c>
    </row>
    <row r="19" spans="2:38" ht="12.75" customHeight="1" x14ac:dyDescent="0.2">
      <c r="B19" s="586"/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Q19" s="93" t="s">
        <v>14</v>
      </c>
      <c r="R19" s="90">
        <f t="shared" si="1"/>
        <v>18</v>
      </c>
      <c r="T19" s="355" t="s">
        <v>232</v>
      </c>
      <c r="U19" s="355" t="s">
        <v>233</v>
      </c>
      <c r="V19" s="355" t="s">
        <v>231</v>
      </c>
      <c r="W19" s="355" t="s">
        <v>235</v>
      </c>
    </row>
    <row r="20" spans="2:38" ht="12.75" customHeight="1" x14ac:dyDescent="0.2"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Q20" s="93" t="s">
        <v>15</v>
      </c>
      <c r="R20" s="90">
        <f t="shared" si="1"/>
        <v>19</v>
      </c>
      <c r="S20" s="487">
        <v>507.6</v>
      </c>
      <c r="T20" s="482">
        <f>IF($N$15=1,0,1)</f>
        <v>1</v>
      </c>
      <c r="U20" s="482">
        <f>IF($N$17=TRUE,0,1)</f>
        <v>1</v>
      </c>
      <c r="V20" s="482">
        <f>IF(OR($N$13=4,$N$13=5),0,1)</f>
        <v>1</v>
      </c>
      <c r="W20" s="482">
        <f>IF(OR($T$2=4,$T$2=1),0,1)</f>
        <v>0</v>
      </c>
      <c r="X20" s="482">
        <f>IF(OR($U$2=4,$U$2=1),0,1)</f>
        <v>0</v>
      </c>
      <c r="Y20" s="482">
        <f>IF(OR($V$2=4,$V$2=1),0,1)</f>
        <v>0</v>
      </c>
      <c r="Z20" s="482">
        <f>IF(OR($W$2=4,$W$2=1),0,1)</f>
        <v>0</v>
      </c>
      <c r="AA20" s="484">
        <f>IF(MAX($T$2:$W$2)&gt;1,0,1)</f>
        <v>1</v>
      </c>
      <c r="AE20" s="483">
        <f>MAX(T20:AD20)</f>
        <v>1</v>
      </c>
      <c r="AF20" s="487" t="s">
        <v>249</v>
      </c>
      <c r="AG20" s="487" t="s">
        <v>270</v>
      </c>
      <c r="AK20" s="485" t="str">
        <f>IF($AE20=0,AF20,"")</f>
        <v/>
      </c>
      <c r="AL20" s="485" t="str">
        <f>IF($AE20=0,AG20,"")</f>
        <v/>
      </c>
    </row>
    <row r="21" spans="2:38" ht="12.75" customHeight="1" x14ac:dyDescent="0.2">
      <c r="B21" s="586"/>
      <c r="C21" s="586"/>
      <c r="D21" s="586"/>
      <c r="E21" s="586"/>
      <c r="F21" s="586"/>
      <c r="G21" s="586"/>
      <c r="H21" s="586"/>
      <c r="I21" s="586"/>
      <c r="J21" s="586"/>
      <c r="K21" s="586"/>
      <c r="L21" s="586"/>
      <c r="Q21" s="93" t="s">
        <v>16</v>
      </c>
      <c r="R21" s="90">
        <f t="shared" si="1"/>
        <v>20</v>
      </c>
    </row>
    <row r="22" spans="2:38" ht="12.75" customHeight="1" x14ac:dyDescent="0.2">
      <c r="B22" s="586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Q22" s="93" t="s">
        <v>17</v>
      </c>
      <c r="R22" s="90">
        <f t="shared" si="1"/>
        <v>21</v>
      </c>
      <c r="T22" s="355" t="s">
        <v>232</v>
      </c>
      <c r="U22" s="355" t="s">
        <v>233</v>
      </c>
      <c r="V22" s="355" t="s">
        <v>231</v>
      </c>
      <c r="W22" s="355" t="s">
        <v>235</v>
      </c>
    </row>
    <row r="23" spans="2:38" ht="12.75" customHeight="1" x14ac:dyDescent="0.2">
      <c r="B23" s="586"/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Q23" s="93" t="s">
        <v>18</v>
      </c>
      <c r="R23" s="90">
        <f t="shared" si="1"/>
        <v>22</v>
      </c>
      <c r="S23" s="487">
        <v>507.7</v>
      </c>
      <c r="T23" s="482">
        <f>IF($N$15=1,0,1)</f>
        <v>1</v>
      </c>
      <c r="U23" s="482">
        <f>IF($N$17=TRUE,0,1)</f>
        <v>1</v>
      </c>
      <c r="V23" s="482">
        <f>IF(OR($N$13=6,$N$13=7,$N$13=8),0,1)</f>
        <v>1</v>
      </c>
      <c r="W23" s="482">
        <f>IF(OR($T$2=4,$T$2=1),0,1)</f>
        <v>0</v>
      </c>
      <c r="X23" s="482">
        <f>IF(OR($U$2=4,$U$2=1),0,1)</f>
        <v>0</v>
      </c>
      <c r="Y23" s="482">
        <f>IF(OR($V$2=4,$V$2=1),0,1)</f>
        <v>0</v>
      </c>
      <c r="Z23" s="482">
        <f>IF(OR($W$2=4,$W$2=1),0,1)</f>
        <v>0</v>
      </c>
      <c r="AA23" s="484">
        <f>IF(MAX($T$2:$W$2)&gt;1,0,1)</f>
        <v>1</v>
      </c>
      <c r="AE23" s="483">
        <f>MAX(T23:AD23)</f>
        <v>1</v>
      </c>
      <c r="AF23" s="487" t="s">
        <v>250</v>
      </c>
      <c r="AG23" s="487" t="s">
        <v>271</v>
      </c>
      <c r="AK23" s="485" t="str">
        <f>IF($AE23=0,AF23,"")</f>
        <v/>
      </c>
      <c r="AL23" s="485" t="str">
        <f>IF($AE23=0,AG23,"")</f>
        <v/>
      </c>
    </row>
    <row r="24" spans="2:38" ht="12.75" customHeight="1" x14ac:dyDescent="0.2">
      <c r="B24" s="586"/>
      <c r="C24" s="586"/>
      <c r="D24" s="586"/>
      <c r="E24" s="586"/>
      <c r="F24" s="586"/>
      <c r="G24" s="586"/>
      <c r="H24" s="586"/>
      <c r="I24" s="586"/>
      <c r="J24" s="586"/>
      <c r="K24" s="586"/>
      <c r="L24" s="586"/>
      <c r="Q24" s="93" t="s">
        <v>77</v>
      </c>
      <c r="R24" s="90">
        <f t="shared" si="1"/>
        <v>23</v>
      </c>
    </row>
    <row r="25" spans="2:38" ht="12.75" customHeight="1" x14ac:dyDescent="0.2">
      <c r="B25" s="586"/>
      <c r="C25" s="586"/>
      <c r="D25" s="586"/>
      <c r="E25" s="586"/>
      <c r="F25" s="586"/>
      <c r="G25" s="586"/>
      <c r="H25" s="586"/>
      <c r="I25" s="586"/>
      <c r="J25" s="586"/>
      <c r="K25" s="586"/>
      <c r="L25" s="586"/>
      <c r="Q25" s="93" t="s">
        <v>19</v>
      </c>
      <c r="R25" s="90">
        <f t="shared" si="1"/>
        <v>24</v>
      </c>
      <c r="T25" s="355" t="s">
        <v>232</v>
      </c>
      <c r="U25" s="355" t="s">
        <v>233</v>
      </c>
      <c r="V25" s="355" t="s">
        <v>231</v>
      </c>
      <c r="W25" s="355" t="s">
        <v>235</v>
      </c>
    </row>
    <row r="26" spans="2:38" ht="12.75" customHeight="1" x14ac:dyDescent="0.2"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586"/>
      <c r="Q26" s="93" t="s">
        <v>20</v>
      </c>
      <c r="R26" s="90">
        <f t="shared" si="1"/>
        <v>25</v>
      </c>
      <c r="S26" s="487" t="s">
        <v>272</v>
      </c>
      <c r="T26" s="482">
        <f>IF($N$15=1,0,1)</f>
        <v>1</v>
      </c>
      <c r="U26" s="482">
        <f>IF($N$17=TRUE,0,1)</f>
        <v>1</v>
      </c>
      <c r="V26" s="482">
        <f>IF(OR($N$13=4,$N$13=5,$N$13=6,$N$13=8),0,1)</f>
        <v>1</v>
      </c>
      <c r="W26" s="482">
        <f>IF(OR($T$2=8,$T$2=1),0,1)</f>
        <v>0</v>
      </c>
      <c r="X26" s="482">
        <f>IF(OR($U$2=8,$U$2=1),0,1)</f>
        <v>0</v>
      </c>
      <c r="Y26" s="482">
        <f>IF(OR($V$2=8,$V$2=1),0,1)</f>
        <v>0</v>
      </c>
      <c r="Z26" s="482">
        <f>IF(OR($W$2=8,$W$2=1),0,1)</f>
        <v>0</v>
      </c>
      <c r="AA26" s="484">
        <f>IF(MAX($T$2:$W$2)&gt;1,0,1)</f>
        <v>1</v>
      </c>
      <c r="AE26" s="483">
        <f>MAX(T26:AD26)</f>
        <v>1</v>
      </c>
      <c r="AF26" s="487" t="s">
        <v>273</v>
      </c>
      <c r="AG26" s="487" t="s">
        <v>246</v>
      </c>
      <c r="AK26" s="485" t="str">
        <f>IF($AE26=0,AF26,"")</f>
        <v/>
      </c>
      <c r="AL26" s="485" t="str">
        <f>IF($AE26=0,AG26,"")</f>
        <v/>
      </c>
    </row>
    <row r="27" spans="2:38" ht="12.75" customHeight="1" x14ac:dyDescent="0.2"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586"/>
      <c r="Q27" s="93" t="s">
        <v>33</v>
      </c>
      <c r="R27" s="90">
        <f t="shared" si="1"/>
        <v>26</v>
      </c>
    </row>
    <row r="28" spans="2:38" ht="12.75" customHeight="1" thickBot="1" x14ac:dyDescent="0.25"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Q28" s="94" t="s">
        <v>32</v>
      </c>
      <c r="R28" s="90">
        <f t="shared" si="1"/>
        <v>27</v>
      </c>
      <c r="T28" s="355" t="s">
        <v>232</v>
      </c>
      <c r="U28" s="355" t="s">
        <v>233</v>
      </c>
      <c r="V28" s="355" t="s">
        <v>243</v>
      </c>
      <c r="W28" s="355" t="s">
        <v>241</v>
      </c>
    </row>
    <row r="29" spans="2:38" ht="12.75" customHeight="1" x14ac:dyDescent="0.2">
      <c r="B29" s="586"/>
      <c r="C29" s="586"/>
      <c r="D29" s="586"/>
      <c r="E29" s="586"/>
      <c r="F29" s="586"/>
      <c r="G29" s="586"/>
      <c r="H29" s="586"/>
      <c r="I29" s="586"/>
      <c r="J29" s="586"/>
      <c r="K29" s="586"/>
      <c r="L29" s="586"/>
      <c r="S29" s="487">
        <v>507.8</v>
      </c>
      <c r="T29" s="482">
        <f>IF($N$15=1,0,1)</f>
        <v>1</v>
      </c>
      <c r="U29" s="482">
        <f>IF($N$17=TRUE,0,1)</f>
        <v>1</v>
      </c>
      <c r="V29" s="482">
        <f>MIN(W10:Z10)</f>
        <v>0</v>
      </c>
      <c r="W29" s="482">
        <f>IF(OR($T$2=12,$T$2=9,$T$2=10,$T$2=13,$T$2=25,$T$2=26,$T$2=14,$T$2=1),0,1)</f>
        <v>0</v>
      </c>
      <c r="X29" s="482">
        <f>IF(OR($U$2=12,$U$2=9,$U$2=10,$U$2=13,$U$2=25,$U$2=26,$U$2=14,$U$2=1),0,1)</f>
        <v>0</v>
      </c>
      <c r="Y29" s="482">
        <f>IF(OR($V$2=12,$V$2=9,$V$2=10,$V$2=13,$V$2=25,$V$2=26,$V$2=14,$V$2=1),0,1)</f>
        <v>0</v>
      </c>
      <c r="Z29" s="482">
        <f>IF(OR($W$2=12,$W$2=9,$W$2=10,$W$2=13,$W$2=25,$W$2=26,$W$2=14,$W$2=1),0,1)</f>
        <v>0</v>
      </c>
      <c r="AA29" s="484">
        <f>IF(MAX($T$2:$W$2)&gt;1,0,1)</f>
        <v>1</v>
      </c>
      <c r="AB29" s="486">
        <f>IF(OR(COUNTIF(T2:W3,9)&gt;0,COUNTIF(T2:W3,10)&gt;0,COUNTIF(T2:W3,25)&gt;0,COUNTIF(T2:W3,26)&gt;0),0,1)</f>
        <v>1</v>
      </c>
      <c r="AE29" s="483">
        <f>MAX(T29:AD29)</f>
        <v>1</v>
      </c>
      <c r="AF29" s="487" t="s">
        <v>251</v>
      </c>
      <c r="AG29" s="487" t="s">
        <v>240</v>
      </c>
      <c r="AK29" s="485" t="str">
        <f>IF($AE29=0,AF29,"")</f>
        <v/>
      </c>
      <c r="AL29" s="485" t="str">
        <f>IF($AE29=0,AG29,"")</f>
        <v/>
      </c>
    </row>
    <row r="30" spans="2:38" ht="12.75" customHeight="1" x14ac:dyDescent="0.2">
      <c r="B30" s="586"/>
      <c r="C30" s="586"/>
      <c r="D30" s="586"/>
      <c r="E30" s="586"/>
      <c r="F30" s="586"/>
      <c r="G30" s="586"/>
      <c r="H30" s="586"/>
      <c r="I30" s="586"/>
      <c r="J30" s="586"/>
      <c r="K30" s="586"/>
      <c r="L30" s="586"/>
      <c r="S30" s="484">
        <f>IF(MAX($T$2:$W$3)&gt;1,0,1)</f>
        <v>1</v>
      </c>
      <c r="T30" s="482">
        <f>IF($N$15=2,0,1)</f>
        <v>1</v>
      </c>
      <c r="U30" s="482">
        <f>IF($N$17=TRUE,0,1)</f>
        <v>1</v>
      </c>
      <c r="V30" s="482">
        <f>MIN(W7:AD7)</f>
        <v>0</v>
      </c>
      <c r="W30" s="482">
        <f>IF(OR($T$2=12,$T$2=9,$T$2=10,$T$2=13,$T$2=25,$T$2=26,$T$2=14,$T$2=1),0,1)</f>
        <v>0</v>
      </c>
      <c r="X30" s="482">
        <f>IF(OR($U$2=12,$U$2=9,$U$2=10,$U$2=13,$U$2=25,$U$2=26,$U$2=14,$U$2=1),0,1)</f>
        <v>0</v>
      </c>
      <c r="Y30" s="482">
        <f>IF(OR($V$2=12,$V$2=9,$V$2=10,$V$2=13,$V$2=25,$V$2=26,$V$2=14,$V$2=1),0,1)</f>
        <v>0</v>
      </c>
      <c r="Z30" s="482">
        <f>IF(OR($W$2=12,$W$2=9,$W$2=10,$W$2=13,$W$2=25,$W$2=26,$W$2=14,$W$2=1),0,1)</f>
        <v>0</v>
      </c>
      <c r="AA30" s="482">
        <f>IF(OR($T$3=12,$T$3=9,$T$3=10,$T$3=13,$T$3=25,$T$3=26,$T$3=14,$T$3=1),0,1)</f>
        <v>0</v>
      </c>
      <c r="AB30" s="482">
        <f>IF(OR($U$3=12,$U$3=9,$U$3=10,$U$3=13,$U$3=25,$U$3=26,$U$3=14,$U$3=1),0,1)</f>
        <v>0</v>
      </c>
      <c r="AC30" s="482">
        <f>IF(OR($V$3=12,$V$3=9,$V$3=10,$V$3=13,$V$3=25,$V$3=26,$V$3=14,$V$3=1),0,1)</f>
        <v>0</v>
      </c>
      <c r="AD30" s="482">
        <f>IF(OR($W$3=12,$W$3=9,$W$3=10,$W$3=13,$W$3=25,$W$3=26,$W$3=14,$W$3=1),0,1)</f>
        <v>0</v>
      </c>
      <c r="AE30" s="483">
        <f>MAX(S30:AD30)</f>
        <v>1</v>
      </c>
      <c r="AF30" s="487" t="s">
        <v>251</v>
      </c>
      <c r="AG30" s="487" t="s">
        <v>240</v>
      </c>
      <c r="AK30" s="485" t="str">
        <f>IF($AE30=0,AF30,"")</f>
        <v/>
      </c>
      <c r="AL30" s="485" t="str">
        <f>IF($AE30=0,AG30,"")</f>
        <v/>
      </c>
    </row>
    <row r="31" spans="2:38" ht="12.75" customHeight="1" x14ac:dyDescent="0.2">
      <c r="B31" s="586"/>
      <c r="C31" s="586"/>
      <c r="D31" s="586"/>
      <c r="E31" s="586"/>
      <c r="F31" s="586"/>
      <c r="G31" s="586"/>
      <c r="H31" s="586"/>
      <c r="I31" s="586"/>
      <c r="J31" s="586"/>
      <c r="K31" s="586"/>
      <c r="L31" s="586"/>
    </row>
    <row r="32" spans="2:38" ht="12.75" customHeight="1" x14ac:dyDescent="0.2">
      <c r="B32" s="355" t="s">
        <v>252</v>
      </c>
    </row>
    <row r="33" spans="2:31" ht="12.75" customHeight="1" x14ac:dyDescent="0.2">
      <c r="C33" s="355" t="s">
        <v>258</v>
      </c>
      <c r="N33" s="486" t="str">
        <f>IF(OR(N13=1,N15=0,MAX(T2:W2)=1),"Input building information at 'Cha-Cha' tab to find out if the building can be qualified for Unlimited Area","")</f>
        <v>Input building information at 'Cha-Cha' tab to find out if the building can be qualified for Unlimited Area</v>
      </c>
    </row>
    <row r="34" spans="2:31" ht="12.75" customHeight="1" x14ac:dyDescent="0.2">
      <c r="C34" s="355" t="s">
        <v>259</v>
      </c>
    </row>
    <row r="35" spans="2:31" ht="12.75" customHeight="1" x14ac:dyDescent="0.2">
      <c r="C35" s="355" t="s">
        <v>260</v>
      </c>
    </row>
    <row r="36" spans="2:31" ht="12.75" customHeight="1" x14ac:dyDescent="0.2">
      <c r="AE36" s="486" t="str">
        <f>CONCATENATE(AK7,AL7,AK10,AL10,AK11,AL11,AK14,AL14,AK17,AL17,AK20,AL20,AK23,AL23,AK26,AL26,AK29,AL29,AK30,AL30)</f>
        <v/>
      </c>
    </row>
    <row r="37" spans="2:31" ht="12.75" customHeight="1" x14ac:dyDescent="0.2">
      <c r="B37" s="356"/>
    </row>
    <row r="38" spans="2:31" ht="12.75" customHeight="1" x14ac:dyDescent="0.2">
      <c r="B38" s="356"/>
    </row>
    <row r="39" spans="2:31" ht="12.75" customHeight="1" x14ac:dyDescent="0.2">
      <c r="B39" s="356"/>
    </row>
    <row r="40" spans="2:31" ht="12.75" customHeight="1" x14ac:dyDescent="0.2">
      <c r="B40" s="356"/>
    </row>
    <row r="41" spans="2:31" ht="12.75" customHeight="1" x14ac:dyDescent="0.2"/>
    <row r="42" spans="2:31" ht="12.75" customHeight="1" x14ac:dyDescent="0.2"/>
    <row r="43" spans="2:31" ht="12.75" customHeight="1" x14ac:dyDescent="0.25">
      <c r="B43" s="359"/>
    </row>
    <row r="44" spans="2:31" ht="12.75" customHeight="1" x14ac:dyDescent="0.2"/>
    <row r="45" spans="2:31" ht="12.75" customHeight="1" x14ac:dyDescent="0.2">
      <c r="B45" s="357"/>
      <c r="C45" s="360"/>
    </row>
    <row r="46" spans="2:31" ht="12.75" customHeight="1" x14ac:dyDescent="0.2">
      <c r="B46" s="357"/>
      <c r="C46" s="360"/>
    </row>
    <row r="47" spans="2:31" ht="12.75" customHeight="1" x14ac:dyDescent="0.2">
      <c r="B47" s="357"/>
      <c r="C47" s="360"/>
    </row>
    <row r="48" spans="2:31" ht="12.75" customHeight="1" x14ac:dyDescent="0.2">
      <c r="B48" s="357"/>
      <c r="C48" s="360"/>
    </row>
    <row r="49" spans="2:3" ht="12.75" customHeight="1" x14ac:dyDescent="0.2">
      <c r="B49" s="357"/>
      <c r="C49" s="360"/>
    </row>
    <row r="50" spans="2:3" ht="12.75" customHeight="1" x14ac:dyDescent="0.2">
      <c r="B50" s="357"/>
      <c r="C50" s="360"/>
    </row>
    <row r="51" spans="2:3" ht="12.75" customHeight="1" x14ac:dyDescent="0.2">
      <c r="B51" s="357"/>
      <c r="C51" s="360"/>
    </row>
    <row r="52" spans="2:3" ht="12.75" customHeight="1" x14ac:dyDescent="0.2">
      <c r="B52" s="357"/>
      <c r="C52" s="360"/>
    </row>
    <row r="53" spans="2:3" ht="12.75" customHeight="1" x14ac:dyDescent="0.2"/>
    <row r="54" spans="2:3" ht="12.75" customHeight="1" x14ac:dyDescent="0.25">
      <c r="B54" s="359"/>
    </row>
    <row r="55" spans="2:3" ht="12.75" customHeight="1" x14ac:dyDescent="0.2"/>
    <row r="56" spans="2:3" ht="12.75" customHeight="1" x14ac:dyDescent="0.2">
      <c r="B56" s="357"/>
    </row>
    <row r="57" spans="2:3" ht="12.75" customHeight="1" x14ac:dyDescent="0.2"/>
    <row r="58" spans="2:3" x14ac:dyDescent="0.2">
      <c r="C58" s="362"/>
    </row>
    <row r="59" spans="2:3" x14ac:dyDescent="0.2">
      <c r="C59" s="362"/>
    </row>
    <row r="60" spans="2:3" x14ac:dyDescent="0.2">
      <c r="C60" s="371"/>
    </row>
    <row r="61" spans="2:3" x14ac:dyDescent="0.2">
      <c r="C61" s="418"/>
    </row>
    <row r="62" spans="2:3" ht="132.75" customHeight="1" x14ac:dyDescent="0.2">
      <c r="C62" s="417"/>
    </row>
    <row r="63" spans="2:3" x14ac:dyDescent="0.2">
      <c r="B63" s="362"/>
    </row>
  </sheetData>
  <sheetProtection password="C9BC" sheet="1" objects="1" scenarios="1" selectLockedCells="1" selectUnlockedCells="1"/>
  <customSheetViews>
    <customSheetView guid="{C99C1093-CC5A-409C-96B5-E63635B6002F}" showGridLines="0" showRowCol="0" outlineSymbols="0" zeroValues="0" fitToPage="1" hiddenColumns="1">
      <selection activeCell="B2" sqref="B2"/>
      <pageMargins left="0.75" right="0.75" top="1" bottom="1" header="0.5" footer="0.5"/>
      <pageSetup scale="90" orientation="portrait" r:id="rId1"/>
      <headerFooter alignWithMargins="0">
        <oddFooter>&amp;R&amp;D</oddFooter>
      </headerFooter>
    </customSheetView>
    <customSheetView guid="{3F9818B9-F253-4053-A33A-0CFC1B854133}" showGridLines="0" showRowCol="0" outlineSymbols="0" zeroValues="0" fitToPage="1" hiddenColumns="1">
      <selection activeCell="B6" sqref="B6"/>
      <pageMargins left="0.75" right="0.75" top="1" bottom="1" header="0.5" footer="0.5"/>
      <pageSetup scale="89" orientation="portrait" r:id="rId2"/>
      <headerFooter alignWithMargins="0">
        <oddFooter>&amp;R&amp;D</oddFooter>
      </headerFooter>
    </customSheetView>
    <customSheetView guid="{356F0F3B-80AF-47CC-8087-F17A73F87B6E}" showGridLines="0" showRowCol="0" outlineSymbols="0" zeroValues="0" fitToPage="1" hiddenColumns="1">
      <selection activeCell="B8" sqref="B8:L31"/>
      <pageMargins left="0.75" right="0.75" top="1" bottom="1" header="0.5" footer="0.5"/>
      <pageSetup scale="89" orientation="portrait" r:id="rId3"/>
      <headerFooter alignWithMargins="0">
        <oddFooter>&amp;R&amp;D</oddFooter>
      </headerFooter>
    </customSheetView>
    <customSheetView guid="{09F76BC5-26ED-495D-B8F5-83F6B4183195}" showGridLines="0" showRowCol="0" outlineSymbols="0" zeroValues="0" fitToPage="1" hiddenColumns="1">
      <selection activeCell="B6" sqref="B6"/>
      <pageMargins left="0.75" right="0.75" top="1" bottom="1" header="0.5" footer="0.5"/>
      <pageSetup scale="89" orientation="portrait" r:id="rId4"/>
      <headerFooter alignWithMargins="0">
        <oddFooter>&amp;R&amp;D</oddFooter>
      </headerFooter>
    </customSheetView>
    <customSheetView guid="{02979AA6-E421-4F39-B9A0-7166087A5EF9}" showGridLines="0" showRowCol="0" outlineSymbols="0" zeroValues="0" fitToPage="1" printArea="1" hiddenColumns="1">
      <selection activeCell="B2" sqref="B2"/>
      <pageMargins left="0.75" right="0.75" top="1" bottom="1" header="0.5" footer="0.5"/>
      <pageSetup scale="90" orientation="portrait" r:id="rId5"/>
      <headerFooter alignWithMargins="0">
        <oddFooter>&amp;R&amp;D</oddFooter>
      </headerFooter>
    </customSheetView>
  </customSheetViews>
  <mergeCells count="1">
    <mergeCell ref="B8:L31"/>
  </mergeCells>
  <phoneticPr fontId="5" type="noConversion"/>
  <conditionalFormatting sqref="D44:D50 B45:C52">
    <cfRule type="expression" dxfId="1" priority="1" stopIfTrue="1">
      <formula>#REF!="Ara"</formula>
    </cfRule>
  </conditionalFormatting>
  <pageMargins left="0.75" right="0.75" top="1" bottom="1" header="0.5" footer="0.5"/>
  <pageSetup scale="90" orientation="portrait" r:id="rId6"/>
  <headerFooter alignWithMargins="0"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 fitToPage="1"/>
  </sheetPr>
  <dimension ref="B1:C66"/>
  <sheetViews>
    <sheetView showGridLines="0" showRowColHeaders="0" showZeros="0" showOutlineSymbols="0" topLeftCell="A4" zoomScale="120" zoomScaleNormal="120" workbookViewId="0">
      <selection activeCell="C19" sqref="C19"/>
    </sheetView>
  </sheetViews>
  <sheetFormatPr defaultRowHeight="12.75" x14ac:dyDescent="0.2"/>
  <cols>
    <col min="1" max="1" width="1" style="355" customWidth="1"/>
    <col min="2" max="2" width="6.85546875" style="355" customWidth="1"/>
    <col min="3" max="3" width="90.7109375" style="355" customWidth="1"/>
    <col min="4" max="4" width="10.28515625" style="355" customWidth="1"/>
    <col min="5" max="16384" width="9.140625" style="355"/>
  </cols>
  <sheetData>
    <row r="1" spans="2:3" ht="6.75" customHeight="1" x14ac:dyDescent="0.2">
      <c r="B1" s="405"/>
    </row>
    <row r="2" spans="2:3" ht="15.75" x14ac:dyDescent="0.25">
      <c r="B2" s="358" t="s">
        <v>176</v>
      </c>
    </row>
    <row r="3" spans="2:3" x14ac:dyDescent="0.2">
      <c r="C3" s="371"/>
    </row>
    <row r="4" spans="2:3" ht="13.5" x14ac:dyDescent="0.25">
      <c r="B4" s="359" t="s">
        <v>224</v>
      </c>
      <c r="C4" s="371"/>
    </row>
    <row r="5" spans="2:3" ht="7.5" customHeight="1" x14ac:dyDescent="0.2"/>
    <row r="6" spans="2:3" x14ac:dyDescent="0.2">
      <c r="B6" s="355" t="s">
        <v>308</v>
      </c>
    </row>
    <row r="7" spans="2:3" x14ac:dyDescent="0.2">
      <c r="B7" s="355" t="s">
        <v>216</v>
      </c>
    </row>
    <row r="8" spans="2:3" x14ac:dyDescent="0.2">
      <c r="B8" s="355" t="s">
        <v>225</v>
      </c>
    </row>
    <row r="10" spans="2:3" ht="13.5" x14ac:dyDescent="0.25">
      <c r="B10" s="359" t="s">
        <v>226</v>
      </c>
    </row>
    <row r="11" spans="2:3" ht="7.5" customHeight="1" x14ac:dyDescent="0.2"/>
    <row r="12" spans="2:3" x14ac:dyDescent="0.2">
      <c r="B12" s="355" t="s">
        <v>177</v>
      </c>
    </row>
    <row r="13" spans="2:3" x14ac:dyDescent="0.2">
      <c r="B13" s="355" t="s">
        <v>299</v>
      </c>
    </row>
    <row r="14" spans="2:3" x14ac:dyDescent="0.2">
      <c r="B14" s="355" t="s">
        <v>256</v>
      </c>
    </row>
    <row r="15" spans="2:3" x14ac:dyDescent="0.2">
      <c r="B15" s="355" t="s">
        <v>255</v>
      </c>
    </row>
    <row r="16" spans="2:3" x14ac:dyDescent="0.2">
      <c r="B16" s="355" t="s">
        <v>257</v>
      </c>
    </row>
    <row r="17" spans="2:2" x14ac:dyDescent="0.2">
      <c r="B17" s="355" t="s">
        <v>258</v>
      </c>
    </row>
    <row r="18" spans="2:2" x14ac:dyDescent="0.2">
      <c r="B18" s="355" t="s">
        <v>259</v>
      </c>
    </row>
    <row r="19" spans="2:2" x14ac:dyDescent="0.2">
      <c r="B19" s="355" t="s">
        <v>261</v>
      </c>
    </row>
    <row r="20" spans="2:2" x14ac:dyDescent="0.2">
      <c r="B20" s="355" t="s">
        <v>262</v>
      </c>
    </row>
    <row r="21" spans="2:2" x14ac:dyDescent="0.2">
      <c r="B21" s="355" t="s">
        <v>263</v>
      </c>
    </row>
    <row r="22" spans="2:2" x14ac:dyDescent="0.2">
      <c r="B22" s="355" t="s">
        <v>310</v>
      </c>
    </row>
    <row r="24" spans="2:2" ht="13.5" x14ac:dyDescent="0.25">
      <c r="B24" s="359" t="s">
        <v>227</v>
      </c>
    </row>
    <row r="25" spans="2:2" ht="6.75" customHeight="1" x14ac:dyDescent="0.2"/>
    <row r="26" spans="2:2" x14ac:dyDescent="0.2">
      <c r="B26" s="355" t="s">
        <v>203</v>
      </c>
    </row>
    <row r="27" spans="2:2" x14ac:dyDescent="0.2">
      <c r="B27" s="355" t="s">
        <v>264</v>
      </c>
    </row>
    <row r="29" spans="2:2" ht="13.5" x14ac:dyDescent="0.25">
      <c r="B29" s="359" t="s">
        <v>228</v>
      </c>
    </row>
    <row r="30" spans="2:2" ht="6" customHeight="1" x14ac:dyDescent="0.2"/>
    <row r="31" spans="2:2" x14ac:dyDescent="0.2">
      <c r="B31" s="355" t="s">
        <v>305</v>
      </c>
    </row>
    <row r="32" spans="2:2" x14ac:dyDescent="0.2">
      <c r="B32" s="355" t="s">
        <v>265</v>
      </c>
    </row>
    <row r="33" spans="2:3" x14ac:dyDescent="0.2">
      <c r="B33" s="355" t="s">
        <v>188</v>
      </c>
    </row>
    <row r="34" spans="2:3" x14ac:dyDescent="0.2">
      <c r="B34" s="355" t="s">
        <v>300</v>
      </c>
    </row>
    <row r="35" spans="2:3" x14ac:dyDescent="0.2">
      <c r="B35" s="355" t="s">
        <v>217</v>
      </c>
    </row>
    <row r="36" spans="2:3" x14ac:dyDescent="0.2">
      <c r="B36" s="355" t="s">
        <v>178</v>
      </c>
    </row>
    <row r="37" spans="2:3" x14ac:dyDescent="0.2">
      <c r="B37" s="355" t="s">
        <v>301</v>
      </c>
    </row>
    <row r="38" spans="2:3" x14ac:dyDescent="0.2">
      <c r="B38" s="355" t="s">
        <v>288</v>
      </c>
    </row>
    <row r="40" spans="2:3" x14ac:dyDescent="0.2">
      <c r="B40" s="355" t="s">
        <v>229</v>
      </c>
    </row>
    <row r="41" spans="2:3" x14ac:dyDescent="0.2">
      <c r="B41" s="356" t="s">
        <v>180</v>
      </c>
    </row>
    <row r="42" spans="2:3" x14ac:dyDescent="0.2">
      <c r="B42" s="356" t="s">
        <v>181</v>
      </c>
    </row>
    <row r="43" spans="2:3" x14ac:dyDescent="0.2">
      <c r="B43" s="356" t="s">
        <v>182</v>
      </c>
    </row>
    <row r="44" spans="2:3" x14ac:dyDescent="0.2">
      <c r="B44" s="356" t="s">
        <v>183</v>
      </c>
    </row>
    <row r="46" spans="2:3" ht="13.5" x14ac:dyDescent="0.25">
      <c r="B46" s="359" t="s">
        <v>171</v>
      </c>
    </row>
    <row r="47" spans="2:3" ht="6" customHeight="1" x14ac:dyDescent="0.2"/>
    <row r="48" spans="2:3" x14ac:dyDescent="0.2">
      <c r="B48" s="357" t="s">
        <v>194</v>
      </c>
      <c r="C48" s="360" t="s">
        <v>195</v>
      </c>
    </row>
    <row r="49" spans="2:3" x14ac:dyDescent="0.2">
      <c r="B49" s="357" t="s">
        <v>147</v>
      </c>
      <c r="C49" s="360" t="s">
        <v>151</v>
      </c>
    </row>
    <row r="50" spans="2:3" x14ac:dyDescent="0.2">
      <c r="B50" s="357" t="s">
        <v>148</v>
      </c>
      <c r="C50" s="360" t="s">
        <v>152</v>
      </c>
    </row>
    <row r="51" spans="2:3" x14ac:dyDescent="0.2">
      <c r="B51" s="357" t="s">
        <v>199</v>
      </c>
      <c r="C51" s="360" t="s">
        <v>156</v>
      </c>
    </row>
    <row r="52" spans="2:3" x14ac:dyDescent="0.2">
      <c r="B52" s="357" t="s">
        <v>200</v>
      </c>
      <c r="C52" s="360" t="s">
        <v>153</v>
      </c>
    </row>
    <row r="53" spans="2:3" x14ac:dyDescent="0.2">
      <c r="B53" s="357" t="s">
        <v>201</v>
      </c>
      <c r="C53" s="360" t="s">
        <v>155</v>
      </c>
    </row>
    <row r="54" spans="2:3" x14ac:dyDescent="0.2">
      <c r="B54" s="357" t="s">
        <v>146</v>
      </c>
      <c r="C54" s="360" t="s">
        <v>184</v>
      </c>
    </row>
    <row r="55" spans="2:3" x14ac:dyDescent="0.2">
      <c r="B55" s="357"/>
      <c r="C55" s="360" t="s">
        <v>302</v>
      </c>
    </row>
    <row r="57" spans="2:3" ht="13.5" x14ac:dyDescent="0.25">
      <c r="B57" s="359" t="s">
        <v>179</v>
      </c>
    </row>
    <row r="58" spans="2:3" ht="6.75" customHeight="1" x14ac:dyDescent="0.2"/>
    <row r="59" spans="2:3" x14ac:dyDescent="0.2">
      <c r="B59" s="357" t="s">
        <v>309</v>
      </c>
    </row>
    <row r="60" spans="2:3" x14ac:dyDescent="0.2">
      <c r="B60" s="355" t="s">
        <v>303</v>
      </c>
    </row>
    <row r="61" spans="2:3" x14ac:dyDescent="0.2">
      <c r="B61" s="355" t="s">
        <v>204</v>
      </c>
      <c r="C61" s="362" t="s">
        <v>304</v>
      </c>
    </row>
    <row r="62" spans="2:3" x14ac:dyDescent="0.2">
      <c r="C62" s="362"/>
    </row>
    <row r="63" spans="2:3" x14ac:dyDescent="0.2">
      <c r="B63" s="355" t="s">
        <v>223</v>
      </c>
      <c r="C63" s="371"/>
    </row>
    <row r="64" spans="2:3" x14ac:dyDescent="0.2">
      <c r="C64" s="418"/>
    </row>
    <row r="65" spans="2:3" ht="132.75" customHeight="1" x14ac:dyDescent="0.2">
      <c r="C65" s="417"/>
    </row>
    <row r="66" spans="2:3" x14ac:dyDescent="0.2">
      <c r="B66" s="362"/>
    </row>
  </sheetData>
  <sheetProtection algorithmName="SHA-512" hashValue="kYnhQ/FQTwbMI/H7jnyr6SJd7pUq86Kaj36mwlxc4xArgOq+zcKErK4UnovRm8E3Ou9k1jh3XZBT4Tc/pMz5Gw==" saltValue="YkB5VFV72jshnTS79bAMjg==" spinCount="100000" sheet="1" selectLockedCells="1" selectUnlockedCells="1"/>
  <customSheetViews>
    <customSheetView guid="{C99C1093-CC5A-409C-96B5-E63635B6002F}" scale="120" showGridLines="0" showRowCol="0" outlineSymbols="0" zeroValues="0" fitToPage="1">
      <selection activeCell="B2" sqref="B2"/>
      <pageMargins left="0.75" right="0.75" top="1" bottom="1" header="0.5" footer="0.5"/>
      <pageSetup scale="88" orientation="portrait" r:id="rId1"/>
      <headerFooter alignWithMargins="0">
        <oddFooter>&amp;R&amp;D</oddFooter>
      </headerFooter>
    </customSheetView>
    <customSheetView guid="{3F9818B9-F253-4053-A33A-0CFC1B854133}" showGridLines="0" showRowCol="0" outlineSymbols="0" zeroValues="0" fitToPage="1">
      <selection activeCell="C62" sqref="C62"/>
      <pageMargins left="0.75" right="0.75" top="1" bottom="1" header="0.5" footer="0.5"/>
      <pageSetup scale="88" orientation="portrait" r:id="rId2"/>
      <headerFooter alignWithMargins="0">
        <oddFooter>&amp;R&amp;D</oddFooter>
      </headerFooter>
    </customSheetView>
    <customSheetView guid="{356F0F3B-80AF-47CC-8087-F17A73F87B6E}" showGridLines="0" showRowCol="0" outlineSymbols="0" zeroValues="0" fitToPage="1">
      <selection activeCell="C15" sqref="C15"/>
      <pageMargins left="0.75" right="0.75" top="1" bottom="1" header="0.5" footer="0.5"/>
      <pageSetup scale="88" orientation="portrait" r:id="rId3"/>
      <headerFooter alignWithMargins="0">
        <oddFooter>&amp;R&amp;D</oddFooter>
      </headerFooter>
    </customSheetView>
    <customSheetView guid="{09F76BC5-26ED-495D-B8F5-83F6B4183195}" showGridLines="0" showRowCol="0" outlineSymbols="0" zeroValues="0" fitToPage="1">
      <selection activeCell="C62" sqref="C62"/>
      <pageMargins left="0.75" right="0.75" top="1" bottom="1" header="0.5" footer="0.5"/>
      <pageSetup scale="88" orientation="portrait" r:id="rId4"/>
      <headerFooter alignWithMargins="0">
        <oddFooter>&amp;R&amp;D</oddFooter>
      </headerFooter>
    </customSheetView>
    <customSheetView guid="{02979AA6-E421-4F39-B9A0-7166087A5EF9}" scale="120" showGridLines="0" showRowCol="0" outlineSymbols="0" zeroValues="0" fitToPage="1">
      <selection activeCell="B2" sqref="B2"/>
      <pageMargins left="0.75" right="0.75" top="1" bottom="1" header="0.5" footer="0.5"/>
      <pageSetup scale="88" orientation="portrait" r:id="rId5"/>
      <headerFooter alignWithMargins="0">
        <oddFooter>&amp;R&amp;D</oddFooter>
      </headerFooter>
    </customSheetView>
  </customSheetViews>
  <phoneticPr fontId="5" type="noConversion"/>
  <conditionalFormatting sqref="D47:D53 B48:C55">
    <cfRule type="expression" dxfId="0" priority="1" stopIfTrue="1">
      <formula>#REF!="Ara"</formula>
    </cfRule>
  </conditionalFormatting>
  <hyperlinks>
    <hyperlink ref="C61" r:id="rId6" xr:uid="{00000000-0004-0000-0800-000000000000}"/>
  </hyperlinks>
  <pageMargins left="0.75" right="0.75" top="1" bottom="1" header="0.5" footer="0.5"/>
  <pageSetup scale="88" orientation="portrait" r:id="rId7"/>
  <headerFooter alignWithMargins="0"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ChaCha</vt:lpstr>
      <vt:lpstr>Info</vt:lpstr>
      <vt:lpstr>T503</vt:lpstr>
      <vt:lpstr>Height</vt:lpstr>
      <vt:lpstr>Area</vt:lpstr>
      <vt:lpstr>Frontage</vt:lpstr>
      <vt:lpstr>Grade</vt:lpstr>
      <vt:lpstr>507</vt:lpstr>
      <vt:lpstr>GenInfo</vt:lpstr>
      <vt:lpstr>'507'!Print_Area</vt:lpstr>
      <vt:lpstr>Frontage!Print_Area</vt:lpstr>
      <vt:lpstr>Grade!Print_Area</vt:lpstr>
      <vt:lpstr>Height!Print_Area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Ara Sargsyan</cp:lastModifiedBy>
  <cp:lastPrinted>2021-01-31T20:07:04Z</cp:lastPrinted>
  <dcterms:created xsi:type="dcterms:W3CDTF">2007-12-27T05:09:42Z</dcterms:created>
  <dcterms:modified xsi:type="dcterms:W3CDTF">2025-11-30T03:41:27Z</dcterms:modified>
</cp:coreProperties>
</file>