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Ara\Documents\Ara\Ara4Help\2024\"/>
    </mc:Choice>
  </mc:AlternateContent>
  <xr:revisionPtr revIDLastSave="0" documentId="13_ncr:1_{A14FF2C9-EF17-455F-BF7C-AF95DD26804B}" xr6:coauthVersionLast="47" xr6:coauthVersionMax="47" xr10:uidLastSave="{00000000-0000-0000-0000-000000000000}"/>
  <bookViews>
    <workbookView showSheetTabs="0" xWindow="-120" yWindow="-120" windowWidth="29040" windowHeight="15840" xr2:uid="{00000000-000D-0000-FFFF-FFFF00000000}"/>
  </bookViews>
  <sheets>
    <sheet name="Ara4help" sheetId="1" r:id="rId1"/>
  </sheets>
  <definedNames>
    <definedName name="Z_828308BE_E5DF_4235_998D_57D174F23709_.wvu.Cols" localSheetId="0" hidden="1">Ara4help!$K:$AF</definedName>
    <definedName name="Z_FB197D09_62DD_4166_8605_0D45C2653888_.wvu.Cols" localSheetId="0" hidden="1">Ara4help!$K:$AF</definedName>
    <definedName name="Z_FE302B5D_2BF7_4643_AAA3_B75C856C2A62_.wvu.Cols" localSheetId="0" hidden="1">Ara4help!$K:$AF</definedName>
  </definedNames>
  <calcPr calcId="181029"/>
  <customWorkbookViews>
    <customWorkbookView name="Ara - Personal View" guid="{FE302B5D-2BF7-4643-AAA3-B75C856C2A62}" mergeInterval="0" personalView="1" maximized="1" showSheetTabs="0" windowWidth="1270" windowHeight="667" activeSheetId="1"/>
    <customWorkbookView name="Dell - Personal View" guid="{FB197D09-62DD-4166-8605-0D45C2653888}" mergeInterval="0" personalView="1" maximized="1" showSheetTabs="0" windowWidth="1916" windowHeight="945" activeSheetId="1" showFormulaBar="0"/>
    <customWorkbookView name="Sargsyan - Personal View" guid="{828308BE-E5DF-4235-998D-57D174F23709}" mergeInterval="0" personalView="1" maximized="1" showSheetTabs="0" xWindow="-8" yWindow="-8" windowWidth="1936" windowHeight="1056" activeSheetId="1"/>
  </customWorkbookViews>
</workbook>
</file>

<file path=xl/calcChain.xml><?xml version="1.0" encoding="utf-8"?>
<calcChain xmlns="http://schemas.openxmlformats.org/spreadsheetml/2006/main">
  <c r="R2" i="1" l="1"/>
  <c r="U2" i="1"/>
  <c r="E26" i="1" s="1"/>
  <c r="F26" i="1" s="1"/>
  <c r="AD2" i="1"/>
  <c r="K3" i="1"/>
  <c r="AD3" i="1"/>
  <c r="E4" i="1"/>
  <c r="U4" i="1"/>
  <c r="E22" i="1" s="1"/>
  <c r="F22" i="1" s="1"/>
  <c r="AD4" i="1"/>
  <c r="K5" i="1"/>
  <c r="U5" i="1"/>
  <c r="E24" i="1"/>
  <c r="F24" i="1" s="1"/>
  <c r="W5" i="1"/>
  <c r="K6" i="1"/>
  <c r="U6" i="1"/>
  <c r="W6" i="1"/>
  <c r="AD6" i="1"/>
  <c r="W7" i="1"/>
  <c r="AD7" i="1"/>
  <c r="W8" i="1"/>
  <c r="AD8" i="1"/>
  <c r="W9" i="1"/>
  <c r="T10" i="1"/>
  <c r="AC122" i="1" s="1"/>
  <c r="Q20" i="1" s="1"/>
  <c r="W10" i="1"/>
  <c r="P11" i="1"/>
  <c r="T11" i="1"/>
  <c r="D12" i="1"/>
  <c r="F12" i="1"/>
  <c r="P12" i="1"/>
  <c r="T12" i="1"/>
  <c r="O13" i="1"/>
  <c r="P13" i="1"/>
  <c r="T13" i="1"/>
  <c r="P14" i="1"/>
  <c r="P15" i="1"/>
  <c r="P16" i="1"/>
  <c r="P17" i="1"/>
  <c r="P18" i="1"/>
  <c r="D19" i="1"/>
  <c r="P19" i="1"/>
  <c r="P20" i="1"/>
  <c r="S20" i="1"/>
  <c r="T42" i="1" s="1"/>
  <c r="T20" i="1"/>
  <c r="AA57" i="1" s="1"/>
  <c r="U20" i="1"/>
  <c r="W89" i="1" s="1"/>
  <c r="V89" i="1" s="1"/>
  <c r="V20" i="1"/>
  <c r="P21" i="1"/>
  <c r="P22" i="1"/>
  <c r="P23" i="1"/>
  <c r="S23" i="1"/>
  <c r="P24" i="1"/>
  <c r="O25" i="1"/>
  <c r="O27" i="1"/>
  <c r="AE42" i="1"/>
  <c r="T57" i="1"/>
  <c r="W57" i="1" s="1"/>
  <c r="U76" i="1"/>
  <c r="U77" i="1"/>
  <c r="X77" i="1"/>
  <c r="U86" i="1"/>
  <c r="U87" i="1"/>
  <c r="AE97" i="1"/>
  <c r="W102" i="1"/>
  <c r="V102" i="1"/>
  <c r="S102" i="1" s="1"/>
  <c r="O14" i="1" s="1"/>
  <c r="T118" i="1"/>
  <c r="W118" i="1" s="1"/>
  <c r="Y118" i="1" s="1"/>
  <c r="V118" i="1" s="1"/>
  <c r="T126" i="1"/>
  <c r="V127" i="1"/>
  <c r="V128" i="1"/>
  <c r="AA137" i="1"/>
  <c r="P28" i="1" s="1"/>
  <c r="T142" i="1"/>
  <c r="W142" i="1" s="1"/>
  <c r="S142" i="1" s="1"/>
  <c r="O23" i="1" s="1"/>
  <c r="AA147" i="1"/>
  <c r="P25" i="1" s="1"/>
  <c r="AC147" i="1"/>
  <c r="Q25" i="1" s="1"/>
  <c r="AA87" i="1"/>
  <c r="P6" i="1" s="1"/>
  <c r="AA77" i="1"/>
  <c r="P7" i="1" s="1"/>
  <c r="AE67" i="1"/>
  <c r="T47" i="1"/>
  <c r="U47" i="1" s="1"/>
  <c r="AA67" i="1"/>
  <c r="P8" i="1"/>
  <c r="AC42" i="1"/>
  <c r="Q4" i="1" s="1"/>
  <c r="AE32" i="1"/>
  <c r="AC132" i="1"/>
  <c r="Q24" i="1" s="1"/>
  <c r="W88" i="1" l="1"/>
  <c r="V88" i="1" s="1"/>
  <c r="AE47" i="1"/>
  <c r="X86" i="1"/>
  <c r="V86" i="1" s="1"/>
  <c r="T31" i="1"/>
  <c r="X31" i="1" s="1"/>
  <c r="T123" i="1"/>
  <c r="V123" i="1" s="1"/>
  <c r="W79" i="1"/>
  <c r="V79" i="1" s="1"/>
  <c r="W77" i="1"/>
  <c r="Q27" i="1"/>
  <c r="AC47" i="1"/>
  <c r="Q5" i="1" s="1"/>
  <c r="T48" i="1"/>
  <c r="U48" i="1" s="1"/>
  <c r="W48" i="1" s="1"/>
  <c r="V48" i="1" s="1"/>
  <c r="AC107" i="1"/>
  <c r="Q15" i="1" s="1"/>
  <c r="T137" i="1"/>
  <c r="W137" i="1" s="1"/>
  <c r="Y137" i="1" s="1"/>
  <c r="V137" i="1" s="1"/>
  <c r="S137" i="1" s="1"/>
  <c r="T117" i="1"/>
  <c r="W117" i="1" s="1"/>
  <c r="Y117" i="1" s="1"/>
  <c r="V117" i="1" s="1"/>
  <c r="V77" i="1"/>
  <c r="S76" i="1" s="1"/>
  <c r="T68" i="1"/>
  <c r="W68" i="1" s="1"/>
  <c r="V68" i="1" s="1"/>
  <c r="W2" i="1"/>
  <c r="R10" i="1"/>
  <c r="S10" i="1" s="1"/>
  <c r="AC97" i="1"/>
  <c r="Q13" i="1" s="1"/>
  <c r="T133" i="1"/>
  <c r="W133" i="1" s="1"/>
  <c r="Y133" i="1" s="1"/>
  <c r="V133" i="1" s="1"/>
  <c r="X126" i="1"/>
  <c r="V126" i="1" s="1"/>
  <c r="T122" i="1"/>
  <c r="V122" i="1" s="1"/>
  <c r="T116" i="1"/>
  <c r="X116" i="1" s="1"/>
  <c r="V116" i="1" s="1"/>
  <c r="W87" i="1"/>
  <c r="W78" i="1"/>
  <c r="V78" i="1" s="1"/>
  <c r="T67" i="1"/>
  <c r="U67" i="1" s="1"/>
  <c r="Q3" i="1"/>
  <c r="AE31" i="1"/>
  <c r="AC31" i="1" s="1"/>
  <c r="Q12" i="1" s="1"/>
  <c r="AE112" i="1"/>
  <c r="AC112" i="1" s="1"/>
  <c r="Q16" i="1" s="1"/>
  <c r="AC142" i="1"/>
  <c r="Q23" i="1" s="1"/>
  <c r="AC117" i="1"/>
  <c r="Q18" i="1" s="1"/>
  <c r="AC137" i="1"/>
  <c r="AC127" i="1"/>
  <c r="AA138" i="1"/>
  <c r="P29" i="1" s="1"/>
  <c r="T132" i="1"/>
  <c r="W132" i="1" s="1"/>
  <c r="Y132" i="1" s="1"/>
  <c r="V132" i="1" s="1"/>
  <c r="T121" i="1"/>
  <c r="X121" i="1" s="1"/>
  <c r="V121" i="1" s="1"/>
  <c r="T107" i="1"/>
  <c r="S107" i="1" s="1"/>
  <c r="O15" i="1" s="1"/>
  <c r="AE77" i="1"/>
  <c r="AC77" i="1" s="1"/>
  <c r="Q7" i="1" s="1"/>
  <c r="X76" i="1"/>
  <c r="V76" i="1" s="1"/>
  <c r="X57" i="1"/>
  <c r="V57" i="1" s="1"/>
  <c r="T30" i="1"/>
  <c r="X30" i="1" s="1"/>
  <c r="V30" i="1" s="1"/>
  <c r="S22" i="1"/>
  <c r="D20" i="1" s="1"/>
  <c r="T49" i="1"/>
  <c r="U49" i="1" s="1"/>
  <c r="W49" i="1" s="1"/>
  <c r="V49" i="1" s="1"/>
  <c r="W3" i="1"/>
  <c r="K4" i="1"/>
  <c r="M2" i="1" s="1"/>
  <c r="M3" i="1" s="1"/>
  <c r="M4" i="1" s="1"/>
  <c r="M5" i="1" s="1"/>
  <c r="M6" i="1" s="1"/>
  <c r="M7" i="1" s="1"/>
  <c r="M8" i="1" s="1"/>
  <c r="M9" i="1" s="1"/>
  <c r="M10" i="1" s="1"/>
  <c r="M11" i="1" s="1"/>
  <c r="M12" i="1" s="1"/>
  <c r="M13" i="1" s="1"/>
  <c r="M14" i="1" s="1"/>
  <c r="M15" i="1" s="1"/>
  <c r="M16" i="1" s="1"/>
  <c r="M17" i="1" s="1"/>
  <c r="M18" i="1" s="1"/>
  <c r="M19" i="1" s="1"/>
  <c r="M20" i="1" s="1"/>
  <c r="M21" i="1" s="1"/>
  <c r="M22" i="1" s="1"/>
  <c r="M23" i="1" s="1"/>
  <c r="M24" i="1" s="1"/>
  <c r="M25" i="1" s="1"/>
  <c r="M26" i="1" s="1"/>
  <c r="M27" i="1" s="1"/>
  <c r="M28" i="1" s="1"/>
  <c r="M29" i="1" s="1"/>
  <c r="M30" i="1" s="1"/>
  <c r="M31" i="1" s="1"/>
  <c r="M32" i="1" s="1"/>
  <c r="M33" i="1" s="1"/>
  <c r="M34" i="1" s="1"/>
  <c r="M35" i="1" s="1"/>
  <c r="V42" i="1"/>
  <c r="S42" i="1" s="1"/>
  <c r="T41" i="1"/>
  <c r="V41" i="1" s="1"/>
  <c r="T43" i="1"/>
  <c r="V43" i="1" s="1"/>
  <c r="S122" i="1"/>
  <c r="S132" i="1"/>
  <c r="O24" i="1" s="1"/>
  <c r="S127" i="1"/>
  <c r="S117" i="1"/>
  <c r="S77" i="1"/>
  <c r="O7" i="1" s="1"/>
  <c r="X47" i="1"/>
  <c r="U46" i="1"/>
  <c r="X46" i="1" s="1"/>
  <c r="V46" i="1" s="1"/>
  <c r="T46" i="1"/>
  <c r="W47" i="1"/>
  <c r="W67" i="1"/>
  <c r="X67" i="1"/>
  <c r="P9" i="1"/>
  <c r="P10" i="1"/>
  <c r="Q19" i="1"/>
  <c r="X87" i="1"/>
  <c r="P27" i="1"/>
  <c r="AC102" i="1"/>
  <c r="W4" i="1"/>
  <c r="AC67" i="1"/>
  <c r="Q8" i="1" s="1"/>
  <c r="W31" i="1"/>
  <c r="V31" i="1" s="1"/>
  <c r="S31" i="1" s="1"/>
  <c r="G16" i="1"/>
  <c r="T112" i="1"/>
  <c r="T59" i="1"/>
  <c r="W59" i="1" s="1"/>
  <c r="V59" i="1" s="1"/>
  <c r="AA47" i="1"/>
  <c r="P5" i="1" s="1"/>
  <c r="AE57" i="1"/>
  <c r="AC57" i="1" s="1"/>
  <c r="P26" i="1"/>
  <c r="T69" i="1"/>
  <c r="W69" i="1" s="1"/>
  <c r="V69" i="1" s="1"/>
  <c r="T58" i="1"/>
  <c r="W58" i="1" s="1"/>
  <c r="V58" i="1" s="1"/>
  <c r="AA42" i="1"/>
  <c r="AC32" i="1"/>
  <c r="Q11" i="1" s="1"/>
  <c r="T33" i="1"/>
  <c r="W33" i="1" s="1"/>
  <c r="V33" i="1" s="1"/>
  <c r="T32" i="1"/>
  <c r="W32" i="1" s="1"/>
  <c r="V32" i="1" s="1"/>
  <c r="T138" i="1"/>
  <c r="W138" i="1" s="1"/>
  <c r="Y138" i="1" s="1"/>
  <c r="V138" i="1" s="1"/>
  <c r="T113" i="1"/>
  <c r="W113" i="1" s="1"/>
  <c r="V113" i="1" s="1"/>
  <c r="AE87" i="1"/>
  <c r="AC87" i="1" s="1"/>
  <c r="Q6" i="1" s="1"/>
  <c r="T66" i="1"/>
  <c r="U66" i="1" s="1"/>
  <c r="X66" i="1" s="1"/>
  <c r="V66" i="1" s="1"/>
  <c r="T56" i="1"/>
  <c r="U56" i="1" s="1"/>
  <c r="X56" i="1" s="1"/>
  <c r="V56" i="1" s="1"/>
  <c r="Q17" i="1" l="1"/>
  <c r="D29" i="1"/>
  <c r="S56" i="1"/>
  <c r="S57" i="1"/>
  <c r="O10" i="1" s="1"/>
  <c r="Q21" i="1"/>
  <c r="Q22" i="1"/>
  <c r="Q26" i="1"/>
  <c r="Q28" i="1"/>
  <c r="S30" i="1"/>
  <c r="V87" i="1"/>
  <c r="S87" i="1" s="1"/>
  <c r="O6" i="1" s="1"/>
  <c r="B1" i="1"/>
  <c r="O12" i="1"/>
  <c r="O11" i="1"/>
  <c r="O4" i="1"/>
  <c r="O3" i="1"/>
  <c r="S41" i="1"/>
  <c r="P31" i="1"/>
  <c r="P35" i="1"/>
  <c r="P34" i="1"/>
  <c r="P32" i="1"/>
  <c r="P33" i="1"/>
  <c r="P30" i="1"/>
  <c r="O17" i="1"/>
  <c r="O18" i="1"/>
  <c r="Q9" i="1"/>
  <c r="Q10" i="1"/>
  <c r="P4" i="1"/>
  <c r="P3" i="1"/>
  <c r="V67" i="1"/>
  <c r="Q29" i="1"/>
  <c r="Q14" i="1"/>
  <c r="O26" i="1"/>
  <c r="O28" i="1"/>
  <c r="O19" i="1"/>
  <c r="O20" i="1"/>
  <c r="X112" i="1"/>
  <c r="W112" i="1"/>
  <c r="V47" i="1"/>
  <c r="O22" i="1"/>
  <c r="O21" i="1"/>
  <c r="O9" i="1" l="1"/>
  <c r="S86" i="1"/>
  <c r="S66" i="1"/>
  <c r="S67" i="1"/>
  <c r="O8" i="1" s="1"/>
  <c r="O34" i="1"/>
  <c r="O29" i="1"/>
  <c r="O30" i="1"/>
  <c r="O33" i="1"/>
  <c r="O32" i="1"/>
  <c r="O35" i="1"/>
  <c r="O31" i="1"/>
  <c r="S46" i="1"/>
  <c r="S47" i="1"/>
  <c r="O5" i="1" s="1"/>
  <c r="Q31" i="1"/>
  <c r="Q30" i="1"/>
  <c r="V112" i="1"/>
  <c r="S112" i="1" s="1"/>
  <c r="O16" i="1" s="1"/>
</calcChain>
</file>

<file path=xl/sharedStrings.xml><?xml version="1.0" encoding="utf-8"?>
<sst xmlns="http://schemas.openxmlformats.org/spreadsheetml/2006/main" count="310" uniqueCount="141">
  <si>
    <t>A1</t>
  </si>
  <si>
    <t>A2</t>
  </si>
  <si>
    <t>RA</t>
  </si>
  <si>
    <t>RE40</t>
  </si>
  <si>
    <t>RE20</t>
  </si>
  <si>
    <t>RE15 *</t>
  </si>
  <si>
    <t>RE11</t>
  </si>
  <si>
    <t>RE9</t>
  </si>
  <si>
    <t>RS</t>
  </si>
  <si>
    <t>R1</t>
  </si>
  <si>
    <t>R2</t>
  </si>
  <si>
    <t>R3</t>
  </si>
  <si>
    <t>R4</t>
  </si>
  <si>
    <t>R5</t>
  </si>
  <si>
    <t>RD1.5</t>
  </si>
  <si>
    <t>RD2</t>
  </si>
  <si>
    <t>RD3</t>
  </si>
  <si>
    <t>RD4</t>
  </si>
  <si>
    <t>RD5</t>
  </si>
  <si>
    <t>RD6</t>
  </si>
  <si>
    <t>RU</t>
  </si>
  <si>
    <t>RZ</t>
  </si>
  <si>
    <t>RW1</t>
  </si>
  <si>
    <t>RAS4</t>
  </si>
  <si>
    <t>Side</t>
  </si>
  <si>
    <t>Rear</t>
  </si>
  <si>
    <t>Stories</t>
  </si>
  <si>
    <t>Lot</t>
  </si>
  <si>
    <t>width</t>
  </si>
  <si>
    <t>Depth</t>
  </si>
  <si>
    <t>big house</t>
  </si>
  <si>
    <t>Hillside</t>
  </si>
  <si>
    <t>Basic</t>
  </si>
  <si>
    <t>Heght&gt;18</t>
  </si>
  <si>
    <t>stories&gt;2</t>
  </si>
  <si>
    <t>Side Yard</t>
  </si>
  <si>
    <t>costal</t>
  </si>
  <si>
    <t>RAS3</t>
  </si>
  <si>
    <t>A1, A2</t>
  </si>
  <si>
    <t>&lt;3,=3</t>
  </si>
  <si>
    <t>RE9,RE11</t>
  </si>
  <si>
    <t>RE15</t>
  </si>
  <si>
    <t>SY</t>
  </si>
  <si>
    <t>RY</t>
  </si>
  <si>
    <t>Rear yard</t>
  </si>
  <si>
    <t>RW2</t>
  </si>
  <si>
    <t>No Hillside</t>
  </si>
  <si>
    <t>&lt;=16</t>
  </si>
  <si>
    <t>no big hse</t>
  </si>
  <si>
    <t>RD3,4</t>
  </si>
  <si>
    <t>RD1.5,2</t>
  </si>
  <si>
    <t>no stories</t>
  </si>
  <si>
    <t>RD5,6</t>
  </si>
  <si>
    <t>R4,R5</t>
  </si>
  <si>
    <t>Building type:</t>
  </si>
  <si>
    <t>Select Zone:</t>
  </si>
  <si>
    <t>Building</t>
  </si>
  <si>
    <t>Check all</t>
  </si>
  <si>
    <t>that apply:</t>
  </si>
  <si>
    <t>Select to find:</t>
  </si>
  <si>
    <t>H</t>
  </si>
  <si>
    <t>No Hillside, go to others</t>
  </si>
  <si>
    <t>Max.Height</t>
  </si>
  <si>
    <t>(ft)</t>
  </si>
  <si>
    <t>☺See sec.12.08.1.C.2 for S.Y. Exceptions</t>
  </si>
  <si>
    <t>☺See sec.12.08.1.C.3 for R.Y. Exception (Mobilhome)</t>
  </si>
  <si>
    <t>☺See sec.12.08.3.C.3.b for R.Y. Exception</t>
  </si>
  <si>
    <t>☺See sec.12.08.3.C.2.b,c for S.Y. Exceptions</t>
  </si>
  <si>
    <t>☺See sec.12.08.5.C.3 for Restrictions (Rear lot line setback)</t>
  </si>
  <si>
    <t>ZE lettter</t>
  </si>
  <si>
    <t>☺See sec.12.09.5.C.2.b,c for S.Y. Exceptions</t>
  </si>
  <si>
    <t>RAS3/4</t>
  </si>
  <si>
    <t>☺SideYard is not required for the ground floor used exclusively for commercial purposes</t>
  </si>
  <si>
    <t>Input values</t>
  </si>
  <si>
    <t>in the Yellow</t>
  </si>
  <si>
    <t>Highlighted cells:</t>
  </si>
  <si>
    <t>Special Notes:</t>
  </si>
  <si>
    <t>Refer to ZIMAS</t>
  </si>
  <si>
    <t>and Public Works</t>
  </si>
  <si>
    <t>to obtain Info</t>
  </si>
  <si>
    <t>Building Height</t>
  </si>
  <si>
    <t>Expires:</t>
  </si>
  <si>
    <t>EXPIRED VERSION- Contact ara@ara4help.com for help</t>
  </si>
  <si>
    <t>UNAUTHORIZED COPY- Contact ara@ara4help.com for help</t>
  </si>
  <si>
    <t>Effective 5/09/2011</t>
  </si>
  <si>
    <t>Hilside</t>
  </si>
  <si>
    <t>Subst</t>
  </si>
  <si>
    <t>Coast</t>
  </si>
  <si>
    <t>LW</t>
  </si>
  <si>
    <t>LD</t>
  </si>
  <si>
    <t>None</t>
  </si>
  <si>
    <t>C</t>
  </si>
  <si>
    <t>S</t>
  </si>
  <si>
    <t>SC</t>
  </si>
  <si>
    <t>HC</t>
  </si>
  <si>
    <t>HS</t>
  </si>
  <si>
    <t>HSC</t>
  </si>
  <si>
    <t>old</t>
  </si>
  <si>
    <t>hilside</t>
  </si>
  <si>
    <t>coastal</t>
  </si>
  <si>
    <t>new</t>
  </si>
  <si>
    <t>7, 8</t>
  </si>
  <si>
    <t>1, 3, 5</t>
  </si>
  <si>
    <t>2, 4, 6</t>
  </si>
  <si>
    <t>Front</t>
  </si>
  <si>
    <t>2,4</t>
  </si>
  <si>
    <t>5,7</t>
  </si>
  <si>
    <t>1,3</t>
  </si>
  <si>
    <t>6,8</t>
  </si>
  <si>
    <t>Hillside/Coast</t>
  </si>
  <si>
    <t>Number of Stories</t>
  </si>
  <si>
    <t>Incl. Basements with</t>
  </si>
  <si>
    <t>Habitable rooms</t>
  </si>
  <si>
    <t>Dulex</t>
  </si>
  <si>
    <t>Disclaimer: This application is created solely based on the author’s interpretation of the Los Angeles Planning and Zoning Code and Ordinances. It is intended as an educational tool and it is not an official document. Please contact the author for any errors or suggestions you may have.  Your comments are greatly appreciated.
Ara Sargsyan, PE, CBO, LEED® AP
Email: ara@ara4help.com                                                                                  May, 2011</t>
  </si>
  <si>
    <t>Conditions</t>
  </si>
  <si>
    <t>Finals</t>
  </si>
  <si>
    <t>5,6</t>
  </si>
  <si>
    <t>1-SFD</t>
  </si>
  <si>
    <t>2-APT/Dplx</t>
  </si>
  <si>
    <t>1-"000"</t>
  </si>
  <si>
    <t>2-"001"</t>
  </si>
  <si>
    <t>3-"010"</t>
  </si>
  <si>
    <t>4-"011"</t>
  </si>
  <si>
    <t>5-"100"</t>
  </si>
  <si>
    <t>6-"101"</t>
  </si>
  <si>
    <t>7-"110"</t>
  </si>
  <si>
    <t>8-"111"</t>
  </si>
  <si>
    <t>Regular</t>
  </si>
  <si>
    <t>Purple</t>
  </si>
  <si>
    <t>CR</t>
  </si>
  <si>
    <t>C1</t>
  </si>
  <si>
    <t>C1.5</t>
  </si>
  <si>
    <t>C2</t>
  </si>
  <si>
    <t>C4</t>
  </si>
  <si>
    <t>C5</t>
  </si>
  <si>
    <t>CM</t>
  </si>
  <si>
    <t>&lt;CR</t>
  </si>
  <si>
    <t>Side / Rear / Front Yard Calculator (New Residential Buildings on Interior Lots)</t>
  </si>
  <si>
    <r>
      <t xml:space="preserve">* </t>
    </r>
    <r>
      <rPr>
        <i/>
        <sz val="8"/>
        <rFont val="Arial"/>
        <family val="2"/>
      </rPr>
      <t>Do not select if the project receives Coastal Development Permit Exemption</t>
    </r>
  </si>
  <si>
    <t>Version: LA21-01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</si>
</sst>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ont>
    <font>
      <sz val="10"/>
      <name val="Arial"/>
      <family val="2"/>
    </font>
    <font>
      <u/>
      <sz val="10"/>
      <color indexed="12"/>
      <name val="Arial"/>
      <family val="2"/>
    </font>
    <font>
      <u/>
      <sz val="10"/>
      <color indexed="10"/>
      <name val="Arial"/>
      <family val="2"/>
    </font>
    <font>
      <sz val="10"/>
      <color indexed="10"/>
      <name val="Arial"/>
      <family val="2"/>
    </font>
    <font>
      <sz val="10"/>
      <color indexed="12"/>
      <name val="Arial"/>
      <family val="2"/>
    </font>
    <font>
      <sz val="10"/>
      <color indexed="53"/>
      <name val="Arial"/>
      <family val="2"/>
    </font>
    <font>
      <sz val="10"/>
      <color indexed="52"/>
      <name val="Arial"/>
      <family val="2"/>
    </font>
    <font>
      <sz val="10"/>
      <name val="Arial"/>
      <family val="2"/>
    </font>
    <font>
      <sz val="8"/>
      <name val="Arial"/>
      <family val="2"/>
    </font>
    <font>
      <b/>
      <i/>
      <sz val="10"/>
      <color indexed="12"/>
      <name val="Arial"/>
      <family val="2"/>
    </font>
    <font>
      <i/>
      <sz val="8"/>
      <color indexed="12"/>
      <name val="Arial"/>
      <family val="2"/>
    </font>
    <font>
      <b/>
      <sz val="10"/>
      <color indexed="10"/>
      <name val="Arial"/>
      <family val="2"/>
    </font>
    <font>
      <sz val="10"/>
      <color indexed="10"/>
      <name val="Arial"/>
      <family val="2"/>
    </font>
    <font>
      <sz val="10"/>
      <color indexed="60"/>
      <name val="Arial"/>
      <family val="2"/>
    </font>
    <font>
      <sz val="10"/>
      <color indexed="12"/>
      <name val="Arial"/>
      <family val="2"/>
    </font>
    <font>
      <i/>
      <sz val="8"/>
      <color indexed="10"/>
      <name val="Arial"/>
      <family val="2"/>
    </font>
    <font>
      <b/>
      <sz val="10"/>
      <color indexed="10"/>
      <name val="Arial"/>
      <family val="2"/>
    </font>
    <font>
      <sz val="10"/>
      <name val="Arial"/>
      <family val="2"/>
    </font>
    <font>
      <sz val="10"/>
      <color indexed="19"/>
      <name val="Arial"/>
      <family val="2"/>
    </font>
    <font>
      <b/>
      <sz val="10"/>
      <name val="Arial"/>
      <family val="2"/>
    </font>
    <font>
      <i/>
      <sz val="8"/>
      <name val="Arial"/>
      <family val="2"/>
    </font>
    <font>
      <b/>
      <u/>
      <sz val="10"/>
      <color indexed="12"/>
      <name val="Arial"/>
      <family val="2"/>
    </font>
    <font>
      <b/>
      <sz val="8"/>
      <color indexed="20"/>
      <name val="Arial"/>
      <family val="2"/>
    </font>
    <font>
      <b/>
      <sz val="10"/>
      <color indexed="12"/>
      <name val="Arial"/>
      <family val="2"/>
    </font>
    <font>
      <sz val="8"/>
      <color indexed="12"/>
      <name val="Arial"/>
      <family val="2"/>
    </font>
    <font>
      <b/>
      <sz val="8"/>
      <color indexed="12"/>
      <name val="Arial"/>
      <family val="2"/>
    </font>
    <font>
      <sz val="7"/>
      <name val="Arial"/>
      <family val="2"/>
    </font>
    <font>
      <sz val="7"/>
      <name val="Arial"/>
      <family val="2"/>
    </font>
    <font>
      <b/>
      <i/>
      <sz val="10"/>
      <color indexed="10"/>
      <name val="Arial"/>
      <family val="2"/>
    </font>
    <font>
      <sz val="8"/>
      <color rgb="FF000000"/>
      <name val="Tahoma"/>
      <family val="2"/>
    </font>
  </fonts>
  <fills count="12">
    <fill>
      <patternFill patternType="none"/>
    </fill>
    <fill>
      <patternFill patternType="gray125"/>
    </fill>
    <fill>
      <patternFill patternType="solid">
        <fgColor indexed="15"/>
        <bgColor indexed="64"/>
      </patternFill>
    </fill>
    <fill>
      <patternFill patternType="solid">
        <fgColor indexed="53"/>
        <bgColor indexed="64"/>
      </patternFill>
    </fill>
    <fill>
      <patternFill patternType="solid">
        <fgColor indexed="48"/>
        <bgColor indexed="64"/>
      </patternFill>
    </fill>
    <fill>
      <patternFill patternType="solid">
        <fgColor indexed="22"/>
        <bgColor indexed="64"/>
      </patternFill>
    </fill>
    <fill>
      <patternFill patternType="solid">
        <fgColor indexed="57"/>
        <bgColor indexed="64"/>
      </patternFill>
    </fill>
    <fill>
      <patternFill patternType="solid">
        <fgColor indexed="11"/>
        <bgColor indexed="64"/>
      </patternFill>
    </fill>
    <fill>
      <patternFill patternType="solid">
        <fgColor indexed="13"/>
        <bgColor indexed="64"/>
      </patternFill>
    </fill>
    <fill>
      <patternFill patternType="solid">
        <fgColor indexed="43"/>
        <bgColor indexed="64"/>
      </patternFill>
    </fill>
    <fill>
      <patternFill patternType="solid">
        <fgColor indexed="8"/>
        <bgColor indexed="64"/>
      </patternFill>
    </fill>
    <fill>
      <patternFill patternType="solid">
        <fgColor indexed="50"/>
        <bgColor indexed="64"/>
      </patternFill>
    </fill>
  </fills>
  <borders count="16">
    <border>
      <left/>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09">
    <xf numFmtId="0" fontId="0" fillId="0" borderId="0" xfId="0"/>
    <xf numFmtId="0" fontId="0" fillId="2" borderId="0" xfId="0" applyFill="1" applyProtection="1">
      <protection locked="0" hidden="1"/>
    </xf>
    <xf numFmtId="0" fontId="0" fillId="3" borderId="0" xfId="0" applyFill="1" applyProtection="1">
      <protection locked="0" hidden="1"/>
    </xf>
    <xf numFmtId="0" fontId="0" fillId="4" borderId="0" xfId="0" applyFill="1" applyProtection="1">
      <protection locked="0" hidden="1"/>
    </xf>
    <xf numFmtId="0" fontId="0" fillId="4" borderId="1" xfId="0" applyFill="1" applyBorder="1" applyProtection="1">
      <protection locked="0" hidden="1"/>
    </xf>
    <xf numFmtId="0" fontId="0" fillId="0" borderId="0" xfId="0" applyProtection="1">
      <protection locked="0" hidden="1"/>
    </xf>
    <xf numFmtId="2" fontId="0" fillId="0" borderId="0" xfId="0" applyNumberFormat="1" applyProtection="1">
      <protection locked="0" hidden="1"/>
    </xf>
    <xf numFmtId="0" fontId="0" fillId="5" borderId="0" xfId="0" applyFill="1" applyProtection="1">
      <protection locked="0" hidden="1"/>
    </xf>
    <xf numFmtId="0" fontId="0" fillId="6" borderId="0" xfId="0" applyFill="1" applyProtection="1">
      <protection locked="0" hidden="1"/>
    </xf>
    <xf numFmtId="0" fontId="0" fillId="0" borderId="0" xfId="0" applyAlignment="1" applyProtection="1">
      <alignment horizontal="right"/>
      <protection locked="0" hidden="1"/>
    </xf>
    <xf numFmtId="0" fontId="4" fillId="7" borderId="2" xfId="0" applyFont="1" applyFill="1" applyBorder="1" applyProtection="1">
      <protection locked="0" hidden="1"/>
    </xf>
    <xf numFmtId="0" fontId="8" fillId="0" borderId="0" xfId="0" applyFont="1" applyProtection="1">
      <protection locked="0" hidden="1"/>
    </xf>
    <xf numFmtId="0" fontId="0" fillId="0" borderId="3" xfId="0" applyBorder="1" applyProtection="1">
      <protection locked="0" hidden="1"/>
    </xf>
    <xf numFmtId="0" fontId="0" fillId="0" borderId="4" xfId="0" applyBorder="1" applyProtection="1">
      <protection locked="0" hidden="1"/>
    </xf>
    <xf numFmtId="0" fontId="0" fillId="0" borderId="5" xfId="0" applyBorder="1" applyProtection="1">
      <protection locked="0" hidden="1"/>
    </xf>
    <xf numFmtId="0" fontId="0" fillId="0" borderId="6" xfId="0" applyBorder="1" applyProtection="1">
      <protection locked="0" hidden="1"/>
    </xf>
    <xf numFmtId="0" fontId="0" fillId="0" borderId="0" xfId="0" applyAlignment="1" applyProtection="1">
      <alignment horizontal="center"/>
      <protection locked="0" hidden="1"/>
    </xf>
    <xf numFmtId="0" fontId="0" fillId="0" borderId="7" xfId="0" applyBorder="1" applyAlignment="1" applyProtection="1">
      <alignment horizontal="center"/>
      <protection locked="0" hidden="1"/>
    </xf>
    <xf numFmtId="0" fontId="0" fillId="8" borderId="0" xfId="0" applyFill="1" applyProtection="1">
      <protection locked="0" hidden="1"/>
    </xf>
    <xf numFmtId="0" fontId="0" fillId="0" borderId="8" xfId="0" applyBorder="1" applyProtection="1">
      <protection locked="0" hidden="1"/>
    </xf>
    <xf numFmtId="2" fontId="0" fillId="0" borderId="3" xfId="0" applyNumberFormat="1" applyBorder="1" applyProtection="1">
      <protection locked="0" hidden="1"/>
    </xf>
    <xf numFmtId="2" fontId="0" fillId="0" borderId="4" xfId="0" applyNumberFormat="1" applyBorder="1" applyProtection="1">
      <protection locked="0" hidden="1"/>
    </xf>
    <xf numFmtId="0" fontId="0" fillId="7" borderId="4" xfId="0" applyFill="1" applyBorder="1" applyProtection="1">
      <protection locked="0" hidden="1"/>
    </xf>
    <xf numFmtId="2" fontId="4" fillId="0" borderId="0" xfId="0" applyNumberFormat="1" applyFont="1" applyProtection="1">
      <protection locked="0" hidden="1"/>
    </xf>
    <xf numFmtId="0" fontId="0" fillId="7" borderId="6" xfId="0" applyFill="1" applyBorder="1" applyProtection="1">
      <protection locked="0" hidden="1"/>
    </xf>
    <xf numFmtId="0" fontId="0" fillId="0" borderId="9" xfId="0" applyBorder="1" applyProtection="1">
      <protection locked="0" hidden="1"/>
    </xf>
    <xf numFmtId="2" fontId="0" fillId="0" borderId="6" xfId="0" applyNumberFormat="1" applyBorder="1" applyProtection="1">
      <protection locked="0" hidden="1"/>
    </xf>
    <xf numFmtId="0" fontId="7" fillId="0" borderId="0" xfId="0" applyFont="1" applyProtection="1">
      <protection locked="0" hidden="1"/>
    </xf>
    <xf numFmtId="0" fontId="6" fillId="0" borderId="0" xfId="0" applyFont="1" applyProtection="1">
      <protection locked="0" hidden="1"/>
    </xf>
    <xf numFmtId="0" fontId="15" fillId="0" borderId="0" xfId="0" applyFont="1" applyProtection="1">
      <protection locked="0" hidden="1"/>
    </xf>
    <xf numFmtId="0" fontId="15" fillId="0" borderId="9" xfId="0" applyFont="1" applyBorder="1" applyProtection="1">
      <protection locked="0" hidden="1"/>
    </xf>
    <xf numFmtId="0" fontId="6" fillId="0" borderId="5" xfId="0" applyFont="1" applyBorder="1" applyProtection="1">
      <protection locked="0" hidden="1"/>
    </xf>
    <xf numFmtId="0" fontId="19" fillId="0" borderId="0" xfId="0" applyFont="1" applyProtection="1">
      <protection locked="0" hidden="1"/>
    </xf>
    <xf numFmtId="0" fontId="8" fillId="7" borderId="4" xfId="0" applyFont="1" applyFill="1" applyBorder="1" applyProtection="1">
      <protection locked="0" hidden="1"/>
    </xf>
    <xf numFmtId="0" fontId="7" fillId="0" borderId="8" xfId="0" applyFont="1" applyBorder="1" applyProtection="1">
      <protection locked="0" hidden="1"/>
    </xf>
    <xf numFmtId="0" fontId="0" fillId="0" borderId="0" xfId="0" applyProtection="1">
      <protection hidden="1"/>
    </xf>
    <xf numFmtId="0" fontId="10" fillId="0" borderId="0" xfId="0" applyFont="1" applyAlignment="1" applyProtection="1">
      <alignment horizontal="left" shrinkToFit="1"/>
      <protection hidden="1"/>
    </xf>
    <xf numFmtId="0" fontId="0" fillId="0" borderId="0" xfId="0" applyAlignment="1" applyProtection="1">
      <alignment horizontal="center"/>
      <protection hidden="1"/>
    </xf>
    <xf numFmtId="0" fontId="4" fillId="5" borderId="0" xfId="0" applyFont="1" applyFill="1" applyProtection="1">
      <protection hidden="1"/>
    </xf>
    <xf numFmtId="2" fontId="5" fillId="0" borderId="0" xfId="0" applyNumberFormat="1" applyFont="1" applyProtection="1">
      <protection hidden="1"/>
    </xf>
    <xf numFmtId="0" fontId="4" fillId="0" borderId="0" xfId="0" applyFont="1" applyAlignment="1" applyProtection="1">
      <alignment horizontal="left"/>
      <protection hidden="1"/>
    </xf>
    <xf numFmtId="0" fontId="4" fillId="5" borderId="0" xfId="0" applyFont="1" applyFill="1" applyAlignment="1" applyProtection="1">
      <alignment horizontal="left"/>
      <protection hidden="1"/>
    </xf>
    <xf numFmtId="0" fontId="3" fillId="0" borderId="0" xfId="1" applyFont="1" applyFill="1" applyAlignment="1" applyProtection="1">
      <protection hidden="1"/>
    </xf>
    <xf numFmtId="0" fontId="4" fillId="0" borderId="0" xfId="0" applyFont="1" applyProtection="1">
      <protection hidden="1"/>
    </xf>
    <xf numFmtId="0" fontId="11" fillId="0" borderId="0" xfId="0" applyFont="1" applyProtection="1">
      <protection hidden="1"/>
    </xf>
    <xf numFmtId="0" fontId="11" fillId="5" borderId="0" xfId="0" applyFont="1" applyFill="1" applyProtection="1">
      <protection hidden="1"/>
    </xf>
    <xf numFmtId="0" fontId="5" fillId="0" borderId="0" xfId="0" applyFont="1" applyProtection="1">
      <protection hidden="1"/>
    </xf>
    <xf numFmtId="0" fontId="9" fillId="0" borderId="10" xfId="0" applyFont="1" applyBorder="1" applyAlignment="1" applyProtection="1">
      <alignment horizontal="center"/>
      <protection hidden="1"/>
    </xf>
    <xf numFmtId="0" fontId="9" fillId="0" borderId="11" xfId="0" applyFont="1" applyBorder="1" applyAlignment="1" applyProtection="1">
      <alignment horizontal="center"/>
      <protection hidden="1"/>
    </xf>
    <xf numFmtId="0" fontId="0" fillId="0" borderId="12" xfId="0" applyBorder="1" applyAlignment="1" applyProtection="1">
      <alignment horizontal="center" vertical="top"/>
      <protection hidden="1"/>
    </xf>
    <xf numFmtId="0" fontId="14" fillId="0" borderId="0" xfId="0" applyFont="1" applyProtection="1">
      <protection hidden="1"/>
    </xf>
    <xf numFmtId="0" fontId="20" fillId="9" borderId="7" xfId="0" applyFont="1" applyFill="1" applyBorder="1" applyAlignment="1" applyProtection="1">
      <alignment horizontal="center" vertical="center" shrinkToFit="1"/>
      <protection locked="0" hidden="1"/>
    </xf>
    <xf numFmtId="0" fontId="1" fillId="0" borderId="0" xfId="0" applyFont="1" applyProtection="1">
      <protection hidden="1"/>
    </xf>
    <xf numFmtId="0" fontId="18" fillId="0" borderId="0" xfId="0" applyFont="1" applyProtection="1">
      <protection hidden="1"/>
    </xf>
    <xf numFmtId="2" fontId="12" fillId="0" borderId="0" xfId="0" applyNumberFormat="1" applyFont="1" applyProtection="1">
      <protection hidden="1"/>
    </xf>
    <xf numFmtId="0" fontId="12" fillId="0" borderId="0" xfId="0" applyFont="1" applyProtection="1">
      <protection hidden="1"/>
    </xf>
    <xf numFmtId="0" fontId="15" fillId="0" borderId="0" xfId="0" applyFont="1" applyAlignment="1" applyProtection="1">
      <alignment horizontal="left" vertical="top" wrapText="1" shrinkToFit="1"/>
      <protection hidden="1"/>
    </xf>
    <xf numFmtId="0" fontId="0" fillId="5" borderId="0" xfId="0" applyFill="1" applyProtection="1">
      <protection hidden="1"/>
    </xf>
    <xf numFmtId="0" fontId="11" fillId="0" borderId="0" xfId="0" applyFont="1" applyAlignment="1" applyProtection="1">
      <alignment vertical="top"/>
      <protection hidden="1"/>
    </xf>
    <xf numFmtId="0" fontId="11" fillId="0" borderId="0" xfId="0" applyFont="1" applyAlignment="1" applyProtection="1">
      <alignment horizontal="right" vertical="top"/>
      <protection hidden="1"/>
    </xf>
    <xf numFmtId="0" fontId="21" fillId="0" borderId="0" xfId="0" applyFont="1" applyAlignment="1" applyProtection="1">
      <alignment vertical="top"/>
      <protection hidden="1"/>
    </xf>
    <xf numFmtId="0" fontId="22" fillId="0" borderId="0" xfId="1" applyFont="1" applyAlignment="1" applyProtection="1">
      <alignment vertical="top"/>
      <protection hidden="1"/>
    </xf>
    <xf numFmtId="0" fontId="21" fillId="0" borderId="0" xfId="0" applyFont="1" applyAlignment="1" applyProtection="1">
      <alignment vertical="top" wrapText="1"/>
      <protection hidden="1"/>
    </xf>
    <xf numFmtId="0" fontId="0" fillId="0" borderId="0" xfId="0" applyAlignment="1" applyProtection="1">
      <alignment vertical="top" wrapText="1"/>
      <protection hidden="1"/>
    </xf>
    <xf numFmtId="0" fontId="24" fillId="0" borderId="0" xfId="0" applyFont="1" applyAlignment="1" applyProtection="1">
      <alignment horizontal="right"/>
      <protection hidden="1"/>
    </xf>
    <xf numFmtId="0" fontId="25" fillId="0" borderId="0" xfId="1" applyFont="1" applyFill="1" applyBorder="1" applyAlignment="1" applyProtection="1">
      <alignment horizontal="right"/>
      <protection hidden="1"/>
    </xf>
    <xf numFmtId="14" fontId="25" fillId="0" borderId="0" xfId="1" applyNumberFormat="1" applyFont="1" applyFill="1" applyBorder="1" applyAlignment="1" applyProtection="1">
      <alignment horizontal="left"/>
      <protection hidden="1"/>
    </xf>
    <xf numFmtId="0" fontId="23" fillId="0" borderId="0" xfId="0" applyFont="1" applyProtection="1">
      <protection hidden="1"/>
    </xf>
    <xf numFmtId="2" fontId="1" fillId="3" borderId="0" xfId="0" applyNumberFormat="1" applyFont="1" applyFill="1" applyProtection="1">
      <protection hidden="1"/>
    </xf>
    <xf numFmtId="14" fontId="1" fillId="3" borderId="0" xfId="0" applyNumberFormat="1" applyFont="1" applyFill="1" applyProtection="1">
      <protection hidden="1"/>
    </xf>
    <xf numFmtId="0" fontId="0" fillId="10" borderId="0" xfId="0" applyFill="1" applyProtection="1">
      <protection hidden="1"/>
    </xf>
    <xf numFmtId="0" fontId="0" fillId="10" borderId="0" xfId="0" applyFill="1" applyProtection="1">
      <protection locked="0" hidden="1"/>
    </xf>
    <xf numFmtId="0" fontId="0" fillId="8" borderId="0" xfId="0" applyFill="1" applyProtection="1">
      <protection hidden="1"/>
    </xf>
    <xf numFmtId="0" fontId="26" fillId="0" borderId="0" xfId="0" applyFont="1" applyAlignment="1" applyProtection="1">
      <alignment horizontal="right"/>
      <protection hidden="1"/>
    </xf>
    <xf numFmtId="0" fontId="9" fillId="0" borderId="0" xfId="0" applyFont="1" applyProtection="1">
      <protection hidden="1"/>
    </xf>
    <xf numFmtId="0" fontId="0" fillId="0" borderId="0" xfId="0" applyAlignment="1" applyProtection="1">
      <alignment vertical="top"/>
      <protection hidden="1"/>
    </xf>
    <xf numFmtId="0" fontId="0" fillId="0" borderId="0" xfId="0" applyAlignment="1" applyProtection="1">
      <alignment horizontal="left"/>
      <protection locked="0" hidden="1"/>
    </xf>
    <xf numFmtId="0" fontId="0" fillId="0" borderId="9" xfId="0" applyBorder="1" applyAlignment="1" applyProtection="1">
      <alignment horizontal="center"/>
      <protection locked="0" hidden="1"/>
    </xf>
    <xf numFmtId="0" fontId="27" fillId="0" borderId="11" xfId="0" applyFont="1" applyBorder="1" applyAlignment="1" applyProtection="1">
      <alignment horizontal="center"/>
      <protection hidden="1"/>
    </xf>
    <xf numFmtId="0" fontId="28" fillId="0" borderId="12" xfId="0" applyFont="1" applyBorder="1" applyAlignment="1" applyProtection="1">
      <alignment horizontal="center" vertical="top"/>
      <protection hidden="1"/>
    </xf>
    <xf numFmtId="2" fontId="4" fillId="9" borderId="0" xfId="0" applyNumberFormat="1" applyFont="1" applyFill="1" applyProtection="1">
      <protection locked="0" hidden="1"/>
    </xf>
    <xf numFmtId="2" fontId="25" fillId="0" borderId="0" xfId="0" applyNumberFormat="1" applyFont="1" applyProtection="1">
      <protection hidden="1"/>
    </xf>
    <xf numFmtId="0" fontId="0" fillId="11" borderId="0" xfId="0" applyFill="1" applyProtection="1">
      <protection locked="0" hidden="1"/>
    </xf>
    <xf numFmtId="0" fontId="0" fillId="11" borderId="0" xfId="0" applyFill="1" applyAlignment="1" applyProtection="1">
      <alignment horizontal="center"/>
      <protection locked="0" hidden="1"/>
    </xf>
    <xf numFmtId="0" fontId="0" fillId="0" borderId="8" xfId="0" applyBorder="1" applyAlignment="1" applyProtection="1">
      <alignment horizontal="center"/>
      <protection locked="0" hidden="1"/>
    </xf>
    <xf numFmtId="0" fontId="0" fillId="11" borderId="8" xfId="0" applyFill="1" applyBorder="1" applyProtection="1">
      <protection locked="0" hidden="1"/>
    </xf>
    <xf numFmtId="0" fontId="0" fillId="11" borderId="9" xfId="0" applyFill="1" applyBorder="1" applyProtection="1">
      <protection locked="0" hidden="1"/>
    </xf>
    <xf numFmtId="0" fontId="14" fillId="0" borderId="0" xfId="0" applyFont="1" applyProtection="1">
      <protection locked="0" hidden="1"/>
    </xf>
    <xf numFmtId="0" fontId="4" fillId="0" borderId="0" xfId="0" applyFont="1" applyAlignment="1" applyProtection="1">
      <alignment horizontal="right"/>
      <protection hidden="1"/>
    </xf>
    <xf numFmtId="0" fontId="4" fillId="5" borderId="13" xfId="0" applyFont="1" applyFill="1" applyBorder="1" applyProtection="1">
      <protection locked="0" hidden="1"/>
    </xf>
    <xf numFmtId="0" fontId="4" fillId="5" borderId="14" xfId="0" applyFont="1" applyFill="1" applyBorder="1" applyProtection="1">
      <protection locked="0" hidden="1"/>
    </xf>
    <xf numFmtId="0" fontId="0" fillId="5" borderId="14" xfId="0" applyFill="1" applyBorder="1" applyProtection="1">
      <protection locked="0" hidden="1"/>
    </xf>
    <xf numFmtId="0" fontId="13" fillId="5" borderId="15" xfId="0" applyFont="1" applyFill="1" applyBorder="1" applyProtection="1">
      <protection locked="0" hidden="1"/>
    </xf>
    <xf numFmtId="0" fontId="13" fillId="5" borderId="13" xfId="0" applyFont="1" applyFill="1" applyBorder="1" applyProtection="1">
      <protection locked="0" hidden="1"/>
    </xf>
    <xf numFmtId="0" fontId="13" fillId="5" borderId="14" xfId="0" applyFont="1" applyFill="1" applyBorder="1" applyProtection="1">
      <protection locked="0" hidden="1"/>
    </xf>
    <xf numFmtId="0" fontId="0" fillId="5" borderId="15" xfId="0" applyFill="1" applyBorder="1" applyProtection="1">
      <protection locked="0" hidden="1"/>
    </xf>
    <xf numFmtId="0" fontId="0" fillId="5" borderId="13" xfId="0" applyFill="1" applyBorder="1" applyProtection="1">
      <protection locked="0" hidden="1"/>
    </xf>
    <xf numFmtId="0" fontId="1" fillId="0" borderId="0" xfId="0" applyFont="1" applyProtection="1">
      <protection locked="0" hidden="1"/>
    </xf>
    <xf numFmtId="0" fontId="8" fillId="0" borderId="11" xfId="0" applyFont="1" applyBorder="1" applyAlignment="1" applyProtection="1">
      <alignment horizontal="center"/>
      <protection hidden="1"/>
    </xf>
    <xf numFmtId="0" fontId="25" fillId="0" borderId="0" xfId="0" applyFont="1" applyProtection="1">
      <protection hidden="1"/>
    </xf>
    <xf numFmtId="0" fontId="15" fillId="0" borderId="0" xfId="0" applyFont="1" applyAlignment="1" applyProtection="1">
      <alignment horizontal="left" vertical="top" wrapText="1" shrinkToFit="1"/>
      <protection hidden="1"/>
    </xf>
    <xf numFmtId="0" fontId="11" fillId="0" borderId="0" xfId="0" applyFont="1" applyAlignment="1" applyProtection="1">
      <alignment vertical="top" wrapText="1"/>
      <protection hidden="1"/>
    </xf>
    <xf numFmtId="0" fontId="11" fillId="0" borderId="0" xfId="0" applyFont="1" applyAlignment="1" applyProtection="1">
      <alignment vertical="top"/>
      <protection hidden="1"/>
    </xf>
    <xf numFmtId="0" fontId="0" fillId="0" borderId="0" xfId="0" applyAlignment="1" applyProtection="1">
      <alignment vertical="top"/>
      <protection hidden="1"/>
    </xf>
    <xf numFmtId="0" fontId="29" fillId="0" borderId="0" xfId="0" applyFont="1" applyAlignment="1" applyProtection="1">
      <alignment horizontal="center" shrinkToFit="1"/>
      <protection hidden="1"/>
    </xf>
    <xf numFmtId="0" fontId="10" fillId="0" borderId="0" xfId="0" applyFont="1" applyAlignment="1" applyProtection="1">
      <alignment horizontal="center" shrinkToFit="1"/>
      <protection hidden="1"/>
    </xf>
    <xf numFmtId="0" fontId="16" fillId="0" borderId="0" xfId="0" applyFont="1" applyProtection="1">
      <protection hidden="1"/>
    </xf>
    <xf numFmtId="0" fontId="0" fillId="0" borderId="0" xfId="0" applyProtection="1">
      <protection hidden="1"/>
    </xf>
    <xf numFmtId="0" fontId="17" fillId="0" borderId="8" xfId="0" applyFont="1" applyBorder="1" applyProtection="1">
      <protection hidden="1"/>
    </xf>
  </cellXfs>
  <cellStyles count="2">
    <cellStyle name="Hyperlink" xfId="1" builtinId="8"/>
    <cellStyle name="Normal" xfId="0" builtinId="0"/>
  </cellStyles>
  <dxfs count="4">
    <dxf>
      <font>
        <condense val="0"/>
        <extend val="0"/>
        <color indexed="10"/>
      </font>
    </dxf>
    <dxf>
      <fill>
        <patternFill>
          <bgColor indexed="22"/>
        </patternFill>
      </fill>
    </dxf>
    <dxf>
      <fill>
        <patternFill>
          <bgColor indexed="10"/>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ra4help!R22" lockText="1" noThreeD="1"/>
</file>

<file path=xl/ctrlProps/ctrlProp10.xml><?xml version="1.0" encoding="utf-8"?>
<formControlPr xmlns="http://schemas.microsoft.com/office/spreadsheetml/2009/9/main" objectType="CheckBox" fmlaLink="Ara4help!S2" lockText="1"/>
</file>

<file path=xl/ctrlProps/ctrlProp11.xml><?xml version="1.0" encoding="utf-8"?>
<formControlPr xmlns="http://schemas.microsoft.com/office/spreadsheetml/2009/9/main" objectType="CheckBox" fmlaLink="Ara4help!U11" lockText="1"/>
</file>

<file path=xl/ctrlProps/ctrlProp12.xml><?xml version="1.0" encoding="utf-8"?>
<formControlPr xmlns="http://schemas.microsoft.com/office/spreadsheetml/2009/9/main" objectType="CheckBox" fmlaLink="Ara4help!U13" lockText="1"/>
</file>

<file path=xl/ctrlProps/ctrlProp2.xml><?xml version="1.0" encoding="utf-8"?>
<formControlPr xmlns="http://schemas.microsoft.com/office/spreadsheetml/2009/9/main" objectType="Drop" dropLines="12" dropStyle="combo" dx="22" fmlaLink="Ara4help!O2" fmlaRange="Ara4help!N2:N35" sel="1" val="0"/>
</file>

<file path=xl/ctrlProps/ctrlProp3.xml><?xml version="1.0" encoding="utf-8"?>
<formControlPr xmlns="http://schemas.microsoft.com/office/spreadsheetml/2009/9/main" objectType="CheckBox" fmlaLink="Ara4help!S3" lockText="1"/>
</file>

<file path=xl/ctrlProps/ctrlProp4.xml><?xml version="1.0" encoding="utf-8"?>
<formControlPr xmlns="http://schemas.microsoft.com/office/spreadsheetml/2009/9/main" objectType="CheckBox" fmlaLink="Ara4help!S4" lockText="1"/>
</file>

<file path=xl/ctrlProps/ctrlProp5.xml><?xml version="1.0" encoding="utf-8"?>
<formControlPr xmlns="http://schemas.microsoft.com/office/spreadsheetml/2009/9/main" objectType="Radio" checked="Checked" firstButton="1" fmlaLink="Ara4help!S6"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CheckBox" fmlaLink="Ara4help!U10" lockText="1"/>
</file>

<file path=xl/ctrlProps/ctrlProp8.xml><?xml version="1.0" encoding="utf-8"?>
<formControlPr xmlns="http://schemas.microsoft.com/office/spreadsheetml/2009/9/main" objectType="CheckBox" fmlaLink="Ara4help!U11" lockText="1"/>
</file>

<file path=xl/ctrlProps/ctrlProp9.xml><?xml version="1.0" encoding="utf-8"?>
<formControlPr xmlns="http://schemas.microsoft.com/office/spreadsheetml/2009/9/main" objectType="CheckBox" fmlaLink="Ara4help!U12"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914400</xdr:colOff>
          <xdr:row>18</xdr:row>
          <xdr:rowOff>133350</xdr:rowOff>
        </xdr:from>
        <xdr:to>
          <xdr:col>3</xdr:col>
          <xdr:colOff>133350</xdr:colOff>
          <xdr:row>20</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xdr:row>
          <xdr:rowOff>9525</xdr:rowOff>
        </xdr:from>
        <xdr:to>
          <xdr:col>3</xdr:col>
          <xdr:colOff>619125</xdr:colOff>
          <xdr:row>4</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123825</xdr:rowOff>
        </xdr:from>
        <xdr:to>
          <xdr:col>3</xdr:col>
          <xdr:colOff>704850</xdr:colOff>
          <xdr:row>22</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Side Yard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114300</xdr:rowOff>
        </xdr:from>
        <xdr:to>
          <xdr:col>3</xdr:col>
          <xdr:colOff>762000</xdr:colOff>
          <xdr:row>24</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Rear Yard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152400</xdr:rowOff>
        </xdr:from>
        <xdr:to>
          <xdr:col>4</xdr:col>
          <xdr:colOff>361950</xdr:colOff>
          <xdr:row>6</xdr:row>
          <xdr:rowOff>38100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Single Family Dwelling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xdr:row>
          <xdr:rowOff>152400</xdr:rowOff>
        </xdr:from>
        <xdr:to>
          <xdr:col>6</xdr:col>
          <xdr:colOff>38100</xdr:colOff>
          <xdr:row>6</xdr:row>
          <xdr:rowOff>57150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Duplex or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133350</xdr:rowOff>
        </xdr:from>
        <xdr:to>
          <xdr:col>4</xdr:col>
          <xdr:colOff>352425</xdr:colOff>
          <xdr:row>10</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Hillside Area (Zoning)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133350</xdr:rowOff>
        </xdr:from>
        <xdr:to>
          <xdr:col>4</xdr:col>
          <xdr:colOff>552450</xdr:colOff>
          <xdr:row>12</xdr:row>
          <xdr:rowOff>19050</xdr:rowOff>
        </xdr:to>
        <xdr:sp macro="" textlink="">
          <xdr:nvSpPr>
            <xdr:cNvPr id="2057" name="Check Box 9" descr="Substandard Hillside Street"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133350</xdr:rowOff>
        </xdr:from>
        <xdr:to>
          <xdr:col>4</xdr:col>
          <xdr:colOff>685800</xdr:colOff>
          <xdr:row>8</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Coastal Zone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104775</xdr:rowOff>
        </xdr:from>
        <xdr:to>
          <xdr:col>3</xdr:col>
          <xdr:colOff>762000</xdr:colOff>
          <xdr:row>26</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Front Yard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142875</xdr:rowOff>
        </xdr:from>
        <xdr:to>
          <xdr:col>5</xdr:col>
          <xdr:colOff>304800</xdr:colOff>
          <xdr:row>12</xdr:row>
          <xdr:rowOff>28575</xdr:rowOff>
        </xdr:to>
        <xdr:sp macro="" textlink="">
          <xdr:nvSpPr>
            <xdr:cNvPr id="2067" name="Check Box 19" descr="Substandard Hillside Street"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133350</xdr:rowOff>
        </xdr:from>
        <xdr:to>
          <xdr:col>6</xdr:col>
          <xdr:colOff>28575</xdr:colOff>
          <xdr:row>12</xdr:row>
          <xdr:rowOff>19050</xdr:rowOff>
        </xdr:to>
        <xdr:sp macro="" textlink="">
          <xdr:nvSpPr>
            <xdr:cNvPr id="2068" name="Check Box 20" descr="Substandard Hillside Street"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printerSettings" Target="../printerSettings/printerSettings2.bin"/><Relationship Id="rId16" Type="http://schemas.openxmlformats.org/officeDocument/2006/relationships/ctrlProp" Target="../ctrlProps/ctrlProp10.xml"/><Relationship Id="rId1" Type="http://schemas.openxmlformats.org/officeDocument/2006/relationships/printerSettings" Target="../printerSettings/printerSettings1.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printerSettings" Target="../printerSettings/printerSettings4.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B1:AF160"/>
  <sheetViews>
    <sheetView showGridLines="0" showRowColHeaders="0" tabSelected="1" workbookViewId="0">
      <selection activeCell="D18" sqref="D18"/>
    </sheetView>
  </sheetViews>
  <sheetFormatPr defaultRowHeight="12.75" x14ac:dyDescent="0.2"/>
  <cols>
    <col min="1" max="1" width="1.7109375" style="35" customWidth="1"/>
    <col min="2" max="2" width="14.28515625" style="35" customWidth="1"/>
    <col min="3" max="3" width="2" style="35" customWidth="1"/>
    <col min="4" max="5" width="12.7109375" style="35" customWidth="1"/>
    <col min="6" max="6" width="12.7109375" style="37" customWidth="1"/>
    <col min="7" max="8" width="12.7109375" style="35" customWidth="1"/>
    <col min="9" max="10" width="9.140625" style="35"/>
    <col min="11" max="11" width="12" style="35" hidden="1" customWidth="1"/>
    <col min="12" max="12" width="9" style="5" hidden="1" customWidth="1"/>
    <col min="13" max="24" width="9.140625" style="5" hidden="1" customWidth="1"/>
    <col min="25" max="25" width="9.140625" style="16" hidden="1" customWidth="1"/>
    <col min="26" max="26" width="9.140625" style="5" hidden="1" customWidth="1"/>
    <col min="27" max="27" width="9.140625" style="6" hidden="1" customWidth="1"/>
    <col min="28" max="32" width="9.140625" style="5" hidden="1" customWidth="1"/>
    <col min="33" max="16384" width="9.140625" style="35"/>
  </cols>
  <sheetData>
    <row r="1" spans="2:32" ht="13.5" thickBot="1" x14ac:dyDescent="0.25">
      <c r="B1" s="104" t="str">
        <f ca="1">IF(K4&lt;1,K153,IF(K3&lt;1,K154,"City of Los Angeles Zoning Code"))</f>
        <v>City of Los Angeles Zoning Code</v>
      </c>
      <c r="C1" s="104"/>
      <c r="D1" s="104"/>
      <c r="E1" s="104"/>
      <c r="F1" s="104"/>
      <c r="G1" s="104"/>
      <c r="H1" s="104"/>
      <c r="K1" s="70"/>
      <c r="AF1" s="71"/>
    </row>
    <row r="2" spans="2:32" ht="13.5" thickBot="1" x14ac:dyDescent="0.25">
      <c r="B2" s="105" t="s">
        <v>138</v>
      </c>
      <c r="C2" s="105"/>
      <c r="D2" s="105"/>
      <c r="E2" s="105"/>
      <c r="F2" s="105"/>
      <c r="G2" s="105"/>
      <c r="H2" s="105"/>
      <c r="I2" s="36"/>
      <c r="M2" s="5">
        <f ca="1">IF(OR(K3&lt;1,K4&lt;1),99,1)</f>
        <v>1</v>
      </c>
      <c r="O2" s="5">
        <v>1</v>
      </c>
      <c r="R2" s="7" t="str">
        <f>IF(O2=1,"Select Zone","")</f>
        <v>Select Zone</v>
      </c>
      <c r="S2" s="1" t="b">
        <v>0</v>
      </c>
      <c r="T2" s="5" t="s">
        <v>104</v>
      </c>
      <c r="U2" s="10" t="str">
        <f>IF(AND($O$2&lt;&gt;1,$S$2=TRUE),LOOKUP($O$2,$M$3:$M$35,$Q$3:$Q$35),IF(AND($O$2=1,$S$2=TRUE),"Select Zone",""))</f>
        <v/>
      </c>
      <c r="V2" s="5" t="s">
        <v>24</v>
      </c>
      <c r="W2" s="89" t="str">
        <f>IF(AND(S6=1,T10=1,T11=1,(OR(O2=2,O2=3,O2=16,O2=17,O2=18,O2=19,O2=20,O2=21))),"☺Hillside Ord.- Sec. 12.21.A.17","")</f>
        <v/>
      </c>
      <c r="AC2" s="5" t="s">
        <v>25</v>
      </c>
      <c r="AD2" s="93" t="str">
        <f>IF(AND(O2=12,S4=TRUE),AB97,"")</f>
        <v/>
      </c>
    </row>
    <row r="3" spans="2:32" ht="13.5" thickBot="1" x14ac:dyDescent="0.25">
      <c r="B3" s="73" t="s">
        <v>140</v>
      </c>
      <c r="D3" s="99" t="s">
        <v>84</v>
      </c>
      <c r="G3" s="65" t="s">
        <v>81</v>
      </c>
      <c r="H3" s="66">
        <v>46022</v>
      </c>
      <c r="K3" s="72">
        <f>IF(OR(K156=K157,K156=K158),1,0)</f>
        <v>1</v>
      </c>
      <c r="M3" s="8">
        <f ca="1">M2+1</f>
        <v>2</v>
      </c>
      <c r="N3" s="5" t="s">
        <v>0</v>
      </c>
      <c r="O3" s="6">
        <f>S42</f>
        <v>3</v>
      </c>
      <c r="P3" s="6">
        <f>AA42</f>
        <v>0</v>
      </c>
      <c r="Q3" s="5">
        <f>AC42</f>
        <v>5</v>
      </c>
      <c r="R3" s="5" t="s">
        <v>24</v>
      </c>
      <c r="S3" s="1" t="b">
        <v>0</v>
      </c>
      <c r="W3" s="90" t="str">
        <f>IF(AND(S6=1,O2&gt;3,O2&lt;12,T10=1),"☺Baseline Hillside Ord.- Sec. 12.21.C.10","")</f>
        <v/>
      </c>
      <c r="AD3" s="94" t="str">
        <f>IF(AND(O2=13,S4=TRUE),AB102,"")</f>
        <v/>
      </c>
    </row>
    <row r="4" spans="2:32" ht="13.5" thickBot="1" x14ac:dyDescent="0.25">
      <c r="B4" s="38" t="s">
        <v>55</v>
      </c>
      <c r="E4" s="81" t="str">
        <f>IF(Ara4help!$O$2=7, "* See sec.12.22.C.21 for RE15-H zone exeptions","")</f>
        <v/>
      </c>
      <c r="F4" s="35"/>
      <c r="G4" s="64"/>
      <c r="H4" s="55"/>
      <c r="I4" s="67"/>
      <c r="K4" s="68">
        <f ca="1">K6-K5</f>
        <v>457</v>
      </c>
      <c r="M4" s="8">
        <f t="shared" ref="M4:M35" ca="1" si="0">M3+1</f>
        <v>3</v>
      </c>
      <c r="N4" s="5" t="s">
        <v>1</v>
      </c>
      <c r="O4" s="6">
        <f>S42</f>
        <v>3</v>
      </c>
      <c r="P4" s="6">
        <f>AA42</f>
        <v>0</v>
      </c>
      <c r="Q4" s="5">
        <f>AC42</f>
        <v>5</v>
      </c>
      <c r="R4" s="5" t="s">
        <v>25</v>
      </c>
      <c r="S4" s="1" t="b">
        <v>0</v>
      </c>
      <c r="T4" s="9" t="s">
        <v>42</v>
      </c>
      <c r="U4" s="10" t="str">
        <f>IF(AND($O$2&lt;&gt;1,$S$3=TRUE),LOOKUP($O$2,$M$3:$M$35,$O$3:$O$35),IF(AND($O$2=1,$S$3=TRUE),"Select Zone",""))</f>
        <v/>
      </c>
      <c r="W4" s="90" t="str">
        <f>IF(AND(S6=2,T10=1,T11=1,(OR(O2=2,O2=3,O2=16,O2=17,O2=18,O2=19,O2=20,O2=21))),"☺Hillside Ord. does not apply to Duplex or Apartment","")</f>
        <v/>
      </c>
      <c r="X4" s="87"/>
      <c r="AD4" s="94" t="str">
        <f>IF(AND(O2=14,S4=TRUE),AB107,"")</f>
        <v/>
      </c>
    </row>
    <row r="5" spans="2:32" ht="13.5" thickBot="1" x14ac:dyDescent="0.25">
      <c r="B5" s="40"/>
      <c r="F5" s="35"/>
      <c r="G5" s="65"/>
      <c r="H5" s="66"/>
      <c r="I5"/>
      <c r="K5" s="69">
        <f ca="1">TODAY()</f>
        <v>45565</v>
      </c>
      <c r="M5" s="82">
        <f t="shared" ca="1" si="0"/>
        <v>4</v>
      </c>
      <c r="N5" s="5" t="s">
        <v>2</v>
      </c>
      <c r="O5" s="6">
        <f>S47</f>
        <v>10</v>
      </c>
      <c r="P5" s="6">
        <f>AA47</f>
        <v>0</v>
      </c>
      <c r="Q5" s="5">
        <f>AC47</f>
        <v>5</v>
      </c>
      <c r="R5" s="5" t="s">
        <v>62</v>
      </c>
      <c r="S5" s="2" t="b">
        <v>0</v>
      </c>
      <c r="T5" s="9" t="s">
        <v>43</v>
      </c>
      <c r="U5" s="10" t="str">
        <f>IF(AND($O$2&lt;&gt;1,$S$4=TRUE),LOOKUP($O$2,$M$3:$M$35,$P$3:$P$35),IF(AND($O$2=1,$S$4=TRUE),"Select Zone",""))</f>
        <v/>
      </c>
      <c r="W5" s="90" t="str">
        <f>IF(AND(O2=15,S3=TRUE,U10=TRUE,U11=FALSE,S6=1),"☺Side yard- See Letter dated 01/17/2007 from LADBS Zoning Engineer","")</f>
        <v/>
      </c>
      <c r="AD5" s="95"/>
    </row>
    <row r="6" spans="2:32" x14ac:dyDescent="0.2">
      <c r="B6" s="41" t="s">
        <v>54</v>
      </c>
      <c r="C6" s="42"/>
      <c r="D6" s="43"/>
      <c r="F6" s="35"/>
      <c r="H6" s="37"/>
      <c r="K6" s="69">
        <f>H3</f>
        <v>46022</v>
      </c>
      <c r="M6" s="82">
        <f t="shared" ca="1" si="0"/>
        <v>5</v>
      </c>
      <c r="N6" s="5" t="s">
        <v>3</v>
      </c>
      <c r="O6" s="6">
        <f>S87</f>
        <v>10</v>
      </c>
      <c r="P6" s="6">
        <f>AA87</f>
        <v>0</v>
      </c>
      <c r="Q6" s="5">
        <f>AC87</f>
        <v>5</v>
      </c>
      <c r="R6" s="5" t="s">
        <v>56</v>
      </c>
      <c r="S6" s="3">
        <v>1</v>
      </c>
      <c r="T6" s="9" t="s">
        <v>60</v>
      </c>
      <c r="U6" s="2" t="str">
        <f>IF(S5=TRUE,"☺ Under Construction","")</f>
        <v/>
      </c>
      <c r="W6" s="90" t="str">
        <f>IF(AND(O2=12,S3=TRUE),AB98,"")</f>
        <v/>
      </c>
      <c r="AC6" s="5" t="s">
        <v>104</v>
      </c>
      <c r="AD6" s="96" t="str">
        <f>IF(S2&lt;&gt;TRUE,"",IF(OR(O2=15,AND(O2&gt;3,O2&lt;12)),"☺Prevailing setback regulations shall apply to required Front Yard (min. 5-ft)",""))</f>
        <v/>
      </c>
    </row>
    <row r="7" spans="2:32" x14ac:dyDescent="0.2">
      <c r="B7" s="43"/>
      <c r="E7" s="39"/>
      <c r="F7" s="35"/>
      <c r="H7" s="37"/>
      <c r="M7" s="82">
        <f t="shared" ca="1" si="0"/>
        <v>6</v>
      </c>
      <c r="N7" s="5" t="s">
        <v>4</v>
      </c>
      <c r="O7" s="6">
        <f>S77</f>
        <v>10</v>
      </c>
      <c r="P7" s="6">
        <f>AA77</f>
        <v>0</v>
      </c>
      <c r="Q7" s="5">
        <f>AC77</f>
        <v>5</v>
      </c>
      <c r="R7" s="5" t="s">
        <v>118</v>
      </c>
      <c r="V7" s="11"/>
      <c r="W7" s="90" t="str">
        <f>IF(AND(O2=13,S3=TRUE),AB103,"")</f>
        <v/>
      </c>
      <c r="AD7" s="91" t="str">
        <f>IF(S2&lt;&gt;TRUE,"",IF(O2=24,"☺See Sec. 12.10.5.C.1 for Front Yard exceptions",IF(O2=26,"☺See Sec. 12.11.5.C.1 for Front Yard exceptions","")))</f>
        <v/>
      </c>
    </row>
    <row r="8" spans="2:32" x14ac:dyDescent="0.2">
      <c r="B8" s="41" t="s">
        <v>57</v>
      </c>
      <c r="C8" s="43"/>
      <c r="F8" s="44"/>
      <c r="H8" s="37"/>
      <c r="M8" s="82">
        <f t="shared" ca="1" si="0"/>
        <v>7</v>
      </c>
      <c r="N8" s="5" t="s">
        <v>5</v>
      </c>
      <c r="O8" s="6">
        <f>S67</f>
        <v>3</v>
      </c>
      <c r="P8" s="6">
        <f>AA67</f>
        <v>0</v>
      </c>
      <c r="Q8" s="5">
        <f>AC67</f>
        <v>5</v>
      </c>
      <c r="R8" s="5" t="s">
        <v>119</v>
      </c>
      <c r="W8" s="90" t="str">
        <f>IF(AND(O2=22,S3=TRUE),AB143,"")</f>
        <v/>
      </c>
      <c r="AD8" s="91" t="str">
        <f>IF(S2&lt;&gt;TRUE,"",IF(AND($T$10=1,$T$13=1,$E$26&lt;&gt;"Select Zone",O2&lt;31),"☺Required Front Yard 5-ft per ZA-90-1439(ZAI)",""))</f>
        <v/>
      </c>
    </row>
    <row r="9" spans="2:32" x14ac:dyDescent="0.2">
      <c r="B9" s="41" t="s">
        <v>58</v>
      </c>
      <c r="D9" s="35" t="s">
        <v>139</v>
      </c>
      <c r="F9" s="35"/>
      <c r="H9" s="37"/>
      <c r="M9" s="82">
        <f t="shared" ca="1" si="0"/>
        <v>8</v>
      </c>
      <c r="N9" s="5" t="s">
        <v>6</v>
      </c>
      <c r="O9" s="6">
        <f>S57</f>
        <v>3</v>
      </c>
      <c r="P9" s="6">
        <f>AA57</f>
        <v>0</v>
      </c>
      <c r="Q9" s="5">
        <f>AC57</f>
        <v>5</v>
      </c>
      <c r="W9" s="90" t="str">
        <f>IF(AND(OR(O2=24,O2=26),S3=TRUE),AB148,"")</f>
        <v/>
      </c>
      <c r="AD9" s="91"/>
    </row>
    <row r="10" spans="2:32" x14ac:dyDescent="0.2">
      <c r="B10" s="45" t="s">
        <v>77</v>
      </c>
      <c r="C10" s="39"/>
      <c r="E10" s="39"/>
      <c r="G10" s="44"/>
      <c r="H10" s="37"/>
      <c r="M10" s="82">
        <f t="shared" ca="1" si="0"/>
        <v>9</v>
      </c>
      <c r="N10" s="5" t="s">
        <v>7</v>
      </c>
      <c r="O10" s="6">
        <f>S57</f>
        <v>3</v>
      </c>
      <c r="P10" s="6">
        <f>AA57</f>
        <v>0</v>
      </c>
      <c r="Q10" s="5">
        <f>AC57</f>
        <v>5</v>
      </c>
      <c r="R10" s="12">
        <f>IF(AND(T10=0,T11=0,T12=0),1,IF(AND(T10=0,T11=0,T12=1),2,IF(AND(T10=0,T11=1,T12=0),3,IF(AND(T10=0,T11=1,T12=1),4,IF(AND(T10=1,T11=0,T12=0),5,IF(AND(T10=1,T11=0,T12=1),6,IF(AND(T10=1,T11=1,T12=0),7,8)))))))</f>
        <v>1</v>
      </c>
      <c r="S10" s="4">
        <f>R10</f>
        <v>1</v>
      </c>
      <c r="T10" s="5">
        <f>IF(U10=TRUE,1,0)</f>
        <v>0</v>
      </c>
      <c r="U10" s="1" t="b">
        <v>0</v>
      </c>
      <c r="V10" s="5" t="s">
        <v>85</v>
      </c>
      <c r="W10" s="91" t="str">
        <f>IF(AND(O2&gt;3,O2&lt;12,S3=TRUE),"☺Side Yard requirements in Specific plans, Historic Preservation Overlay Zones or in Subdivision approvals may overrule","")</f>
        <v/>
      </c>
      <c r="AD10" s="91"/>
    </row>
    <row r="11" spans="2:32" ht="13.5" thickBot="1" x14ac:dyDescent="0.25">
      <c r="B11" s="45" t="s">
        <v>78</v>
      </c>
      <c r="F11" s="35"/>
      <c r="H11" s="37"/>
      <c r="M11" s="82">
        <f t="shared" ca="1" si="0"/>
        <v>10</v>
      </c>
      <c r="N11" s="5" t="s">
        <v>8</v>
      </c>
      <c r="O11" s="6">
        <f>S31</f>
        <v>3</v>
      </c>
      <c r="P11" s="6">
        <f>AA32</f>
        <v>20</v>
      </c>
      <c r="Q11" s="5">
        <f>AC32</f>
        <v>5</v>
      </c>
      <c r="R11" s="13" t="s">
        <v>120</v>
      </c>
      <c r="S11" s="14" t="s">
        <v>90</v>
      </c>
      <c r="T11" s="5">
        <f>IF(U11=TRUE,1,0)</f>
        <v>0</v>
      </c>
      <c r="U11" s="1" t="b">
        <v>0</v>
      </c>
      <c r="V11" s="5" t="s">
        <v>86</v>
      </c>
      <c r="W11" s="92"/>
      <c r="AD11" s="95"/>
    </row>
    <row r="12" spans="2:32" x14ac:dyDescent="0.2">
      <c r="B12" s="45" t="s">
        <v>79</v>
      </c>
      <c r="C12" s="46"/>
      <c r="D12" s="74" t="str">
        <f>IF($U$10=TRUE,"      Substandard Hillside Street","")</f>
        <v/>
      </c>
      <c r="F12" s="74" t="str">
        <f>IF($U$10=TRUE,"      ''Purple'' Street","")</f>
        <v/>
      </c>
      <c r="H12" s="37"/>
      <c r="M12" s="82">
        <f t="shared" ca="1" si="0"/>
        <v>11</v>
      </c>
      <c r="N12" s="5" t="s">
        <v>9</v>
      </c>
      <c r="O12" s="6">
        <f>S31</f>
        <v>3</v>
      </c>
      <c r="P12" s="6">
        <f>AA31</f>
        <v>15</v>
      </c>
      <c r="Q12" s="5">
        <f>AC31</f>
        <v>5</v>
      </c>
      <c r="R12" s="13" t="s">
        <v>121</v>
      </c>
      <c r="S12" s="14" t="s">
        <v>91</v>
      </c>
      <c r="T12" s="5">
        <f>IF(U12=TRUE,1,0)</f>
        <v>0</v>
      </c>
      <c r="U12" s="1" t="b">
        <v>0</v>
      </c>
      <c r="V12" s="5" t="s">
        <v>87</v>
      </c>
    </row>
    <row r="13" spans="2:32" x14ac:dyDescent="0.2">
      <c r="B13" s="43"/>
      <c r="H13" s="37"/>
      <c r="M13" s="5">
        <f t="shared" ca="1" si="0"/>
        <v>12</v>
      </c>
      <c r="N13" s="5" t="s">
        <v>20</v>
      </c>
      <c r="O13" s="6">
        <f>S97</f>
        <v>3</v>
      </c>
      <c r="P13" s="6">
        <f>AA97</f>
        <v>10</v>
      </c>
      <c r="Q13" s="5">
        <f>AC97</f>
        <v>10</v>
      </c>
      <c r="R13" s="13" t="s">
        <v>122</v>
      </c>
      <c r="S13" s="14" t="s">
        <v>92</v>
      </c>
      <c r="T13" s="5">
        <f>IF(U13=TRUE,1,0)</f>
        <v>0</v>
      </c>
      <c r="U13" s="1" t="b">
        <v>0</v>
      </c>
      <c r="V13" s="5" t="s">
        <v>129</v>
      </c>
    </row>
    <row r="14" spans="2:32" x14ac:dyDescent="0.2">
      <c r="B14" s="43"/>
      <c r="M14" s="5">
        <f t="shared" ca="1" si="0"/>
        <v>13</v>
      </c>
      <c r="N14" s="5" t="s">
        <v>21</v>
      </c>
      <c r="O14" s="6">
        <f>S102</f>
        <v>3</v>
      </c>
      <c r="P14" s="6">
        <f>AA102</f>
        <v>15</v>
      </c>
      <c r="Q14" s="5">
        <f>AC102</f>
        <v>10</v>
      </c>
      <c r="R14" s="13" t="s">
        <v>123</v>
      </c>
      <c r="S14" s="14" t="s">
        <v>93</v>
      </c>
      <c r="T14" s="16"/>
      <c r="U14" s="16" t="s">
        <v>97</v>
      </c>
      <c r="V14" s="16" t="s">
        <v>100</v>
      </c>
    </row>
    <row r="15" spans="2:32" x14ac:dyDescent="0.2">
      <c r="B15" s="41" t="s">
        <v>73</v>
      </c>
      <c r="D15" s="47" t="s">
        <v>27</v>
      </c>
      <c r="E15" s="47" t="s">
        <v>27</v>
      </c>
      <c r="F15" s="47" t="s">
        <v>110</v>
      </c>
      <c r="G15" s="47" t="s">
        <v>80</v>
      </c>
      <c r="M15" s="5">
        <f t="shared" ca="1" si="0"/>
        <v>14</v>
      </c>
      <c r="N15" s="5" t="s">
        <v>22</v>
      </c>
      <c r="O15" s="6">
        <f>S107</f>
        <v>3</v>
      </c>
      <c r="P15" s="6">
        <f>AA107</f>
        <v>15</v>
      </c>
      <c r="Q15" s="5">
        <f>AC107</f>
        <v>10</v>
      </c>
      <c r="R15" s="13" t="s">
        <v>124</v>
      </c>
      <c r="S15" s="14" t="s">
        <v>60</v>
      </c>
      <c r="T15" s="16" t="s">
        <v>98</v>
      </c>
      <c r="U15" s="16">
        <v>1</v>
      </c>
      <c r="V15" s="76" t="s">
        <v>101</v>
      </c>
    </row>
    <row r="16" spans="2:32" x14ac:dyDescent="0.2">
      <c r="B16" s="41" t="s">
        <v>74</v>
      </c>
      <c r="D16" s="48" t="s">
        <v>28</v>
      </c>
      <c r="E16" s="48" t="s">
        <v>29</v>
      </c>
      <c r="F16" s="78" t="s">
        <v>111</v>
      </c>
      <c r="G16" s="98" t="str">
        <f>IF(AND(O2&gt;3,O2&lt;12,S6=1,T10=1),"''Envelope''", "Overall")</f>
        <v>Overall</v>
      </c>
      <c r="M16" s="5">
        <f t="shared" ca="1" si="0"/>
        <v>15</v>
      </c>
      <c r="N16" s="5" t="s">
        <v>10</v>
      </c>
      <c r="O16" s="6">
        <f>S112</f>
        <v>3</v>
      </c>
      <c r="P16" s="6">
        <f>AA112</f>
        <v>15</v>
      </c>
      <c r="Q16" s="5">
        <f>AC112</f>
        <v>5</v>
      </c>
      <c r="R16" s="13" t="s">
        <v>125</v>
      </c>
      <c r="S16" s="14" t="s">
        <v>94</v>
      </c>
      <c r="T16" s="16" t="s">
        <v>30</v>
      </c>
      <c r="U16" s="16">
        <v>2</v>
      </c>
      <c r="V16" s="76" t="s">
        <v>102</v>
      </c>
    </row>
    <row r="17" spans="2:31" ht="15.75" customHeight="1" x14ac:dyDescent="0.2">
      <c r="B17" s="41" t="s">
        <v>75</v>
      </c>
      <c r="D17" s="49" t="s">
        <v>63</v>
      </c>
      <c r="E17" s="49" t="s">
        <v>63</v>
      </c>
      <c r="F17" s="79" t="s">
        <v>112</v>
      </c>
      <c r="G17" s="49" t="s">
        <v>63</v>
      </c>
      <c r="H17" s="50"/>
      <c r="M17" s="8">
        <f t="shared" ca="1" si="0"/>
        <v>16</v>
      </c>
      <c r="N17" s="5" t="s">
        <v>14</v>
      </c>
      <c r="O17" s="6">
        <f>S117</f>
        <v>3</v>
      </c>
      <c r="P17" s="6">
        <f>AA117</f>
        <v>15</v>
      </c>
      <c r="Q17" s="5">
        <f>AC117</f>
        <v>15</v>
      </c>
      <c r="R17" s="13" t="s">
        <v>126</v>
      </c>
      <c r="S17" s="14" t="s">
        <v>95</v>
      </c>
      <c r="T17" s="16" t="s">
        <v>99</v>
      </c>
      <c r="U17" s="16">
        <v>3</v>
      </c>
      <c r="V17" s="76" t="s">
        <v>103</v>
      </c>
      <c r="W17" s="16"/>
      <c r="X17" s="16"/>
    </row>
    <row r="18" spans="2:31" ht="16.5" customHeight="1" x14ac:dyDescent="0.2">
      <c r="B18" s="41"/>
      <c r="D18" s="51"/>
      <c r="E18" s="51"/>
      <c r="F18" s="51"/>
      <c r="G18" s="51"/>
      <c r="H18" s="50"/>
      <c r="M18" s="8">
        <f t="shared" ca="1" si="0"/>
        <v>17</v>
      </c>
      <c r="N18" s="5" t="s">
        <v>15</v>
      </c>
      <c r="O18" s="6">
        <f>S117</f>
        <v>3</v>
      </c>
      <c r="P18" s="6">
        <f>AA117</f>
        <v>15</v>
      </c>
      <c r="Q18" s="5">
        <f>AC117</f>
        <v>15</v>
      </c>
      <c r="R18" s="13" t="s">
        <v>127</v>
      </c>
      <c r="S18" s="14" t="s">
        <v>96</v>
      </c>
      <c r="T18" s="16"/>
      <c r="U18" s="16"/>
      <c r="V18" s="16"/>
      <c r="W18" s="16"/>
      <c r="X18" s="16"/>
    </row>
    <row r="19" spans="2:31" x14ac:dyDescent="0.2">
      <c r="B19" s="43"/>
      <c r="C19" s="52"/>
      <c r="D19" s="108" t="str">
        <f>IF(MIN(D18:G18)&lt;0,"Input Correct value in the Red highlighted cell(s) above","")</f>
        <v/>
      </c>
      <c r="E19" s="108"/>
      <c r="F19" s="108"/>
      <c r="G19" s="108"/>
      <c r="H19" s="53"/>
      <c r="I19" s="53"/>
      <c r="M19" s="8">
        <f t="shared" ca="1" si="0"/>
        <v>18</v>
      </c>
      <c r="N19" s="5" t="s">
        <v>16</v>
      </c>
      <c r="O19" s="6">
        <f>S122</f>
        <v>5</v>
      </c>
      <c r="P19" s="6">
        <f>AA122</f>
        <v>15</v>
      </c>
      <c r="Q19" s="5">
        <f>AC122</f>
        <v>15</v>
      </c>
      <c r="S19" s="16" t="s">
        <v>88</v>
      </c>
      <c r="T19" s="16" t="s">
        <v>89</v>
      </c>
      <c r="U19" s="16" t="s">
        <v>26</v>
      </c>
      <c r="V19" s="16" t="s">
        <v>60</v>
      </c>
      <c r="W19" s="16"/>
      <c r="X19" s="16"/>
    </row>
    <row r="20" spans="2:31" x14ac:dyDescent="0.2">
      <c r="B20" s="43"/>
      <c r="D20" s="106" t="str">
        <f>Ara4help!$S$22</f>
        <v/>
      </c>
      <c r="E20" s="107"/>
      <c r="F20" s="107"/>
      <c r="G20" s="107"/>
      <c r="M20" s="8">
        <f t="shared" ca="1" si="0"/>
        <v>19</v>
      </c>
      <c r="N20" s="5" t="s">
        <v>17</v>
      </c>
      <c r="O20" s="6">
        <f>S122</f>
        <v>5</v>
      </c>
      <c r="P20" s="6">
        <f>AA122</f>
        <v>15</v>
      </c>
      <c r="Q20" s="5">
        <f>AC122</f>
        <v>15</v>
      </c>
      <c r="S20" s="17">
        <f>D18</f>
        <v>0</v>
      </c>
      <c r="T20" s="17">
        <f>E18</f>
        <v>0</v>
      </c>
      <c r="U20" s="17">
        <f>F18</f>
        <v>0</v>
      </c>
      <c r="V20" s="17">
        <f>G18</f>
        <v>0</v>
      </c>
      <c r="W20" s="17"/>
      <c r="X20" s="17"/>
    </row>
    <row r="21" spans="2:31" x14ac:dyDescent="0.2">
      <c r="B21" s="43"/>
      <c r="C21" s="46"/>
      <c r="F21" s="35"/>
      <c r="H21" s="37"/>
      <c r="M21" s="8">
        <f t="shared" ca="1" si="0"/>
        <v>20</v>
      </c>
      <c r="N21" s="5" t="s">
        <v>18</v>
      </c>
      <c r="O21" s="6">
        <f>S127</f>
        <v>10</v>
      </c>
      <c r="P21" s="6">
        <f>AA127</f>
        <v>25</v>
      </c>
      <c r="Q21" s="5">
        <f>AC127</f>
        <v>20</v>
      </c>
    </row>
    <row r="22" spans="2:31" x14ac:dyDescent="0.2">
      <c r="B22" s="38" t="s">
        <v>59</v>
      </c>
      <c r="E22" s="54" t="str">
        <f>Ara4help!$U$4</f>
        <v/>
      </c>
      <c r="F22" s="55" t="str">
        <f>IF(OR(E22="",E22="Select Zone"),"","ft")</f>
        <v/>
      </c>
      <c r="H22" s="37"/>
      <c r="M22" s="8">
        <f t="shared" ca="1" si="0"/>
        <v>21</v>
      </c>
      <c r="N22" s="5" t="s">
        <v>19</v>
      </c>
      <c r="O22" s="6">
        <f>S127</f>
        <v>10</v>
      </c>
      <c r="P22" s="6">
        <f>AA127</f>
        <v>25</v>
      </c>
      <c r="Q22" s="5">
        <f>AC127</f>
        <v>20</v>
      </c>
      <c r="R22" s="1" t="b">
        <v>0</v>
      </c>
      <c r="S22" s="18" t="str">
        <f>IF(AND($O$2=4,$S$3=TRUE,$S$20&lt;70),"←Check this Box if the Lot was subdivided prior to 7/01/1966",IF(AND($S$4=TRUE,OR($O$2=24,$O$2=26)),"←Check this Box if the Lot is adjacent to RD or more restrictive",$S$23))</f>
        <v/>
      </c>
      <c r="T22" s="18"/>
      <c r="U22" s="18"/>
      <c r="V22" s="18"/>
      <c r="W22" s="18"/>
      <c r="X22" s="18"/>
    </row>
    <row r="23" spans="2:31" x14ac:dyDescent="0.2">
      <c r="B23" s="41"/>
      <c r="F23" s="35"/>
      <c r="H23" s="37"/>
      <c r="M23" s="5">
        <f t="shared" ca="1" si="0"/>
        <v>22</v>
      </c>
      <c r="N23" s="5" t="s">
        <v>45</v>
      </c>
      <c r="O23" s="6">
        <f>S142</f>
        <v>3</v>
      </c>
      <c r="P23" s="6">
        <f>AA142</f>
        <v>15</v>
      </c>
      <c r="Q23" s="5">
        <f>AC142</f>
        <v>10</v>
      </c>
      <c r="S23" s="18" t="str">
        <f>IF(AND($O$2=12,$S$2=TRUE),"←Check this Box if per (Q) conditions use is limited to a Mobilehome","")</f>
        <v/>
      </c>
    </row>
    <row r="24" spans="2:31" x14ac:dyDescent="0.2">
      <c r="B24" s="38"/>
      <c r="E24" s="54" t="str">
        <f>Ara4help!$U$5</f>
        <v/>
      </c>
      <c r="F24" s="55" t="str">
        <f>IF(OR(E24="",E24="Select Zone"),"","ft")</f>
        <v/>
      </c>
      <c r="H24" s="37"/>
      <c r="M24" s="5">
        <f t="shared" ca="1" si="0"/>
        <v>23</v>
      </c>
      <c r="N24" s="5" t="s">
        <v>11</v>
      </c>
      <c r="O24" s="6">
        <f>S132</f>
        <v>3</v>
      </c>
      <c r="P24" s="6">
        <f>AA132</f>
        <v>15</v>
      </c>
      <c r="Q24" s="5">
        <f>AC132</f>
        <v>15</v>
      </c>
    </row>
    <row r="25" spans="2:31" x14ac:dyDescent="0.2">
      <c r="B25" s="38"/>
      <c r="H25" s="37"/>
      <c r="M25" s="5">
        <f t="shared" ca="1" si="0"/>
        <v>24</v>
      </c>
      <c r="N25" s="5" t="s">
        <v>37</v>
      </c>
      <c r="O25" s="6">
        <f>S147</f>
        <v>5</v>
      </c>
      <c r="P25" s="6">
        <f>AA147</f>
        <v>5</v>
      </c>
      <c r="Q25" s="5">
        <f>AC147</f>
        <v>5</v>
      </c>
    </row>
    <row r="26" spans="2:31" x14ac:dyDescent="0.2">
      <c r="B26" s="38"/>
      <c r="D26" s="88"/>
      <c r="E26" s="54" t="str">
        <f>Ara4help!$U$2</f>
        <v/>
      </c>
      <c r="F26" s="55" t="str">
        <f>IF(OR(E26="",E26="Select Zone"),"","ft")</f>
        <v/>
      </c>
      <c r="M26" s="5">
        <f t="shared" ca="1" si="0"/>
        <v>25</v>
      </c>
      <c r="N26" s="5" t="s">
        <v>12</v>
      </c>
      <c r="O26" s="6">
        <f>S137</f>
        <v>3</v>
      </c>
      <c r="P26" s="6">
        <f>AA137</f>
        <v>15</v>
      </c>
      <c r="Q26" s="5">
        <f>AC137</f>
        <v>15</v>
      </c>
    </row>
    <row r="27" spans="2:31" x14ac:dyDescent="0.2">
      <c r="M27" s="5">
        <f t="shared" ca="1" si="0"/>
        <v>26</v>
      </c>
      <c r="N27" s="5" t="s">
        <v>23</v>
      </c>
      <c r="O27" s="6">
        <f>S147</f>
        <v>5</v>
      </c>
      <c r="P27" s="6">
        <f>AA147</f>
        <v>5</v>
      </c>
      <c r="Q27" s="5">
        <f>AC147</f>
        <v>5</v>
      </c>
    </row>
    <row r="28" spans="2:31" x14ac:dyDescent="0.2">
      <c r="B28" s="43"/>
      <c r="H28" s="37"/>
      <c r="M28" s="5">
        <f t="shared" ca="1" si="0"/>
        <v>27</v>
      </c>
      <c r="N28" s="5" t="s">
        <v>13</v>
      </c>
      <c r="O28" s="6">
        <f>S137</f>
        <v>3</v>
      </c>
      <c r="P28" s="6">
        <f>AA137</f>
        <v>15</v>
      </c>
      <c r="Q28" s="5">
        <f>AC137</f>
        <v>15</v>
      </c>
      <c r="V28" s="82" t="s">
        <v>116</v>
      </c>
      <c r="Y28" s="83" t="s">
        <v>115</v>
      </c>
      <c r="AC28" s="82" t="s">
        <v>116</v>
      </c>
    </row>
    <row r="29" spans="2:31" x14ac:dyDescent="0.2">
      <c r="B29" s="38" t="s">
        <v>76</v>
      </c>
      <c r="D29" s="100" t="str">
        <f>CONCATENATE(W2,W3,W4,W5,W6,W7,W8,W9,W11,AD2,AD3,AD4,AD5,AD6,AD7,AD8,AD9,AD10,AD11)</f>
        <v/>
      </c>
      <c r="E29" s="100"/>
      <c r="F29" s="100"/>
      <c r="G29" s="100"/>
      <c r="H29" s="56"/>
      <c r="M29" s="5">
        <f t="shared" ca="1" si="0"/>
        <v>28</v>
      </c>
      <c r="N29" s="5" t="s">
        <v>130</v>
      </c>
      <c r="O29" s="6">
        <f>$O$26</f>
        <v>3</v>
      </c>
      <c r="P29" s="6">
        <f>AA138</f>
        <v>15</v>
      </c>
      <c r="Q29" s="5">
        <f>AC102</f>
        <v>10</v>
      </c>
      <c r="R29" s="12"/>
      <c r="S29" s="19" t="s">
        <v>35</v>
      </c>
      <c r="T29" s="19" t="s">
        <v>32</v>
      </c>
      <c r="U29" s="19"/>
      <c r="V29" s="85"/>
      <c r="W29" s="19" t="s">
        <v>34</v>
      </c>
      <c r="X29" s="19" t="s">
        <v>33</v>
      </c>
      <c r="Y29" s="84"/>
      <c r="Z29" s="19"/>
      <c r="AA29" s="20" t="s">
        <v>44</v>
      </c>
      <c r="AB29" s="19"/>
      <c r="AC29" s="85"/>
      <c r="AD29" s="19"/>
      <c r="AE29" s="19" t="s">
        <v>104</v>
      </c>
    </row>
    <row r="30" spans="2:31" x14ac:dyDescent="0.2">
      <c r="B30" s="41"/>
      <c r="D30" s="100"/>
      <c r="E30" s="100"/>
      <c r="F30" s="100"/>
      <c r="G30" s="100"/>
      <c r="H30" s="56"/>
      <c r="M30" s="5">
        <f t="shared" ca="1" si="0"/>
        <v>29</v>
      </c>
      <c r="N30" s="5" t="s">
        <v>131</v>
      </c>
      <c r="O30" s="6">
        <f t="shared" ref="O30:O35" si="1">$O$26</f>
        <v>3</v>
      </c>
      <c r="P30" s="6">
        <f t="shared" ref="P30:P35" si="2">$P$26</f>
        <v>15</v>
      </c>
      <c r="Q30" s="5">
        <f>Q29</f>
        <v>10</v>
      </c>
      <c r="R30" s="13" t="s">
        <v>113</v>
      </c>
      <c r="S30" s="5">
        <f>IF(OR($S$10=4,$S$10=6,$S$10=8),V32,V31)</f>
        <v>3</v>
      </c>
      <c r="T30" s="5">
        <f>IF(AND($S$20&lt;50, $S$20&gt;30),$S$20*0.1,IF($S$20&lt;=30,3, 5))</f>
        <v>3</v>
      </c>
      <c r="V30" s="82">
        <f>MAX(W30:X30)</f>
        <v>3</v>
      </c>
      <c r="X30" s="5">
        <f>IF($V$20&gt;18, T30+ROUNDUP(0.1*($V$20-18),0), T30)</f>
        <v>3</v>
      </c>
      <c r="Y30" s="16" t="s">
        <v>106</v>
      </c>
      <c r="Z30" s="5" t="s">
        <v>31</v>
      </c>
      <c r="AA30" s="21"/>
      <c r="AC30" s="82"/>
      <c r="AD30" s="5" t="s">
        <v>129</v>
      </c>
      <c r="AE30" s="5" t="s">
        <v>128</v>
      </c>
    </row>
    <row r="31" spans="2:31" x14ac:dyDescent="0.2">
      <c r="B31" s="38"/>
      <c r="D31" s="100"/>
      <c r="E31" s="100"/>
      <c r="F31" s="100"/>
      <c r="G31" s="100"/>
      <c r="H31" s="56"/>
      <c r="M31" s="5">
        <f t="shared" ca="1" si="0"/>
        <v>30</v>
      </c>
      <c r="N31" s="5" t="s">
        <v>132</v>
      </c>
      <c r="O31" s="6">
        <f t="shared" si="1"/>
        <v>3</v>
      </c>
      <c r="P31" s="6">
        <f t="shared" si="2"/>
        <v>15</v>
      </c>
      <c r="Q31" s="5">
        <f>Q29</f>
        <v>10</v>
      </c>
      <c r="R31" s="22" t="s">
        <v>9</v>
      </c>
      <c r="S31" s="80">
        <f>IF($S$6=2,S30,IF(OR($S$10=5,$S$10=7),V30,IF(OR($S$10=1,$S$10=3),V31,IF(OR($S$10=2,$S$10=4),V32,IF(OR($S$10=6,$S$10=8),V33,"")))))</f>
        <v>3</v>
      </c>
      <c r="T31" s="5">
        <f>IF(AND($S$20&lt;50, $S$20&gt;30),$S$20*0.1,IF($S$20&lt;=30,3, 5))</f>
        <v>3</v>
      </c>
      <c r="V31" s="82">
        <f>MAX(W31:X31)</f>
        <v>3</v>
      </c>
      <c r="W31" s="5">
        <f>IF($U$20&gt;2,$U$20-2+T31,T31)</f>
        <v>3</v>
      </c>
      <c r="X31" s="5">
        <f>IF($V$20&gt;18, T31+ROUNDUP(0.1*($V$20-18),0), T31)</f>
        <v>3</v>
      </c>
      <c r="Y31" s="16" t="s">
        <v>107</v>
      </c>
      <c r="Z31" s="5" t="s">
        <v>30</v>
      </c>
      <c r="AA31" s="21">
        <v>15</v>
      </c>
      <c r="AB31" s="26"/>
      <c r="AC31" s="82">
        <f>IF(AND($T$10=1,$T$13=1),AD31,MAX(AD31:AE31))</f>
        <v>5</v>
      </c>
      <c r="AD31" s="5">
        <v>5</v>
      </c>
      <c r="AE31" s="26">
        <f>IF($T$20*0.2&gt;20,20,$T$20*0.2)</f>
        <v>0</v>
      </c>
    </row>
    <row r="32" spans="2:31" x14ac:dyDescent="0.2">
      <c r="B32" s="38"/>
      <c r="D32" s="100"/>
      <c r="E32" s="100"/>
      <c r="F32" s="100"/>
      <c r="G32" s="100"/>
      <c r="H32" s="56"/>
      <c r="M32" s="5">
        <f t="shared" ca="1" si="0"/>
        <v>31</v>
      </c>
      <c r="N32" s="5" t="s">
        <v>133</v>
      </c>
      <c r="O32" s="6">
        <f t="shared" si="1"/>
        <v>3</v>
      </c>
      <c r="P32" s="6">
        <f t="shared" si="2"/>
        <v>15</v>
      </c>
      <c r="Q32" s="5">
        <v>0</v>
      </c>
      <c r="R32" s="24" t="s">
        <v>8</v>
      </c>
      <c r="S32" s="25"/>
      <c r="T32" s="25">
        <f>IF(AND($S$20&lt;50, $S$20&gt;30),$S$20*0.1,IF($S$20&lt;=30,3, 5))</f>
        <v>3</v>
      </c>
      <c r="U32" s="25"/>
      <c r="V32" s="86">
        <f>MAX(W32:X32)</f>
        <v>3</v>
      </c>
      <c r="W32" s="25">
        <f>IF($U$20&gt;2,$U$20-2+T32,T32)</f>
        <v>3</v>
      </c>
      <c r="X32" s="25"/>
      <c r="Y32" s="77" t="s">
        <v>105</v>
      </c>
      <c r="Z32" s="25" t="s">
        <v>36</v>
      </c>
      <c r="AA32" s="26">
        <v>20</v>
      </c>
      <c r="AB32" s="26"/>
      <c r="AC32" s="82">
        <f>IF(AND($T$10=1,$T$13=1),AD32,MAX(AD32:AE32))</f>
        <v>5</v>
      </c>
      <c r="AD32" s="25">
        <v>5</v>
      </c>
      <c r="AE32" s="26">
        <f>IF($T$20*0.2&gt;25,25,$T$20*0.2)</f>
        <v>0</v>
      </c>
    </row>
    <row r="33" spans="2:31" x14ac:dyDescent="0.2">
      <c r="B33" s="57"/>
      <c r="D33" s="100"/>
      <c r="E33" s="100"/>
      <c r="F33" s="100"/>
      <c r="G33" s="100"/>
      <c r="K33"/>
      <c r="M33" s="5">
        <f t="shared" ca="1" si="0"/>
        <v>32</v>
      </c>
      <c r="N33" s="5" t="s">
        <v>134</v>
      </c>
      <c r="O33" s="6">
        <f t="shared" si="1"/>
        <v>3</v>
      </c>
      <c r="P33" s="6">
        <f t="shared" si="2"/>
        <v>15</v>
      </c>
      <c r="Q33" s="5">
        <v>0</v>
      </c>
      <c r="T33" s="5">
        <f>IF(AND($S$20&lt;50, $S$20&gt;30),$S$20*0.1,IF($S$20&lt;=30,3, 5))</f>
        <v>3</v>
      </c>
      <c r="V33" s="82">
        <f>MAX(W33:X33)</f>
        <v>3</v>
      </c>
      <c r="W33" s="5">
        <f>IF($U$20&gt;2,$U$20-2+T33,T33)</f>
        <v>3</v>
      </c>
      <c r="Y33" s="16" t="s">
        <v>108</v>
      </c>
      <c r="Z33" s="5" t="s">
        <v>109</v>
      </c>
      <c r="AC33" s="82"/>
    </row>
    <row r="34" spans="2:31" x14ac:dyDescent="0.2">
      <c r="B34" s="57"/>
      <c r="D34" s="100"/>
      <c r="E34" s="100"/>
      <c r="F34" s="100"/>
      <c r="G34" s="100"/>
      <c r="M34" s="5">
        <f t="shared" ca="1" si="0"/>
        <v>33</v>
      </c>
      <c r="N34" s="5" t="s">
        <v>135</v>
      </c>
      <c r="O34" s="6">
        <f t="shared" si="1"/>
        <v>3</v>
      </c>
      <c r="P34" s="6">
        <f t="shared" si="2"/>
        <v>15</v>
      </c>
      <c r="Q34" s="5">
        <v>0</v>
      </c>
      <c r="V34" s="82"/>
      <c r="AC34" s="82"/>
    </row>
    <row r="35" spans="2:31" x14ac:dyDescent="0.2">
      <c r="B35" s="57"/>
      <c r="D35" s="100"/>
      <c r="E35" s="100"/>
      <c r="F35" s="100"/>
      <c r="G35" s="100"/>
      <c r="M35" s="5">
        <f t="shared" ca="1" si="0"/>
        <v>34</v>
      </c>
      <c r="N35" s="5" t="s">
        <v>136</v>
      </c>
      <c r="O35" s="6">
        <f t="shared" si="1"/>
        <v>3</v>
      </c>
      <c r="P35" s="6">
        <f t="shared" si="2"/>
        <v>15</v>
      </c>
      <c r="Q35" s="5">
        <v>0</v>
      </c>
      <c r="V35" s="82"/>
      <c r="AC35" s="82"/>
    </row>
    <row r="36" spans="2:31" x14ac:dyDescent="0.2">
      <c r="B36" s="57"/>
      <c r="D36" s="100"/>
      <c r="E36" s="100"/>
      <c r="F36" s="100"/>
      <c r="G36" s="100"/>
      <c r="V36" s="82"/>
      <c r="AC36" s="82"/>
    </row>
    <row r="37" spans="2:31" x14ac:dyDescent="0.2">
      <c r="B37" s="57"/>
      <c r="D37" s="100"/>
      <c r="E37" s="100"/>
      <c r="F37" s="100"/>
      <c r="G37" s="100"/>
      <c r="V37" s="82"/>
      <c r="AC37" s="82"/>
    </row>
    <row r="38" spans="2:31" x14ac:dyDescent="0.2">
      <c r="B38" s="38"/>
      <c r="D38" s="100"/>
      <c r="E38" s="100"/>
      <c r="F38" s="100"/>
      <c r="G38" s="100"/>
      <c r="H38" s="56"/>
      <c r="V38" s="82"/>
      <c r="AC38" s="82"/>
    </row>
    <row r="39" spans="2:31" x14ac:dyDescent="0.2">
      <c r="B39" s="57"/>
      <c r="D39" s="100"/>
      <c r="E39" s="100"/>
      <c r="F39" s="100"/>
      <c r="G39" s="100"/>
      <c r="H39" s="56"/>
      <c r="V39" s="82"/>
      <c r="AC39" s="82"/>
    </row>
    <row r="40" spans="2:31" x14ac:dyDescent="0.2">
      <c r="B40" s="57"/>
      <c r="D40" s="100"/>
      <c r="E40" s="100"/>
      <c r="F40" s="100"/>
      <c r="G40" s="100"/>
      <c r="H40" s="56"/>
      <c r="R40" s="12"/>
      <c r="S40" s="19" t="s">
        <v>35</v>
      </c>
      <c r="T40" s="19" t="s">
        <v>32</v>
      </c>
      <c r="U40" s="19"/>
      <c r="V40" s="85"/>
      <c r="W40" s="19"/>
      <c r="X40" s="19"/>
      <c r="Y40" s="84"/>
      <c r="Z40" s="19"/>
      <c r="AA40" s="20" t="s">
        <v>44</v>
      </c>
      <c r="AB40" s="19"/>
      <c r="AC40" s="85"/>
      <c r="AD40" s="19"/>
      <c r="AE40" s="19"/>
    </row>
    <row r="41" spans="2:31" x14ac:dyDescent="0.2">
      <c r="B41" s="57"/>
      <c r="D41" s="100"/>
      <c r="E41" s="100"/>
      <c r="F41" s="100"/>
      <c r="G41" s="100"/>
      <c r="H41" s="56"/>
      <c r="R41" s="13" t="s">
        <v>113</v>
      </c>
      <c r="S41" s="5">
        <f>IF(OR($S$10=4,$S$10=6,$S$10=8),V43,V42)</f>
        <v>3</v>
      </c>
      <c r="T41" s="5">
        <f>IF(T42&lt;4,T42,5)</f>
        <v>3</v>
      </c>
      <c r="V41" s="82">
        <f>T41</f>
        <v>3</v>
      </c>
      <c r="Z41" s="5" t="s">
        <v>31</v>
      </c>
      <c r="AA41" s="21"/>
      <c r="AC41" s="82"/>
    </row>
    <row r="42" spans="2:31" x14ac:dyDescent="0.2">
      <c r="B42" s="43"/>
      <c r="D42" s="56"/>
      <c r="E42" s="56"/>
      <c r="F42" s="56"/>
      <c r="G42" s="56"/>
      <c r="H42" s="56"/>
      <c r="R42" s="22" t="s">
        <v>38</v>
      </c>
      <c r="S42" s="80">
        <f>IF($S$6=2,S41,IF(OR($S$10=7,$S$10=8),V41,(IF(OR($S$10=1,$S$10=3,$S$10=5),V42,(IF(OR($S$10=2,$S$10=4,$S$10=6),V43,""))))))</f>
        <v>3</v>
      </c>
      <c r="T42" s="5">
        <f>IF(S20&lt;30,3,IF(S20&gt;250,25,S20*0.1))</f>
        <v>3</v>
      </c>
      <c r="V42" s="82">
        <f>T42</f>
        <v>3</v>
      </c>
      <c r="Z42" s="27" t="s">
        <v>48</v>
      </c>
      <c r="AA42" s="21">
        <f>IF($T$20*0.25&gt;25,25,$T$20*0.25)</f>
        <v>0</v>
      </c>
      <c r="AC42" s="82">
        <f>IF(AND($T$10=1,$T$13=1),AD42,MAX(AD42:AE42))</f>
        <v>5</v>
      </c>
      <c r="AD42" s="5">
        <v>5</v>
      </c>
      <c r="AE42" s="26">
        <f>IF($T$20*0.2&gt;25,25,$T$20*0.2)</f>
        <v>0</v>
      </c>
    </row>
    <row r="43" spans="2:31" x14ac:dyDescent="0.2">
      <c r="B43" s="101" t="s">
        <v>114</v>
      </c>
      <c r="C43" s="102"/>
      <c r="D43" s="102"/>
      <c r="E43" s="102"/>
      <c r="F43" s="102"/>
      <c r="G43" s="102"/>
      <c r="H43" s="56"/>
      <c r="R43" s="15"/>
      <c r="S43" s="25"/>
      <c r="T43" s="25">
        <f>T42</f>
        <v>3</v>
      </c>
      <c r="U43" s="25"/>
      <c r="V43" s="86">
        <f>T43</f>
        <v>3</v>
      </c>
      <c r="W43" s="25"/>
      <c r="X43" s="25"/>
      <c r="Y43" s="77"/>
      <c r="Z43" s="25" t="s">
        <v>36</v>
      </c>
      <c r="AA43" s="26"/>
      <c r="AB43" s="25"/>
      <c r="AC43" s="86"/>
      <c r="AD43" s="25"/>
      <c r="AE43" s="25"/>
    </row>
    <row r="44" spans="2:31" x14ac:dyDescent="0.2">
      <c r="B44" s="102"/>
      <c r="C44" s="102"/>
      <c r="D44" s="102"/>
      <c r="E44" s="102"/>
      <c r="F44" s="102"/>
      <c r="G44" s="102"/>
      <c r="H44" s="56"/>
      <c r="V44" s="82"/>
      <c r="AC44" s="82"/>
    </row>
    <row r="45" spans="2:31" x14ac:dyDescent="0.2">
      <c r="B45" s="102"/>
      <c r="C45" s="102"/>
      <c r="D45" s="102"/>
      <c r="E45" s="102"/>
      <c r="F45" s="102"/>
      <c r="G45" s="102"/>
      <c r="H45" s="56"/>
      <c r="R45" s="12"/>
      <c r="S45" s="19" t="s">
        <v>35</v>
      </c>
      <c r="T45" s="19" t="s">
        <v>32</v>
      </c>
      <c r="U45" s="19" t="s">
        <v>39</v>
      </c>
      <c r="V45" s="85"/>
      <c r="W45" s="19" t="s">
        <v>34</v>
      </c>
      <c r="X45" s="19" t="s">
        <v>33</v>
      </c>
      <c r="Y45" s="84"/>
      <c r="Z45" s="19"/>
      <c r="AA45" s="20" t="s">
        <v>44</v>
      </c>
      <c r="AB45" s="19"/>
      <c r="AC45" s="85"/>
      <c r="AD45" s="19"/>
      <c r="AE45" s="19"/>
    </row>
    <row r="46" spans="2:31" x14ac:dyDescent="0.2">
      <c r="B46" s="102"/>
      <c r="C46" s="102"/>
      <c r="D46" s="102"/>
      <c r="E46" s="102"/>
      <c r="F46" s="102"/>
      <c r="G46" s="102"/>
      <c r="H46" s="56"/>
      <c r="R46" s="13" t="s">
        <v>113</v>
      </c>
      <c r="S46" s="5">
        <f>IF(OR($S$10=4,$S$10=6,$S$10=8),V48,V47)</f>
        <v>10</v>
      </c>
      <c r="T46" s="5">
        <f>U47</f>
        <v>10</v>
      </c>
      <c r="U46" s="5">
        <f>U47</f>
        <v>10</v>
      </c>
      <c r="V46" s="82">
        <f>MAX(W46:X46)</f>
        <v>10</v>
      </c>
      <c r="X46" s="5">
        <f>IF($V$20&gt;18, U46+ROUNDUP(0.1*($V$20-18),0), U46)</f>
        <v>10</v>
      </c>
      <c r="Y46" s="16" t="s">
        <v>117</v>
      </c>
      <c r="Z46" s="5" t="s">
        <v>31</v>
      </c>
      <c r="AA46" s="21"/>
      <c r="AC46" s="82"/>
    </row>
    <row r="47" spans="2:31" x14ac:dyDescent="0.2">
      <c r="B47" s="102"/>
      <c r="C47" s="102"/>
      <c r="D47" s="102"/>
      <c r="E47" s="102"/>
      <c r="F47" s="102"/>
      <c r="G47" s="102"/>
      <c r="H47" s="56"/>
      <c r="R47" s="22" t="s">
        <v>2</v>
      </c>
      <c r="S47" s="80">
        <f>IF($S$6=2,S46,IF(OR($S$10=5,$S$10=7),V46,IF(OR($S$10=1,$S$10=3),V47,IF(OR($S$10=2,$S$10=4),V48,IF(OR($S$10=6,$S$10=8),V49,"")))))</f>
        <v>10</v>
      </c>
      <c r="T47" s="5">
        <f>IF(AND($O$2=4,$S$3=TRUE,$S$20&lt;70,$R$22=TRUE),Ara4help!$S$20*0.1,10)</f>
        <v>10</v>
      </c>
      <c r="U47" s="5">
        <f>IF(T47&lt;3,3,T47)</f>
        <v>10</v>
      </c>
      <c r="V47" s="82">
        <f>MAX(W47:X47)</f>
        <v>10</v>
      </c>
      <c r="W47" s="5">
        <f>IF(AND($U$20&gt;2,U47&lt;10),U47+1,U47)</f>
        <v>10</v>
      </c>
      <c r="X47" s="5">
        <f>IF(AND(V20&gt;18,U47&lt;10), U47+ROUNDUP(0.1*(V20-18),0), U47)</f>
        <v>10</v>
      </c>
      <c r="Y47" s="16" t="s">
        <v>107</v>
      </c>
      <c r="Z47" s="5" t="s">
        <v>30</v>
      </c>
      <c r="AA47" s="21">
        <f>IF($T$20*0.25&gt;25,25,$T$20*0.25)</f>
        <v>0</v>
      </c>
      <c r="AB47" s="26"/>
      <c r="AC47" s="82">
        <f>IF(AND($T$10=1,$T$13=1),AD47,MAX(AD47:AE47))</f>
        <v>5</v>
      </c>
      <c r="AD47" s="5">
        <v>5</v>
      </c>
      <c r="AE47" s="26">
        <f>IF($T$20*0.2&gt;25,25,$T$20*0.2)</f>
        <v>0</v>
      </c>
    </row>
    <row r="48" spans="2:31" ht="12.75" customHeight="1" x14ac:dyDescent="0.2">
      <c r="B48" s="103"/>
      <c r="C48" s="103"/>
      <c r="D48" s="103"/>
      <c r="E48" s="103"/>
      <c r="F48" s="103"/>
      <c r="G48" s="103"/>
      <c r="H48" s="56"/>
      <c r="R48" s="15"/>
      <c r="S48" s="25"/>
      <c r="T48" s="25">
        <f>IF(AND($O$2=4,$S$3=TRUE,$S$20&lt;70,$R$22=TRUE),Ara4help!$S$20*0.1,10)</f>
        <v>10</v>
      </c>
      <c r="U48" s="25">
        <f>IF(T48&lt;3,3,T48)</f>
        <v>10</v>
      </c>
      <c r="V48" s="86">
        <f>MAX(W48:X48)</f>
        <v>10</v>
      </c>
      <c r="W48" s="25">
        <f>IF(AND(U20&gt;2,U48&lt;10),U48+1,U48)</f>
        <v>10</v>
      </c>
      <c r="X48" s="25"/>
      <c r="Y48" s="77" t="s">
        <v>105</v>
      </c>
      <c r="Z48" s="25" t="s">
        <v>36</v>
      </c>
      <c r="AA48" s="26"/>
      <c r="AB48" s="25"/>
      <c r="AC48" s="86"/>
      <c r="AD48" s="25"/>
      <c r="AE48" s="25"/>
    </row>
    <row r="49" spans="2:31" x14ac:dyDescent="0.2">
      <c r="D49" s="75"/>
      <c r="E49" s="75"/>
      <c r="F49" s="75"/>
      <c r="G49" s="75"/>
      <c r="K49"/>
      <c r="T49" s="5">
        <f>IF(AND($O$2=4,$S$3=TRUE,$S$20&lt;70,$R$22=TRUE),Ara4help!$S$20*0.1,10)</f>
        <v>10</v>
      </c>
      <c r="U49" s="5">
        <f>IF(T49&lt;3,3,T49)</f>
        <v>10</v>
      </c>
      <c r="V49" s="82">
        <f>MAX(W49:X49)</f>
        <v>10</v>
      </c>
      <c r="W49" s="5">
        <f>IF($U$20&gt;2,U49+1,U49)</f>
        <v>10</v>
      </c>
      <c r="Y49" s="16" t="s">
        <v>108</v>
      </c>
      <c r="Z49" s="5" t="s">
        <v>109</v>
      </c>
      <c r="AC49" s="82"/>
    </row>
    <row r="50" spans="2:31" x14ac:dyDescent="0.2">
      <c r="D50" s="75"/>
      <c r="E50" s="75"/>
      <c r="F50" s="75"/>
      <c r="G50" s="75"/>
      <c r="V50" s="82"/>
      <c r="AC50" s="82"/>
    </row>
    <row r="51" spans="2:31" x14ac:dyDescent="0.2">
      <c r="D51" s="75"/>
      <c r="E51" s="75"/>
      <c r="F51" s="75"/>
      <c r="G51" s="75"/>
      <c r="V51" s="82"/>
      <c r="AC51" s="82"/>
    </row>
    <row r="52" spans="2:31" x14ac:dyDescent="0.2">
      <c r="D52" s="75"/>
      <c r="E52" s="75"/>
      <c r="F52" s="75"/>
      <c r="G52" s="75"/>
      <c r="V52" s="82"/>
      <c r="AC52" s="82"/>
    </row>
    <row r="53" spans="2:31" x14ac:dyDescent="0.2">
      <c r="D53" s="75"/>
      <c r="E53" s="75"/>
      <c r="F53" s="75"/>
      <c r="G53" s="75"/>
      <c r="V53" s="82"/>
      <c r="AC53" s="82"/>
    </row>
    <row r="54" spans="2:31" x14ac:dyDescent="0.2">
      <c r="B54" s="59"/>
      <c r="C54" s="60"/>
      <c r="D54" s="60"/>
      <c r="E54" s="58"/>
      <c r="F54" s="60"/>
      <c r="G54" s="60"/>
      <c r="H54" s="56"/>
      <c r="V54" s="82"/>
      <c r="AC54" s="82"/>
    </row>
    <row r="55" spans="2:31" x14ac:dyDescent="0.2">
      <c r="B55" s="58"/>
      <c r="C55" s="60"/>
      <c r="D55" s="60"/>
      <c r="E55" s="61"/>
      <c r="F55" s="60"/>
      <c r="G55" s="60"/>
      <c r="H55" s="56"/>
      <c r="R55" s="12"/>
      <c r="S55" s="19" t="s">
        <v>35</v>
      </c>
      <c r="T55" s="19" t="s">
        <v>32</v>
      </c>
      <c r="U55" s="19"/>
      <c r="V55" s="85"/>
      <c r="W55" s="19" t="s">
        <v>34</v>
      </c>
      <c r="X55" s="19" t="s">
        <v>33</v>
      </c>
      <c r="Y55" s="84"/>
      <c r="Z55" s="19"/>
      <c r="AA55" s="20" t="s">
        <v>44</v>
      </c>
      <c r="AB55" s="19"/>
      <c r="AC55" s="85"/>
      <c r="AD55" s="19"/>
      <c r="AE55" s="19"/>
    </row>
    <row r="56" spans="2:31" x14ac:dyDescent="0.2">
      <c r="B56" s="62"/>
      <c r="C56" s="62"/>
      <c r="D56" s="62"/>
      <c r="E56" s="62"/>
      <c r="F56" s="62"/>
      <c r="G56" s="62"/>
      <c r="H56" s="56"/>
      <c r="R56" s="13" t="s">
        <v>113</v>
      </c>
      <c r="S56" s="5">
        <f>IF(OR($S$10=4,$S$10=6,$S$10=8),V58,V57)</f>
        <v>3</v>
      </c>
      <c r="T56" s="5">
        <f>IF(AND($S$20&lt;70, $S$20&gt;30),$S$20*0.1,IF($S$20&lt;=30,3, 7))</f>
        <v>3</v>
      </c>
      <c r="U56" s="5">
        <f>T56</f>
        <v>3</v>
      </c>
      <c r="V56" s="82">
        <f>MAX(W56:X56)</f>
        <v>3</v>
      </c>
      <c r="X56" s="5">
        <f>IF($V$20&gt;18, U56+ROUNDUP(0.1*($V$20-18),0), U56)</f>
        <v>3</v>
      </c>
      <c r="Y56" s="16" t="s">
        <v>117</v>
      </c>
      <c r="Z56" s="5" t="s">
        <v>31</v>
      </c>
      <c r="AA56" s="21"/>
      <c r="AC56" s="82"/>
    </row>
    <row r="57" spans="2:31" x14ac:dyDescent="0.2">
      <c r="B57" s="63"/>
      <c r="C57" s="63"/>
      <c r="D57" s="63"/>
      <c r="E57" s="63"/>
      <c r="F57" s="63"/>
      <c r="G57" s="63"/>
      <c r="H57" s="56"/>
      <c r="R57" s="22" t="s">
        <v>40</v>
      </c>
      <c r="S57" s="80">
        <f>IF($S$6=2,S56,IF(OR($S$10=5,$S$10=7),V56,IF(OR($S$10=1,$S$10=3),V57,IF(OR($S$10=2,$S$10=4),V58,IF(OR($S$10=6,$S$10=8),V59,"")))))</f>
        <v>3</v>
      </c>
      <c r="T57" s="5">
        <f>IF(AND($S$20&lt;70, $S$20&gt;30),$S$20*0.1,IF($S$20&lt;=30,3, 7))</f>
        <v>3</v>
      </c>
      <c r="V57" s="82">
        <f>MAX(W57:X57)</f>
        <v>3</v>
      </c>
      <c r="W57" s="5">
        <f>IF($U$20&gt;2,$U$20-2+T57,T57)</f>
        <v>3</v>
      </c>
      <c r="X57" s="5">
        <f>IF($V$20&gt;18, T57+ROUNDUP(0.1*($V$20-18),0), T57)</f>
        <v>3</v>
      </c>
      <c r="Y57" s="16" t="s">
        <v>107</v>
      </c>
      <c r="Z57" s="5" t="s">
        <v>30</v>
      </c>
      <c r="AA57" s="21">
        <f>IF($T$20*0.25&gt;25,25,$T$20*0.25)</f>
        <v>0</v>
      </c>
      <c r="AB57" s="26"/>
      <c r="AC57" s="82">
        <f>IF(AND($T$10=1,$T$13=1),AD57,MAX(AD57:AE57))</f>
        <v>5</v>
      </c>
      <c r="AD57" s="5">
        <v>5</v>
      </c>
      <c r="AE57" s="26">
        <f>IF($T$20*0.2&gt;25,25,$T$20*0.2)</f>
        <v>0</v>
      </c>
    </row>
    <row r="58" spans="2:31" x14ac:dyDescent="0.2">
      <c r="B58" s="63"/>
      <c r="C58" s="63"/>
      <c r="D58" s="63"/>
      <c r="E58" s="63"/>
      <c r="F58" s="63"/>
      <c r="G58" s="63"/>
      <c r="H58" s="56"/>
      <c r="R58" s="15"/>
      <c r="S58" s="25"/>
      <c r="T58" s="25">
        <f>IF(AND($S$20&lt;70, $S$20&gt;30),$S$20*0.1,IF($S$20&lt;=30,3, 7))</f>
        <v>3</v>
      </c>
      <c r="U58" s="25"/>
      <c r="V58" s="86">
        <f>MAX(W58:X58)</f>
        <v>3</v>
      </c>
      <c r="W58" s="25">
        <f>IF($U$20&gt;2,$U$20-2+T58,T58)</f>
        <v>3</v>
      </c>
      <c r="X58" s="25"/>
      <c r="Y58" s="77" t="s">
        <v>105</v>
      </c>
      <c r="Z58" s="25" t="s">
        <v>36</v>
      </c>
      <c r="AA58" s="26"/>
      <c r="AB58" s="25"/>
      <c r="AC58" s="86"/>
      <c r="AD58" s="25"/>
      <c r="AE58" s="25"/>
    </row>
    <row r="59" spans="2:31" x14ac:dyDescent="0.2">
      <c r="D59" s="63"/>
      <c r="E59" s="63"/>
      <c r="F59" s="63"/>
      <c r="G59" s="63"/>
      <c r="K59"/>
      <c r="T59" s="5">
        <f>IF(AND($S$20&lt;50, $S$20&gt;30),$S$20*0.1,IF($S$20&lt;=30,3, 5))</f>
        <v>3</v>
      </c>
      <c r="V59" s="82">
        <f>MAX(W59:X59)</f>
        <v>3</v>
      </c>
      <c r="W59" s="5">
        <f>IF($U$20&gt;2,$U$20-2+T59,T59)</f>
        <v>3</v>
      </c>
      <c r="Y59" s="16" t="s">
        <v>108</v>
      </c>
      <c r="Z59" s="5" t="s">
        <v>109</v>
      </c>
      <c r="AC59" s="82"/>
    </row>
    <row r="60" spans="2:31" x14ac:dyDescent="0.2">
      <c r="D60" s="63"/>
      <c r="E60" s="63"/>
      <c r="F60" s="63"/>
      <c r="G60" s="63"/>
      <c r="V60" s="82"/>
      <c r="AC60" s="82"/>
    </row>
    <row r="61" spans="2:31" x14ac:dyDescent="0.2">
      <c r="D61" s="63"/>
      <c r="E61" s="63"/>
      <c r="F61" s="63"/>
      <c r="G61" s="63"/>
      <c r="V61" s="82"/>
      <c r="AC61" s="82"/>
    </row>
    <row r="62" spans="2:31" x14ac:dyDescent="0.2">
      <c r="D62" s="63"/>
      <c r="E62" s="63"/>
      <c r="F62" s="63"/>
      <c r="G62" s="63"/>
      <c r="V62" s="82"/>
      <c r="AC62" s="82"/>
    </row>
    <row r="63" spans="2:31" x14ac:dyDescent="0.2">
      <c r="D63" s="63"/>
      <c r="E63" s="63"/>
      <c r="F63" s="63"/>
      <c r="G63" s="63"/>
      <c r="V63" s="82"/>
      <c r="AC63" s="82"/>
    </row>
    <row r="64" spans="2:31" x14ac:dyDescent="0.2">
      <c r="D64" s="56"/>
      <c r="E64" s="56"/>
      <c r="F64" s="56"/>
      <c r="G64" s="56"/>
      <c r="H64" s="56"/>
      <c r="V64" s="82"/>
      <c r="AC64" s="82"/>
    </row>
    <row r="65" spans="4:31" x14ac:dyDescent="0.2">
      <c r="D65" s="56"/>
      <c r="E65" s="56"/>
      <c r="F65" s="56"/>
      <c r="G65" s="56"/>
      <c r="H65" s="56"/>
      <c r="R65" s="12"/>
      <c r="S65" s="19" t="s">
        <v>35</v>
      </c>
      <c r="T65" s="19" t="s">
        <v>32</v>
      </c>
      <c r="U65" s="19"/>
      <c r="V65" s="85"/>
      <c r="W65" s="19" t="s">
        <v>34</v>
      </c>
      <c r="X65" s="19" t="s">
        <v>33</v>
      </c>
      <c r="Y65" s="84"/>
      <c r="Z65" s="19"/>
      <c r="AA65" s="20" t="s">
        <v>44</v>
      </c>
      <c r="AB65" s="19"/>
      <c r="AC65" s="85"/>
      <c r="AD65" s="19"/>
      <c r="AE65" s="19"/>
    </row>
    <row r="66" spans="4:31" x14ac:dyDescent="0.2">
      <c r="R66" s="13" t="s">
        <v>113</v>
      </c>
      <c r="S66" s="5">
        <f>IF(OR($S$10=4,$S$10=6,$S$10=8),V68,V67)</f>
        <v>3</v>
      </c>
      <c r="T66" s="5">
        <f>IF($S$20&gt;100,10,IF($S$20&lt;=50,5, $S$20*0.1))</f>
        <v>5</v>
      </c>
      <c r="U66" s="5">
        <f>T66</f>
        <v>5</v>
      </c>
      <c r="V66" s="82">
        <f>MAX(W66:X66)</f>
        <v>5</v>
      </c>
      <c r="X66" s="5">
        <f>IF($V$20&gt;18, U66+ROUNDUP(0.1*($V$20-18),0), U66)</f>
        <v>5</v>
      </c>
      <c r="Y66" s="16" t="s">
        <v>117</v>
      </c>
      <c r="Z66" s="5" t="s">
        <v>31</v>
      </c>
      <c r="AA66" s="21"/>
      <c r="AC66" s="82"/>
    </row>
    <row r="67" spans="4:31" x14ac:dyDescent="0.2">
      <c r="R67" s="22" t="s">
        <v>41</v>
      </c>
      <c r="S67" s="80">
        <f>IF($S$6=2,S66,IF(OR($S$10=5,$S$10=7),V66,IF(OR($S$10=1,$S$10=3),V67,IF(OR($S$10=2,$S$10=4),V68,IF(OR($S$10=6,$S$10=8),V69,"")))))</f>
        <v>3</v>
      </c>
      <c r="T67" s="5">
        <f>IF($S$20&gt;100,10,IF(AND($S$20&lt;70, $S$20&gt;30),$S$20*0.1,IF($S$20&lt;=30,3, $S$20*0.1)))</f>
        <v>3</v>
      </c>
      <c r="U67" s="5">
        <f>IF(T67&gt;10,10,T67)</f>
        <v>3</v>
      </c>
      <c r="V67" s="82">
        <f>MAX(W67:X67)</f>
        <v>3</v>
      </c>
      <c r="W67" s="5">
        <f>IF($U$20&gt;2,$U$20-2+U67,U67)</f>
        <v>3</v>
      </c>
      <c r="X67" s="5">
        <f>IF($V$20&gt;18, U67+ROUNDUP(0.1*($V$20-18),0), U67)</f>
        <v>3</v>
      </c>
      <c r="Y67" s="16" t="s">
        <v>107</v>
      </c>
      <c r="Z67" s="5" t="s">
        <v>30</v>
      </c>
      <c r="AA67" s="21">
        <f>IF($T$20*0.25&gt;25,25,$T$20*0.25)</f>
        <v>0</v>
      </c>
      <c r="AB67" s="26"/>
      <c r="AC67" s="82">
        <f>IF(AND($T$10=1,$T$13=1),AD67,MAX(AD67:AE67))</f>
        <v>5</v>
      </c>
      <c r="AD67" s="5">
        <v>5</v>
      </c>
      <c r="AE67" s="26">
        <f>IF($T$20*0.2&gt;25,25,$T$20*0.2)</f>
        <v>0</v>
      </c>
    </row>
    <row r="68" spans="4:31" x14ac:dyDescent="0.2">
      <c r="R68" s="15"/>
      <c r="S68" s="25"/>
      <c r="T68" s="25">
        <f>IF($S$20&gt;100,10,IF(AND($S$20&lt;70, $S$20&gt;30),$S$20*0.1,IF($S$20&lt;=30,3, $S$20*0.1)))</f>
        <v>3</v>
      </c>
      <c r="U68" s="25"/>
      <c r="V68" s="86">
        <f>MAX(W68:X68)</f>
        <v>3</v>
      </c>
      <c r="W68" s="25">
        <f>IF($U$20&gt;2,$U$20-2+T68,T68)</f>
        <v>3</v>
      </c>
      <c r="X68" s="25"/>
      <c r="Y68" s="77" t="s">
        <v>105</v>
      </c>
      <c r="Z68" s="25" t="s">
        <v>36</v>
      </c>
      <c r="AA68" s="26"/>
      <c r="AB68" s="25"/>
      <c r="AC68" s="86"/>
      <c r="AD68" s="25"/>
      <c r="AE68" s="25"/>
    </row>
    <row r="69" spans="4:31" x14ac:dyDescent="0.2">
      <c r="D69" s="63"/>
      <c r="E69" s="63"/>
      <c r="F69" s="63"/>
      <c r="G69" s="63"/>
      <c r="K69"/>
      <c r="T69" s="5">
        <f>IF($S$20&gt;100,10,IF($S$20&lt;=50,5, $S$20*0.1))</f>
        <v>5</v>
      </c>
      <c r="V69" s="82">
        <f>MAX(W69:X69)</f>
        <v>5</v>
      </c>
      <c r="W69" s="5">
        <f>IF($U$20&gt;2,$U$20-2+T69,T69)</f>
        <v>5</v>
      </c>
      <c r="Y69" s="16" t="s">
        <v>108</v>
      </c>
      <c r="Z69" s="5" t="s">
        <v>109</v>
      </c>
      <c r="AC69" s="82"/>
    </row>
    <row r="70" spans="4:31" x14ac:dyDescent="0.2">
      <c r="D70" s="63"/>
      <c r="E70" s="63"/>
      <c r="F70" s="63"/>
      <c r="G70" s="63"/>
      <c r="V70" s="82"/>
      <c r="AC70" s="82"/>
    </row>
    <row r="71" spans="4:31" x14ac:dyDescent="0.2">
      <c r="D71" s="63"/>
      <c r="E71" s="63"/>
      <c r="F71" s="63"/>
      <c r="G71" s="63"/>
      <c r="V71" s="82"/>
      <c r="AC71" s="82"/>
    </row>
    <row r="72" spans="4:31" x14ac:dyDescent="0.2">
      <c r="D72" s="63"/>
      <c r="E72" s="63"/>
      <c r="F72" s="63"/>
      <c r="G72" s="63"/>
      <c r="V72" s="82"/>
      <c r="AC72" s="82"/>
    </row>
    <row r="73" spans="4:31" x14ac:dyDescent="0.2">
      <c r="D73" s="63"/>
      <c r="E73" s="63"/>
      <c r="F73" s="63"/>
      <c r="G73" s="63"/>
      <c r="V73" s="82"/>
      <c r="AC73" s="82"/>
    </row>
    <row r="74" spans="4:31" x14ac:dyDescent="0.2">
      <c r="V74" s="82"/>
      <c r="AC74" s="82"/>
    </row>
    <row r="75" spans="4:31" x14ac:dyDescent="0.2">
      <c r="R75" s="12"/>
      <c r="S75" s="19" t="s">
        <v>35</v>
      </c>
      <c r="T75" s="19" t="s">
        <v>32</v>
      </c>
      <c r="U75" s="19"/>
      <c r="V75" s="85"/>
      <c r="W75" s="19" t="s">
        <v>34</v>
      </c>
      <c r="X75" s="19" t="s">
        <v>33</v>
      </c>
      <c r="Y75" s="84"/>
      <c r="Z75" s="19"/>
      <c r="AA75" s="20" t="s">
        <v>44</v>
      </c>
      <c r="AB75" s="19"/>
      <c r="AC75" s="85"/>
      <c r="AD75" s="19"/>
      <c r="AE75" s="19"/>
    </row>
    <row r="76" spans="4:31" x14ac:dyDescent="0.2">
      <c r="R76" s="13" t="s">
        <v>113</v>
      </c>
      <c r="S76" s="5">
        <f>IF(OR($S$10=4,$S$10=6,$S$10=8),V78,V77)</f>
        <v>10</v>
      </c>
      <c r="T76" s="5">
        <v>10</v>
      </c>
      <c r="U76" s="5">
        <f>T76</f>
        <v>10</v>
      </c>
      <c r="V76" s="82">
        <f>MAX(W76:X76)</f>
        <v>10</v>
      </c>
      <c r="X76" s="5">
        <f>IF($V$20&gt;18, U76+ROUNDUP(0.1*($V$20-18),0), U76)</f>
        <v>10</v>
      </c>
      <c r="Y76" s="16" t="s">
        <v>117</v>
      </c>
      <c r="Z76" s="5" t="s">
        <v>31</v>
      </c>
      <c r="AA76" s="21"/>
      <c r="AC76" s="82"/>
    </row>
    <row r="77" spans="4:31" x14ac:dyDescent="0.2">
      <c r="R77" s="22" t="s">
        <v>4</v>
      </c>
      <c r="S77" s="80">
        <f>IF($S$6=2,S76,IF(OR($S$10=5,$S$10=7),V76,IF(OR($S$10=1,$S$10=3),V77,IF(OR($S$10=2,$S$10=4),V78,IF(OR($S$10=6,$S$10=8),V79,"")))))</f>
        <v>10</v>
      </c>
      <c r="T77" s="5">
        <v>10</v>
      </c>
      <c r="U77" s="5">
        <f>IF(T77&gt;10,10,T77)</f>
        <v>10</v>
      </c>
      <c r="V77" s="82">
        <f>MAX(W77:X77)</f>
        <v>10</v>
      </c>
      <c r="W77" s="5">
        <f>IF($U$20&gt;2,$U$20-2+U77,U77)</f>
        <v>10</v>
      </c>
      <c r="X77" s="5">
        <f>IF($V$20&gt;18, U77+ROUNDUP(0.1*($V$20-18),0), U77)</f>
        <v>10</v>
      </c>
      <c r="Y77" s="16" t="s">
        <v>107</v>
      </c>
      <c r="Z77" s="5" t="s">
        <v>30</v>
      </c>
      <c r="AA77" s="21">
        <f>IF($T$20*0.25&gt;25,25,$T$20*0.25)</f>
        <v>0</v>
      </c>
      <c r="AB77" s="26"/>
      <c r="AC77" s="82">
        <f>IF(AND($T$10=1,$T$13=1),AD77,MAX(AD77:AE77))</f>
        <v>5</v>
      </c>
      <c r="AD77" s="5">
        <v>5</v>
      </c>
      <c r="AE77" s="26">
        <f>IF($T$20*0.2&gt;25,25,$T$20*0.2)</f>
        <v>0</v>
      </c>
    </row>
    <row r="78" spans="4:31" x14ac:dyDescent="0.2">
      <c r="R78" s="15"/>
      <c r="S78" s="25"/>
      <c r="T78" s="25">
        <v>10</v>
      </c>
      <c r="U78" s="25"/>
      <c r="V78" s="86">
        <f>MAX(W78:X78)</f>
        <v>10</v>
      </c>
      <c r="W78" s="25">
        <f>IF($U$20&gt;2,$U$20-2+T78,T78)</f>
        <v>10</v>
      </c>
      <c r="X78" s="25"/>
      <c r="Y78" s="77" t="s">
        <v>105</v>
      </c>
      <c r="Z78" s="25" t="s">
        <v>36</v>
      </c>
      <c r="AA78" s="26"/>
      <c r="AB78" s="25"/>
      <c r="AC78" s="86"/>
      <c r="AD78" s="25"/>
      <c r="AE78" s="25"/>
    </row>
    <row r="79" spans="4:31" x14ac:dyDescent="0.2">
      <c r="D79" s="63"/>
      <c r="E79" s="63"/>
      <c r="F79" s="63"/>
      <c r="G79" s="63"/>
      <c r="K79"/>
      <c r="T79" s="5">
        <v>10</v>
      </c>
      <c r="V79" s="82">
        <f>MAX(W79:X79)</f>
        <v>10</v>
      </c>
      <c r="W79" s="5">
        <f>IF($U$20&gt;2,$U$20-2+T79,T79)</f>
        <v>10</v>
      </c>
      <c r="Y79" s="16" t="s">
        <v>108</v>
      </c>
      <c r="Z79" s="5" t="s">
        <v>109</v>
      </c>
      <c r="AC79" s="82"/>
    </row>
    <row r="80" spans="4:31" x14ac:dyDescent="0.2">
      <c r="D80" s="63"/>
      <c r="E80" s="63"/>
      <c r="F80" s="63"/>
      <c r="G80" s="63"/>
      <c r="V80" s="82"/>
      <c r="AC80" s="82"/>
    </row>
    <row r="81" spans="4:31" x14ac:dyDescent="0.2">
      <c r="D81" s="63"/>
      <c r="E81" s="63"/>
      <c r="F81" s="63"/>
      <c r="G81" s="63"/>
      <c r="V81" s="82"/>
      <c r="AC81" s="82"/>
    </row>
    <row r="82" spans="4:31" x14ac:dyDescent="0.2">
      <c r="D82" s="63"/>
      <c r="E82" s="63"/>
      <c r="F82" s="63"/>
      <c r="G82" s="63"/>
      <c r="V82" s="82"/>
      <c r="AC82" s="82"/>
    </row>
    <row r="83" spans="4:31" x14ac:dyDescent="0.2">
      <c r="D83" s="63"/>
      <c r="E83" s="63"/>
      <c r="F83" s="63"/>
      <c r="G83" s="63"/>
      <c r="V83" s="82"/>
      <c r="AC83" s="82"/>
    </row>
    <row r="84" spans="4:31" x14ac:dyDescent="0.2">
      <c r="V84" s="82"/>
      <c r="AC84" s="82"/>
    </row>
    <row r="85" spans="4:31" x14ac:dyDescent="0.2">
      <c r="R85" s="12"/>
      <c r="S85" s="19" t="s">
        <v>35</v>
      </c>
      <c r="T85" s="19" t="s">
        <v>32</v>
      </c>
      <c r="U85" s="19"/>
      <c r="V85" s="85"/>
      <c r="W85" s="19" t="s">
        <v>34</v>
      </c>
      <c r="X85" s="19" t="s">
        <v>33</v>
      </c>
      <c r="Y85" s="84"/>
      <c r="Z85" s="19"/>
      <c r="AA85" s="20" t="s">
        <v>44</v>
      </c>
      <c r="AB85" s="19"/>
      <c r="AC85" s="85"/>
      <c r="AD85" s="19"/>
      <c r="AE85" s="19"/>
    </row>
    <row r="86" spans="4:31" x14ac:dyDescent="0.2">
      <c r="R86" s="13" t="s">
        <v>113</v>
      </c>
      <c r="S86" s="5">
        <f>IF(OR($S$10=4,$S$10=6,$S$10=8),V88,V87)</f>
        <v>10</v>
      </c>
      <c r="T86" s="5">
        <v>10</v>
      </c>
      <c r="U86" s="5">
        <f>MAX(T86:T87)</f>
        <v>10</v>
      </c>
      <c r="V86" s="82">
        <f>MAX(W86:X86)</f>
        <v>10</v>
      </c>
      <c r="X86" s="5">
        <f>IF($V$20&gt;18, U86+ROUNDUP(0.1*($V$20-18),0), U86)</f>
        <v>10</v>
      </c>
      <c r="Y86" s="16" t="s">
        <v>117</v>
      </c>
      <c r="Z86" s="5" t="s">
        <v>31</v>
      </c>
      <c r="AA86" s="21"/>
      <c r="AC86" s="82"/>
    </row>
    <row r="87" spans="4:31" x14ac:dyDescent="0.2">
      <c r="R87" s="22" t="s">
        <v>3</v>
      </c>
      <c r="S87" s="80">
        <f>IF($S$6=2,S86,IF(OR($S$10=5,$S$10=7),V86,IF(OR($S$10=1,$S$10=3),V87,IF(OR($S$10=2,$S$10=4),V88,IF(OR($S$10=6,$S$10=8),V89,"")))))</f>
        <v>10</v>
      </c>
      <c r="T87" s="5">
        <v>10</v>
      </c>
      <c r="U87" s="5">
        <f>IF(T87&gt;10,10,T87)</f>
        <v>10</v>
      </c>
      <c r="V87" s="82">
        <f>MAX(W87:X87)</f>
        <v>10</v>
      </c>
      <c r="W87" s="5">
        <f>IF($U$20&gt;2,$U$20-2+U87,U87)</f>
        <v>10</v>
      </c>
      <c r="X87" s="5">
        <f>U87</f>
        <v>10</v>
      </c>
      <c r="Y87" s="16" t="s">
        <v>107</v>
      </c>
      <c r="Z87" s="27" t="s">
        <v>48</v>
      </c>
      <c r="AA87" s="21">
        <f>IF($T$20*0.25&gt;25,25,$T$20*0.25)</f>
        <v>0</v>
      </c>
      <c r="AB87" s="26"/>
      <c r="AC87" s="82">
        <f>IF(AND($T$10=1,$T$13=1),AD87,MAX(AD87:AE87))</f>
        <v>5</v>
      </c>
      <c r="AD87" s="5">
        <v>5</v>
      </c>
      <c r="AE87" s="26">
        <f>IF($T$20*0.2&gt;25,25,$T$20*0.2)</f>
        <v>0</v>
      </c>
    </row>
    <row r="88" spans="4:31" x14ac:dyDescent="0.2">
      <c r="R88" s="15"/>
      <c r="S88" s="25"/>
      <c r="T88" s="25">
        <v>10</v>
      </c>
      <c r="U88" s="25"/>
      <c r="V88" s="86">
        <f>MAX(W88:X88)</f>
        <v>10</v>
      </c>
      <c r="W88" s="25">
        <f>IF($U$20&gt;2,$U$20-2+T88,T88)</f>
        <v>10</v>
      </c>
      <c r="X88" s="25"/>
      <c r="Y88" s="77" t="s">
        <v>105</v>
      </c>
      <c r="Z88" s="25" t="s">
        <v>36</v>
      </c>
      <c r="AA88" s="26"/>
      <c r="AB88" s="25"/>
      <c r="AC88" s="86"/>
      <c r="AD88" s="25"/>
      <c r="AE88" s="25"/>
    </row>
    <row r="89" spans="4:31" x14ac:dyDescent="0.2">
      <c r="D89" s="63"/>
      <c r="E89" s="63"/>
      <c r="F89" s="63"/>
      <c r="G89" s="63"/>
      <c r="K89"/>
      <c r="T89" s="5">
        <v>10</v>
      </c>
      <c r="V89" s="82">
        <f>MAX(W89:X89)</f>
        <v>10</v>
      </c>
      <c r="W89" s="5">
        <f>IF($U$20&gt;2,$U$20-2+T89,T89)</f>
        <v>10</v>
      </c>
      <c r="Y89" s="16" t="s">
        <v>108</v>
      </c>
      <c r="Z89" s="5" t="s">
        <v>109</v>
      </c>
      <c r="AC89" s="82"/>
    </row>
    <row r="90" spans="4:31" x14ac:dyDescent="0.2">
      <c r="D90" s="63"/>
      <c r="E90" s="63"/>
      <c r="F90" s="63"/>
      <c r="G90" s="63"/>
      <c r="V90" s="82"/>
      <c r="AC90" s="82"/>
    </row>
    <row r="91" spans="4:31" x14ac:dyDescent="0.2">
      <c r="D91" s="63"/>
      <c r="E91" s="63"/>
      <c r="F91" s="63"/>
      <c r="G91" s="63"/>
      <c r="V91" s="82"/>
      <c r="AC91" s="82"/>
    </row>
    <row r="92" spans="4:31" x14ac:dyDescent="0.2">
      <c r="D92" s="63"/>
      <c r="E92" s="63"/>
      <c r="F92" s="63"/>
      <c r="G92" s="63"/>
      <c r="V92" s="82"/>
      <c r="AC92" s="82"/>
    </row>
    <row r="93" spans="4:31" x14ac:dyDescent="0.2">
      <c r="D93" s="63"/>
      <c r="E93" s="63"/>
      <c r="F93" s="63"/>
      <c r="G93" s="63"/>
      <c r="V93" s="82"/>
      <c r="AC93" s="82"/>
    </row>
    <row r="94" spans="4:31" x14ac:dyDescent="0.2">
      <c r="V94" s="82"/>
      <c r="AC94" s="82"/>
    </row>
    <row r="95" spans="4:31" x14ac:dyDescent="0.2">
      <c r="R95" s="12"/>
      <c r="S95" s="19" t="s">
        <v>35</v>
      </c>
      <c r="T95" s="19" t="s">
        <v>32</v>
      </c>
      <c r="U95" s="19"/>
      <c r="V95" s="85"/>
      <c r="W95" s="19" t="s">
        <v>34</v>
      </c>
      <c r="X95" s="19" t="s">
        <v>33</v>
      </c>
      <c r="Y95" s="84"/>
      <c r="Z95" s="19"/>
      <c r="AA95" s="20" t="s">
        <v>44</v>
      </c>
      <c r="AB95" s="19"/>
      <c r="AC95" s="85"/>
      <c r="AD95" s="19"/>
      <c r="AE95" s="19"/>
    </row>
    <row r="96" spans="4:31" x14ac:dyDescent="0.2">
      <c r="R96" s="13"/>
      <c r="V96" s="82"/>
      <c r="Z96" s="28"/>
      <c r="AA96" s="21"/>
      <c r="AC96" s="82"/>
    </row>
    <row r="97" spans="18:31" x14ac:dyDescent="0.2">
      <c r="R97" s="22" t="s">
        <v>20</v>
      </c>
      <c r="S97" s="23">
        <v>3</v>
      </c>
      <c r="V97" s="82"/>
      <c r="AA97" s="21">
        <v>10</v>
      </c>
      <c r="AB97" s="29" t="s">
        <v>65</v>
      </c>
      <c r="AC97" s="82">
        <f>IF(AND($T$10=1,$T$13=1),AD97,MAX(AD97:AE97))</f>
        <v>10</v>
      </c>
      <c r="AD97" s="5">
        <v>5</v>
      </c>
      <c r="AE97" s="97">
        <f>IF(R22=TRUE, 7,10)</f>
        <v>10</v>
      </c>
    </row>
    <row r="98" spans="18:31" x14ac:dyDescent="0.2">
      <c r="R98" s="15"/>
      <c r="S98" s="25"/>
      <c r="T98" s="25"/>
      <c r="U98" s="25"/>
      <c r="V98" s="86"/>
      <c r="W98" s="25"/>
      <c r="X98" s="25"/>
      <c r="Y98" s="77"/>
      <c r="Z98" s="25"/>
      <c r="AA98" s="26"/>
      <c r="AB98" s="30" t="s">
        <v>64</v>
      </c>
      <c r="AC98" s="86"/>
      <c r="AD98" s="25"/>
      <c r="AE98" s="30"/>
    </row>
    <row r="99" spans="18:31" x14ac:dyDescent="0.2">
      <c r="V99" s="82"/>
      <c r="AC99" s="82"/>
    </row>
    <row r="100" spans="18:31" x14ac:dyDescent="0.2">
      <c r="R100" s="12"/>
      <c r="S100" s="19" t="s">
        <v>35</v>
      </c>
      <c r="T100" s="19" t="s">
        <v>32</v>
      </c>
      <c r="U100" s="19"/>
      <c r="V100" s="85"/>
      <c r="W100" s="19" t="s">
        <v>34</v>
      </c>
      <c r="X100" s="19" t="s">
        <v>33</v>
      </c>
      <c r="Y100" s="84"/>
      <c r="Z100" s="19"/>
      <c r="AA100" s="20" t="s">
        <v>44</v>
      </c>
      <c r="AB100" s="19"/>
      <c r="AC100" s="85"/>
      <c r="AD100" s="19"/>
      <c r="AE100" s="19"/>
    </row>
    <row r="101" spans="18:31" x14ac:dyDescent="0.2">
      <c r="R101" s="13"/>
      <c r="V101" s="82"/>
      <c r="Z101" s="28"/>
      <c r="AA101" s="21"/>
      <c r="AC101" s="82"/>
    </row>
    <row r="102" spans="18:31" x14ac:dyDescent="0.2">
      <c r="R102" s="22" t="s">
        <v>21</v>
      </c>
      <c r="S102" s="23">
        <f>V102</f>
        <v>3</v>
      </c>
      <c r="T102" s="5">
        <v>3</v>
      </c>
      <c r="V102" s="82">
        <f>MAX(W102:X102)</f>
        <v>3</v>
      </c>
      <c r="W102" s="5">
        <f>IF($U$20&gt;2,$U$20-2+T102,T102)</f>
        <v>3</v>
      </c>
      <c r="AA102" s="21">
        <v>15</v>
      </c>
      <c r="AB102" s="29" t="s">
        <v>66</v>
      </c>
      <c r="AC102" s="82">
        <f>IF(AND($T$10=1,$T$13=1),AD102,MAX(AD102:AE102))</f>
        <v>10</v>
      </c>
      <c r="AD102" s="5">
        <v>5</v>
      </c>
      <c r="AE102" s="97">
        <v>10</v>
      </c>
    </row>
    <row r="103" spans="18:31" x14ac:dyDescent="0.2">
      <c r="R103" s="15"/>
      <c r="S103" s="25"/>
      <c r="T103" s="25"/>
      <c r="U103" s="25"/>
      <c r="V103" s="86"/>
      <c r="W103" s="25"/>
      <c r="X103" s="25"/>
      <c r="Y103" s="77"/>
      <c r="Z103" s="25"/>
      <c r="AA103" s="26"/>
      <c r="AB103" s="29" t="s">
        <v>67</v>
      </c>
      <c r="AC103" s="86"/>
      <c r="AD103" s="25"/>
      <c r="AE103" s="29"/>
    </row>
    <row r="104" spans="18:31" x14ac:dyDescent="0.2">
      <c r="V104" s="82"/>
      <c r="AC104" s="82"/>
    </row>
    <row r="105" spans="18:31" x14ac:dyDescent="0.2">
      <c r="R105" s="12"/>
      <c r="S105" s="19" t="s">
        <v>35</v>
      </c>
      <c r="T105" s="19" t="s">
        <v>32</v>
      </c>
      <c r="U105" s="19"/>
      <c r="V105" s="85"/>
      <c r="W105" s="19" t="s">
        <v>34</v>
      </c>
      <c r="X105" s="19" t="s">
        <v>33</v>
      </c>
      <c r="Y105" s="84"/>
      <c r="Z105" s="19"/>
      <c r="AA105" s="20" t="s">
        <v>44</v>
      </c>
      <c r="AB105" s="19"/>
      <c r="AC105" s="85"/>
      <c r="AD105" s="19"/>
      <c r="AE105" s="19"/>
    </row>
    <row r="106" spans="18:31" x14ac:dyDescent="0.2">
      <c r="R106" s="13"/>
      <c r="V106" s="82"/>
      <c r="Z106" s="28"/>
      <c r="AA106" s="21"/>
      <c r="AC106" s="82"/>
    </row>
    <row r="107" spans="18:31" x14ac:dyDescent="0.2">
      <c r="R107" s="22" t="s">
        <v>22</v>
      </c>
      <c r="S107" s="23">
        <f>T107</f>
        <v>3</v>
      </c>
      <c r="T107" s="5">
        <f>IF(S20&lt;30,3,S20*0.1)</f>
        <v>3</v>
      </c>
      <c r="V107" s="82"/>
      <c r="AA107" s="21">
        <v>15</v>
      </c>
      <c r="AB107" s="29" t="s">
        <v>68</v>
      </c>
      <c r="AC107" s="82">
        <f>IF(AND($T$10=1,$T$13=1),AD107,MAX(AD107:AE107))</f>
        <v>10</v>
      </c>
      <c r="AD107" s="5">
        <v>5</v>
      </c>
      <c r="AE107" s="97">
        <v>10</v>
      </c>
    </row>
    <row r="108" spans="18:31" x14ac:dyDescent="0.2">
      <c r="R108" s="15"/>
      <c r="S108" s="25"/>
      <c r="T108" s="25"/>
      <c r="U108" s="25"/>
      <c r="V108" s="86"/>
      <c r="W108" s="25"/>
      <c r="X108" s="25"/>
      <c r="Y108" s="77"/>
      <c r="Z108" s="25"/>
      <c r="AA108" s="26"/>
      <c r="AB108" s="25"/>
      <c r="AC108" s="86"/>
      <c r="AD108" s="25"/>
      <c r="AE108" s="25"/>
    </row>
    <row r="109" spans="18:31" x14ac:dyDescent="0.2">
      <c r="V109" s="82"/>
      <c r="AC109" s="82"/>
    </row>
    <row r="110" spans="18:31" x14ac:dyDescent="0.2">
      <c r="R110" s="12"/>
      <c r="S110" s="19" t="s">
        <v>35</v>
      </c>
      <c r="T110" s="19" t="s">
        <v>32</v>
      </c>
      <c r="U110" s="19"/>
      <c r="V110" s="85"/>
      <c r="W110" s="19" t="s">
        <v>34</v>
      </c>
      <c r="X110" s="19" t="s">
        <v>33</v>
      </c>
      <c r="Y110" s="84"/>
      <c r="Z110" s="19"/>
      <c r="AA110" s="20" t="s">
        <v>44</v>
      </c>
      <c r="AB110" s="19"/>
      <c r="AC110" s="85"/>
      <c r="AD110" s="19"/>
      <c r="AE110" s="19"/>
    </row>
    <row r="111" spans="18:31" x14ac:dyDescent="0.2">
      <c r="R111" s="13"/>
      <c r="V111" s="82"/>
      <c r="Z111" s="31" t="s">
        <v>61</v>
      </c>
      <c r="AA111" s="21"/>
      <c r="AC111" s="82"/>
    </row>
    <row r="112" spans="18:31" x14ac:dyDescent="0.2">
      <c r="R112" s="22" t="s">
        <v>10</v>
      </c>
      <c r="S112" s="23">
        <f>IF(OR($S$10=1,$S$10=3,$S$10=5),V112,IF(OR($S$10=2,$S$10=4,$S$10=6,$S$10=7,$S$10=8),V113,""))</f>
        <v>3</v>
      </c>
      <c r="T112" s="5">
        <f>IF(AND($S$20&lt;50, $S$20&gt;30),$S$20*0.1,IF($S$20&lt;=30,3, 5))</f>
        <v>3</v>
      </c>
      <c r="V112" s="82">
        <f>MAX(W112:X112)</f>
        <v>3</v>
      </c>
      <c r="W112" s="5">
        <f>IF($U$20&gt;2,$U$20-2+T112,T112)</f>
        <v>3</v>
      </c>
      <c r="X112" s="5">
        <f>IF($V$20&gt;18, T112+ROUNDUP(0.1*($V$20-18),0), T112)</f>
        <v>3</v>
      </c>
      <c r="Z112" s="32" t="s">
        <v>69</v>
      </c>
      <c r="AA112" s="21">
        <v>15</v>
      </c>
      <c r="AC112" s="82">
        <f>IF(AND($T$10=1,$T$13=1),AD112,MAX(AD112:AE112))</f>
        <v>5</v>
      </c>
      <c r="AD112" s="5">
        <v>5</v>
      </c>
      <c r="AE112" s="26">
        <f>IF($T$20*0.2&gt;20,20,$T$20*0.2)</f>
        <v>0</v>
      </c>
    </row>
    <row r="113" spans="18:31" x14ac:dyDescent="0.2">
      <c r="R113" s="15"/>
      <c r="S113" s="25"/>
      <c r="T113" s="25">
        <f>IF(AND($S$20&lt;50, $S$20&gt;30),$S$20*0.1,IF($S$20&lt;=30,3, 5))</f>
        <v>3</v>
      </c>
      <c r="U113" s="25"/>
      <c r="V113" s="86">
        <f>MAX(W113:X113)</f>
        <v>3</v>
      </c>
      <c r="W113" s="25">
        <f>IF($U$20&gt;2,$U$20-2+T113,T113)</f>
        <v>3</v>
      </c>
      <c r="X113" s="25"/>
      <c r="Y113" s="77"/>
      <c r="Z113" s="25" t="s">
        <v>36</v>
      </c>
      <c r="AA113" s="26"/>
      <c r="AB113" s="25"/>
      <c r="AC113" s="86"/>
      <c r="AD113" s="25"/>
      <c r="AE113" s="25"/>
    </row>
    <row r="114" spans="18:31" x14ac:dyDescent="0.2">
      <c r="V114" s="82"/>
      <c r="AC114" s="82"/>
    </row>
    <row r="115" spans="18:31" x14ac:dyDescent="0.2">
      <c r="R115" s="12"/>
      <c r="S115" s="19" t="s">
        <v>35</v>
      </c>
      <c r="T115" s="19" t="s">
        <v>32</v>
      </c>
      <c r="U115" s="19"/>
      <c r="V115" s="85"/>
      <c r="W115" s="19" t="s">
        <v>34</v>
      </c>
      <c r="X115" s="19" t="s">
        <v>33</v>
      </c>
      <c r="Y115" s="84" t="s">
        <v>47</v>
      </c>
      <c r="Z115" s="19"/>
      <c r="AA115" s="20" t="s">
        <v>44</v>
      </c>
      <c r="AB115" s="19"/>
      <c r="AC115" s="85"/>
      <c r="AD115" s="19"/>
      <c r="AE115" s="19"/>
    </row>
    <row r="116" spans="18:31" x14ac:dyDescent="0.2">
      <c r="R116" s="13"/>
      <c r="T116" s="5">
        <f>IF($S$20&lt;40, 4, 5)</f>
        <v>4</v>
      </c>
      <c r="V116" s="82">
        <f>MAX(W116:X116)</f>
        <v>4</v>
      </c>
      <c r="X116" s="5">
        <f>IF($V$20&gt;18, T116+ROUNDUP(0.1*($V$20-18),0), T116)</f>
        <v>4</v>
      </c>
      <c r="Z116" s="5" t="s">
        <v>31</v>
      </c>
      <c r="AA116" s="21"/>
      <c r="AC116" s="82"/>
    </row>
    <row r="117" spans="18:31" x14ac:dyDescent="0.2">
      <c r="R117" s="33" t="s">
        <v>50</v>
      </c>
      <c r="S117" s="23">
        <f>IF(OR($S$10=7,$S$10=8),V116,(IF(OR($S$10=1,$S$10=3,$S$10=5),V117,(IF(OR($S$10=2,$S$10=4,$S$10=6),V118,"")))))</f>
        <v>3</v>
      </c>
      <c r="T117" s="5">
        <f>IF(AND($S$20&lt;50, $S$20&gt;30),$S$20*0.1,IF($S$20&lt;=30,3, 5))</f>
        <v>3</v>
      </c>
      <c r="V117" s="82">
        <f>Y117</f>
        <v>3</v>
      </c>
      <c r="W117" s="5">
        <f>IF($U$20&gt;2,$U$20-2+T117,T117)</f>
        <v>3</v>
      </c>
      <c r="Y117" s="16">
        <f>IF(W117&gt;16,16,W117)</f>
        <v>3</v>
      </c>
      <c r="Z117" s="27" t="s">
        <v>48</v>
      </c>
      <c r="AA117" s="21">
        <v>15</v>
      </c>
      <c r="AC117" s="82">
        <f>IF(AND($T$10=1,$T$13=1),AD117,MAX(AD117:AE117))</f>
        <v>15</v>
      </c>
      <c r="AD117" s="5">
        <v>5</v>
      </c>
      <c r="AE117" s="5">
        <v>15</v>
      </c>
    </row>
    <row r="118" spans="18:31" x14ac:dyDescent="0.2">
      <c r="R118" s="15"/>
      <c r="S118" s="25"/>
      <c r="T118" s="25">
        <f>IF(AND($S$20&lt;50, $S$20&gt;30),$S$20*0.1,IF($S$20&lt;=30,3, 5))</f>
        <v>3</v>
      </c>
      <c r="U118" s="25"/>
      <c r="V118" s="86">
        <f>Y118</f>
        <v>3</v>
      </c>
      <c r="W118" s="25">
        <f>IF($U$20&gt;2,$U$20-2+T118,T118)</f>
        <v>3</v>
      </c>
      <c r="X118" s="25"/>
      <c r="Y118" s="77">
        <f>IF(W118&gt;16,16,W118)</f>
        <v>3</v>
      </c>
      <c r="Z118" s="25" t="s">
        <v>36</v>
      </c>
      <c r="AA118" s="26"/>
      <c r="AB118" s="25"/>
      <c r="AC118" s="86"/>
      <c r="AD118" s="25"/>
      <c r="AE118" s="25"/>
    </row>
    <row r="119" spans="18:31" x14ac:dyDescent="0.2">
      <c r="V119" s="82"/>
      <c r="AC119" s="82"/>
    </row>
    <row r="120" spans="18:31" x14ac:dyDescent="0.2">
      <c r="R120" s="12"/>
      <c r="S120" s="19" t="s">
        <v>35</v>
      </c>
      <c r="T120" s="19" t="s">
        <v>32</v>
      </c>
      <c r="U120" s="19"/>
      <c r="V120" s="85"/>
      <c r="W120" s="34" t="s">
        <v>51</v>
      </c>
      <c r="X120" s="19" t="s">
        <v>33</v>
      </c>
      <c r="Y120" s="84"/>
      <c r="Z120" s="19"/>
      <c r="AA120" s="20" t="s">
        <v>44</v>
      </c>
      <c r="AB120" s="19"/>
      <c r="AC120" s="85"/>
      <c r="AD120" s="19"/>
      <c r="AE120" s="19"/>
    </row>
    <row r="121" spans="18:31" x14ac:dyDescent="0.2">
      <c r="R121" s="13"/>
      <c r="T121" s="5">
        <f>IF(AND($S$20&lt;100, $S$20&gt;50),$S$20*0.1,IF($S$20&lt;=50,5, 10))</f>
        <v>5</v>
      </c>
      <c r="V121" s="82">
        <f>MAX(W121:X121)</f>
        <v>5</v>
      </c>
      <c r="X121" s="5">
        <f>IF($V$20&gt;18, T121+ROUNDUP(0.1*($V$20-18),0), T121)</f>
        <v>5</v>
      </c>
      <c r="Z121" s="5" t="s">
        <v>31</v>
      </c>
      <c r="AA121" s="21"/>
      <c r="AC121" s="82"/>
    </row>
    <row r="122" spans="18:31" x14ac:dyDescent="0.2">
      <c r="R122" s="22" t="s">
        <v>49</v>
      </c>
      <c r="S122" s="23">
        <f>IF(OR($S$10=7,$S$10=8),V121,(IF(OR($S$10=1,$S$10=3,$S$10=5),V122,(IF(OR($S$10=2,$S$10=4,$S$10=6),V123,"")))))</f>
        <v>5</v>
      </c>
      <c r="T122" s="5">
        <f>IF(AND($S$20&lt;100, $S$20&gt;50),$S$20*0.1,IF($S$20&lt;=50,5, 10))</f>
        <v>5</v>
      </c>
      <c r="V122" s="82">
        <f>T122</f>
        <v>5</v>
      </c>
      <c r="Z122" s="27" t="s">
        <v>48</v>
      </c>
      <c r="AA122" s="21">
        <v>15</v>
      </c>
      <c r="AC122" s="82">
        <f>IF(AND($T$10=1,$T$13=1),AD122,MAX(AD122:AE122))</f>
        <v>15</v>
      </c>
      <c r="AD122" s="5">
        <v>5</v>
      </c>
      <c r="AE122" s="5">
        <v>15</v>
      </c>
    </row>
    <row r="123" spans="18:31" x14ac:dyDescent="0.2">
      <c r="R123" s="15"/>
      <c r="S123" s="25"/>
      <c r="T123" s="25">
        <f>IF(AND($S$20&lt;100, $S$20&gt;50),$S$20*0.1,IF($S$20&lt;=50,5, 10))</f>
        <v>5</v>
      </c>
      <c r="U123" s="25"/>
      <c r="V123" s="86">
        <f>T123</f>
        <v>5</v>
      </c>
      <c r="W123" s="25"/>
      <c r="X123" s="25"/>
      <c r="Y123" s="77"/>
      <c r="Z123" s="25" t="s">
        <v>36</v>
      </c>
      <c r="AA123" s="26"/>
      <c r="AB123" s="25"/>
      <c r="AC123" s="86"/>
      <c r="AD123" s="25"/>
      <c r="AE123" s="25"/>
    </row>
    <row r="124" spans="18:31" x14ac:dyDescent="0.2">
      <c r="V124" s="82"/>
      <c r="AC124" s="82"/>
    </row>
    <row r="125" spans="18:31" x14ac:dyDescent="0.2">
      <c r="R125" s="12"/>
      <c r="S125" s="19" t="s">
        <v>35</v>
      </c>
      <c r="T125" s="19" t="s">
        <v>32</v>
      </c>
      <c r="U125" s="19"/>
      <c r="V125" s="85"/>
      <c r="W125" s="34" t="s">
        <v>51</v>
      </c>
      <c r="X125" s="19" t="s">
        <v>33</v>
      </c>
      <c r="Y125" s="84"/>
      <c r="Z125" s="19"/>
      <c r="AA125" s="20" t="s">
        <v>44</v>
      </c>
      <c r="AB125" s="19"/>
      <c r="AC125" s="85"/>
      <c r="AD125" s="19"/>
      <c r="AE125" s="19"/>
    </row>
    <row r="126" spans="18:31" x14ac:dyDescent="0.2">
      <c r="R126" s="13"/>
      <c r="T126" s="5">
        <f>10</f>
        <v>10</v>
      </c>
      <c r="V126" s="82">
        <f>MAX(W126:X126)</f>
        <v>10</v>
      </c>
      <c r="X126" s="5">
        <f>IF($V$20&gt;18, T126+ROUNDUP(0.1*($V$20-18),0), T126)</f>
        <v>10</v>
      </c>
      <c r="Z126" s="5" t="s">
        <v>31</v>
      </c>
      <c r="AA126" s="21"/>
      <c r="AC126" s="82"/>
    </row>
    <row r="127" spans="18:31" x14ac:dyDescent="0.2">
      <c r="R127" s="22" t="s">
        <v>52</v>
      </c>
      <c r="S127" s="23">
        <f>IF(OR($S$10=7,$S$10=8),V126,(IF(OR($S$10=1,$S$10=3,$S$10=5),V127,(IF(OR($S$10=2,$S$10=4,$S$10=6),V128,"")))))</f>
        <v>10</v>
      </c>
      <c r="T127" s="5">
        <v>10</v>
      </c>
      <c r="V127" s="82">
        <f>T127</f>
        <v>10</v>
      </c>
      <c r="Z127" s="27" t="s">
        <v>48</v>
      </c>
      <c r="AA127" s="21">
        <v>25</v>
      </c>
      <c r="AC127" s="82">
        <f>IF(AND($T$10=1,$T$13=1),AD127,MAX(AD127:AE127))</f>
        <v>20</v>
      </c>
      <c r="AD127" s="5">
        <v>5</v>
      </c>
      <c r="AE127" s="5">
        <v>20</v>
      </c>
    </row>
    <row r="128" spans="18:31" x14ac:dyDescent="0.2">
      <c r="R128" s="15"/>
      <c r="S128" s="25"/>
      <c r="T128" s="25">
        <v>10</v>
      </c>
      <c r="U128" s="25"/>
      <c r="V128" s="86">
        <f>T128</f>
        <v>10</v>
      </c>
      <c r="W128" s="25"/>
      <c r="X128" s="25"/>
      <c r="Y128" s="77"/>
      <c r="Z128" s="25" t="s">
        <v>36</v>
      </c>
      <c r="AA128" s="26"/>
      <c r="AB128" s="25"/>
      <c r="AC128" s="86"/>
      <c r="AD128" s="25"/>
      <c r="AE128" s="25"/>
    </row>
    <row r="129" spans="18:31" x14ac:dyDescent="0.2">
      <c r="V129" s="82"/>
      <c r="AC129" s="82"/>
    </row>
    <row r="130" spans="18:31" x14ac:dyDescent="0.2">
      <c r="R130" s="12"/>
      <c r="S130" s="19" t="s">
        <v>35</v>
      </c>
      <c r="T130" s="19" t="s">
        <v>32</v>
      </c>
      <c r="U130" s="19"/>
      <c r="V130" s="85"/>
      <c r="W130" s="19" t="s">
        <v>34</v>
      </c>
      <c r="X130" s="19" t="s">
        <v>33</v>
      </c>
      <c r="Y130" s="84" t="s">
        <v>47</v>
      </c>
      <c r="Z130" s="19"/>
      <c r="AA130" s="20" t="s">
        <v>44</v>
      </c>
      <c r="AB130" s="19"/>
      <c r="AC130" s="85"/>
      <c r="AD130" s="19"/>
      <c r="AE130" s="19"/>
    </row>
    <row r="131" spans="18:31" x14ac:dyDescent="0.2">
      <c r="R131" s="13"/>
      <c r="V131" s="82"/>
      <c r="Z131" s="31" t="s">
        <v>46</v>
      </c>
      <c r="AA131" s="21"/>
      <c r="AC131" s="82"/>
    </row>
    <row r="132" spans="18:31" x14ac:dyDescent="0.2">
      <c r="R132" s="33" t="s">
        <v>11</v>
      </c>
      <c r="S132" s="23">
        <f>IF(OR($S$10=7,$S$10=8),V132,(IF(OR($S$10=1,$S$10=3,$S$10=5),V132,(IF(OR($S$10=2,$S$10=4,$S$10=6),V133,"")))))</f>
        <v>3</v>
      </c>
      <c r="T132" s="5">
        <f>IF(AND($S$20&lt;50, $S$20&gt;30),$S$20*0.1,IF($S$20&lt;=30,3, 5))</f>
        <v>3</v>
      </c>
      <c r="V132" s="82">
        <f>Y132</f>
        <v>3</v>
      </c>
      <c r="W132" s="5">
        <f>IF($U$20&gt;2,$U$20-2+T132,T132)</f>
        <v>3</v>
      </c>
      <c r="Y132" s="16">
        <f>IF(W132&gt;16,16,W132)</f>
        <v>3</v>
      </c>
      <c r="Z132" s="27" t="s">
        <v>48</v>
      </c>
      <c r="AA132" s="21">
        <v>15</v>
      </c>
      <c r="AC132" s="82">
        <f>IF(AND($T$10=1,$T$13=1),AD132,MAX(AD132:AE132))</f>
        <v>15</v>
      </c>
      <c r="AD132" s="5">
        <v>5</v>
      </c>
      <c r="AE132" s="5">
        <v>15</v>
      </c>
    </row>
    <row r="133" spans="18:31" x14ac:dyDescent="0.2">
      <c r="R133" s="15"/>
      <c r="S133" s="25"/>
      <c r="T133" s="25">
        <f>IF(AND($S$20&lt;50, $S$20&gt;30),$S$20*0.1,IF($S$20&lt;=30,3, 5))</f>
        <v>3</v>
      </c>
      <c r="U133" s="25"/>
      <c r="V133" s="86">
        <f>Y133</f>
        <v>3</v>
      </c>
      <c r="W133" s="25">
        <f>IF($U$20&gt;2,$U$20-2+T133,T133)</f>
        <v>3</v>
      </c>
      <c r="X133" s="25"/>
      <c r="Y133" s="77">
        <f>IF(W133&gt;16,16,W133)</f>
        <v>3</v>
      </c>
      <c r="Z133" s="25" t="s">
        <v>36</v>
      </c>
      <c r="AA133" s="26"/>
      <c r="AB133" s="25"/>
      <c r="AC133" s="86"/>
      <c r="AD133" s="25"/>
      <c r="AE133" s="25"/>
    </row>
    <row r="134" spans="18:31" x14ac:dyDescent="0.2">
      <c r="V134" s="82"/>
      <c r="AC134" s="82"/>
    </row>
    <row r="135" spans="18:31" x14ac:dyDescent="0.2">
      <c r="R135" s="12"/>
      <c r="S135" s="19" t="s">
        <v>35</v>
      </c>
      <c r="T135" s="19" t="s">
        <v>32</v>
      </c>
      <c r="U135" s="19"/>
      <c r="V135" s="85"/>
      <c r="W135" s="19" t="s">
        <v>34</v>
      </c>
      <c r="X135" s="19" t="s">
        <v>33</v>
      </c>
      <c r="Y135" s="84" t="s">
        <v>47</v>
      </c>
      <c r="Z135" s="19"/>
      <c r="AA135" s="20" t="s">
        <v>44</v>
      </c>
      <c r="AB135" s="19"/>
      <c r="AC135" s="85"/>
      <c r="AD135" s="19"/>
      <c r="AE135" s="19"/>
    </row>
    <row r="136" spans="18:31" x14ac:dyDescent="0.2">
      <c r="R136" s="13"/>
      <c r="V136" s="82"/>
      <c r="Z136" s="31" t="s">
        <v>46</v>
      </c>
      <c r="AA136" s="21"/>
      <c r="AC136" s="82"/>
    </row>
    <row r="137" spans="18:31" x14ac:dyDescent="0.2">
      <c r="R137" s="33" t="s">
        <v>53</v>
      </c>
      <c r="S137" s="23">
        <f>IF(OR($S$10=2,$S$10=4,$S$10=6),V138,V137)</f>
        <v>3</v>
      </c>
      <c r="T137" s="5">
        <f>IF(AND($S$20&lt;50, $S$20&gt;30),$S$20*0.1,IF($S$20&lt;=30,3, 5))</f>
        <v>3</v>
      </c>
      <c r="V137" s="82">
        <f>Y137</f>
        <v>3</v>
      </c>
      <c r="W137" s="5">
        <f>IF($U$20&gt;2,$U$20-2+T137,T137)</f>
        <v>3</v>
      </c>
      <c r="Y137" s="16">
        <f>IF(W137&gt;16,16,W137)</f>
        <v>3</v>
      </c>
      <c r="Z137" s="27" t="s">
        <v>48</v>
      </c>
      <c r="AA137" s="21">
        <f>IF(AND($U$20&lt;8, $U$20&gt;3),15+$U$20-3,IF($U$20&lt;=3,15, 20))</f>
        <v>15</v>
      </c>
      <c r="AC137" s="82">
        <f>IF(AND($T$10=1,$T$13=1),AD137,MAX(AD137:AE137))</f>
        <v>15</v>
      </c>
      <c r="AD137" s="5">
        <v>5</v>
      </c>
      <c r="AE137" s="5">
        <v>15</v>
      </c>
    </row>
    <row r="138" spans="18:31" x14ac:dyDescent="0.2">
      <c r="R138" s="15"/>
      <c r="S138" s="25"/>
      <c r="T138" s="25">
        <f>IF(AND($S$20&lt;50, $S$20&gt;30),$S$20*0.1,IF($S$20&lt;=30,3, 5))</f>
        <v>3</v>
      </c>
      <c r="U138" s="25"/>
      <c r="V138" s="86">
        <f>Y138</f>
        <v>3</v>
      </c>
      <c r="W138" s="25">
        <f>IF($U$20&gt;2,$U$20-2+T138,T138)</f>
        <v>3</v>
      </c>
      <c r="X138" s="25"/>
      <c r="Y138" s="77">
        <f>IF(W138&gt;16,16,W138)</f>
        <v>3</v>
      </c>
      <c r="Z138" s="25" t="s">
        <v>36</v>
      </c>
      <c r="AA138" s="26">
        <f>IF($U$20&gt;3,15+$U$20-3,15)</f>
        <v>15</v>
      </c>
      <c r="AB138" s="25" t="s">
        <v>137</v>
      </c>
      <c r="AC138" s="86"/>
      <c r="AD138" s="25"/>
      <c r="AE138" s="25"/>
    </row>
    <row r="139" spans="18:31" x14ac:dyDescent="0.2">
      <c r="V139" s="82"/>
      <c r="AC139" s="82"/>
    </row>
    <row r="140" spans="18:31" x14ac:dyDescent="0.2">
      <c r="R140" s="12"/>
      <c r="S140" s="19" t="s">
        <v>35</v>
      </c>
      <c r="T140" s="19" t="s">
        <v>32</v>
      </c>
      <c r="U140" s="19"/>
      <c r="V140" s="85"/>
      <c r="W140" s="19" t="s">
        <v>34</v>
      </c>
      <c r="X140" s="19" t="s">
        <v>33</v>
      </c>
      <c r="Y140" s="84"/>
      <c r="Z140" s="19"/>
      <c r="AA140" s="20" t="s">
        <v>44</v>
      </c>
      <c r="AB140" s="19"/>
      <c r="AC140" s="85"/>
      <c r="AD140" s="19"/>
      <c r="AE140" s="19"/>
    </row>
    <row r="141" spans="18:31" x14ac:dyDescent="0.2">
      <c r="R141" s="13"/>
      <c r="V141" s="82"/>
      <c r="Z141" s="28"/>
      <c r="AA141" s="21"/>
      <c r="AC141" s="82"/>
    </row>
    <row r="142" spans="18:31" x14ac:dyDescent="0.2">
      <c r="R142" s="22" t="s">
        <v>45</v>
      </c>
      <c r="S142" s="23">
        <f>W142</f>
        <v>3</v>
      </c>
      <c r="T142" s="5">
        <f>IF(S21&lt;30,3,S75*0.1)</f>
        <v>3</v>
      </c>
      <c r="V142" s="82"/>
      <c r="W142" s="5">
        <f>IF($U$20&gt;2,$U$20-2+T142,T142)</f>
        <v>3</v>
      </c>
      <c r="AA142" s="21">
        <v>15</v>
      </c>
      <c r="AB142" s="29"/>
      <c r="AC142" s="82">
        <f>IF(AND($T$10=1,$T$13=1),AD142,MAX(AD142:AE142))</f>
        <v>10</v>
      </c>
      <c r="AD142" s="5">
        <v>5</v>
      </c>
      <c r="AE142" s="97">
        <v>10</v>
      </c>
    </row>
    <row r="143" spans="18:31" x14ac:dyDescent="0.2">
      <c r="R143" s="15"/>
      <c r="S143" s="25"/>
      <c r="T143" s="25"/>
      <c r="U143" s="25"/>
      <c r="V143" s="86"/>
      <c r="W143" s="25"/>
      <c r="X143" s="25"/>
      <c r="Y143" s="77"/>
      <c r="Z143" s="25"/>
      <c r="AA143" s="26"/>
      <c r="AB143" s="29" t="s">
        <v>70</v>
      </c>
      <c r="AC143" s="86"/>
      <c r="AD143" s="25"/>
      <c r="AE143" s="29"/>
    </row>
    <row r="144" spans="18:31" x14ac:dyDescent="0.2">
      <c r="V144" s="82"/>
      <c r="AC144" s="82"/>
    </row>
    <row r="145" spans="11:31" x14ac:dyDescent="0.2">
      <c r="R145" s="12"/>
      <c r="S145" s="19" t="s">
        <v>35</v>
      </c>
      <c r="T145" s="19" t="s">
        <v>32</v>
      </c>
      <c r="U145" s="19"/>
      <c r="V145" s="85"/>
      <c r="W145" s="19" t="s">
        <v>34</v>
      </c>
      <c r="X145" s="19" t="s">
        <v>33</v>
      </c>
      <c r="Y145" s="84"/>
      <c r="Z145" s="19"/>
      <c r="AA145" s="20" t="s">
        <v>44</v>
      </c>
      <c r="AB145" s="19"/>
      <c r="AC145" s="85"/>
      <c r="AD145" s="19"/>
      <c r="AE145" s="19"/>
    </row>
    <row r="146" spans="11:31" x14ac:dyDescent="0.2">
      <c r="R146" s="13"/>
      <c r="V146" s="82"/>
      <c r="Z146" s="28"/>
      <c r="AA146" s="21"/>
      <c r="AC146" s="82"/>
    </row>
    <row r="147" spans="11:31" x14ac:dyDescent="0.2">
      <c r="R147" s="22" t="s">
        <v>71</v>
      </c>
      <c r="S147" s="23">
        <v>5</v>
      </c>
      <c r="V147" s="82"/>
      <c r="AA147" s="21">
        <f>IF(R22=TRUE,15,5)</f>
        <v>5</v>
      </c>
      <c r="AB147" s="29"/>
      <c r="AC147" s="82">
        <f>IF(AND($T$10=1,$T$13=1),AD147,MAX(AD147:AE147))</f>
        <v>5</v>
      </c>
      <c r="AD147" s="5">
        <v>5</v>
      </c>
      <c r="AE147" s="97">
        <v>5</v>
      </c>
    </row>
    <row r="148" spans="11:31" x14ac:dyDescent="0.2">
      <c r="R148" s="15"/>
      <c r="S148" s="25"/>
      <c r="T148" s="25"/>
      <c r="U148" s="25"/>
      <c r="V148" s="86"/>
      <c r="W148" s="25"/>
      <c r="X148" s="25"/>
      <c r="Y148" s="77"/>
      <c r="Z148" s="25"/>
      <c r="AA148" s="26"/>
      <c r="AB148" s="29" t="s">
        <v>72</v>
      </c>
      <c r="AC148" s="86"/>
      <c r="AD148" s="25"/>
      <c r="AE148" s="29"/>
    </row>
    <row r="149" spans="11:31" x14ac:dyDescent="0.2">
      <c r="V149" s="82"/>
      <c r="AC149" s="82"/>
    </row>
    <row r="153" spans="11:31" x14ac:dyDescent="0.2">
      <c r="K153" s="35" t="s">
        <v>82</v>
      </c>
    </row>
    <row r="154" spans="11:31" x14ac:dyDescent="0.2">
      <c r="K154" s="35" t="s">
        <v>83</v>
      </c>
    </row>
    <row r="156" spans="11:31" x14ac:dyDescent="0.2">
      <c r="K156" s="72"/>
    </row>
    <row r="158" spans="11:31" x14ac:dyDescent="0.2">
      <c r="K158"/>
    </row>
    <row r="159" spans="11:31" x14ac:dyDescent="0.2">
      <c r="K159"/>
    </row>
    <row r="160" spans="11:31" x14ac:dyDescent="0.2">
      <c r="K160"/>
    </row>
  </sheetData>
  <sheetProtection algorithmName="SHA-512" hashValue="iMUu/INk5c2dEOhbQ+qvVqivZDpz9I/pPxwolp03FPzkFTdiFwlgnsJRC5hBvmoeonfTR/mjh/mKuUh4GBguCg==" saltValue="COTUjKD3WC1qpMZi2etiAA==" spinCount="100000" sheet="1" objects="1" scenarios="1"/>
  <customSheetViews>
    <customSheetView guid="{FE302B5D-2BF7-4643-AAA3-B75C856C2A62}" showGridLines="0" showRowCol="0" hiddenColumns="1">
      <selection activeCell="D18" sqref="D18"/>
      <pageMargins left="0.75" right="0.75" top="1" bottom="1" header="0.5" footer="0.5"/>
      <pageSetup orientation="portrait" horizontalDpi="4294967293" r:id="rId1"/>
      <headerFooter alignWithMargins="0">
        <oddFooter>&amp;Lwww.ara4help.com &amp;D</oddFooter>
      </headerFooter>
    </customSheetView>
    <customSheetView guid="{FB197D09-62DD-4166-8605-0D45C2653888}" showGridLines="0" showRowCol="0" hiddenColumns="1">
      <selection activeCell="H4" sqref="H4"/>
      <pageMargins left="0.75" right="0.75" top="1" bottom="1" header="0.5" footer="0.5"/>
      <pageSetup orientation="portrait" horizontalDpi="4294967293" r:id="rId2"/>
      <headerFooter alignWithMargins="0">
        <oddFooter>&amp;Lwww.ara4help.com &amp;D</oddFooter>
      </headerFooter>
    </customSheetView>
    <customSheetView guid="{828308BE-E5DF-4235-998D-57D174F23709}" showGridLines="0" showRowCol="0" hiddenColumns="1">
      <selection activeCell="D18" sqref="D18"/>
      <pageMargins left="0.75" right="0.75" top="1" bottom="1" header="0.5" footer="0.5"/>
      <pageSetup orientation="portrait" horizontalDpi="4294967293" r:id="rId3"/>
      <headerFooter alignWithMargins="0">
        <oddFooter>&amp;Lwww.ara4help.com &amp;D</oddFooter>
      </headerFooter>
    </customSheetView>
  </customSheetViews>
  <mergeCells count="6">
    <mergeCell ref="D29:G41"/>
    <mergeCell ref="B43:G48"/>
    <mergeCell ref="B1:H1"/>
    <mergeCell ref="B2:H2"/>
    <mergeCell ref="D20:G20"/>
    <mergeCell ref="D19:G19"/>
  </mergeCells>
  <phoneticPr fontId="0" type="noConversion"/>
  <conditionalFormatting sqref="D20">
    <cfRule type="expression" dxfId="3" priority="2" stopIfTrue="1">
      <formula>$D$20&lt;&gt;""</formula>
    </cfRule>
  </conditionalFormatting>
  <conditionalFormatting sqref="D18:G18">
    <cfRule type="cellIs" dxfId="2" priority="1" stopIfTrue="1" operator="lessThan">
      <formula>0</formula>
    </cfRule>
  </conditionalFormatting>
  <conditionalFormatting sqref="D19:G19">
    <cfRule type="expression" dxfId="1" priority="3" stopIfTrue="1">
      <formula>$D$19&lt;&gt;""</formula>
    </cfRule>
  </conditionalFormatting>
  <conditionalFormatting sqref="G16">
    <cfRule type="cellIs" dxfId="0" priority="4" stopIfTrue="1" operator="equal">
      <formula>"''Envelope''"</formula>
    </cfRule>
  </conditionalFormatting>
  <pageMargins left="0.75" right="0.75" top="1" bottom="1" header="0.5" footer="0.5"/>
  <pageSetup orientation="portrait" horizontalDpi="4294967293" r:id="rId4"/>
  <headerFooter alignWithMargins="0">
    <oddFooter>&amp;Lwww.ara4help.com &amp;D</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1</xdr:col>
                    <xdr:colOff>914400</xdr:colOff>
                    <xdr:row>18</xdr:row>
                    <xdr:rowOff>133350</xdr:rowOff>
                  </from>
                  <to>
                    <xdr:col>3</xdr:col>
                    <xdr:colOff>133350</xdr:colOff>
                    <xdr:row>20</xdr:row>
                    <xdr:rowOff>28575</xdr:rowOff>
                  </to>
                </anchor>
              </controlPr>
            </control>
          </mc:Choice>
        </mc:AlternateContent>
        <mc:AlternateContent xmlns:mc="http://schemas.openxmlformats.org/markup-compatibility/2006">
          <mc:Choice Requires="x14">
            <control shapeId="2051" r:id="rId8" name="Drop Down 3">
              <controlPr defaultSize="0" autoLine="0" autoPict="0">
                <anchor moveWithCells="1">
                  <from>
                    <xdr:col>3</xdr:col>
                    <xdr:colOff>9525</xdr:colOff>
                    <xdr:row>3</xdr:row>
                    <xdr:rowOff>9525</xdr:rowOff>
                  </from>
                  <to>
                    <xdr:col>3</xdr:col>
                    <xdr:colOff>619125</xdr:colOff>
                    <xdr:row>4</xdr:row>
                    <xdr:rowOff>38100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3</xdr:col>
                    <xdr:colOff>19050</xdr:colOff>
                    <xdr:row>20</xdr:row>
                    <xdr:rowOff>123825</xdr:rowOff>
                  </from>
                  <to>
                    <xdr:col>3</xdr:col>
                    <xdr:colOff>704850</xdr:colOff>
                    <xdr:row>22</xdr:row>
                    <xdr:rowOff>38100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3</xdr:col>
                    <xdr:colOff>9525</xdr:colOff>
                    <xdr:row>22</xdr:row>
                    <xdr:rowOff>114300</xdr:rowOff>
                  </from>
                  <to>
                    <xdr:col>3</xdr:col>
                    <xdr:colOff>762000</xdr:colOff>
                    <xdr:row>24</xdr:row>
                    <xdr:rowOff>57150</xdr:rowOff>
                  </to>
                </anchor>
              </controlPr>
            </control>
          </mc:Choice>
        </mc:AlternateContent>
        <mc:AlternateContent xmlns:mc="http://schemas.openxmlformats.org/markup-compatibility/2006">
          <mc:Choice Requires="x14">
            <control shapeId="2054" r:id="rId11" name="Option Button 6">
              <controlPr defaultSize="0" autoFill="0" autoLine="0" autoPict="0">
                <anchor moveWithCells="1">
                  <from>
                    <xdr:col>3</xdr:col>
                    <xdr:colOff>0</xdr:colOff>
                    <xdr:row>4</xdr:row>
                    <xdr:rowOff>152400</xdr:rowOff>
                  </from>
                  <to>
                    <xdr:col>4</xdr:col>
                    <xdr:colOff>361950</xdr:colOff>
                    <xdr:row>6</xdr:row>
                    <xdr:rowOff>38100</xdr:rowOff>
                  </to>
                </anchor>
              </controlPr>
            </control>
          </mc:Choice>
        </mc:AlternateContent>
        <mc:AlternateContent xmlns:mc="http://schemas.openxmlformats.org/markup-compatibility/2006">
          <mc:Choice Requires="x14">
            <control shapeId="2055" r:id="rId12" name="Option Button 7">
              <controlPr defaultSize="0" autoFill="0" autoLine="0" autoPict="0">
                <anchor moveWithCells="1">
                  <from>
                    <xdr:col>4</xdr:col>
                    <xdr:colOff>504825</xdr:colOff>
                    <xdr:row>4</xdr:row>
                    <xdr:rowOff>152400</xdr:rowOff>
                  </from>
                  <to>
                    <xdr:col>6</xdr:col>
                    <xdr:colOff>38100</xdr:colOff>
                    <xdr:row>6</xdr:row>
                    <xdr:rowOff>57150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3</xdr:col>
                    <xdr:colOff>0</xdr:colOff>
                    <xdr:row>8</xdr:row>
                    <xdr:rowOff>133350</xdr:rowOff>
                  </from>
                  <to>
                    <xdr:col>4</xdr:col>
                    <xdr:colOff>352425</xdr:colOff>
                    <xdr:row>10</xdr:row>
                    <xdr:rowOff>28575</xdr:rowOff>
                  </to>
                </anchor>
              </controlPr>
            </control>
          </mc:Choice>
        </mc:AlternateContent>
        <mc:AlternateContent xmlns:mc="http://schemas.openxmlformats.org/markup-compatibility/2006">
          <mc:Choice Requires="x14">
            <control shapeId="2057" r:id="rId14" name="Check Box 9">
              <controlPr defaultSize="0" autoFill="0" autoLine="0" autoPict="0" altText="Substandard Hillside Street">
                <anchor moveWithCells="1">
                  <from>
                    <xdr:col>3</xdr:col>
                    <xdr:colOff>0</xdr:colOff>
                    <xdr:row>10</xdr:row>
                    <xdr:rowOff>133350</xdr:rowOff>
                  </from>
                  <to>
                    <xdr:col>4</xdr:col>
                    <xdr:colOff>552450</xdr:colOff>
                    <xdr:row>12</xdr:row>
                    <xdr:rowOff>19050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3</xdr:col>
                    <xdr:colOff>0</xdr:colOff>
                    <xdr:row>6</xdr:row>
                    <xdr:rowOff>133350</xdr:rowOff>
                  </from>
                  <to>
                    <xdr:col>4</xdr:col>
                    <xdr:colOff>685800</xdr:colOff>
                    <xdr:row>8</xdr:row>
                    <xdr:rowOff>28575</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3</xdr:col>
                    <xdr:colOff>9525</xdr:colOff>
                    <xdr:row>24</xdr:row>
                    <xdr:rowOff>104775</xdr:rowOff>
                  </from>
                  <to>
                    <xdr:col>3</xdr:col>
                    <xdr:colOff>762000</xdr:colOff>
                    <xdr:row>26</xdr:row>
                    <xdr:rowOff>47625</xdr:rowOff>
                  </to>
                </anchor>
              </controlPr>
            </control>
          </mc:Choice>
        </mc:AlternateContent>
        <mc:AlternateContent xmlns:mc="http://schemas.openxmlformats.org/markup-compatibility/2006">
          <mc:Choice Requires="x14">
            <control shapeId="2067" r:id="rId17" name="Check Box 19">
              <controlPr defaultSize="0" autoFill="0" autoLine="0" autoPict="0" altText="Substandard Hillside Street">
                <anchor moveWithCells="1">
                  <from>
                    <xdr:col>5</xdr:col>
                    <xdr:colOff>0</xdr:colOff>
                    <xdr:row>10</xdr:row>
                    <xdr:rowOff>142875</xdr:rowOff>
                  </from>
                  <to>
                    <xdr:col>5</xdr:col>
                    <xdr:colOff>304800</xdr:colOff>
                    <xdr:row>12</xdr:row>
                    <xdr:rowOff>28575</xdr:rowOff>
                  </to>
                </anchor>
              </controlPr>
            </control>
          </mc:Choice>
        </mc:AlternateContent>
        <mc:AlternateContent xmlns:mc="http://schemas.openxmlformats.org/markup-compatibility/2006">
          <mc:Choice Requires="x14">
            <control shapeId="2068" r:id="rId18" name="Check Box 20">
              <controlPr defaultSize="0" autoFill="0" autoLine="0" autoPict="0" altText="Substandard Hillside Street">
                <anchor moveWithCells="1">
                  <from>
                    <xdr:col>5</xdr:col>
                    <xdr:colOff>0</xdr:colOff>
                    <xdr:row>10</xdr:row>
                    <xdr:rowOff>133350</xdr:rowOff>
                  </from>
                  <to>
                    <xdr:col>6</xdr:col>
                    <xdr:colOff>28575</xdr:colOff>
                    <xdr:row>12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Ara4help</vt:lpstr>
    </vt:vector>
  </TitlesOfParts>
  <Company>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Ara</cp:lastModifiedBy>
  <cp:lastPrinted>2019-09-08T21:15:14Z</cp:lastPrinted>
  <dcterms:created xsi:type="dcterms:W3CDTF">2005-08-21T06:04:41Z</dcterms:created>
  <dcterms:modified xsi:type="dcterms:W3CDTF">2024-10-01T03:28:39Z</dcterms:modified>
</cp:coreProperties>
</file>