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AA1AF406-2E26-4E8F-AB38-7B748459FC1F}" xr6:coauthVersionLast="47" xr6:coauthVersionMax="47" xr10:uidLastSave="{00000000-0000-0000-0000-000000000000}"/>
  <bookViews>
    <workbookView xWindow="-120" yWindow="-120" windowWidth="29040" windowHeight="15840"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ActualNumberOfPayments">IFERROR(IF(LoanIsGood,IF(PaymentsPerYear=1,1,MATCH(0.01,End_Bal,-1)+1)),"")</definedName>
    <definedName name="ColumnTitle1" localSheetId="0">PaymentSchedule3[[#Headers],[Payment Number]]</definedName>
    <definedName name="ColumnTitle1">#REF!</definedName>
    <definedName name="End_Bal" localSheetId="0">PaymentSchedule3[Ending
Balance]</definedName>
    <definedName name="End_Bal">#REF!</definedName>
    <definedName name="ExtraPayments" localSheetId="0">'Loan Schedule'!$E$15</definedName>
    <definedName name="ExtraPayments">#REF!</definedName>
    <definedName name="InterestRate" localSheetId="0">'Loan Schedule'!$E$8</definedName>
    <definedName name="InterestRate">#REF!</definedName>
    <definedName name="LastCol" localSheetId="0">MATCH(REPT("z",255),'Loan Schedule'!$17:$17)</definedName>
    <definedName name="LastCol">MATCH(REPT("z",255),#REF!)</definedName>
    <definedName name="LastRow" localSheetId="0">MATCH(9.99E+307,'Loan Schedule'!$B:$B)</definedName>
    <definedName name="LastRow">MATCH(9.99E+307,#REF!)</definedName>
    <definedName name="LenderName" localSheetId="0">'Loan Schedule'!$H$15:$I$15</definedName>
    <definedName name="LenderName">#REF!</definedName>
    <definedName name="LoanAmount" localSheetId="0">'Loan Schedule'!$E$7</definedName>
    <definedName name="LoanAmount">#REF!</definedName>
    <definedName name="LoanIsGood" localSheetId="0">('Loan Schedule'!$E$7*'Loan Schedule'!$E$8*'Loan Schedule'!$E$9*'Loan Schedule'!$E$11)&gt;0</definedName>
    <definedName name="LoanIsGood">(#REF!*#REF!*#REF!*#REF!)&gt;0</definedName>
    <definedName name="LoanPeriod" localSheetId="0">'Loan Schedule'!$E$9</definedName>
    <definedName name="LoanPeriod">#REF!</definedName>
    <definedName name="LoanStartDate" localSheetId="0">'Loan Schedule'!$E$11</definedName>
    <definedName name="LoanStartDate">#REF!</definedName>
    <definedName name="PaymentsPerYear" localSheetId="0">'Loan Schedule'!$E$10</definedName>
    <definedName name="PaymentsPerYear">#REF!</definedName>
    <definedName name="_xlnm.Print_Titles" localSheetId="0">'Loan Schedule'!$17:$17</definedName>
    <definedName name="PrintArea_SET" localSheetId="0">OFFSET('Loan Schedule'!#REF!,,,'Loan Schedule'!LastRow,'Loan Schedule'!LastCol)</definedName>
    <definedName name="PrintArea_SET">OFFSET(#REF!,,,LastRow,LastCol)</definedName>
    <definedName name="RowTitleRegion1..E9" localSheetId="0">'Loan Schedule'!$B$7:$D$7</definedName>
    <definedName name="RowTitleRegion1..E9">#REF!</definedName>
    <definedName name="RowTitleRegion2..I7" localSheetId="0">'Loan Schedule'!$G$7:$H$7</definedName>
    <definedName name="RowTitleRegion2..I7">#REF!</definedName>
    <definedName name="RowTitleRegion3..E9" localSheetId="0">'Loan Schedule'!$B$15</definedName>
    <definedName name="RowTitleRegion3..E9">#REF!</definedName>
    <definedName name="RowTitleRegion4..H9" localSheetId="0">'Loan Schedule'!$G$15</definedName>
    <definedName name="RowTitleRegion4..H9">#REF!</definedName>
    <definedName name="ScheduledNumberOfPayments" localSheetId="0">'Loan Schedule'!$I$8</definedName>
    <definedName name="ScheduledNumberOfPayments">#REF!</definedName>
    <definedName name="ScheduledPayment" localSheetId="0">'Loan Schedule'!$I$7</definedName>
    <definedName name="ScheduledPayment">#REF!</definedName>
    <definedName name="TotalEarlyPayments" localSheetId="0">SUM(PaymentSchedule3[Extra
Payment])</definedName>
    <definedName name="TotalEarlyPayments">SUM(#REF!)</definedName>
    <definedName name="TotalInterest" localSheetId="0">SUM(PaymentSchedule3[Interest])</definedName>
    <definedName name="TotalInter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5" i="3" l="1"/>
  <c r="E6" i="3"/>
  <c r="N9" i="3"/>
  <c r="Q16" i="3" l="1"/>
  <c r="Q17" i="3"/>
  <c r="Q18" i="3" s="1"/>
  <c r="E7" i="3"/>
  <c r="N7" i="3"/>
  <c r="N10" i="3" s="1"/>
  <c r="E11" i="3"/>
  <c r="Q19" i="3" l="1"/>
  <c r="Q20" i="3" s="1"/>
  <c r="Q37" i="3" s="1"/>
  <c r="I8" i="3"/>
  <c r="B28" i="3" s="1"/>
  <c r="I7" i="3" l="1"/>
  <c r="B339" i="3"/>
  <c r="B331" i="3"/>
  <c r="C331" i="3" s="1"/>
  <c r="B377" i="3"/>
  <c r="B355" i="3"/>
  <c r="B374" i="3"/>
  <c r="B378" i="3"/>
  <c r="B366" i="3"/>
  <c r="B335" i="3"/>
  <c r="B332" i="3"/>
  <c r="B351" i="3"/>
  <c r="B370" i="3"/>
  <c r="B363" i="3"/>
  <c r="B343" i="3"/>
  <c r="B347" i="3"/>
  <c r="B344" i="3"/>
  <c r="B319" i="3"/>
  <c r="B323" i="3"/>
  <c r="B327" i="3"/>
  <c r="B359" i="3"/>
  <c r="B371" i="3"/>
  <c r="B375" i="3"/>
  <c r="B367" i="3"/>
  <c r="B316" i="3"/>
  <c r="B320" i="3"/>
  <c r="B324" i="3"/>
  <c r="B328" i="3"/>
  <c r="B340" i="3"/>
  <c r="B356" i="3"/>
  <c r="B360" i="3"/>
  <c r="B352" i="3"/>
  <c r="B372" i="3"/>
  <c r="B376" i="3"/>
  <c r="B348" i="3"/>
  <c r="B364" i="3"/>
  <c r="B368" i="3"/>
  <c r="B317" i="3"/>
  <c r="B321" i="3"/>
  <c r="B325" i="3"/>
  <c r="B329" i="3"/>
  <c r="B341" i="3"/>
  <c r="B345" i="3"/>
  <c r="B349" i="3"/>
  <c r="B361" i="3"/>
  <c r="B333" i="3"/>
  <c r="B330" i="3"/>
  <c r="B336" i="3"/>
  <c r="B337" i="3"/>
  <c r="B353" i="3"/>
  <c r="B357" i="3"/>
  <c r="B365" i="3"/>
  <c r="B369" i="3"/>
  <c r="B373" i="3"/>
  <c r="B318" i="3"/>
  <c r="B322" i="3"/>
  <c r="B326" i="3"/>
  <c r="B346" i="3"/>
  <c r="B334" i="3"/>
  <c r="B338" i="3"/>
  <c r="B342" i="3"/>
  <c r="B362" i="3"/>
  <c r="B350" i="3"/>
  <c r="B354" i="3"/>
  <c r="B358" i="3"/>
  <c r="B315" i="3"/>
  <c r="B139" i="3"/>
  <c r="B123" i="3"/>
  <c r="B186" i="3"/>
  <c r="B217" i="3"/>
  <c r="C28" i="3"/>
  <c r="B152" i="3"/>
  <c r="B51" i="3"/>
  <c r="B82" i="3"/>
  <c r="B113" i="3"/>
  <c r="B144" i="3"/>
  <c r="B175" i="3"/>
  <c r="B206" i="3"/>
  <c r="B237" i="3"/>
  <c r="B268" i="3"/>
  <c r="B283" i="3"/>
  <c r="B43" i="3"/>
  <c r="B74" i="3"/>
  <c r="B105" i="3"/>
  <c r="B136" i="3"/>
  <c r="B167" i="3"/>
  <c r="B198" i="3"/>
  <c r="B229" i="3"/>
  <c r="B260" i="3"/>
  <c r="B291" i="3"/>
  <c r="B35" i="3"/>
  <c r="B66" i="3"/>
  <c r="B97" i="3"/>
  <c r="B128" i="3"/>
  <c r="B159" i="3"/>
  <c r="B190" i="3"/>
  <c r="B221" i="3"/>
  <c r="B252" i="3"/>
  <c r="B299" i="3"/>
  <c r="B151" i="3"/>
  <c r="B182" i="3"/>
  <c r="B213" i="3"/>
  <c r="B244" i="3"/>
  <c r="B275" i="3"/>
  <c r="B306" i="3"/>
  <c r="B50" i="3"/>
  <c r="B81" i="3"/>
  <c r="B112" i="3"/>
  <c r="B143" i="3"/>
  <c r="B174" i="3"/>
  <c r="B205" i="3"/>
  <c r="B236" i="3"/>
  <c r="B214" i="3"/>
  <c r="B73" i="3"/>
  <c r="B166" i="3"/>
  <c r="B197" i="3"/>
  <c r="B228" i="3"/>
  <c r="B259" i="3"/>
  <c r="B290" i="3"/>
  <c r="B34" i="3"/>
  <c r="B65" i="3"/>
  <c r="B96" i="3"/>
  <c r="B127" i="3"/>
  <c r="B158" i="3"/>
  <c r="B189" i="3"/>
  <c r="B220" i="3"/>
  <c r="B307" i="3"/>
  <c r="B282" i="3"/>
  <c r="B150" i="3"/>
  <c r="B181" i="3"/>
  <c r="B212" i="3"/>
  <c r="B243" i="3"/>
  <c r="B274" i="3"/>
  <c r="B305" i="3"/>
  <c r="B49" i="3"/>
  <c r="B80" i="3"/>
  <c r="B111" i="3"/>
  <c r="B142" i="3"/>
  <c r="B173" i="3"/>
  <c r="B204" i="3"/>
  <c r="B245" i="3"/>
  <c r="B42" i="3"/>
  <c r="B219" i="3"/>
  <c r="B165" i="3"/>
  <c r="B227" i="3"/>
  <c r="B258" i="3"/>
  <c r="B289" i="3"/>
  <c r="B33" i="3"/>
  <c r="B64" i="3"/>
  <c r="B95" i="3"/>
  <c r="B126" i="3"/>
  <c r="B157" i="3"/>
  <c r="B188" i="3"/>
  <c r="B183" i="3"/>
  <c r="B314" i="3"/>
  <c r="B251" i="3"/>
  <c r="B135" i="3"/>
  <c r="B88" i="3"/>
  <c r="B297" i="3"/>
  <c r="B103" i="3"/>
  <c r="B203" i="3"/>
  <c r="B250" i="3"/>
  <c r="B281" i="3"/>
  <c r="B312" i="3"/>
  <c r="B56" i="3"/>
  <c r="B87" i="3"/>
  <c r="B118" i="3"/>
  <c r="B149" i="3"/>
  <c r="B180" i="3"/>
  <c r="B211" i="3"/>
  <c r="B242" i="3"/>
  <c r="B273" i="3"/>
  <c r="B304" i="3"/>
  <c r="B48" i="3"/>
  <c r="B79" i="3"/>
  <c r="B110" i="3"/>
  <c r="B141" i="3"/>
  <c r="B172" i="3"/>
  <c r="B121" i="3"/>
  <c r="B120" i="3"/>
  <c r="B313" i="3"/>
  <c r="B134" i="3"/>
  <c r="B296" i="3"/>
  <c r="B164" i="3"/>
  <c r="B226" i="3"/>
  <c r="B257" i="3"/>
  <c r="B288" i="3"/>
  <c r="B32" i="3"/>
  <c r="B63" i="3"/>
  <c r="B94" i="3"/>
  <c r="B125" i="3"/>
  <c r="B156" i="3"/>
  <c r="B276" i="3"/>
  <c r="B58" i="3"/>
  <c r="B298" i="3"/>
  <c r="B235" i="3"/>
  <c r="B119" i="3"/>
  <c r="B41" i="3"/>
  <c r="B196" i="3"/>
  <c r="B234" i="3"/>
  <c r="B40" i="3"/>
  <c r="B102" i="3"/>
  <c r="B195" i="3"/>
  <c r="B218" i="3"/>
  <c r="B249" i="3"/>
  <c r="B280" i="3"/>
  <c r="B311" i="3"/>
  <c r="B55" i="3"/>
  <c r="B86" i="3"/>
  <c r="B117" i="3"/>
  <c r="B148" i="3"/>
  <c r="B179" i="3"/>
  <c r="B210" i="3"/>
  <c r="B241" i="3"/>
  <c r="B272" i="3"/>
  <c r="B303" i="3"/>
  <c r="B47" i="3"/>
  <c r="B78" i="3"/>
  <c r="B109" i="3"/>
  <c r="B140" i="3"/>
  <c r="B90" i="3"/>
  <c r="B267" i="3"/>
  <c r="B89" i="3"/>
  <c r="B104" i="3"/>
  <c r="B57" i="3"/>
  <c r="B266" i="3"/>
  <c r="B72" i="3"/>
  <c r="B187" i="3"/>
  <c r="B265" i="3"/>
  <c r="B71" i="3"/>
  <c r="B133" i="3"/>
  <c r="B171" i="3"/>
  <c r="B155" i="3"/>
  <c r="B202" i="3"/>
  <c r="B233" i="3"/>
  <c r="B264" i="3"/>
  <c r="B295" i="3"/>
  <c r="B39" i="3"/>
  <c r="B70" i="3"/>
  <c r="B101" i="3"/>
  <c r="B132" i="3"/>
  <c r="B163" i="3"/>
  <c r="B194" i="3"/>
  <c r="B225" i="3"/>
  <c r="B256" i="3"/>
  <c r="B287" i="3"/>
  <c r="B31" i="3"/>
  <c r="B62" i="3"/>
  <c r="B93" i="3"/>
  <c r="B124" i="3"/>
  <c r="B248" i="3"/>
  <c r="B279" i="3"/>
  <c r="B310" i="3"/>
  <c r="B54" i="3"/>
  <c r="B85" i="3"/>
  <c r="B116" i="3"/>
  <c r="B147" i="3"/>
  <c r="B178" i="3"/>
  <c r="B209" i="3"/>
  <c r="B240" i="3"/>
  <c r="B271" i="3"/>
  <c r="B302" i="3"/>
  <c r="B46" i="3"/>
  <c r="B77" i="3"/>
  <c r="B108" i="3"/>
  <c r="B232" i="3"/>
  <c r="B263" i="3"/>
  <c r="B294" i="3"/>
  <c r="B38" i="3"/>
  <c r="B69" i="3"/>
  <c r="B100" i="3"/>
  <c r="B131" i="3"/>
  <c r="B162" i="3"/>
  <c r="B193" i="3"/>
  <c r="B224" i="3"/>
  <c r="B255" i="3"/>
  <c r="B286" i="3"/>
  <c r="B30" i="3"/>
  <c r="B61" i="3"/>
  <c r="B92" i="3"/>
  <c r="B201" i="3"/>
  <c r="B216" i="3"/>
  <c r="B309" i="3"/>
  <c r="B53" i="3"/>
  <c r="B84" i="3"/>
  <c r="B115" i="3"/>
  <c r="B146" i="3"/>
  <c r="B177" i="3"/>
  <c r="B208" i="3"/>
  <c r="B239" i="3"/>
  <c r="B270" i="3"/>
  <c r="B301" i="3"/>
  <c r="B45" i="3"/>
  <c r="B76" i="3"/>
  <c r="B154" i="3"/>
  <c r="B247" i="3"/>
  <c r="B138" i="3"/>
  <c r="B200" i="3"/>
  <c r="B293" i="3"/>
  <c r="B68" i="3"/>
  <c r="B130" i="3"/>
  <c r="B161" i="3"/>
  <c r="B192" i="3"/>
  <c r="B223" i="3"/>
  <c r="B254" i="3"/>
  <c r="B285" i="3"/>
  <c r="B29" i="3"/>
  <c r="B60" i="3"/>
  <c r="B170" i="3"/>
  <c r="B107" i="3"/>
  <c r="B185" i="3"/>
  <c r="B278" i="3"/>
  <c r="B91" i="3"/>
  <c r="B169" i="3"/>
  <c r="B231" i="3"/>
  <c r="B262" i="3"/>
  <c r="B37" i="3"/>
  <c r="B99" i="3"/>
  <c r="B75" i="3"/>
  <c r="B122" i="3"/>
  <c r="B153" i="3"/>
  <c r="B184" i="3"/>
  <c r="B215" i="3"/>
  <c r="B246" i="3"/>
  <c r="B277" i="3"/>
  <c r="B308" i="3"/>
  <c r="B52" i="3"/>
  <c r="B83" i="3"/>
  <c r="B114" i="3"/>
  <c r="B145" i="3"/>
  <c r="B176" i="3"/>
  <c r="B207" i="3"/>
  <c r="B238" i="3"/>
  <c r="B269" i="3"/>
  <c r="B300" i="3"/>
  <c r="B44" i="3"/>
  <c r="B59" i="3"/>
  <c r="B106" i="3"/>
  <c r="B137" i="3"/>
  <c r="B168" i="3"/>
  <c r="B199" i="3"/>
  <c r="B230" i="3"/>
  <c r="B261" i="3"/>
  <c r="B292" i="3"/>
  <c r="B36" i="3"/>
  <c r="B67" i="3"/>
  <c r="B98" i="3"/>
  <c r="B129" i="3"/>
  <c r="B160" i="3"/>
  <c r="B191" i="3"/>
  <c r="B222" i="3"/>
  <c r="B253" i="3"/>
  <c r="B284" i="3"/>
  <c r="B23" i="3"/>
  <c r="B25" i="3"/>
  <c r="B18" i="3"/>
  <c r="B19" i="3"/>
  <c r="B21" i="3"/>
  <c r="E28" i="3"/>
  <c r="B22" i="3"/>
  <c r="B24" i="3"/>
  <c r="B20" i="3"/>
  <c r="B27" i="3"/>
  <c r="B26" i="3"/>
  <c r="C332" i="3" l="1"/>
  <c r="C25" i="3"/>
  <c r="C347" i="3"/>
  <c r="C343" i="3"/>
  <c r="C363" i="3"/>
  <c r="C370" i="3"/>
  <c r="C351" i="3"/>
  <c r="C335" i="3"/>
  <c r="C366" i="3"/>
  <c r="C217" i="3"/>
  <c r="C186" i="3"/>
  <c r="C374" i="3"/>
  <c r="C123" i="3"/>
  <c r="C355" i="3"/>
  <c r="C139" i="3"/>
  <c r="C377" i="3"/>
  <c r="C23" i="3"/>
  <c r="C339" i="3"/>
  <c r="C344" i="3"/>
  <c r="C19" i="3"/>
  <c r="D18" i="3"/>
  <c r="I18" i="3" s="1"/>
  <c r="K18" i="3" s="1"/>
  <c r="E377" i="3"/>
  <c r="J378" i="3"/>
  <c r="C378" i="3"/>
  <c r="K378" i="3"/>
  <c r="E378" i="3"/>
  <c r="F378" i="3"/>
  <c r="G378" i="3"/>
  <c r="H378" i="3"/>
  <c r="I378" i="3"/>
  <c r="D378" i="3"/>
  <c r="E371" i="3"/>
  <c r="C371" i="3"/>
  <c r="E351" i="3"/>
  <c r="E328" i="3"/>
  <c r="C328" i="3"/>
  <c r="E347" i="3"/>
  <c r="E324" i="3"/>
  <c r="C324" i="3"/>
  <c r="E355" i="3"/>
  <c r="E361" i="3"/>
  <c r="C361" i="3"/>
  <c r="E363" i="3"/>
  <c r="E339" i="3"/>
  <c r="C320" i="3"/>
  <c r="E320" i="3"/>
  <c r="E346" i="3"/>
  <c r="C346" i="3"/>
  <c r="C349" i="3"/>
  <c r="E349" i="3"/>
  <c r="E316" i="3"/>
  <c r="C316" i="3"/>
  <c r="E326" i="3"/>
  <c r="C326" i="3"/>
  <c r="E360" i="3"/>
  <c r="C360" i="3"/>
  <c r="C367" i="3"/>
  <c r="E367" i="3"/>
  <c r="E322" i="3"/>
  <c r="C322" i="3"/>
  <c r="E356" i="3"/>
  <c r="C356" i="3"/>
  <c r="E362" i="3"/>
  <c r="C362" i="3"/>
  <c r="C318" i="3"/>
  <c r="E318" i="3"/>
  <c r="E340" i="3"/>
  <c r="C340" i="3"/>
  <c r="E342" i="3"/>
  <c r="C342" i="3"/>
  <c r="E373" i="3"/>
  <c r="C373" i="3"/>
  <c r="E330" i="3"/>
  <c r="C330" i="3"/>
  <c r="E332" i="3"/>
  <c r="E338" i="3"/>
  <c r="C338" i="3"/>
  <c r="E369" i="3"/>
  <c r="C369" i="3"/>
  <c r="C333" i="3"/>
  <c r="E333" i="3"/>
  <c r="E329" i="3"/>
  <c r="C329" i="3"/>
  <c r="E376" i="3"/>
  <c r="C376" i="3"/>
  <c r="E370" i="3"/>
  <c r="E343" i="3"/>
  <c r="E315" i="3"/>
  <c r="C315" i="3"/>
  <c r="C334" i="3"/>
  <c r="E334" i="3"/>
  <c r="C365" i="3"/>
  <c r="E365" i="3"/>
  <c r="E325" i="3"/>
  <c r="C325" i="3"/>
  <c r="E372" i="3"/>
  <c r="C372" i="3"/>
  <c r="E359" i="3"/>
  <c r="C359" i="3"/>
  <c r="E358" i="3"/>
  <c r="C358" i="3"/>
  <c r="E357" i="3"/>
  <c r="C357" i="3"/>
  <c r="E366" i="3"/>
  <c r="E321" i="3"/>
  <c r="C321" i="3"/>
  <c r="C352" i="3"/>
  <c r="E352" i="3"/>
  <c r="E354" i="3"/>
  <c r="C354" i="3"/>
  <c r="E353" i="3"/>
  <c r="C353" i="3"/>
  <c r="C317" i="3"/>
  <c r="E317" i="3"/>
  <c r="E374" i="3"/>
  <c r="C350" i="3"/>
  <c r="E350" i="3"/>
  <c r="E337" i="3"/>
  <c r="C337" i="3"/>
  <c r="C368" i="3"/>
  <c r="E368" i="3"/>
  <c r="E344" i="3"/>
  <c r="E327" i="3"/>
  <c r="C327" i="3"/>
  <c r="E335" i="3"/>
  <c r="E331" i="3"/>
  <c r="C336" i="3"/>
  <c r="E336" i="3"/>
  <c r="E345" i="3"/>
  <c r="C345" i="3"/>
  <c r="E364" i="3"/>
  <c r="C364" i="3"/>
  <c r="E323" i="3"/>
  <c r="C323" i="3"/>
  <c r="E341" i="3"/>
  <c r="C341" i="3"/>
  <c r="E348" i="3"/>
  <c r="C348" i="3"/>
  <c r="E375" i="3"/>
  <c r="C375" i="3"/>
  <c r="C319" i="3"/>
  <c r="E319" i="3"/>
  <c r="E123" i="3"/>
  <c r="E215" i="3"/>
  <c r="C215" i="3"/>
  <c r="E53" i="3"/>
  <c r="C53" i="3"/>
  <c r="E264" i="3"/>
  <c r="C264" i="3"/>
  <c r="E140" i="3"/>
  <c r="C140" i="3"/>
  <c r="E218" i="3"/>
  <c r="C218" i="3"/>
  <c r="E32" i="3"/>
  <c r="C32" i="3"/>
  <c r="E273" i="3"/>
  <c r="C273" i="3"/>
  <c r="C251" i="3"/>
  <c r="E251" i="3"/>
  <c r="E64" i="3"/>
  <c r="C64" i="3"/>
  <c r="E274" i="3"/>
  <c r="C274" i="3"/>
  <c r="C228" i="3"/>
  <c r="E228" i="3"/>
  <c r="E182" i="3"/>
  <c r="C182" i="3"/>
  <c r="E136" i="3"/>
  <c r="C136" i="3"/>
  <c r="C36" i="3"/>
  <c r="E36" i="3"/>
  <c r="E184" i="3"/>
  <c r="C184" i="3"/>
  <c r="C285" i="3"/>
  <c r="E285" i="3"/>
  <c r="E309" i="3"/>
  <c r="C309" i="3"/>
  <c r="C263" i="3"/>
  <c r="E263" i="3"/>
  <c r="E248" i="3"/>
  <c r="C248" i="3"/>
  <c r="E233" i="3"/>
  <c r="C233" i="3"/>
  <c r="C109" i="3"/>
  <c r="E109" i="3"/>
  <c r="C195" i="3"/>
  <c r="E195" i="3"/>
  <c r="C288" i="3"/>
  <c r="E288" i="3"/>
  <c r="E242" i="3"/>
  <c r="C242" i="3"/>
  <c r="E314" i="3"/>
  <c r="C314" i="3"/>
  <c r="C33" i="3"/>
  <c r="E33" i="3"/>
  <c r="C243" i="3"/>
  <c r="E243" i="3"/>
  <c r="E197" i="3"/>
  <c r="C197" i="3"/>
  <c r="C151" i="3"/>
  <c r="E151" i="3"/>
  <c r="C105" i="3"/>
  <c r="E105" i="3"/>
  <c r="E216" i="3"/>
  <c r="C216" i="3"/>
  <c r="C124" i="3"/>
  <c r="E124" i="3"/>
  <c r="C202" i="3"/>
  <c r="E202" i="3"/>
  <c r="C78" i="3"/>
  <c r="E78" i="3"/>
  <c r="E102" i="3"/>
  <c r="C102" i="3"/>
  <c r="C257" i="3"/>
  <c r="E257" i="3"/>
  <c r="C211" i="3"/>
  <c r="E211" i="3"/>
  <c r="C183" i="3"/>
  <c r="E183" i="3"/>
  <c r="C289" i="3"/>
  <c r="E289" i="3"/>
  <c r="C212" i="3"/>
  <c r="E212" i="3"/>
  <c r="E166" i="3"/>
  <c r="C166" i="3"/>
  <c r="C299" i="3"/>
  <c r="E299" i="3"/>
  <c r="C74" i="3"/>
  <c r="E74" i="3"/>
  <c r="C67" i="3"/>
  <c r="E67" i="3"/>
  <c r="E294" i="3"/>
  <c r="C294" i="3"/>
  <c r="E44" i="3"/>
  <c r="C44" i="3"/>
  <c r="C201" i="3"/>
  <c r="E201" i="3"/>
  <c r="C155" i="3"/>
  <c r="E155" i="3"/>
  <c r="E40" i="3"/>
  <c r="C40" i="3"/>
  <c r="C226" i="3"/>
  <c r="E226" i="3"/>
  <c r="C180" i="3"/>
  <c r="E180" i="3"/>
  <c r="C258" i="3"/>
  <c r="E258" i="3"/>
  <c r="E181" i="3"/>
  <c r="C181" i="3"/>
  <c r="C73" i="3"/>
  <c r="E73" i="3"/>
  <c r="C252" i="3"/>
  <c r="E252" i="3"/>
  <c r="C43" i="3"/>
  <c r="E43" i="3"/>
  <c r="C29" i="3"/>
  <c r="E29" i="3"/>
  <c r="C279" i="3"/>
  <c r="E279" i="3"/>
  <c r="C292" i="3"/>
  <c r="E292" i="3"/>
  <c r="C153" i="3"/>
  <c r="E153" i="3"/>
  <c r="C254" i="3"/>
  <c r="E254" i="3"/>
  <c r="E232" i="3"/>
  <c r="C232" i="3"/>
  <c r="E261" i="3"/>
  <c r="C261" i="3"/>
  <c r="C122" i="3"/>
  <c r="E122" i="3"/>
  <c r="C223" i="3"/>
  <c r="E223" i="3"/>
  <c r="C108" i="3"/>
  <c r="E108" i="3"/>
  <c r="C93" i="3"/>
  <c r="E93" i="3"/>
  <c r="C47" i="3"/>
  <c r="E47" i="3"/>
  <c r="E230" i="3"/>
  <c r="C230" i="3"/>
  <c r="C300" i="3"/>
  <c r="E300" i="3"/>
  <c r="C75" i="3"/>
  <c r="E75" i="3"/>
  <c r="E192" i="3"/>
  <c r="C192" i="3"/>
  <c r="E186" i="3"/>
  <c r="E92" i="3"/>
  <c r="C92" i="3"/>
  <c r="C77" i="3"/>
  <c r="E77" i="3"/>
  <c r="C62" i="3"/>
  <c r="E62" i="3"/>
  <c r="C171" i="3"/>
  <c r="E171" i="3"/>
  <c r="E303" i="3"/>
  <c r="C303" i="3"/>
  <c r="E234" i="3"/>
  <c r="C234" i="3"/>
  <c r="C164" i="3"/>
  <c r="E164" i="3"/>
  <c r="E149" i="3"/>
  <c r="C149" i="3"/>
  <c r="C227" i="3"/>
  <c r="E227" i="3"/>
  <c r="E150" i="3"/>
  <c r="C150" i="3"/>
  <c r="E214" i="3"/>
  <c r="C214" i="3"/>
  <c r="C221" i="3"/>
  <c r="E221" i="3"/>
  <c r="C283" i="3"/>
  <c r="E283" i="3"/>
  <c r="C61" i="3"/>
  <c r="E61" i="3"/>
  <c r="C46" i="3"/>
  <c r="E46" i="3"/>
  <c r="C31" i="3"/>
  <c r="E31" i="3"/>
  <c r="E133" i="3"/>
  <c r="C133" i="3"/>
  <c r="E272" i="3"/>
  <c r="C272" i="3"/>
  <c r="C196" i="3"/>
  <c r="E196" i="3"/>
  <c r="E296" i="3"/>
  <c r="C296" i="3"/>
  <c r="E118" i="3"/>
  <c r="C118" i="3"/>
  <c r="E165" i="3"/>
  <c r="C165" i="3"/>
  <c r="C282" i="3"/>
  <c r="E282" i="3"/>
  <c r="E236" i="3"/>
  <c r="C236" i="3"/>
  <c r="C190" i="3"/>
  <c r="E190" i="3"/>
  <c r="C268" i="3"/>
  <c r="E268" i="3"/>
  <c r="E139" i="3"/>
  <c r="C30" i="3"/>
  <c r="E30" i="3"/>
  <c r="C71" i="3"/>
  <c r="E71" i="3"/>
  <c r="C41" i="3"/>
  <c r="E41" i="3"/>
  <c r="E134" i="3"/>
  <c r="C134" i="3"/>
  <c r="C87" i="3"/>
  <c r="E87" i="3"/>
  <c r="C219" i="3"/>
  <c r="E219" i="3"/>
  <c r="C307" i="3"/>
  <c r="E307" i="3"/>
  <c r="C205" i="3"/>
  <c r="E205" i="3"/>
  <c r="C159" i="3"/>
  <c r="E159" i="3"/>
  <c r="C237" i="3"/>
  <c r="E237" i="3"/>
  <c r="C269" i="3"/>
  <c r="E269" i="3"/>
  <c r="E37" i="3"/>
  <c r="C37" i="3"/>
  <c r="C287" i="3"/>
  <c r="E287" i="3"/>
  <c r="E207" i="3"/>
  <c r="C207" i="3"/>
  <c r="E271" i="3"/>
  <c r="C271" i="3"/>
  <c r="E210" i="3"/>
  <c r="C210" i="3"/>
  <c r="C119" i="3"/>
  <c r="E119" i="3"/>
  <c r="E313" i="3"/>
  <c r="C313" i="3"/>
  <c r="E56" i="3"/>
  <c r="C56" i="3"/>
  <c r="C42" i="3"/>
  <c r="E42" i="3"/>
  <c r="C220" i="3"/>
  <c r="E220" i="3"/>
  <c r="C174" i="3"/>
  <c r="E174" i="3"/>
  <c r="E128" i="3"/>
  <c r="C128" i="3"/>
  <c r="C206" i="3"/>
  <c r="E206" i="3"/>
  <c r="C98" i="3"/>
  <c r="E98" i="3"/>
  <c r="C199" i="3"/>
  <c r="E199" i="3"/>
  <c r="C161" i="3"/>
  <c r="E161" i="3"/>
  <c r="C238" i="3"/>
  <c r="E238" i="3"/>
  <c r="C76" i="3"/>
  <c r="E76" i="3"/>
  <c r="C302" i="3"/>
  <c r="E302" i="3"/>
  <c r="E241" i="3"/>
  <c r="C241" i="3"/>
  <c r="C137" i="3"/>
  <c r="E137" i="3"/>
  <c r="C68" i="3"/>
  <c r="E68" i="3"/>
  <c r="C286" i="3"/>
  <c r="E286" i="3"/>
  <c r="E176" i="3"/>
  <c r="C176" i="3"/>
  <c r="E231" i="3"/>
  <c r="C231" i="3"/>
  <c r="E293" i="3"/>
  <c r="C293" i="3"/>
  <c r="C301" i="3"/>
  <c r="E301" i="3"/>
  <c r="C255" i="3"/>
  <c r="E255" i="3"/>
  <c r="E240" i="3"/>
  <c r="C240" i="3"/>
  <c r="C225" i="3"/>
  <c r="E225" i="3"/>
  <c r="C187" i="3"/>
  <c r="E187" i="3"/>
  <c r="C179" i="3"/>
  <c r="E179" i="3"/>
  <c r="C235" i="3"/>
  <c r="E235" i="3"/>
  <c r="E120" i="3"/>
  <c r="C120" i="3"/>
  <c r="E312" i="3"/>
  <c r="C312" i="3"/>
  <c r="E245" i="3"/>
  <c r="C245" i="3"/>
  <c r="C189" i="3"/>
  <c r="E189" i="3"/>
  <c r="C143" i="3"/>
  <c r="E143" i="3"/>
  <c r="C97" i="3"/>
  <c r="E97" i="3"/>
  <c r="E175" i="3"/>
  <c r="C175" i="3"/>
  <c r="C99" i="3"/>
  <c r="E99" i="3"/>
  <c r="E168" i="3"/>
  <c r="C168" i="3"/>
  <c r="C130" i="3"/>
  <c r="E130" i="3"/>
  <c r="E262" i="3"/>
  <c r="C262" i="3"/>
  <c r="C45" i="3"/>
  <c r="E45" i="3"/>
  <c r="C256" i="3"/>
  <c r="E256" i="3"/>
  <c r="C265" i="3"/>
  <c r="E265" i="3"/>
  <c r="C106" i="3"/>
  <c r="E106" i="3"/>
  <c r="C284" i="3"/>
  <c r="E284" i="3"/>
  <c r="C59" i="3"/>
  <c r="E59" i="3"/>
  <c r="C145" i="3"/>
  <c r="E145" i="3"/>
  <c r="C169" i="3"/>
  <c r="E169" i="3"/>
  <c r="E200" i="3"/>
  <c r="C200" i="3"/>
  <c r="C270" i="3"/>
  <c r="E270" i="3"/>
  <c r="C224" i="3"/>
  <c r="E224" i="3"/>
  <c r="E209" i="3"/>
  <c r="C209" i="3"/>
  <c r="C194" i="3"/>
  <c r="E194" i="3"/>
  <c r="E72" i="3"/>
  <c r="C72" i="3"/>
  <c r="C148" i="3"/>
  <c r="E148" i="3"/>
  <c r="E298" i="3"/>
  <c r="C298" i="3"/>
  <c r="C121" i="3"/>
  <c r="E121" i="3"/>
  <c r="C281" i="3"/>
  <c r="E281" i="3"/>
  <c r="C204" i="3"/>
  <c r="E204" i="3"/>
  <c r="C158" i="3"/>
  <c r="E158" i="3"/>
  <c r="E112" i="3"/>
  <c r="C112" i="3"/>
  <c r="C66" i="3"/>
  <c r="E66" i="3"/>
  <c r="E144" i="3"/>
  <c r="C144" i="3"/>
  <c r="C253" i="3"/>
  <c r="E253" i="3"/>
  <c r="C114" i="3"/>
  <c r="E114" i="3"/>
  <c r="C91" i="3"/>
  <c r="E91" i="3"/>
  <c r="C138" i="3"/>
  <c r="E138" i="3"/>
  <c r="E239" i="3"/>
  <c r="C239" i="3"/>
  <c r="C193" i="3"/>
  <c r="E193" i="3"/>
  <c r="C178" i="3"/>
  <c r="E178" i="3"/>
  <c r="C163" i="3"/>
  <c r="E163" i="3"/>
  <c r="C266" i="3"/>
  <c r="E266" i="3"/>
  <c r="E117" i="3"/>
  <c r="C117" i="3"/>
  <c r="C58" i="3"/>
  <c r="E58" i="3"/>
  <c r="E172" i="3"/>
  <c r="C172" i="3"/>
  <c r="E250" i="3"/>
  <c r="C250" i="3"/>
  <c r="E217" i="3"/>
  <c r="C173" i="3"/>
  <c r="E173" i="3"/>
  <c r="C127" i="3"/>
  <c r="E127" i="3"/>
  <c r="C81" i="3"/>
  <c r="E81" i="3"/>
  <c r="C35" i="3"/>
  <c r="E35" i="3"/>
  <c r="C113" i="3"/>
  <c r="E113" i="3"/>
  <c r="E208" i="3"/>
  <c r="C208" i="3"/>
  <c r="C162" i="3"/>
  <c r="E162" i="3"/>
  <c r="C147" i="3"/>
  <c r="E147" i="3"/>
  <c r="C132" i="3"/>
  <c r="E132" i="3"/>
  <c r="C57" i="3"/>
  <c r="E57" i="3"/>
  <c r="E86" i="3"/>
  <c r="C86" i="3"/>
  <c r="C276" i="3"/>
  <c r="E276" i="3"/>
  <c r="C141" i="3"/>
  <c r="E141" i="3"/>
  <c r="C203" i="3"/>
  <c r="E203" i="3"/>
  <c r="C142" i="3"/>
  <c r="E142" i="3"/>
  <c r="E96" i="3"/>
  <c r="C96" i="3"/>
  <c r="C50" i="3"/>
  <c r="E50" i="3"/>
  <c r="C291" i="3"/>
  <c r="E291" i="3"/>
  <c r="C82" i="3"/>
  <c r="E82" i="3"/>
  <c r="E278" i="3"/>
  <c r="C278" i="3"/>
  <c r="C52" i="3"/>
  <c r="E52" i="3"/>
  <c r="C177" i="3"/>
  <c r="E177" i="3"/>
  <c r="C131" i="3"/>
  <c r="E131" i="3"/>
  <c r="C116" i="3"/>
  <c r="E116" i="3"/>
  <c r="E101" i="3"/>
  <c r="C101" i="3"/>
  <c r="E104" i="3"/>
  <c r="C104" i="3"/>
  <c r="C55" i="3"/>
  <c r="E55" i="3"/>
  <c r="C156" i="3"/>
  <c r="E156" i="3"/>
  <c r="C110" i="3"/>
  <c r="E110" i="3"/>
  <c r="C103" i="3"/>
  <c r="E103" i="3"/>
  <c r="E188" i="3"/>
  <c r="C188" i="3"/>
  <c r="C111" i="3"/>
  <c r="E111" i="3"/>
  <c r="C65" i="3"/>
  <c r="E65" i="3"/>
  <c r="C306" i="3"/>
  <c r="E306" i="3"/>
  <c r="C260" i="3"/>
  <c r="E260" i="3"/>
  <c r="C51" i="3"/>
  <c r="E51" i="3"/>
  <c r="C247" i="3"/>
  <c r="E247" i="3"/>
  <c r="C185" i="3"/>
  <c r="E185" i="3"/>
  <c r="C308" i="3"/>
  <c r="E308" i="3"/>
  <c r="C146" i="3"/>
  <c r="E146" i="3"/>
  <c r="E85" i="3"/>
  <c r="C85" i="3"/>
  <c r="E70" i="3"/>
  <c r="C70" i="3"/>
  <c r="C89" i="3"/>
  <c r="E89" i="3"/>
  <c r="E311" i="3"/>
  <c r="C311" i="3"/>
  <c r="C125" i="3"/>
  <c r="E125" i="3"/>
  <c r="C79" i="3"/>
  <c r="E79" i="3"/>
  <c r="E297" i="3"/>
  <c r="C297" i="3"/>
  <c r="C157" i="3"/>
  <c r="E157" i="3"/>
  <c r="E80" i="3"/>
  <c r="C80" i="3"/>
  <c r="C34" i="3"/>
  <c r="E34" i="3"/>
  <c r="C275" i="3"/>
  <c r="E275" i="3"/>
  <c r="E229" i="3"/>
  <c r="C229" i="3"/>
  <c r="E152" i="3"/>
  <c r="C152" i="3"/>
  <c r="C83" i="3"/>
  <c r="E83" i="3"/>
  <c r="E191" i="3"/>
  <c r="C191" i="3"/>
  <c r="C154" i="3"/>
  <c r="E154" i="3"/>
  <c r="E160" i="3"/>
  <c r="C160" i="3"/>
  <c r="C107" i="3"/>
  <c r="E107" i="3"/>
  <c r="C100" i="3"/>
  <c r="E100" i="3"/>
  <c r="C129" i="3"/>
  <c r="E129" i="3"/>
  <c r="E277" i="3"/>
  <c r="C277" i="3"/>
  <c r="C170" i="3"/>
  <c r="E170" i="3"/>
  <c r="C115" i="3"/>
  <c r="E115" i="3"/>
  <c r="E69" i="3"/>
  <c r="C69" i="3"/>
  <c r="E54" i="3"/>
  <c r="C54" i="3"/>
  <c r="C39" i="3"/>
  <c r="E39" i="3"/>
  <c r="C267" i="3"/>
  <c r="E267" i="3"/>
  <c r="C280" i="3"/>
  <c r="E280" i="3"/>
  <c r="C94" i="3"/>
  <c r="E94" i="3"/>
  <c r="E48" i="3"/>
  <c r="C48" i="3"/>
  <c r="E88" i="3"/>
  <c r="C88" i="3"/>
  <c r="C126" i="3"/>
  <c r="E126" i="3"/>
  <c r="C49" i="3"/>
  <c r="E49" i="3"/>
  <c r="E290" i="3"/>
  <c r="C290" i="3"/>
  <c r="C244" i="3"/>
  <c r="E244" i="3"/>
  <c r="E198" i="3"/>
  <c r="C198" i="3"/>
  <c r="C222" i="3"/>
  <c r="E222" i="3"/>
  <c r="E246" i="3"/>
  <c r="C246" i="3"/>
  <c r="C60" i="3"/>
  <c r="E60" i="3"/>
  <c r="C84" i="3"/>
  <c r="E84" i="3"/>
  <c r="E38" i="3"/>
  <c r="C38" i="3"/>
  <c r="E310" i="3"/>
  <c r="C310" i="3"/>
  <c r="E295" i="3"/>
  <c r="C295" i="3"/>
  <c r="C90" i="3"/>
  <c r="E90" i="3"/>
  <c r="C249" i="3"/>
  <c r="E249" i="3"/>
  <c r="C63" i="3"/>
  <c r="E63" i="3"/>
  <c r="E304" i="3"/>
  <c r="C304" i="3"/>
  <c r="C135" i="3"/>
  <c r="E135" i="3"/>
  <c r="C95" i="3"/>
  <c r="E95" i="3"/>
  <c r="C305" i="3"/>
  <c r="E305" i="3"/>
  <c r="C259" i="3"/>
  <c r="E259" i="3"/>
  <c r="E213" i="3"/>
  <c r="C213" i="3"/>
  <c r="C167" i="3"/>
  <c r="E167" i="3"/>
  <c r="E25" i="3"/>
  <c r="C18" i="3"/>
  <c r="E23" i="3"/>
  <c r="E18" i="3"/>
  <c r="E19" i="3"/>
  <c r="E26" i="3"/>
  <c r="C26" i="3"/>
  <c r="E20" i="3"/>
  <c r="C20" i="3"/>
  <c r="E27" i="3"/>
  <c r="C27" i="3"/>
  <c r="E22" i="3"/>
  <c r="C22" i="3"/>
  <c r="C24" i="3"/>
  <c r="E24" i="3"/>
  <c r="E21" i="3"/>
  <c r="C21" i="3"/>
  <c r="F18" i="3" l="1"/>
  <c r="G18" i="3" s="1"/>
  <c r="H18" i="3" l="1"/>
  <c r="J18" i="3" l="1"/>
  <c r="L18" i="3" s="1"/>
  <c r="D19" i="3" l="1"/>
  <c r="I19" i="3" s="1"/>
  <c r="K19" i="3" s="1"/>
  <c r="F19" i="3" l="1"/>
  <c r="G19" i="3" s="1"/>
  <c r="M18" i="3" s="1"/>
  <c r="H19" i="3" l="1"/>
  <c r="J19" i="3" s="1"/>
  <c r="L19" i="3" s="1"/>
  <c r="D20" i="3" l="1"/>
  <c r="I20" i="3" s="1"/>
  <c r="F20" i="3" l="1"/>
  <c r="G20" i="3" s="1"/>
  <c r="M19" i="3" s="1"/>
  <c r="N33" i="3" s="1"/>
  <c r="K20" i="3"/>
  <c r="N351" i="3" l="1"/>
  <c r="H20" i="3"/>
  <c r="N368" i="3"/>
  <c r="N335" i="3"/>
  <c r="N288" i="3"/>
  <c r="N319" i="3"/>
  <c r="N303" i="3"/>
  <c r="N174" i="3"/>
  <c r="N207" i="3"/>
  <c r="N190" i="3"/>
  <c r="N158" i="3"/>
  <c r="N110" i="3"/>
  <c r="N286" i="3"/>
  <c r="N142" i="3"/>
  <c r="N61" i="3"/>
  <c r="N364" i="3"/>
  <c r="N45" i="3"/>
  <c r="N352" i="3"/>
  <c r="N336" i="3"/>
  <c r="N320" i="3"/>
  <c r="N332" i="3"/>
  <c r="N94" i="3"/>
  <c r="N284" i="3"/>
  <c r="N92" i="3"/>
  <c r="N18" i="3"/>
  <c r="N159" i="3"/>
  <c r="N62" i="3"/>
  <c r="N76" i="3"/>
  <c r="N46" i="3"/>
  <c r="N240" i="3"/>
  <c r="N144" i="3"/>
  <c r="N111" i="3"/>
  <c r="N365" i="3"/>
  <c r="N44" i="3"/>
  <c r="N175" i="3"/>
  <c r="N334" i="3"/>
  <c r="N256" i="3"/>
  <c r="N31" i="3"/>
  <c r="N29" i="3"/>
  <c r="N79" i="3"/>
  <c r="N173" i="3"/>
  <c r="N363" i="3"/>
  <c r="N191" i="3"/>
  <c r="N224" i="3"/>
  <c r="N128" i="3"/>
  <c r="N96" i="3"/>
  <c r="N157" i="3"/>
  <c r="N219" i="3"/>
  <c r="N78" i="3"/>
  <c r="N60" i="3"/>
  <c r="N317" i="3"/>
  <c r="N27" i="3"/>
  <c r="N21" i="3"/>
  <c r="N80" i="3"/>
  <c r="N47" i="3"/>
  <c r="N141" i="3"/>
  <c r="N59" i="3"/>
  <c r="N32" i="3"/>
  <c r="N143" i="3"/>
  <c r="N24" i="3"/>
  <c r="N112" i="3"/>
  <c r="N20" i="3"/>
  <c r="N302" i="3"/>
  <c r="N109" i="3"/>
  <c r="N298" i="3"/>
  <c r="N272" i="3"/>
  <c r="N30" i="3"/>
  <c r="N95" i="3"/>
  <c r="N28" i="3"/>
  <c r="N63" i="3"/>
  <c r="N64" i="3"/>
  <c r="N19" i="3"/>
  <c r="N367" i="3"/>
  <c r="N270" i="3"/>
  <c r="N93" i="3"/>
  <c r="N250" i="3"/>
  <c r="N234" i="3"/>
  <c r="N202" i="3"/>
  <c r="N26" i="3"/>
  <c r="N271" i="3"/>
  <c r="N237" i="3"/>
  <c r="N252" i="3"/>
  <c r="N186" i="3"/>
  <c r="N268" i="3"/>
  <c r="N25" i="3"/>
  <c r="N255" i="3"/>
  <c r="N238" i="3"/>
  <c r="N221" i="3"/>
  <c r="N236" i="3"/>
  <c r="N170" i="3"/>
  <c r="N253" i="3"/>
  <c r="N208" i="3"/>
  <c r="N192" i="3"/>
  <c r="N23" i="3"/>
  <c r="N176" i="3"/>
  <c r="N239" i="3"/>
  <c r="N222" i="3"/>
  <c r="N205" i="3"/>
  <c r="N204" i="3"/>
  <c r="N154" i="3"/>
  <c r="N287" i="3"/>
  <c r="N254" i="3"/>
  <c r="N22" i="3"/>
  <c r="N160" i="3"/>
  <c r="N223" i="3"/>
  <c r="N206" i="3"/>
  <c r="N189" i="3"/>
  <c r="N124" i="3"/>
  <c r="N138" i="3"/>
  <c r="N122" i="3"/>
  <c r="N153" i="3"/>
  <c r="N297" i="3"/>
  <c r="N348" i="3"/>
  <c r="N251" i="3"/>
  <c r="N137" i="3"/>
  <c r="N121" i="3"/>
  <c r="N316" i="3"/>
  <c r="N203" i="3"/>
  <c r="N105" i="3"/>
  <c r="N300" i="3"/>
  <c r="N155" i="3"/>
  <c r="N89" i="3"/>
  <c r="N41" i="3"/>
  <c r="N344" i="3"/>
  <c r="N296" i="3"/>
  <c r="N304" i="3"/>
  <c r="N48" i="3"/>
  <c r="N127" i="3"/>
  <c r="N126" i="3"/>
  <c r="N125" i="3"/>
  <c r="N156" i="3"/>
  <c r="N218" i="3"/>
  <c r="N232" i="3"/>
  <c r="N152" i="3"/>
  <c r="N136" i="3"/>
  <c r="N187" i="3"/>
  <c r="N318" i="3"/>
  <c r="N72" i="3"/>
  <c r="N220" i="3"/>
  <c r="N171" i="3"/>
  <c r="N377" i="3"/>
  <c r="N40" i="3"/>
  <c r="N331" i="3"/>
  <c r="N188" i="3"/>
  <c r="N139" i="3"/>
  <c r="N249" i="3"/>
  <c r="N328" i="3"/>
  <c r="N77" i="3"/>
  <c r="N172" i="3"/>
  <c r="N123" i="3"/>
  <c r="N185" i="3"/>
  <c r="N231" i="3"/>
  <c r="N71" i="3"/>
  <c r="N103" i="3"/>
  <c r="N55" i="3"/>
  <c r="N39" i="3"/>
  <c r="N349" i="3"/>
  <c r="N366" i="3"/>
  <c r="N285" i="3"/>
  <c r="N200" i="3"/>
  <c r="N184" i="3"/>
  <c r="N168" i="3"/>
  <c r="N359" i="3"/>
  <c r="N311" i="3"/>
  <c r="N279" i="3"/>
  <c r="N333" i="3"/>
  <c r="N374" i="3"/>
  <c r="N358" i="3"/>
  <c r="N310" i="3"/>
  <c r="N135" i="3"/>
  <c r="N262" i="3"/>
  <c r="N278" i="3"/>
  <c r="N106" i="3"/>
  <c r="N350" i="3"/>
  <c r="N267" i="3"/>
  <c r="N347" i="3"/>
  <c r="N246" i="3"/>
  <c r="N58" i="3"/>
  <c r="N315" i="3"/>
  <c r="N314" i="3"/>
  <c r="N299" i="3"/>
  <c r="N230" i="3"/>
  <c r="N140" i="3"/>
  <c r="N107" i="3"/>
  <c r="N42" i="3"/>
  <c r="N362" i="3"/>
  <c r="N361" i="3"/>
  <c r="N169" i="3"/>
  <c r="N214" i="3"/>
  <c r="N282" i="3"/>
  <c r="N281" i="3"/>
  <c r="N360" i="3"/>
  <c r="N198" i="3"/>
  <c r="N43" i="3"/>
  <c r="N283" i="3"/>
  <c r="N329" i="3"/>
  <c r="N201" i="3"/>
  <c r="N312" i="3"/>
  <c r="N229" i="3"/>
  <c r="N269" i="3"/>
  <c r="N346" i="3"/>
  <c r="N233" i="3"/>
  <c r="N376" i="3"/>
  <c r="N280" i="3"/>
  <c r="N213" i="3"/>
  <c r="N197" i="3"/>
  <c r="N181" i="3"/>
  <c r="N165" i="3"/>
  <c r="N133" i="3"/>
  <c r="N69" i="3"/>
  <c r="N101" i="3"/>
  <c r="N53" i="3"/>
  <c r="N263" i="3"/>
  <c r="N166" i="3"/>
  <c r="N37" i="3"/>
  <c r="N248" i="3"/>
  <c r="N235" i="3"/>
  <c r="N247" i="3"/>
  <c r="N150" i="3"/>
  <c r="N341" i="3"/>
  <c r="N108" i="3"/>
  <c r="N91" i="3"/>
  <c r="N90" i="3"/>
  <c r="N73" i="3"/>
  <c r="N120" i="3"/>
  <c r="N375" i="3"/>
  <c r="N330" i="3"/>
  <c r="N215" i="3"/>
  <c r="N134" i="3"/>
  <c r="N308" i="3"/>
  <c r="N75" i="3"/>
  <c r="N74" i="3"/>
  <c r="N57" i="3"/>
  <c r="N104" i="3"/>
  <c r="N343" i="3"/>
  <c r="N266" i="3"/>
  <c r="N167" i="3"/>
  <c r="N102" i="3"/>
  <c r="N260" i="3"/>
  <c r="N88" i="3"/>
  <c r="N295" i="3"/>
  <c r="N345" i="3"/>
  <c r="N151" i="3"/>
  <c r="N86" i="3"/>
  <c r="N244" i="3"/>
  <c r="N313" i="3"/>
  <c r="N119" i="3"/>
  <c r="N38" i="3"/>
  <c r="N228" i="3"/>
  <c r="N301" i="3"/>
  <c r="N56" i="3"/>
  <c r="N183" i="3"/>
  <c r="N217" i="3"/>
  <c r="N87" i="3"/>
  <c r="N245" i="3"/>
  <c r="N212" i="3"/>
  <c r="N196" i="3"/>
  <c r="N132" i="3"/>
  <c r="N116" i="3"/>
  <c r="N100" i="3"/>
  <c r="N84" i="3"/>
  <c r="N68" i="3"/>
  <c r="N36" i="3"/>
  <c r="N325" i="3"/>
  <c r="N54" i="3"/>
  <c r="N356" i="3"/>
  <c r="N277" i="3"/>
  <c r="N371" i="3"/>
  <c r="N264" i="3"/>
  <c r="N342" i="3"/>
  <c r="N357" i="3"/>
  <c r="N292" i="3"/>
  <c r="N323" i="3"/>
  <c r="N216" i="3"/>
  <c r="N326" i="3"/>
  <c r="N261" i="3"/>
  <c r="N276" i="3"/>
  <c r="N307" i="3"/>
  <c r="N275" i="3"/>
  <c r="N259" i="3"/>
  <c r="N179" i="3"/>
  <c r="N163" i="3"/>
  <c r="N131" i="3"/>
  <c r="N115" i="3"/>
  <c r="N51" i="3"/>
  <c r="N354" i="3"/>
  <c r="N322" i="3"/>
  <c r="N290" i="3"/>
  <c r="N242" i="3"/>
  <c r="N210" i="3"/>
  <c r="N146" i="3"/>
  <c r="N114" i="3"/>
  <c r="N82" i="3"/>
  <c r="N227" i="3"/>
  <c r="N309" i="3"/>
  <c r="N211" i="3"/>
  <c r="N372" i="3"/>
  <c r="N265" i="3"/>
  <c r="N199" i="3"/>
  <c r="N182" i="3"/>
  <c r="N149" i="3"/>
  <c r="N148" i="3"/>
  <c r="N195" i="3"/>
  <c r="N355" i="3"/>
  <c r="N339" i="3"/>
  <c r="N274" i="3"/>
  <c r="N99" i="3"/>
  <c r="N258" i="3"/>
  <c r="N327" i="3"/>
  <c r="N294" i="3"/>
  <c r="N293" i="3"/>
  <c r="N340" i="3"/>
  <c r="N373" i="3"/>
  <c r="N67" i="3"/>
  <c r="N194" i="3"/>
  <c r="N226" i="3"/>
  <c r="N162" i="3"/>
  <c r="N98" i="3"/>
  <c r="N353" i="3"/>
  <c r="N337" i="3"/>
  <c r="N118" i="3"/>
  <c r="N117" i="3"/>
  <c r="N164" i="3"/>
  <c r="N243" i="3"/>
  <c r="N178" i="3"/>
  <c r="N321" i="3"/>
  <c r="N305" i="3"/>
  <c r="N273" i="3"/>
  <c r="N225" i="3"/>
  <c r="N257" i="3"/>
  <c r="N241" i="3"/>
  <c r="N83" i="3"/>
  <c r="N370" i="3"/>
  <c r="N209" i="3"/>
  <c r="N306" i="3"/>
  <c r="N193" i="3"/>
  <c r="N177" i="3"/>
  <c r="N130" i="3"/>
  <c r="N161" i="3"/>
  <c r="N145" i="3"/>
  <c r="N66" i="3"/>
  <c r="N129" i="3"/>
  <c r="N50" i="3"/>
  <c r="N113" i="3"/>
  <c r="N324" i="3"/>
  <c r="N52" i="3"/>
  <c r="N147" i="3"/>
  <c r="N34" i="3"/>
  <c r="N369" i="3"/>
  <c r="N81" i="3"/>
  <c r="N97" i="3"/>
  <c r="N65" i="3"/>
  <c r="N49" i="3"/>
  <c r="N70" i="3"/>
  <c r="N85" i="3"/>
  <c r="N180" i="3"/>
  <c r="N291" i="3"/>
  <c r="N35" i="3"/>
  <c r="N338" i="3"/>
  <c r="N289" i="3"/>
  <c r="J20" i="3"/>
  <c r="L20" i="3" s="1"/>
  <c r="D21" i="3" l="1"/>
  <c r="I21" i="3" s="1"/>
  <c r="F21" i="3" l="1"/>
  <c r="G21" i="3" s="1"/>
  <c r="M20" i="3" s="1"/>
  <c r="I12" i="3" s="1"/>
  <c r="Q30" i="3" s="1"/>
  <c r="Q31" i="3" s="1"/>
  <c r="Q32" i="3" s="1"/>
  <c r="Q34" i="3" s="1"/>
  <c r="K21" i="3"/>
  <c r="Q33" i="3" l="1"/>
  <c r="H21" i="3"/>
  <c r="J21" i="3" s="1"/>
  <c r="L21" i="3" s="1"/>
  <c r="D22" i="3" l="1"/>
  <c r="F22" i="3" s="1"/>
  <c r="G22" i="3" s="1"/>
  <c r="M21" i="3" s="1"/>
  <c r="I22" i="3" l="1"/>
  <c r="K22" i="3" s="1"/>
  <c r="H22" i="3" l="1"/>
  <c r="J22" i="3" s="1"/>
  <c r="L22" i="3" s="1"/>
  <c r="D23" i="3" l="1"/>
  <c r="I23" i="3" s="1"/>
  <c r="K23" i="3" s="1"/>
  <c r="F23" i="3" l="1"/>
  <c r="G23" i="3" s="1"/>
  <c r="M22" i="3" s="1"/>
  <c r="H23" i="3" l="1"/>
  <c r="J23" i="3" s="1"/>
  <c r="L23" i="3" s="1"/>
  <c r="D24" i="3" l="1"/>
  <c r="I24" i="3" s="1"/>
  <c r="K24" i="3" s="1"/>
  <c r="F24" i="3" l="1"/>
  <c r="G24" i="3" s="1"/>
  <c r="M23" i="3" s="1"/>
  <c r="H24" i="3" l="1"/>
  <c r="J24" i="3" s="1"/>
  <c r="L24" i="3" s="1"/>
  <c r="D25" i="3" l="1"/>
  <c r="I25" i="3" s="1"/>
  <c r="K25" i="3" s="1"/>
  <c r="F25" i="3" l="1"/>
  <c r="G25" i="3" s="1"/>
  <c r="M24" i="3" s="1"/>
  <c r="H25" i="3" l="1"/>
  <c r="J25" i="3" s="1"/>
  <c r="D26" i="3" s="1"/>
  <c r="I26" i="3" s="1"/>
  <c r="F26" i="3" l="1"/>
  <c r="G26" i="3" s="1"/>
  <c r="M25" i="3" s="1"/>
  <c r="L25" i="3"/>
  <c r="K26" i="3"/>
  <c r="H26" i="3" l="1"/>
  <c r="J26" i="3" l="1"/>
  <c r="L26" i="3" s="1"/>
  <c r="D27" i="3" l="1"/>
  <c r="F27" i="3" s="1"/>
  <c r="G27" i="3" s="1"/>
  <c r="M26" i="3" s="1"/>
  <c r="I27" i="3" l="1"/>
  <c r="K27" i="3" s="1"/>
  <c r="H27" i="3" l="1"/>
  <c r="J27" i="3" s="1"/>
  <c r="D28" i="3" s="1"/>
  <c r="I28" i="3" s="1"/>
  <c r="L27" i="3" l="1"/>
  <c r="F28" i="3"/>
  <c r="G28" i="3" s="1"/>
  <c r="M27" i="3" s="1"/>
  <c r="K28" i="3"/>
  <c r="H28" i="3" l="1"/>
  <c r="J28" i="3" s="1"/>
  <c r="L28" i="3" s="1"/>
  <c r="D29" i="3" l="1"/>
  <c r="F29" i="3" s="1"/>
  <c r="G29" i="3" s="1"/>
  <c r="M28" i="3" s="1"/>
  <c r="I29" i="3" l="1"/>
  <c r="H29" i="3" s="1"/>
  <c r="K29" i="3" l="1"/>
  <c r="J29" i="3"/>
  <c r="L29" i="3" s="1"/>
  <c r="Q7" i="3"/>
  <c r="Q22" i="3" s="1"/>
  <c r="D30" i="3" l="1"/>
  <c r="F30" i="3" s="1"/>
  <c r="G30" i="3" s="1"/>
  <c r="M29" i="3" s="1"/>
  <c r="I30" i="3" l="1"/>
  <c r="K30" i="3" s="1"/>
  <c r="H30" i="3" l="1"/>
  <c r="J30" i="3" s="1"/>
  <c r="L30" i="3" l="1"/>
  <c r="D31" i="3"/>
  <c r="I31" i="3" s="1"/>
  <c r="F31" i="3" l="1"/>
  <c r="G31" i="3" s="1"/>
  <c r="M30" i="3" s="1"/>
  <c r="K31" i="3"/>
  <c r="H31" i="3" l="1"/>
  <c r="J31" i="3" s="1"/>
  <c r="L31" i="3" s="1"/>
  <c r="D32" i="3" l="1"/>
  <c r="I32" i="3" s="1"/>
  <c r="F32" i="3" l="1"/>
  <c r="G32" i="3" s="1"/>
  <c r="M31" i="3" s="1"/>
  <c r="K32" i="3"/>
  <c r="H32" i="3" l="1"/>
  <c r="J32" i="3" s="1"/>
  <c r="L32" i="3" l="1"/>
  <c r="D33" i="3"/>
  <c r="F33" i="3" s="1"/>
  <c r="G33" i="3" s="1"/>
  <c r="M32" i="3" s="1"/>
  <c r="I33" i="3" l="1"/>
  <c r="K33" i="3" s="1"/>
  <c r="H33" i="3" l="1"/>
  <c r="J33" i="3" s="1"/>
  <c r="L33" i="3" s="1"/>
  <c r="D34" i="3" l="1"/>
  <c r="I34" i="3" s="1"/>
  <c r="F34" i="3" l="1"/>
  <c r="G34" i="3" s="1"/>
  <c r="M33" i="3" s="1"/>
  <c r="K34" i="3"/>
  <c r="H34" i="3" l="1"/>
  <c r="J34" i="3" s="1"/>
  <c r="D35" i="3" s="1"/>
  <c r="L34" i="3" l="1"/>
  <c r="F35" i="3"/>
  <c r="G35" i="3" s="1"/>
  <c r="M34" i="3" s="1"/>
  <c r="I35" i="3"/>
  <c r="K35" i="3" l="1"/>
  <c r="H35" i="3"/>
  <c r="J35" i="3" s="1"/>
  <c r="D36" i="3" l="1"/>
  <c r="L35" i="3"/>
  <c r="F36" i="3" l="1"/>
  <c r="G36" i="3" s="1"/>
  <c r="M35" i="3" s="1"/>
  <c r="I36" i="3"/>
  <c r="K36" i="3" l="1"/>
  <c r="H36" i="3"/>
  <c r="J36" i="3" s="1"/>
  <c r="L36" i="3" l="1"/>
  <c r="D37" i="3"/>
  <c r="I37" i="3" l="1"/>
  <c r="F37" i="3"/>
  <c r="G37" i="3" s="1"/>
  <c r="M36" i="3" s="1"/>
  <c r="K37" i="3" l="1"/>
  <c r="H37" i="3"/>
  <c r="J37" i="3" l="1"/>
  <c r="D38" i="3" s="1"/>
  <c r="L37" i="3" l="1"/>
  <c r="I38" i="3"/>
  <c r="F38" i="3"/>
  <c r="G38" i="3" s="1"/>
  <c r="M37" i="3" s="1"/>
  <c r="K38" i="3" l="1"/>
  <c r="H38" i="3"/>
  <c r="J38" i="3" l="1"/>
  <c r="L38" i="3" s="1"/>
  <c r="D39" i="3" l="1"/>
  <c r="F39" i="3" s="1"/>
  <c r="G39" i="3" s="1"/>
  <c r="M38" i="3" s="1"/>
  <c r="I39" i="3" l="1"/>
  <c r="K39" i="3" s="1"/>
  <c r="H39" i="3" l="1"/>
  <c r="J39" i="3" s="1"/>
  <c r="L39" i="3" l="1"/>
  <c r="D40" i="3"/>
  <c r="F40" i="3" s="1"/>
  <c r="G40" i="3" s="1"/>
  <c r="M39" i="3" s="1"/>
  <c r="I40" i="3" l="1"/>
  <c r="K40" i="3" s="1"/>
  <c r="H40" i="3" l="1"/>
  <c r="J40" i="3" s="1"/>
  <c r="D41" i="3" s="1"/>
  <c r="L40" i="3" l="1"/>
  <c r="I41" i="3"/>
  <c r="F41" i="3"/>
  <c r="G41" i="3" s="1"/>
  <c r="M40" i="3" s="1"/>
  <c r="K41" i="3" l="1"/>
  <c r="H41" i="3"/>
  <c r="J41" i="3" l="1"/>
  <c r="L41" i="3" s="1"/>
  <c r="Q8" i="3"/>
  <c r="Q23" i="3" s="1"/>
  <c r="D42" i="3" l="1"/>
  <c r="I42" i="3" s="1"/>
  <c r="F42" i="3" l="1"/>
  <c r="G42" i="3" s="1"/>
  <c r="M41" i="3" s="1"/>
  <c r="K42" i="3"/>
  <c r="H42" i="3" l="1"/>
  <c r="J42" i="3" s="1"/>
  <c r="L42" i="3" l="1"/>
  <c r="D43" i="3"/>
  <c r="I43" i="3" s="1"/>
  <c r="F43" i="3" l="1"/>
  <c r="G43" i="3" s="1"/>
  <c r="M42" i="3" s="1"/>
  <c r="K43" i="3"/>
  <c r="H43" i="3" l="1"/>
  <c r="J43" i="3" s="1"/>
  <c r="D44" i="3" s="1"/>
  <c r="L43" i="3" l="1"/>
  <c r="I44" i="3"/>
  <c r="F44" i="3"/>
  <c r="G44" i="3" s="1"/>
  <c r="M43" i="3" s="1"/>
  <c r="K44" i="3" l="1"/>
  <c r="H44" i="3"/>
  <c r="J44" i="3" l="1"/>
  <c r="L44" i="3" s="1"/>
  <c r="D45" i="3" l="1"/>
  <c r="F45" i="3" s="1"/>
  <c r="G45" i="3" s="1"/>
  <c r="M44" i="3" s="1"/>
  <c r="I45" i="3" l="1"/>
  <c r="K45" i="3" s="1"/>
  <c r="H45" i="3" l="1"/>
  <c r="J45" i="3" l="1"/>
  <c r="L45" i="3" s="1"/>
  <c r="D46" i="3" l="1"/>
  <c r="F46" i="3" s="1"/>
  <c r="G46" i="3" s="1"/>
  <c r="M45" i="3" s="1"/>
  <c r="I46" i="3" l="1"/>
  <c r="K46" i="3" s="1"/>
  <c r="H46" i="3" l="1"/>
  <c r="J46" i="3" s="1"/>
  <c r="L46" i="3" s="1"/>
  <c r="D47" i="3" l="1"/>
  <c r="I47" i="3" s="1"/>
  <c r="K47" i="3" s="1"/>
  <c r="F47" i="3" l="1"/>
  <c r="G47" i="3" s="1"/>
  <c r="M46" i="3" l="1"/>
  <c r="H47" i="3"/>
  <c r="J47" i="3" s="1"/>
  <c r="L47" i="3" l="1"/>
  <c r="D48" i="3"/>
  <c r="I48" i="3" l="1"/>
  <c r="K48" i="3" s="1"/>
  <c r="F48" i="3"/>
  <c r="G48" i="3" s="1"/>
  <c r="M47" i="3" l="1"/>
  <c r="H48" i="3"/>
  <c r="J48" i="3" s="1"/>
  <c r="D49" i="3" l="1"/>
  <c r="L48" i="3"/>
  <c r="F49" i="3" l="1"/>
  <c r="G49" i="3" s="1"/>
  <c r="I49" i="3"/>
  <c r="K49" i="3" s="1"/>
  <c r="M48" i="3" l="1"/>
  <c r="H49" i="3"/>
  <c r="J49" i="3" l="1"/>
  <c r="L49" i="3" s="1"/>
  <c r="D50" i="3" l="1"/>
  <c r="I50" i="3" s="1"/>
  <c r="K50" i="3" s="1"/>
  <c r="F50" i="3" l="1"/>
  <c r="G50" i="3" s="1"/>
  <c r="M49" i="3" s="1"/>
  <c r="H50" i="3" l="1"/>
  <c r="J50" i="3" s="1"/>
  <c r="L50" i="3" l="1"/>
  <c r="D51" i="3"/>
  <c r="F51" i="3" s="1"/>
  <c r="G51" i="3" s="1"/>
  <c r="I51" i="3" l="1"/>
  <c r="K51" i="3" s="1"/>
  <c r="M50" i="3"/>
  <c r="H51" i="3" l="1"/>
  <c r="J51" i="3" s="1"/>
  <c r="D52" i="3" s="1"/>
  <c r="L51" i="3" l="1"/>
  <c r="F52" i="3"/>
  <c r="G52" i="3" s="1"/>
  <c r="I52" i="3"/>
  <c r="K52" i="3" s="1"/>
  <c r="M51" i="3" l="1"/>
  <c r="H52" i="3"/>
  <c r="J52" i="3" l="1"/>
  <c r="L52" i="3" s="1"/>
  <c r="D53" i="3" l="1"/>
  <c r="F53" i="3" s="1"/>
  <c r="G53" i="3" s="1"/>
  <c r="I53" i="3" l="1"/>
  <c r="K53" i="3" s="1"/>
  <c r="M52" i="3"/>
  <c r="H53" i="3" l="1"/>
  <c r="J53" i="3" s="1"/>
  <c r="Q9" i="3" l="1"/>
  <c r="Q24" i="3" s="1"/>
  <c r="L53" i="3"/>
  <c r="D54" i="3"/>
  <c r="I54" i="3" l="1"/>
  <c r="K54" i="3" s="1"/>
  <c r="F54" i="3"/>
  <c r="G54" i="3" s="1"/>
  <c r="M53" i="3" l="1"/>
  <c r="H54" i="3"/>
  <c r="J54" i="3" s="1"/>
  <c r="D55" i="3" s="1"/>
  <c r="I55" i="3" s="1"/>
  <c r="K55" i="3" s="1"/>
  <c r="L54" i="3" l="1"/>
  <c r="F55" i="3"/>
  <c r="G55" i="3" s="1"/>
  <c r="M54" i="3" l="1"/>
  <c r="H55" i="3"/>
  <c r="J55" i="3" s="1"/>
  <c r="L55" i="3" l="1"/>
  <c r="D56" i="3"/>
  <c r="F56" i="3" s="1"/>
  <c r="G56" i="3" s="1"/>
  <c r="M55" i="3" s="1"/>
  <c r="I56" i="3" l="1"/>
  <c r="K56" i="3" s="1"/>
  <c r="H56" i="3" l="1"/>
  <c r="J56" i="3" s="1"/>
  <c r="L56" i="3" l="1"/>
  <c r="D57" i="3"/>
  <c r="F57" i="3" l="1"/>
  <c r="G57" i="3" s="1"/>
  <c r="I57" i="3"/>
  <c r="K57" i="3" s="1"/>
  <c r="M56" i="3" l="1"/>
  <c r="H57" i="3"/>
  <c r="J57" i="3" s="1"/>
  <c r="L57" i="3" l="1"/>
  <c r="D58" i="3"/>
  <c r="I58" i="3" l="1"/>
  <c r="K58" i="3" s="1"/>
  <c r="F58" i="3"/>
  <c r="G58" i="3" s="1"/>
  <c r="M57" i="3" l="1"/>
  <c r="H58" i="3"/>
  <c r="J58" i="3" s="1"/>
  <c r="D59" i="3" l="1"/>
  <c r="L58" i="3"/>
  <c r="I59" i="3" l="1"/>
  <c r="K59" i="3" s="1"/>
  <c r="F59" i="3"/>
  <c r="G59" i="3" s="1"/>
  <c r="M58" i="3" l="1"/>
  <c r="H59" i="3"/>
  <c r="J59" i="3" s="1"/>
  <c r="L59" i="3" l="1"/>
  <c r="D60" i="3"/>
  <c r="F60" i="3" l="1"/>
  <c r="G60" i="3" s="1"/>
  <c r="I60" i="3"/>
  <c r="K60" i="3" s="1"/>
  <c r="M59" i="3" l="1"/>
  <c r="H60" i="3"/>
  <c r="J60" i="3" s="1"/>
  <c r="D61" i="3" l="1"/>
  <c r="L60" i="3"/>
  <c r="F61" i="3" l="1"/>
  <c r="G61" i="3" s="1"/>
  <c r="I61" i="3"/>
  <c r="K61" i="3" s="1"/>
  <c r="M60" i="3" l="1"/>
  <c r="H61" i="3"/>
  <c r="J61" i="3" l="1"/>
  <c r="L61" i="3" s="1"/>
  <c r="D62" i="3" l="1"/>
  <c r="I62" i="3" s="1"/>
  <c r="K62" i="3" s="1"/>
  <c r="F62" i="3" l="1"/>
  <c r="G62" i="3" s="1"/>
  <c r="M61" i="3" s="1"/>
  <c r="H62" i="3" l="1"/>
  <c r="J62" i="3" s="1"/>
  <c r="L62" i="3" l="1"/>
  <c r="D63" i="3"/>
  <c r="F63" i="3" s="1"/>
  <c r="G63" i="3" s="1"/>
  <c r="I63" i="3" l="1"/>
  <c r="K63" i="3" s="1"/>
  <c r="M62" i="3"/>
  <c r="H63" i="3" l="1"/>
  <c r="J63" i="3" s="1"/>
  <c r="D64" i="3" s="1"/>
  <c r="L63" i="3" l="1"/>
  <c r="I64" i="3"/>
  <c r="K64" i="3" s="1"/>
  <c r="F64" i="3"/>
  <c r="G64" i="3" s="1"/>
  <c r="M63" i="3" l="1"/>
  <c r="H64" i="3"/>
  <c r="J64" i="3" l="1"/>
  <c r="L64" i="3" s="1"/>
  <c r="D65" i="3" l="1"/>
  <c r="F65" i="3" s="1"/>
  <c r="G65" i="3" s="1"/>
  <c r="I65" i="3" l="1"/>
  <c r="K65" i="3" s="1"/>
  <c r="M64" i="3"/>
  <c r="H65" i="3" l="1"/>
  <c r="J65" i="3" s="1"/>
  <c r="Q10" i="3" l="1"/>
  <c r="Q25" i="3" s="1"/>
  <c r="D66" i="3"/>
  <c r="L65" i="3"/>
  <c r="I66" i="3" l="1"/>
  <c r="K66" i="3" s="1"/>
  <c r="F66" i="3"/>
  <c r="G66" i="3" l="1"/>
  <c r="M65" i="3" l="1"/>
  <c r="H66" i="3"/>
  <c r="J66" i="3" s="1"/>
  <c r="L66" i="3" l="1"/>
  <c r="D67" i="3"/>
  <c r="F67" i="3" l="1"/>
  <c r="I67" i="3"/>
  <c r="K67" i="3" s="1"/>
  <c r="G67" i="3" l="1"/>
  <c r="M66" i="3" l="1"/>
  <c r="H67" i="3"/>
  <c r="J67" i="3" s="1"/>
  <c r="L67" i="3" l="1"/>
  <c r="D68" i="3"/>
  <c r="I68" i="3" l="1"/>
  <c r="F68" i="3"/>
  <c r="G68" i="3" l="1"/>
  <c r="K68" i="3"/>
  <c r="M67" i="3" l="1"/>
  <c r="H68" i="3"/>
  <c r="J68" i="3" s="1"/>
  <c r="L68" i="3" l="1"/>
  <c r="D69" i="3"/>
  <c r="I69" i="3" l="1"/>
  <c r="F69" i="3"/>
  <c r="G69" i="3" l="1"/>
  <c r="K69" i="3"/>
  <c r="M68" i="3" l="1"/>
  <c r="H69" i="3"/>
  <c r="J69" i="3" s="1"/>
  <c r="D70" i="3" l="1"/>
  <c r="L69" i="3"/>
  <c r="F70" i="3" l="1"/>
  <c r="G70" i="3" s="1"/>
  <c r="I70" i="3"/>
  <c r="K70" i="3" l="1"/>
  <c r="M69" i="3"/>
  <c r="H70" i="3"/>
  <c r="J70" i="3" s="1"/>
  <c r="D71" i="3" l="1"/>
  <c r="L70" i="3"/>
  <c r="I71" i="3" l="1"/>
  <c r="F71" i="3"/>
  <c r="G71" i="3" s="1"/>
  <c r="M70" i="3" l="1"/>
  <c r="H71" i="3"/>
  <c r="J71" i="3" s="1"/>
  <c r="K71" i="3"/>
  <c r="D72" i="3" l="1"/>
  <c r="L71" i="3"/>
  <c r="I72" i="3" l="1"/>
  <c r="F72" i="3"/>
  <c r="G72" i="3" s="1"/>
  <c r="M71" i="3" l="1"/>
  <c r="H72" i="3"/>
  <c r="J72" i="3" s="1"/>
  <c r="K72" i="3"/>
  <c r="D73" i="3" l="1"/>
  <c r="L72" i="3"/>
  <c r="F73" i="3" l="1"/>
  <c r="G73" i="3" s="1"/>
  <c r="I73" i="3"/>
  <c r="K73" i="3" l="1"/>
  <c r="M72" i="3"/>
  <c r="H73" i="3"/>
  <c r="J73" i="3" l="1"/>
  <c r="L73" i="3" s="1"/>
  <c r="D74" i="3" l="1"/>
  <c r="I74" i="3" s="1"/>
  <c r="F74" i="3" l="1"/>
  <c r="G74" i="3" s="1"/>
  <c r="M73" i="3" s="1"/>
  <c r="K74" i="3"/>
  <c r="H74" i="3" l="1"/>
  <c r="J74" i="3" s="1"/>
  <c r="L74" i="3" l="1"/>
  <c r="D75" i="3"/>
  <c r="F75" i="3" s="1"/>
  <c r="G75" i="3" s="1"/>
  <c r="I75" i="3" l="1"/>
  <c r="H75" i="3" s="1"/>
  <c r="M74" i="3"/>
  <c r="K75" i="3" l="1"/>
  <c r="J75" i="3"/>
  <c r="L75" i="3" s="1"/>
  <c r="D76" i="3" l="1"/>
  <c r="I76" i="3" s="1"/>
  <c r="F76" i="3" l="1"/>
  <c r="G76" i="3" s="1"/>
  <c r="M75" i="3" s="1"/>
  <c r="K76" i="3"/>
  <c r="H76" i="3" l="1"/>
  <c r="J76" i="3" s="1"/>
  <c r="D77" i="3" l="1"/>
  <c r="L76" i="3"/>
  <c r="F77" i="3" l="1"/>
  <c r="I77" i="3"/>
  <c r="K77" i="3" l="1"/>
  <c r="G77" i="3"/>
  <c r="M76" i="3" l="1"/>
  <c r="H77" i="3"/>
  <c r="Q11" i="3" l="1"/>
  <c r="Q26" i="3" s="1"/>
  <c r="J77" i="3"/>
  <c r="Q12" i="3" l="1"/>
  <c r="Q39" i="3" s="1"/>
  <c r="L77" i="3"/>
  <c r="D78" i="3"/>
  <c r="Q35" i="3" l="1"/>
  <c r="Q36" i="3"/>
  <c r="Q38" i="3" s="1"/>
  <c r="Q27" i="3"/>
  <c r="Q41" i="3" s="1"/>
  <c r="I78" i="3"/>
  <c r="F78" i="3"/>
  <c r="G78" i="3" s="1"/>
  <c r="Q40" i="3" l="1"/>
  <c r="M77" i="3"/>
  <c r="H78" i="3"/>
  <c r="J78" i="3" s="1"/>
  <c r="K78" i="3"/>
  <c r="L78" i="3" l="1"/>
  <c r="D79" i="3"/>
  <c r="I79" i="3" l="1"/>
  <c r="F79" i="3"/>
  <c r="G79" i="3" s="1"/>
  <c r="M78" i="3" l="1"/>
  <c r="H79" i="3"/>
  <c r="J79" i="3" s="1"/>
  <c r="K79" i="3"/>
  <c r="D80" i="3" l="1"/>
  <c r="L79" i="3"/>
  <c r="F80" i="3" l="1"/>
  <c r="G80" i="3" s="1"/>
  <c r="I80" i="3"/>
  <c r="K80" i="3" l="1"/>
  <c r="M79" i="3"/>
  <c r="H80" i="3"/>
  <c r="J80" i="3" s="1"/>
  <c r="D81" i="3" l="1"/>
  <c r="L80" i="3"/>
  <c r="F81" i="3" l="1"/>
  <c r="G81" i="3" s="1"/>
  <c r="I81" i="3"/>
  <c r="K81" i="3" l="1"/>
  <c r="M80" i="3"/>
  <c r="H81" i="3"/>
  <c r="J81" i="3" s="1"/>
  <c r="L81" i="3" l="1"/>
  <c r="D82" i="3"/>
  <c r="I82" i="3" l="1"/>
  <c r="F82" i="3"/>
  <c r="G82" i="3" s="1"/>
  <c r="M81" i="3" l="1"/>
  <c r="H82" i="3"/>
  <c r="J82" i="3" s="1"/>
  <c r="K82" i="3"/>
  <c r="D83" i="3" l="1"/>
  <c r="L82" i="3"/>
  <c r="F83" i="3" l="1"/>
  <c r="G83" i="3" s="1"/>
  <c r="I83" i="3"/>
  <c r="K83" i="3" l="1"/>
  <c r="M82" i="3"/>
  <c r="H83" i="3"/>
  <c r="J83" i="3" s="1"/>
  <c r="L83" i="3" l="1"/>
  <c r="D84" i="3"/>
  <c r="I84" i="3" l="1"/>
  <c r="F84" i="3"/>
  <c r="G84" i="3" s="1"/>
  <c r="M83" i="3" l="1"/>
  <c r="H84" i="3"/>
  <c r="J84" i="3" s="1"/>
  <c r="K84" i="3"/>
  <c r="D85" i="3" l="1"/>
  <c r="L84" i="3"/>
  <c r="F85" i="3" l="1"/>
  <c r="G85" i="3" s="1"/>
  <c r="I85" i="3"/>
  <c r="K85" i="3" l="1"/>
  <c r="M84" i="3"/>
  <c r="H85" i="3"/>
  <c r="J85" i="3" l="1"/>
  <c r="D86" i="3" s="1"/>
  <c r="L85" i="3" l="1"/>
  <c r="F86" i="3"/>
  <c r="G86" i="3" s="1"/>
  <c r="I86" i="3"/>
  <c r="K86" i="3" l="1"/>
  <c r="M85" i="3"/>
  <c r="H86" i="3"/>
  <c r="J86" i="3" s="1"/>
  <c r="L86" i="3" l="1"/>
  <c r="D87" i="3"/>
  <c r="I87" i="3" l="1"/>
  <c r="F87" i="3"/>
  <c r="G87" i="3" s="1"/>
  <c r="M86" i="3" l="1"/>
  <c r="H87" i="3"/>
  <c r="J87" i="3" s="1"/>
  <c r="K87" i="3"/>
  <c r="D88" i="3" l="1"/>
  <c r="L87" i="3"/>
  <c r="I88" i="3" l="1"/>
  <c r="F88" i="3"/>
  <c r="G88" i="3" s="1"/>
  <c r="M87" i="3" l="1"/>
  <c r="H88" i="3"/>
  <c r="J88" i="3" s="1"/>
  <c r="K88" i="3"/>
  <c r="L88" i="3" l="1"/>
  <c r="D89" i="3"/>
  <c r="F89" i="3" l="1"/>
  <c r="G89" i="3" s="1"/>
  <c r="I89" i="3"/>
  <c r="K89" i="3" l="1"/>
  <c r="M88" i="3"/>
  <c r="H89" i="3"/>
  <c r="J89" i="3" s="1"/>
  <c r="D90" i="3" l="1"/>
  <c r="L89" i="3"/>
  <c r="I90" i="3" l="1"/>
  <c r="F90" i="3"/>
  <c r="G90" i="3" s="1"/>
  <c r="M89" i="3" l="1"/>
  <c r="H90" i="3"/>
  <c r="J90" i="3" s="1"/>
  <c r="K90" i="3"/>
  <c r="L90" i="3" l="1"/>
  <c r="D91" i="3"/>
  <c r="I91" i="3" l="1"/>
  <c r="F91" i="3"/>
  <c r="G91" i="3" s="1"/>
  <c r="M90" i="3" l="1"/>
  <c r="H91" i="3"/>
  <c r="J91" i="3" s="1"/>
  <c r="K91" i="3"/>
  <c r="L91" i="3" l="1"/>
  <c r="D92" i="3"/>
  <c r="F92" i="3" l="1"/>
  <c r="G92" i="3" s="1"/>
  <c r="I92" i="3"/>
  <c r="K92" i="3" l="1"/>
  <c r="M91" i="3"/>
  <c r="H92" i="3"/>
  <c r="J92" i="3" s="1"/>
  <c r="L92" i="3" l="1"/>
  <c r="D93" i="3"/>
  <c r="I93" i="3" l="1"/>
  <c r="F93" i="3"/>
  <c r="G93" i="3" s="1"/>
  <c r="M92" i="3" l="1"/>
  <c r="H93" i="3"/>
  <c r="J93" i="3" s="1"/>
  <c r="K93" i="3"/>
  <c r="D94" i="3" l="1"/>
  <c r="L93" i="3"/>
  <c r="I94" i="3" l="1"/>
  <c r="F94" i="3"/>
  <c r="G94" i="3" s="1"/>
  <c r="M93" i="3" l="1"/>
  <c r="H94" i="3"/>
  <c r="J94" i="3" s="1"/>
  <c r="K94" i="3"/>
  <c r="D95" i="3" l="1"/>
  <c r="L94" i="3"/>
  <c r="F95" i="3" l="1"/>
  <c r="G95" i="3" s="1"/>
  <c r="I95" i="3"/>
  <c r="K95" i="3" l="1"/>
  <c r="M94" i="3"/>
  <c r="H95" i="3"/>
  <c r="J95" i="3" s="1"/>
  <c r="L95" i="3" l="1"/>
  <c r="D96" i="3"/>
  <c r="I96" i="3" l="1"/>
  <c r="F96" i="3"/>
  <c r="G96" i="3" s="1"/>
  <c r="M95" i="3" l="1"/>
  <c r="H96" i="3"/>
  <c r="J96" i="3" s="1"/>
  <c r="K96" i="3"/>
  <c r="L96" i="3" l="1"/>
  <c r="D97" i="3"/>
  <c r="I97" i="3" l="1"/>
  <c r="F97" i="3"/>
  <c r="G97" i="3" s="1"/>
  <c r="M96" i="3" l="1"/>
  <c r="H97" i="3"/>
  <c r="J97" i="3" s="1"/>
  <c r="K97" i="3"/>
  <c r="D98" i="3" l="1"/>
  <c r="L97" i="3"/>
  <c r="F98" i="3" l="1"/>
  <c r="G98" i="3" s="1"/>
  <c r="I98" i="3"/>
  <c r="K98" i="3" l="1"/>
  <c r="M97" i="3"/>
  <c r="H98" i="3"/>
  <c r="J98" i="3" s="1"/>
  <c r="L98" i="3" l="1"/>
  <c r="D99" i="3"/>
  <c r="F99" i="3" l="1"/>
  <c r="G99" i="3" s="1"/>
  <c r="I99" i="3"/>
  <c r="K99" i="3" l="1"/>
  <c r="M98" i="3"/>
  <c r="H99" i="3"/>
  <c r="J99" i="3" s="1"/>
  <c r="D100" i="3" l="1"/>
  <c r="L99" i="3"/>
  <c r="I100" i="3" l="1"/>
  <c r="F100" i="3"/>
  <c r="G100" i="3" s="1"/>
  <c r="M99" i="3" l="1"/>
  <c r="H100" i="3"/>
  <c r="J100" i="3" s="1"/>
  <c r="K100" i="3"/>
  <c r="L100" i="3" l="1"/>
  <c r="D101" i="3"/>
  <c r="F101" i="3" l="1"/>
  <c r="G101" i="3" s="1"/>
  <c r="I101" i="3"/>
  <c r="K101" i="3" l="1"/>
  <c r="M100" i="3"/>
  <c r="H101" i="3"/>
  <c r="J101" i="3" s="1"/>
  <c r="L101" i="3" l="1"/>
  <c r="D102" i="3"/>
  <c r="I102" i="3" l="1"/>
  <c r="F102" i="3"/>
  <c r="G102" i="3" s="1"/>
  <c r="M101" i="3" l="1"/>
  <c r="H102" i="3"/>
  <c r="J102" i="3" s="1"/>
  <c r="K102" i="3"/>
  <c r="D103" i="3" l="1"/>
  <c r="L102" i="3"/>
  <c r="F103" i="3" l="1"/>
  <c r="G103" i="3" s="1"/>
  <c r="I103" i="3"/>
  <c r="K103" i="3" l="1"/>
  <c r="M102" i="3"/>
  <c r="H103" i="3"/>
  <c r="J103" i="3" s="1"/>
  <c r="L103" i="3" l="1"/>
  <c r="D104" i="3"/>
  <c r="I104" i="3" l="1"/>
  <c r="F104" i="3"/>
  <c r="G104" i="3" s="1"/>
  <c r="M103" i="3" l="1"/>
  <c r="H104" i="3"/>
  <c r="J104" i="3" s="1"/>
  <c r="K104" i="3"/>
  <c r="L104" i="3" l="1"/>
  <c r="D105" i="3"/>
  <c r="F105" i="3" l="1"/>
  <c r="G105" i="3" s="1"/>
  <c r="I105" i="3"/>
  <c r="K105" i="3" l="1"/>
  <c r="M104" i="3"/>
  <c r="H105" i="3"/>
  <c r="J105" i="3" s="1"/>
  <c r="D106" i="3" l="1"/>
  <c r="L105" i="3"/>
  <c r="F106" i="3" l="1"/>
  <c r="G106" i="3" s="1"/>
  <c r="I106" i="3"/>
  <c r="K106" i="3" l="1"/>
  <c r="M105" i="3"/>
  <c r="H106" i="3"/>
  <c r="J106" i="3" s="1"/>
  <c r="D107" i="3" l="1"/>
  <c r="L106" i="3"/>
  <c r="F107" i="3" l="1"/>
  <c r="G107" i="3" s="1"/>
  <c r="I107" i="3"/>
  <c r="K107" i="3" l="1"/>
  <c r="M106" i="3"/>
  <c r="H107" i="3"/>
  <c r="J107" i="3" s="1"/>
  <c r="D108" i="3" l="1"/>
  <c r="L107" i="3"/>
  <c r="F108" i="3" l="1"/>
  <c r="G108" i="3" s="1"/>
  <c r="I108" i="3"/>
  <c r="K108" i="3" l="1"/>
  <c r="M107" i="3"/>
  <c r="H108" i="3"/>
  <c r="J108" i="3" s="1"/>
  <c r="D109" i="3" l="1"/>
  <c r="L108" i="3"/>
  <c r="F109" i="3" l="1"/>
  <c r="G109" i="3" s="1"/>
  <c r="I109" i="3"/>
  <c r="K109" i="3" l="1"/>
  <c r="M108" i="3"/>
  <c r="H109" i="3"/>
  <c r="J109" i="3" s="1"/>
  <c r="D110" i="3" l="1"/>
  <c r="L109" i="3"/>
  <c r="F110" i="3" l="1"/>
  <c r="G110" i="3" s="1"/>
  <c r="I110" i="3"/>
  <c r="K110" i="3" l="1"/>
  <c r="M109" i="3"/>
  <c r="H110" i="3"/>
  <c r="J110" i="3" s="1"/>
  <c r="L110" i="3" l="1"/>
  <c r="D111" i="3"/>
  <c r="I111" i="3" l="1"/>
  <c r="F111" i="3"/>
  <c r="G111" i="3" s="1"/>
  <c r="M110" i="3" l="1"/>
  <c r="H111" i="3"/>
  <c r="J111" i="3" s="1"/>
  <c r="K111" i="3"/>
  <c r="D112" i="3" l="1"/>
  <c r="L111" i="3"/>
  <c r="F112" i="3" l="1"/>
  <c r="G112" i="3" s="1"/>
  <c r="I112" i="3"/>
  <c r="K112" i="3" l="1"/>
  <c r="M111" i="3"/>
  <c r="H112" i="3"/>
  <c r="J112" i="3" s="1"/>
  <c r="D113" i="3" l="1"/>
  <c r="L112" i="3"/>
  <c r="F113" i="3" l="1"/>
  <c r="G113" i="3" s="1"/>
  <c r="I113" i="3"/>
  <c r="K113" i="3" l="1"/>
  <c r="M112" i="3"/>
  <c r="H113" i="3"/>
  <c r="J113" i="3" s="1"/>
  <c r="L113" i="3" l="1"/>
  <c r="D114" i="3"/>
  <c r="F114" i="3" l="1"/>
  <c r="G114" i="3" s="1"/>
  <c r="I114" i="3"/>
  <c r="K114" i="3" l="1"/>
  <c r="M113" i="3"/>
  <c r="H114" i="3"/>
  <c r="J114" i="3" s="1"/>
  <c r="L114" i="3" l="1"/>
  <c r="D115" i="3"/>
  <c r="F115" i="3" l="1"/>
  <c r="G115" i="3" s="1"/>
  <c r="I115" i="3"/>
  <c r="K115" i="3" l="1"/>
  <c r="M114" i="3"/>
  <c r="H115" i="3"/>
  <c r="J115" i="3" s="1"/>
  <c r="L115" i="3" l="1"/>
  <c r="D116" i="3"/>
  <c r="F116" i="3" l="1"/>
  <c r="G116" i="3" s="1"/>
  <c r="I116" i="3"/>
  <c r="K116" i="3" l="1"/>
  <c r="M115" i="3"/>
  <c r="H116" i="3"/>
  <c r="J116" i="3" s="1"/>
  <c r="D117" i="3" l="1"/>
  <c r="L116" i="3"/>
  <c r="F117" i="3" l="1"/>
  <c r="G117" i="3" s="1"/>
  <c r="I117" i="3"/>
  <c r="K117" i="3" l="1"/>
  <c r="M116" i="3"/>
  <c r="H117" i="3"/>
  <c r="J117" i="3" s="1"/>
  <c r="L117" i="3" l="1"/>
  <c r="D118" i="3"/>
  <c r="F118" i="3" l="1"/>
  <c r="G118" i="3" s="1"/>
  <c r="I118" i="3"/>
  <c r="K118" i="3" l="1"/>
  <c r="M117" i="3"/>
  <c r="H118" i="3"/>
  <c r="J118" i="3" s="1"/>
  <c r="L118" i="3" l="1"/>
  <c r="D119" i="3"/>
  <c r="I119" i="3" l="1"/>
  <c r="F119" i="3"/>
  <c r="G119" i="3" s="1"/>
  <c r="M118" i="3" l="1"/>
  <c r="H119" i="3"/>
  <c r="J119" i="3" s="1"/>
  <c r="K119" i="3"/>
  <c r="L119" i="3" l="1"/>
  <c r="D120" i="3"/>
  <c r="F120" i="3" l="1"/>
  <c r="G120" i="3" s="1"/>
  <c r="I120" i="3"/>
  <c r="K120" i="3" l="1"/>
  <c r="M119" i="3"/>
  <c r="H120" i="3"/>
  <c r="J120" i="3" s="1"/>
  <c r="D121" i="3" l="1"/>
  <c r="L120" i="3"/>
  <c r="F121" i="3" l="1"/>
  <c r="G121" i="3" s="1"/>
  <c r="I121" i="3"/>
  <c r="K121" i="3" l="1"/>
  <c r="M120" i="3"/>
  <c r="H121" i="3"/>
  <c r="J121" i="3" s="1"/>
  <c r="D122" i="3" l="1"/>
  <c r="L121" i="3"/>
  <c r="F122" i="3" l="1"/>
  <c r="G122" i="3" s="1"/>
  <c r="I122" i="3"/>
  <c r="K122" i="3" l="1"/>
  <c r="M121" i="3"/>
  <c r="H122" i="3"/>
  <c r="J122" i="3" s="1"/>
  <c r="L122" i="3" l="1"/>
  <c r="D123" i="3"/>
  <c r="I123" i="3" l="1"/>
  <c r="F123" i="3"/>
  <c r="G123" i="3" s="1"/>
  <c r="M122" i="3" l="1"/>
  <c r="H123" i="3"/>
  <c r="J123" i="3" s="1"/>
  <c r="K123" i="3"/>
  <c r="L123" i="3" l="1"/>
  <c r="D124" i="3"/>
  <c r="I124" i="3" l="1"/>
  <c r="F124" i="3"/>
  <c r="G124" i="3" s="1"/>
  <c r="M123" i="3" l="1"/>
  <c r="H124" i="3"/>
  <c r="J124" i="3" s="1"/>
  <c r="K124" i="3"/>
  <c r="D125" i="3" l="1"/>
  <c r="L124" i="3"/>
  <c r="I125" i="3" l="1"/>
  <c r="F125" i="3"/>
  <c r="G125" i="3" s="1"/>
  <c r="M124" i="3" l="1"/>
  <c r="H125" i="3"/>
  <c r="J125" i="3" s="1"/>
  <c r="K125" i="3"/>
  <c r="L125" i="3" l="1"/>
  <c r="D126" i="3"/>
  <c r="F126" i="3" l="1"/>
  <c r="G126" i="3" s="1"/>
  <c r="I126" i="3"/>
  <c r="K126" i="3" l="1"/>
  <c r="M125" i="3"/>
  <c r="H126" i="3"/>
  <c r="J126" i="3" s="1"/>
  <c r="D127" i="3" l="1"/>
  <c r="L126" i="3"/>
  <c r="F127" i="3" l="1"/>
  <c r="G127" i="3" s="1"/>
  <c r="I127" i="3"/>
  <c r="K127" i="3" l="1"/>
  <c r="M126" i="3"/>
  <c r="H127" i="3"/>
  <c r="J127" i="3" s="1"/>
  <c r="L127" i="3" l="1"/>
  <c r="D128" i="3"/>
  <c r="I128" i="3" l="1"/>
  <c r="F128" i="3"/>
  <c r="G128" i="3" s="1"/>
  <c r="M127" i="3" l="1"/>
  <c r="H128" i="3"/>
  <c r="J128" i="3" s="1"/>
  <c r="K128" i="3"/>
  <c r="D129" i="3" l="1"/>
  <c r="L128" i="3"/>
  <c r="F129" i="3" l="1"/>
  <c r="G129" i="3" s="1"/>
  <c r="I129" i="3"/>
  <c r="K129" i="3" l="1"/>
  <c r="M128" i="3"/>
  <c r="H129" i="3"/>
  <c r="J129" i="3" s="1"/>
  <c r="D130" i="3" l="1"/>
  <c r="L129" i="3"/>
  <c r="F130" i="3" l="1"/>
  <c r="G130" i="3" s="1"/>
  <c r="I130" i="3"/>
  <c r="K130" i="3" l="1"/>
  <c r="M129" i="3"/>
  <c r="H130" i="3"/>
  <c r="J130" i="3" s="1"/>
  <c r="L130" i="3" l="1"/>
  <c r="D131" i="3"/>
  <c r="I131" i="3" l="1"/>
  <c r="F131" i="3"/>
  <c r="G131" i="3" s="1"/>
  <c r="M130" i="3" l="1"/>
  <c r="H131" i="3"/>
  <c r="J131" i="3" s="1"/>
  <c r="K131" i="3"/>
  <c r="D132" i="3" l="1"/>
  <c r="L131" i="3"/>
  <c r="I132" i="3" l="1"/>
  <c r="F132" i="3"/>
  <c r="G132" i="3" s="1"/>
  <c r="M131" i="3" l="1"/>
  <c r="H132" i="3"/>
  <c r="J132" i="3" s="1"/>
  <c r="K132" i="3"/>
  <c r="L132" i="3" l="1"/>
  <c r="D133" i="3"/>
  <c r="I133" i="3" l="1"/>
  <c r="F133" i="3"/>
  <c r="G133" i="3" s="1"/>
  <c r="M132" i="3" l="1"/>
  <c r="H133" i="3"/>
  <c r="J133" i="3" s="1"/>
  <c r="K133" i="3"/>
  <c r="D134" i="3" l="1"/>
  <c r="L133" i="3"/>
  <c r="I134" i="3" l="1"/>
  <c r="F134" i="3"/>
  <c r="G134" i="3" s="1"/>
  <c r="M133" i="3" l="1"/>
  <c r="H134" i="3"/>
  <c r="J134" i="3" s="1"/>
  <c r="K134" i="3"/>
  <c r="L134" i="3" l="1"/>
  <c r="D135" i="3"/>
  <c r="F135" i="3" l="1"/>
  <c r="G135" i="3" s="1"/>
  <c r="I135" i="3"/>
  <c r="K135" i="3" l="1"/>
  <c r="M134" i="3"/>
  <c r="H135" i="3"/>
  <c r="J135" i="3" s="1"/>
  <c r="L135" i="3" l="1"/>
  <c r="D136" i="3"/>
  <c r="I136" i="3" l="1"/>
  <c r="F136" i="3"/>
  <c r="G136" i="3" s="1"/>
  <c r="M135" i="3" l="1"/>
  <c r="H136" i="3"/>
  <c r="J136" i="3" s="1"/>
  <c r="K136" i="3"/>
  <c r="D137" i="3" l="1"/>
  <c r="L136" i="3"/>
  <c r="I137" i="3" l="1"/>
  <c r="F137" i="3"/>
  <c r="G137" i="3" s="1"/>
  <c r="M136" i="3" l="1"/>
  <c r="H137" i="3"/>
  <c r="J137" i="3" s="1"/>
  <c r="K137" i="3"/>
  <c r="D138" i="3" l="1"/>
  <c r="L137" i="3"/>
  <c r="F138" i="3" l="1"/>
  <c r="G138" i="3" s="1"/>
  <c r="I138" i="3"/>
  <c r="K138" i="3" l="1"/>
  <c r="M137" i="3"/>
  <c r="H138" i="3"/>
  <c r="J138" i="3" s="1"/>
  <c r="D139" i="3" l="1"/>
  <c r="L138" i="3"/>
  <c r="I139" i="3" l="1"/>
  <c r="F139" i="3"/>
  <c r="G139" i="3" s="1"/>
  <c r="M138" i="3" l="1"/>
  <c r="H139" i="3"/>
  <c r="J139" i="3" s="1"/>
  <c r="K139" i="3"/>
  <c r="D140" i="3" l="1"/>
  <c r="L139" i="3"/>
  <c r="I140" i="3" l="1"/>
  <c r="F140" i="3"/>
  <c r="G140" i="3" s="1"/>
  <c r="M139" i="3" l="1"/>
  <c r="H140" i="3"/>
  <c r="J140" i="3" s="1"/>
  <c r="K140" i="3"/>
  <c r="L140" i="3" l="1"/>
  <c r="D141" i="3"/>
  <c r="F141" i="3" l="1"/>
  <c r="G141" i="3" s="1"/>
  <c r="I141" i="3"/>
  <c r="K141" i="3" l="1"/>
  <c r="M140" i="3"/>
  <c r="H141" i="3"/>
  <c r="J141" i="3" s="1"/>
  <c r="D142" i="3" l="1"/>
  <c r="L141" i="3"/>
  <c r="F142" i="3" l="1"/>
  <c r="G142" i="3" s="1"/>
  <c r="I142" i="3"/>
  <c r="K142" i="3" l="1"/>
  <c r="M141" i="3"/>
  <c r="H142" i="3"/>
  <c r="J142" i="3" s="1"/>
  <c r="D143" i="3" l="1"/>
  <c r="L142" i="3"/>
  <c r="F143" i="3" l="1"/>
  <c r="G143" i="3" s="1"/>
  <c r="I143" i="3"/>
  <c r="K143" i="3" l="1"/>
  <c r="M142" i="3"/>
  <c r="H143" i="3"/>
  <c r="J143" i="3" s="1"/>
  <c r="L143" i="3" l="1"/>
  <c r="D144" i="3"/>
  <c r="I144" i="3" l="1"/>
  <c r="F144" i="3"/>
  <c r="G144" i="3" s="1"/>
  <c r="M143" i="3" l="1"/>
  <c r="H144" i="3"/>
  <c r="J144" i="3" s="1"/>
  <c r="K144" i="3"/>
  <c r="L144" i="3" l="1"/>
  <c r="D145" i="3"/>
  <c r="F145" i="3" l="1"/>
  <c r="G145" i="3" s="1"/>
  <c r="I145" i="3"/>
  <c r="K145" i="3" l="1"/>
  <c r="M144" i="3"/>
  <c r="H145" i="3"/>
  <c r="J145" i="3" s="1"/>
  <c r="D146" i="3" l="1"/>
  <c r="L145" i="3"/>
  <c r="I146" i="3" l="1"/>
  <c r="F146" i="3"/>
  <c r="G146" i="3" s="1"/>
  <c r="M145" i="3" l="1"/>
  <c r="H146" i="3"/>
  <c r="J146" i="3" s="1"/>
  <c r="K146" i="3"/>
  <c r="D147" i="3" l="1"/>
  <c r="L146" i="3"/>
  <c r="F147" i="3" l="1"/>
  <c r="G147" i="3" s="1"/>
  <c r="I147" i="3"/>
  <c r="K147" i="3" l="1"/>
  <c r="M146" i="3"/>
  <c r="H147" i="3"/>
  <c r="J147" i="3" s="1"/>
  <c r="D148" i="3" l="1"/>
  <c r="L147" i="3"/>
  <c r="F148" i="3" l="1"/>
  <c r="G148" i="3" s="1"/>
  <c r="I148" i="3"/>
  <c r="K148" i="3" l="1"/>
  <c r="M147" i="3"/>
  <c r="H148" i="3"/>
  <c r="J148" i="3" s="1"/>
  <c r="D149" i="3" l="1"/>
  <c r="L148" i="3"/>
  <c r="I149" i="3" l="1"/>
  <c r="F149" i="3"/>
  <c r="G149" i="3" s="1"/>
  <c r="M148" i="3" l="1"/>
  <c r="H149" i="3"/>
  <c r="J149" i="3" s="1"/>
  <c r="K149" i="3"/>
  <c r="D150" i="3" l="1"/>
  <c r="L149" i="3"/>
  <c r="I150" i="3" l="1"/>
  <c r="F150" i="3"/>
  <c r="G150" i="3" s="1"/>
  <c r="M149" i="3" l="1"/>
  <c r="H150" i="3"/>
  <c r="J150" i="3" s="1"/>
  <c r="K150" i="3"/>
  <c r="L150" i="3" l="1"/>
  <c r="D151" i="3"/>
  <c r="F151" i="3" l="1"/>
  <c r="G151" i="3" s="1"/>
  <c r="I151" i="3"/>
  <c r="K151" i="3" l="1"/>
  <c r="M150" i="3"/>
  <c r="H151" i="3"/>
  <c r="J151" i="3" s="1"/>
  <c r="L151" i="3" l="1"/>
  <c r="D152" i="3"/>
  <c r="F152" i="3" l="1"/>
  <c r="G152" i="3" s="1"/>
  <c r="I152" i="3"/>
  <c r="K152" i="3" l="1"/>
  <c r="M151" i="3"/>
  <c r="H152" i="3"/>
  <c r="J152" i="3" s="1"/>
  <c r="D153" i="3" l="1"/>
  <c r="L152" i="3"/>
  <c r="I153" i="3" l="1"/>
  <c r="F153" i="3"/>
  <c r="G153" i="3" s="1"/>
  <c r="M152" i="3" l="1"/>
  <c r="H153" i="3"/>
  <c r="J153" i="3" s="1"/>
  <c r="K153" i="3"/>
  <c r="L153" i="3" l="1"/>
  <c r="D154" i="3"/>
  <c r="F154" i="3" l="1"/>
  <c r="G154" i="3" s="1"/>
  <c r="I154" i="3"/>
  <c r="K154" i="3" l="1"/>
  <c r="M153" i="3"/>
  <c r="H154" i="3"/>
  <c r="J154" i="3" s="1"/>
  <c r="D155" i="3" l="1"/>
  <c r="L154" i="3"/>
  <c r="F155" i="3" l="1"/>
  <c r="G155" i="3" s="1"/>
  <c r="I155" i="3"/>
  <c r="K155" i="3" l="1"/>
  <c r="M154" i="3"/>
  <c r="H155" i="3"/>
  <c r="J155" i="3" s="1"/>
  <c r="D156" i="3" l="1"/>
  <c r="L155" i="3"/>
  <c r="F156" i="3" l="1"/>
  <c r="G156" i="3" s="1"/>
  <c r="I156" i="3"/>
  <c r="K156" i="3" l="1"/>
  <c r="M155" i="3"/>
  <c r="H156" i="3"/>
  <c r="J156" i="3" s="1"/>
  <c r="L156" i="3" l="1"/>
  <c r="D157" i="3"/>
  <c r="F157" i="3" l="1"/>
  <c r="G157" i="3" s="1"/>
  <c r="I157" i="3"/>
  <c r="K157" i="3" l="1"/>
  <c r="M156" i="3"/>
  <c r="H157" i="3"/>
  <c r="J157" i="3" s="1"/>
  <c r="D158" i="3" l="1"/>
  <c r="L157" i="3"/>
  <c r="I158" i="3" l="1"/>
  <c r="F158" i="3"/>
  <c r="G158" i="3" s="1"/>
  <c r="M157" i="3" l="1"/>
  <c r="H158" i="3"/>
  <c r="J158" i="3" s="1"/>
  <c r="K158" i="3"/>
  <c r="L158" i="3" l="1"/>
  <c r="D159" i="3"/>
  <c r="I159" i="3" l="1"/>
  <c r="F159" i="3"/>
  <c r="G159" i="3" s="1"/>
  <c r="M158" i="3" l="1"/>
  <c r="H159" i="3"/>
  <c r="J159" i="3" s="1"/>
  <c r="K159" i="3"/>
  <c r="D160" i="3" l="1"/>
  <c r="L159" i="3"/>
  <c r="F160" i="3" l="1"/>
  <c r="G160" i="3" s="1"/>
  <c r="I160" i="3"/>
  <c r="K160" i="3" l="1"/>
  <c r="M159" i="3"/>
  <c r="H160" i="3"/>
  <c r="J160" i="3" s="1"/>
  <c r="D161" i="3" l="1"/>
  <c r="L160" i="3"/>
  <c r="F161" i="3" l="1"/>
  <c r="G161" i="3" s="1"/>
  <c r="I161" i="3"/>
  <c r="K161" i="3" l="1"/>
  <c r="M160" i="3"/>
  <c r="H161" i="3"/>
  <c r="J161" i="3" s="1"/>
  <c r="D162" i="3" l="1"/>
  <c r="L161" i="3"/>
  <c r="I162" i="3" l="1"/>
  <c r="F162" i="3"/>
  <c r="G162" i="3" s="1"/>
  <c r="M161" i="3" l="1"/>
  <c r="H162" i="3"/>
  <c r="J162" i="3" s="1"/>
  <c r="K162" i="3"/>
  <c r="D163" i="3" l="1"/>
  <c r="L162" i="3"/>
  <c r="I163" i="3" l="1"/>
  <c r="F163" i="3"/>
  <c r="G163" i="3" s="1"/>
  <c r="M162" i="3" l="1"/>
  <c r="H163" i="3"/>
  <c r="J163" i="3" s="1"/>
  <c r="K163" i="3"/>
  <c r="D164" i="3" l="1"/>
  <c r="L163" i="3"/>
  <c r="F164" i="3" l="1"/>
  <c r="G164" i="3" s="1"/>
  <c r="I164" i="3"/>
  <c r="K164" i="3" l="1"/>
  <c r="M163" i="3"/>
  <c r="H164" i="3"/>
  <c r="J164" i="3" s="1"/>
  <c r="D165" i="3" l="1"/>
  <c r="L164" i="3"/>
  <c r="F165" i="3" l="1"/>
  <c r="G165" i="3" s="1"/>
  <c r="I165" i="3"/>
  <c r="K165" i="3" l="1"/>
  <c r="M164" i="3"/>
  <c r="H165" i="3"/>
  <c r="J165" i="3" s="1"/>
  <c r="L165" i="3" l="1"/>
  <c r="D166" i="3"/>
  <c r="F166" i="3" l="1"/>
  <c r="G166" i="3" s="1"/>
  <c r="I166" i="3"/>
  <c r="K166" i="3" l="1"/>
  <c r="M165" i="3"/>
  <c r="H166" i="3"/>
  <c r="J166" i="3" s="1"/>
  <c r="L166" i="3" l="1"/>
  <c r="D167" i="3"/>
  <c r="F167" i="3" l="1"/>
  <c r="G167" i="3" s="1"/>
  <c r="I167" i="3"/>
  <c r="K167" i="3" l="1"/>
  <c r="M166" i="3"/>
  <c r="H167" i="3"/>
  <c r="J167" i="3" s="1"/>
  <c r="L167" i="3" l="1"/>
  <c r="D168" i="3"/>
  <c r="I168" i="3" l="1"/>
  <c r="F168" i="3"/>
  <c r="G168" i="3" s="1"/>
  <c r="M167" i="3" l="1"/>
  <c r="H168" i="3"/>
  <c r="J168" i="3" s="1"/>
  <c r="K168" i="3"/>
  <c r="D169" i="3" l="1"/>
  <c r="L168" i="3"/>
  <c r="F169" i="3" l="1"/>
  <c r="G169" i="3" s="1"/>
  <c r="I169" i="3"/>
  <c r="K169" i="3" l="1"/>
  <c r="M168" i="3"/>
  <c r="H169" i="3"/>
  <c r="J169" i="3" s="1"/>
  <c r="L169" i="3" l="1"/>
  <c r="D170" i="3"/>
  <c r="F170" i="3" l="1"/>
  <c r="G170" i="3" s="1"/>
  <c r="I170" i="3"/>
  <c r="K170" i="3" l="1"/>
  <c r="M169" i="3"/>
  <c r="H170" i="3"/>
  <c r="J170" i="3" s="1"/>
  <c r="L170" i="3" l="1"/>
  <c r="D171" i="3"/>
  <c r="F171" i="3" l="1"/>
  <c r="G171" i="3" s="1"/>
  <c r="I171" i="3"/>
  <c r="K171" i="3" l="1"/>
  <c r="M170" i="3"/>
  <c r="H171" i="3"/>
  <c r="J171" i="3" s="1"/>
  <c r="D172" i="3" l="1"/>
  <c r="L171" i="3"/>
  <c r="I172" i="3" l="1"/>
  <c r="F172" i="3"/>
  <c r="G172" i="3" s="1"/>
  <c r="M171" i="3" l="1"/>
  <c r="H172" i="3"/>
  <c r="J172" i="3" s="1"/>
  <c r="K172" i="3"/>
  <c r="D173" i="3" l="1"/>
  <c r="L172" i="3"/>
  <c r="I173" i="3" l="1"/>
  <c r="F173" i="3"/>
  <c r="G173" i="3" s="1"/>
  <c r="M172" i="3" l="1"/>
  <c r="H173" i="3"/>
  <c r="J173" i="3" s="1"/>
  <c r="K173" i="3"/>
  <c r="D174" i="3" l="1"/>
  <c r="L173" i="3"/>
  <c r="F174" i="3" l="1"/>
  <c r="G174" i="3" s="1"/>
  <c r="I174" i="3"/>
  <c r="K174" i="3" l="1"/>
  <c r="M173" i="3"/>
  <c r="H174" i="3"/>
  <c r="J174" i="3" s="1"/>
  <c r="D175" i="3" l="1"/>
  <c r="L174" i="3"/>
  <c r="F175" i="3" l="1"/>
  <c r="G175" i="3" s="1"/>
  <c r="I175" i="3"/>
  <c r="K175" i="3" l="1"/>
  <c r="M174" i="3"/>
  <c r="H175" i="3"/>
  <c r="J175" i="3" s="1"/>
  <c r="L175" i="3" l="1"/>
  <c r="D176" i="3"/>
  <c r="I176" i="3" l="1"/>
  <c r="F176" i="3"/>
  <c r="G176" i="3" s="1"/>
  <c r="M175" i="3" l="1"/>
  <c r="H176" i="3"/>
  <c r="J176" i="3" s="1"/>
  <c r="K176" i="3"/>
  <c r="D177" i="3" l="1"/>
  <c r="L176" i="3"/>
  <c r="I177" i="3" l="1"/>
  <c r="F177" i="3"/>
  <c r="G177" i="3" s="1"/>
  <c r="M176" i="3" l="1"/>
  <c r="H177" i="3"/>
  <c r="J177" i="3" s="1"/>
  <c r="K177" i="3"/>
  <c r="D178" i="3" l="1"/>
  <c r="L177" i="3"/>
  <c r="F178" i="3" l="1"/>
  <c r="G178" i="3" s="1"/>
  <c r="I178" i="3"/>
  <c r="K178" i="3" l="1"/>
  <c r="M177" i="3"/>
  <c r="H178" i="3"/>
  <c r="J178" i="3" s="1"/>
  <c r="L178" i="3" l="1"/>
  <c r="D179" i="3"/>
  <c r="F179" i="3" l="1"/>
  <c r="G179" i="3" s="1"/>
  <c r="I179" i="3"/>
  <c r="K179" i="3" l="1"/>
  <c r="M178" i="3"/>
  <c r="H179" i="3"/>
  <c r="J179" i="3" s="1"/>
  <c r="D180" i="3" l="1"/>
  <c r="L179" i="3"/>
  <c r="F180" i="3" l="1"/>
  <c r="G180" i="3" s="1"/>
  <c r="I180" i="3"/>
  <c r="K180" i="3" l="1"/>
  <c r="M179" i="3"/>
  <c r="H180" i="3"/>
  <c r="J180" i="3" s="1"/>
  <c r="D181" i="3" l="1"/>
  <c r="L180" i="3"/>
  <c r="F181" i="3" l="1"/>
  <c r="G181" i="3" s="1"/>
  <c r="I181" i="3"/>
  <c r="K181" i="3" l="1"/>
  <c r="M180" i="3"/>
  <c r="H181" i="3"/>
  <c r="J181" i="3" s="1"/>
  <c r="D182" i="3" l="1"/>
  <c r="L181" i="3"/>
  <c r="I182" i="3" l="1"/>
  <c r="F182" i="3"/>
  <c r="G182" i="3" s="1"/>
  <c r="M181" i="3" l="1"/>
  <c r="H182" i="3"/>
  <c r="J182" i="3" s="1"/>
  <c r="K182" i="3"/>
  <c r="D183" i="3" l="1"/>
  <c r="L182" i="3"/>
  <c r="F183" i="3" l="1"/>
  <c r="G183" i="3" s="1"/>
  <c r="I183" i="3"/>
  <c r="K183" i="3" l="1"/>
  <c r="M182" i="3"/>
  <c r="H183" i="3"/>
  <c r="J183" i="3" s="1"/>
  <c r="D184" i="3" l="1"/>
  <c r="L183" i="3"/>
  <c r="I184" i="3" l="1"/>
  <c r="F184" i="3"/>
  <c r="G184" i="3" s="1"/>
  <c r="M183" i="3" l="1"/>
  <c r="H184" i="3"/>
  <c r="J184" i="3" s="1"/>
  <c r="K184" i="3"/>
  <c r="L184" i="3" l="1"/>
  <c r="D185" i="3"/>
  <c r="F185" i="3" l="1"/>
  <c r="G185" i="3" s="1"/>
  <c r="I185" i="3"/>
  <c r="K185" i="3" l="1"/>
  <c r="M184" i="3"/>
  <c r="H185" i="3"/>
  <c r="J185" i="3" s="1"/>
  <c r="L185" i="3" l="1"/>
  <c r="D186" i="3"/>
  <c r="I186" i="3" l="1"/>
  <c r="F186" i="3"/>
  <c r="G186" i="3" s="1"/>
  <c r="M185" i="3" l="1"/>
  <c r="H186" i="3"/>
  <c r="J186" i="3" s="1"/>
  <c r="K186" i="3"/>
  <c r="D187" i="3" l="1"/>
  <c r="L186" i="3"/>
  <c r="I187" i="3" l="1"/>
  <c r="F187" i="3"/>
  <c r="G187" i="3" s="1"/>
  <c r="M186" i="3" l="1"/>
  <c r="H187" i="3"/>
  <c r="J187" i="3" s="1"/>
  <c r="K187" i="3"/>
  <c r="L187" i="3" l="1"/>
  <c r="D188" i="3"/>
  <c r="I188" i="3" l="1"/>
  <c r="F188" i="3"/>
  <c r="G188" i="3" s="1"/>
  <c r="M187" i="3" l="1"/>
  <c r="H188" i="3"/>
  <c r="J188" i="3" s="1"/>
  <c r="K188" i="3"/>
  <c r="L188" i="3" l="1"/>
  <c r="D189" i="3"/>
  <c r="I189" i="3" l="1"/>
  <c r="F189" i="3"/>
  <c r="G189" i="3" s="1"/>
  <c r="M188" i="3" l="1"/>
  <c r="H189" i="3"/>
  <c r="J189" i="3" s="1"/>
  <c r="K189" i="3"/>
  <c r="L189" i="3" l="1"/>
  <c r="D190" i="3"/>
  <c r="F190" i="3" l="1"/>
  <c r="G190" i="3" s="1"/>
  <c r="I190" i="3"/>
  <c r="K190" i="3" l="1"/>
  <c r="M189" i="3"/>
  <c r="H190" i="3"/>
  <c r="J190" i="3" s="1"/>
  <c r="L190" i="3" l="1"/>
  <c r="D191" i="3"/>
  <c r="F191" i="3" l="1"/>
  <c r="G191" i="3" s="1"/>
  <c r="I191" i="3"/>
  <c r="K191" i="3" l="1"/>
  <c r="M190" i="3"/>
  <c r="H191" i="3"/>
  <c r="J191" i="3" s="1"/>
  <c r="L191" i="3" l="1"/>
  <c r="D192" i="3"/>
  <c r="I192" i="3" l="1"/>
  <c r="F192" i="3"/>
  <c r="G192" i="3" s="1"/>
  <c r="M191" i="3" l="1"/>
  <c r="H192" i="3"/>
  <c r="J192" i="3" s="1"/>
  <c r="K192" i="3"/>
  <c r="L192" i="3" l="1"/>
  <c r="D193" i="3"/>
  <c r="I193" i="3" l="1"/>
  <c r="F193" i="3"/>
  <c r="G193" i="3" s="1"/>
  <c r="M192" i="3" l="1"/>
  <c r="H193" i="3"/>
  <c r="J193" i="3" s="1"/>
  <c r="K193" i="3"/>
  <c r="D194" i="3" l="1"/>
  <c r="L193" i="3"/>
  <c r="I194" i="3" l="1"/>
  <c r="F194" i="3"/>
  <c r="G194" i="3" s="1"/>
  <c r="M193" i="3" l="1"/>
  <c r="H194" i="3"/>
  <c r="J194" i="3" s="1"/>
  <c r="K194" i="3"/>
  <c r="L194" i="3" l="1"/>
  <c r="D195" i="3"/>
  <c r="F195" i="3" l="1"/>
  <c r="G195" i="3" s="1"/>
  <c r="I195" i="3"/>
  <c r="K195" i="3" l="1"/>
  <c r="M194" i="3"/>
  <c r="H195" i="3"/>
  <c r="J195" i="3" s="1"/>
  <c r="L195" i="3" l="1"/>
  <c r="D196" i="3"/>
  <c r="F196" i="3" l="1"/>
  <c r="G196" i="3" s="1"/>
  <c r="I196" i="3"/>
  <c r="K196" i="3" l="1"/>
  <c r="M195" i="3"/>
  <c r="H196" i="3"/>
  <c r="J196" i="3" s="1"/>
  <c r="L196" i="3" l="1"/>
  <c r="D197" i="3"/>
  <c r="F197" i="3" l="1"/>
  <c r="G197" i="3" s="1"/>
  <c r="I197" i="3"/>
  <c r="K197" i="3" l="1"/>
  <c r="M196" i="3"/>
  <c r="H197" i="3"/>
  <c r="J197" i="3" s="1"/>
  <c r="L197" i="3" l="1"/>
  <c r="D198" i="3"/>
  <c r="F198" i="3" l="1"/>
  <c r="G198" i="3" s="1"/>
  <c r="I198" i="3"/>
  <c r="K198" i="3" l="1"/>
  <c r="M197" i="3"/>
  <c r="H198" i="3"/>
  <c r="J198" i="3" s="1"/>
  <c r="L198" i="3" l="1"/>
  <c r="D199" i="3"/>
  <c r="F199" i="3" l="1"/>
  <c r="G199" i="3" s="1"/>
  <c r="I199" i="3"/>
  <c r="K199" i="3" l="1"/>
  <c r="M198" i="3"/>
  <c r="H199" i="3"/>
  <c r="J199" i="3" s="1"/>
  <c r="D200" i="3" l="1"/>
  <c r="L199" i="3"/>
  <c r="F200" i="3" l="1"/>
  <c r="G200" i="3" s="1"/>
  <c r="I200" i="3"/>
  <c r="K200" i="3" l="1"/>
  <c r="M199" i="3"/>
  <c r="H200" i="3"/>
  <c r="J200" i="3" s="1"/>
  <c r="L200" i="3" l="1"/>
  <c r="D201" i="3"/>
  <c r="I201" i="3" l="1"/>
  <c r="F201" i="3"/>
  <c r="G201" i="3" s="1"/>
  <c r="M200" i="3" l="1"/>
  <c r="H201" i="3"/>
  <c r="J201" i="3" s="1"/>
  <c r="K201" i="3"/>
  <c r="D202" i="3" l="1"/>
  <c r="L201" i="3"/>
  <c r="F202" i="3" l="1"/>
  <c r="G202" i="3" s="1"/>
  <c r="I202" i="3"/>
  <c r="K202" i="3" l="1"/>
  <c r="M201" i="3"/>
  <c r="H202" i="3"/>
  <c r="J202" i="3" s="1"/>
  <c r="D203" i="3" l="1"/>
  <c r="L202" i="3"/>
  <c r="I203" i="3" l="1"/>
  <c r="F203" i="3"/>
  <c r="G203" i="3" s="1"/>
  <c r="M202" i="3" l="1"/>
  <c r="H203" i="3"/>
  <c r="J203" i="3" s="1"/>
  <c r="K203" i="3"/>
  <c r="L203" i="3" l="1"/>
  <c r="D204" i="3"/>
  <c r="F204" i="3" l="1"/>
  <c r="G204" i="3" s="1"/>
  <c r="I204" i="3"/>
  <c r="K204" i="3" l="1"/>
  <c r="M203" i="3"/>
  <c r="H204" i="3"/>
  <c r="J204" i="3" s="1"/>
  <c r="D205" i="3" l="1"/>
  <c r="L204" i="3"/>
  <c r="I205" i="3" l="1"/>
  <c r="F205" i="3"/>
  <c r="G205" i="3" s="1"/>
  <c r="M204" i="3" l="1"/>
  <c r="H205" i="3"/>
  <c r="J205" i="3" s="1"/>
  <c r="K205" i="3"/>
  <c r="L205" i="3" l="1"/>
  <c r="D206" i="3"/>
  <c r="F206" i="3" l="1"/>
  <c r="G206" i="3" s="1"/>
  <c r="I206" i="3"/>
  <c r="K206" i="3" l="1"/>
  <c r="M205" i="3"/>
  <c r="H206" i="3"/>
  <c r="J206" i="3" s="1"/>
  <c r="D207" i="3" l="1"/>
  <c r="L206" i="3"/>
  <c r="F207" i="3" l="1"/>
  <c r="G207" i="3" s="1"/>
  <c r="I207" i="3"/>
  <c r="K207" i="3" l="1"/>
  <c r="M206" i="3"/>
  <c r="H207" i="3"/>
  <c r="J207" i="3" s="1"/>
  <c r="D208" i="3" l="1"/>
  <c r="L207" i="3"/>
  <c r="I208" i="3" l="1"/>
  <c r="F208" i="3"/>
  <c r="G208" i="3" s="1"/>
  <c r="M207" i="3" l="1"/>
  <c r="H208" i="3"/>
  <c r="J208" i="3" s="1"/>
  <c r="K208" i="3"/>
  <c r="L208" i="3" l="1"/>
  <c r="D209" i="3"/>
  <c r="I209" i="3" l="1"/>
  <c r="F209" i="3"/>
  <c r="G209" i="3" s="1"/>
  <c r="M208" i="3" l="1"/>
  <c r="H209" i="3"/>
  <c r="J209" i="3" s="1"/>
  <c r="K209" i="3"/>
  <c r="L209" i="3" l="1"/>
  <c r="D210" i="3"/>
  <c r="F210" i="3" l="1"/>
  <c r="G210" i="3" s="1"/>
  <c r="I210" i="3"/>
  <c r="K210" i="3" l="1"/>
  <c r="M209" i="3"/>
  <c r="H210" i="3"/>
  <c r="J210" i="3" s="1"/>
  <c r="D211" i="3" l="1"/>
  <c r="L210" i="3"/>
  <c r="I211" i="3" l="1"/>
  <c r="F211" i="3"/>
  <c r="G211" i="3" s="1"/>
  <c r="M210" i="3" l="1"/>
  <c r="H211" i="3"/>
  <c r="J211" i="3" s="1"/>
  <c r="K211" i="3"/>
  <c r="L211" i="3" l="1"/>
  <c r="D212" i="3"/>
  <c r="I212" i="3" l="1"/>
  <c r="F212" i="3"/>
  <c r="G212" i="3" s="1"/>
  <c r="M211" i="3" l="1"/>
  <c r="H212" i="3"/>
  <c r="J212" i="3" s="1"/>
  <c r="K212" i="3"/>
  <c r="L212" i="3" l="1"/>
  <c r="D213" i="3"/>
  <c r="I213" i="3" l="1"/>
  <c r="F213" i="3"/>
  <c r="G213" i="3" s="1"/>
  <c r="M212" i="3" l="1"/>
  <c r="H213" i="3"/>
  <c r="J213" i="3" s="1"/>
  <c r="K213" i="3"/>
  <c r="L213" i="3" l="1"/>
  <c r="D214" i="3"/>
  <c r="F214" i="3" l="1"/>
  <c r="G214" i="3" s="1"/>
  <c r="I214" i="3"/>
  <c r="K214" i="3" l="1"/>
  <c r="M213" i="3"/>
  <c r="H214" i="3"/>
  <c r="J214" i="3" s="1"/>
  <c r="L214" i="3" l="1"/>
  <c r="D215" i="3"/>
  <c r="I215" i="3" l="1"/>
  <c r="F215" i="3"/>
  <c r="G215" i="3" s="1"/>
  <c r="M214" i="3" l="1"/>
  <c r="H215" i="3"/>
  <c r="J215" i="3" s="1"/>
  <c r="K215" i="3"/>
  <c r="L215" i="3" l="1"/>
  <c r="D216" i="3"/>
  <c r="I216" i="3" l="1"/>
  <c r="F216" i="3"/>
  <c r="G216" i="3" s="1"/>
  <c r="M215" i="3" l="1"/>
  <c r="H216" i="3"/>
  <c r="J216" i="3" s="1"/>
  <c r="K216" i="3"/>
  <c r="D217" i="3" l="1"/>
  <c r="L216" i="3"/>
  <c r="I217" i="3" l="1"/>
  <c r="F217" i="3"/>
  <c r="G217" i="3" s="1"/>
  <c r="M216" i="3" l="1"/>
  <c r="H217" i="3"/>
  <c r="J217" i="3" s="1"/>
  <c r="K217" i="3"/>
  <c r="L217" i="3" l="1"/>
  <c r="D218" i="3"/>
  <c r="I218" i="3" l="1"/>
  <c r="F218" i="3"/>
  <c r="G218" i="3" s="1"/>
  <c r="M217" i="3" l="1"/>
  <c r="H218" i="3"/>
  <c r="J218" i="3" s="1"/>
  <c r="K218" i="3"/>
  <c r="L218" i="3" l="1"/>
  <c r="D219" i="3"/>
  <c r="F219" i="3" l="1"/>
  <c r="G219" i="3" s="1"/>
  <c r="I219" i="3"/>
  <c r="K219" i="3" l="1"/>
  <c r="M218" i="3"/>
  <c r="H219" i="3"/>
  <c r="J219" i="3" s="1"/>
  <c r="D220" i="3" l="1"/>
  <c r="L219" i="3"/>
  <c r="I220" i="3" l="1"/>
  <c r="F220" i="3"/>
  <c r="G220" i="3" s="1"/>
  <c r="M219" i="3" l="1"/>
  <c r="H220" i="3"/>
  <c r="J220" i="3" s="1"/>
  <c r="K220" i="3"/>
  <c r="L220" i="3" l="1"/>
  <c r="D221" i="3"/>
  <c r="I221" i="3" l="1"/>
  <c r="F221" i="3"/>
  <c r="G221" i="3" s="1"/>
  <c r="M220" i="3" l="1"/>
  <c r="H221" i="3"/>
  <c r="J221" i="3" s="1"/>
  <c r="K221" i="3"/>
  <c r="L221" i="3" l="1"/>
  <c r="D222" i="3"/>
  <c r="F222" i="3" l="1"/>
  <c r="G222" i="3" s="1"/>
  <c r="I222" i="3"/>
  <c r="K222" i="3" l="1"/>
  <c r="M221" i="3"/>
  <c r="H222" i="3"/>
  <c r="J222" i="3" s="1"/>
  <c r="L222" i="3" l="1"/>
  <c r="D223" i="3"/>
  <c r="I223" i="3" l="1"/>
  <c r="F223" i="3"/>
  <c r="G223" i="3" s="1"/>
  <c r="M222" i="3" l="1"/>
  <c r="H223" i="3"/>
  <c r="J223" i="3" s="1"/>
  <c r="K223" i="3"/>
  <c r="L223" i="3" l="1"/>
  <c r="D224" i="3"/>
  <c r="I224" i="3" l="1"/>
  <c r="F224" i="3"/>
  <c r="G224" i="3" s="1"/>
  <c r="M223" i="3" l="1"/>
  <c r="H224" i="3"/>
  <c r="J224" i="3" s="1"/>
  <c r="K224" i="3"/>
  <c r="L224" i="3" l="1"/>
  <c r="D225" i="3"/>
  <c r="I225" i="3" l="1"/>
  <c r="F225" i="3"/>
  <c r="G225" i="3" s="1"/>
  <c r="M224" i="3" l="1"/>
  <c r="H225" i="3"/>
  <c r="J225" i="3" s="1"/>
  <c r="K225" i="3"/>
  <c r="L225" i="3" l="1"/>
  <c r="D226" i="3"/>
  <c r="I226" i="3" l="1"/>
  <c r="F226" i="3"/>
  <c r="G226" i="3" s="1"/>
  <c r="M225" i="3" l="1"/>
  <c r="H226" i="3"/>
  <c r="J226" i="3" s="1"/>
  <c r="K226" i="3"/>
  <c r="D227" i="3" l="1"/>
  <c r="L226" i="3"/>
  <c r="I227" i="3" l="1"/>
  <c r="F227" i="3"/>
  <c r="G227" i="3" s="1"/>
  <c r="M226" i="3" l="1"/>
  <c r="H227" i="3"/>
  <c r="J227" i="3" s="1"/>
  <c r="K227" i="3"/>
  <c r="L227" i="3" l="1"/>
  <c r="D228" i="3"/>
  <c r="F228" i="3" l="1"/>
  <c r="G228" i="3" s="1"/>
  <c r="I228" i="3"/>
  <c r="K228" i="3" l="1"/>
  <c r="M227" i="3"/>
  <c r="H228" i="3"/>
  <c r="J228" i="3" s="1"/>
  <c r="D229" i="3" l="1"/>
  <c r="L228" i="3"/>
  <c r="F229" i="3" l="1"/>
  <c r="G229" i="3" s="1"/>
  <c r="I229" i="3"/>
  <c r="K229" i="3" l="1"/>
  <c r="M228" i="3"/>
  <c r="H229" i="3"/>
  <c r="J229" i="3" s="1"/>
  <c r="D230" i="3" l="1"/>
  <c r="L229" i="3"/>
  <c r="F230" i="3" l="1"/>
  <c r="G230" i="3" s="1"/>
  <c r="I230" i="3"/>
  <c r="K230" i="3" l="1"/>
  <c r="M229" i="3"/>
  <c r="H230" i="3"/>
  <c r="J230" i="3" s="1"/>
  <c r="L230" i="3" l="1"/>
  <c r="D231" i="3"/>
  <c r="F231" i="3" l="1"/>
  <c r="G231" i="3" s="1"/>
  <c r="I231" i="3"/>
  <c r="K231" i="3" l="1"/>
  <c r="M230" i="3"/>
  <c r="H231" i="3"/>
  <c r="J231" i="3" s="1"/>
  <c r="D232" i="3" l="1"/>
  <c r="L231" i="3"/>
  <c r="F232" i="3" l="1"/>
  <c r="G232" i="3" s="1"/>
  <c r="I232" i="3"/>
  <c r="K232" i="3" l="1"/>
  <c r="M231" i="3"/>
  <c r="H232" i="3"/>
  <c r="J232" i="3" s="1"/>
  <c r="L232" i="3" l="1"/>
  <c r="D233" i="3"/>
  <c r="F233" i="3" l="1"/>
  <c r="G233" i="3" s="1"/>
  <c r="I233" i="3"/>
  <c r="K233" i="3" l="1"/>
  <c r="M232" i="3"/>
  <c r="H233" i="3"/>
  <c r="J233" i="3" s="1"/>
  <c r="L233" i="3" l="1"/>
  <c r="D234" i="3"/>
  <c r="I234" i="3" l="1"/>
  <c r="F234" i="3"/>
  <c r="G234" i="3" s="1"/>
  <c r="M233" i="3" l="1"/>
  <c r="H234" i="3"/>
  <c r="J234" i="3" s="1"/>
  <c r="K234" i="3"/>
  <c r="L234" i="3" l="1"/>
  <c r="D235" i="3"/>
  <c r="F235" i="3" l="1"/>
  <c r="G235" i="3" s="1"/>
  <c r="I235" i="3"/>
  <c r="K235" i="3" l="1"/>
  <c r="M234" i="3"/>
  <c r="H235" i="3"/>
  <c r="J235" i="3" s="1"/>
  <c r="L235" i="3" l="1"/>
  <c r="D236" i="3"/>
  <c r="I236" i="3" l="1"/>
  <c r="F236" i="3"/>
  <c r="G236" i="3" s="1"/>
  <c r="M235" i="3" l="1"/>
  <c r="H236" i="3"/>
  <c r="J236" i="3" s="1"/>
  <c r="K236" i="3"/>
  <c r="L236" i="3" l="1"/>
  <c r="D237" i="3"/>
  <c r="I237" i="3" l="1"/>
  <c r="F237" i="3"/>
  <c r="G237" i="3" s="1"/>
  <c r="M236" i="3" l="1"/>
  <c r="H237" i="3"/>
  <c r="J237" i="3" s="1"/>
  <c r="K237" i="3"/>
  <c r="L237" i="3" l="1"/>
  <c r="D238" i="3"/>
  <c r="F238" i="3" l="1"/>
  <c r="G238" i="3" s="1"/>
  <c r="I238" i="3"/>
  <c r="K238" i="3" l="1"/>
  <c r="M237" i="3"/>
  <c r="H238" i="3"/>
  <c r="J238" i="3" s="1"/>
  <c r="D239" i="3" l="1"/>
  <c r="L238" i="3"/>
  <c r="I239" i="3" l="1"/>
  <c r="F239" i="3"/>
  <c r="G239" i="3" s="1"/>
  <c r="M238" i="3" l="1"/>
  <c r="H239" i="3"/>
  <c r="J239" i="3" s="1"/>
  <c r="K239" i="3"/>
  <c r="L239" i="3" l="1"/>
  <c r="D240" i="3"/>
  <c r="F240" i="3" l="1"/>
  <c r="G240" i="3" s="1"/>
  <c r="I240" i="3"/>
  <c r="K240" i="3" l="1"/>
  <c r="M239" i="3"/>
  <c r="H240" i="3"/>
  <c r="J240" i="3" s="1"/>
  <c r="L240" i="3" l="1"/>
  <c r="D241" i="3"/>
  <c r="F241" i="3" l="1"/>
  <c r="G241" i="3" s="1"/>
  <c r="I241" i="3"/>
  <c r="K241" i="3" l="1"/>
  <c r="M240" i="3"/>
  <c r="H241" i="3"/>
  <c r="J241" i="3" s="1"/>
  <c r="L241" i="3" l="1"/>
  <c r="D242" i="3"/>
  <c r="F242" i="3" l="1"/>
  <c r="G242" i="3" s="1"/>
  <c r="I242" i="3"/>
  <c r="K242" i="3" l="1"/>
  <c r="M241" i="3"/>
  <c r="H242" i="3"/>
  <c r="J242" i="3" s="1"/>
  <c r="L242" i="3" l="1"/>
  <c r="D243" i="3"/>
  <c r="I243" i="3" l="1"/>
  <c r="F243" i="3"/>
  <c r="G243" i="3" s="1"/>
  <c r="M242" i="3" l="1"/>
  <c r="H243" i="3"/>
  <c r="J243" i="3" s="1"/>
  <c r="K243" i="3"/>
  <c r="D244" i="3" l="1"/>
  <c r="L243" i="3"/>
  <c r="I244" i="3" l="1"/>
  <c r="F244" i="3"/>
  <c r="G244" i="3" s="1"/>
  <c r="M243" i="3" l="1"/>
  <c r="H244" i="3"/>
  <c r="J244" i="3" s="1"/>
  <c r="K244" i="3"/>
  <c r="D245" i="3" l="1"/>
  <c r="L244" i="3"/>
  <c r="I245" i="3" l="1"/>
  <c r="F245" i="3"/>
  <c r="G245" i="3" s="1"/>
  <c r="M244" i="3" l="1"/>
  <c r="H245" i="3"/>
  <c r="J245" i="3" s="1"/>
  <c r="K245" i="3"/>
  <c r="D246" i="3" l="1"/>
  <c r="L245" i="3"/>
  <c r="I246" i="3" l="1"/>
  <c r="F246" i="3"/>
  <c r="G246" i="3" s="1"/>
  <c r="M245" i="3" l="1"/>
  <c r="H246" i="3"/>
  <c r="J246" i="3" s="1"/>
  <c r="K246" i="3"/>
  <c r="L246" i="3" l="1"/>
  <c r="D247" i="3"/>
  <c r="I247" i="3" l="1"/>
  <c r="F247" i="3"/>
  <c r="G247" i="3" s="1"/>
  <c r="M246" i="3" l="1"/>
  <c r="H247" i="3"/>
  <c r="J247" i="3" s="1"/>
  <c r="K247" i="3"/>
  <c r="L247" i="3" l="1"/>
  <c r="D248" i="3"/>
  <c r="I248" i="3" l="1"/>
  <c r="F248" i="3"/>
  <c r="G248" i="3" s="1"/>
  <c r="M247" i="3" l="1"/>
  <c r="H248" i="3"/>
  <c r="J248" i="3" s="1"/>
  <c r="K248" i="3"/>
  <c r="L248" i="3" l="1"/>
  <c r="D249" i="3"/>
  <c r="I249" i="3" l="1"/>
  <c r="F249" i="3"/>
  <c r="G249" i="3" s="1"/>
  <c r="M248" i="3" l="1"/>
  <c r="H249" i="3"/>
  <c r="J249" i="3" s="1"/>
  <c r="K249" i="3"/>
  <c r="L249" i="3" l="1"/>
  <c r="D250" i="3"/>
  <c r="I250" i="3" l="1"/>
  <c r="F250" i="3"/>
  <c r="G250" i="3" s="1"/>
  <c r="M249" i="3" l="1"/>
  <c r="H250" i="3"/>
  <c r="J250" i="3" s="1"/>
  <c r="K250" i="3"/>
  <c r="L250" i="3" l="1"/>
  <c r="D251" i="3"/>
  <c r="I251" i="3" l="1"/>
  <c r="F251" i="3"/>
  <c r="G251" i="3" s="1"/>
  <c r="M250" i="3" l="1"/>
  <c r="H251" i="3"/>
  <c r="J251" i="3" s="1"/>
  <c r="K251" i="3"/>
  <c r="L251" i="3" l="1"/>
  <c r="D252" i="3"/>
  <c r="F252" i="3" l="1"/>
  <c r="G252" i="3" s="1"/>
  <c r="I252" i="3"/>
  <c r="K252" i="3" l="1"/>
  <c r="M251" i="3"/>
  <c r="H252" i="3"/>
  <c r="J252" i="3" s="1"/>
  <c r="L252" i="3" l="1"/>
  <c r="D253" i="3"/>
  <c r="F253" i="3" l="1"/>
  <c r="G253" i="3" s="1"/>
  <c r="I253" i="3"/>
  <c r="K253" i="3" l="1"/>
  <c r="M252" i="3"/>
  <c r="H253" i="3"/>
  <c r="J253" i="3" s="1"/>
  <c r="L253" i="3" l="1"/>
  <c r="D254" i="3"/>
  <c r="F254" i="3" l="1"/>
  <c r="G254" i="3" s="1"/>
  <c r="I254" i="3"/>
  <c r="K254" i="3" l="1"/>
  <c r="M253" i="3"/>
  <c r="H254" i="3"/>
  <c r="J254" i="3" s="1"/>
  <c r="L254" i="3" l="1"/>
  <c r="D255" i="3"/>
  <c r="I255" i="3" l="1"/>
  <c r="F255" i="3"/>
  <c r="G255" i="3" s="1"/>
  <c r="M254" i="3" l="1"/>
  <c r="H255" i="3"/>
  <c r="J255" i="3" s="1"/>
  <c r="K255" i="3"/>
  <c r="L255" i="3" l="1"/>
  <c r="D256" i="3"/>
  <c r="I256" i="3" l="1"/>
  <c r="F256" i="3"/>
  <c r="G256" i="3" s="1"/>
  <c r="M255" i="3" l="1"/>
  <c r="H256" i="3"/>
  <c r="J256" i="3" s="1"/>
  <c r="K256" i="3"/>
  <c r="L256" i="3" l="1"/>
  <c r="D257" i="3"/>
  <c r="F257" i="3" l="1"/>
  <c r="G257" i="3" s="1"/>
  <c r="I257" i="3"/>
  <c r="K257" i="3" l="1"/>
  <c r="M256" i="3"/>
  <c r="H257" i="3"/>
  <c r="J257" i="3" s="1"/>
  <c r="L257" i="3" l="1"/>
  <c r="D258" i="3"/>
  <c r="I258" i="3" l="1"/>
  <c r="F258" i="3"/>
  <c r="G258" i="3" s="1"/>
  <c r="M257" i="3" l="1"/>
  <c r="H258" i="3"/>
  <c r="J258" i="3" s="1"/>
  <c r="K258" i="3"/>
  <c r="L258" i="3" l="1"/>
  <c r="D259" i="3"/>
  <c r="I259" i="3" l="1"/>
  <c r="F259" i="3"/>
  <c r="G259" i="3" s="1"/>
  <c r="M258" i="3" l="1"/>
  <c r="H259" i="3"/>
  <c r="J259" i="3" s="1"/>
  <c r="K259" i="3"/>
  <c r="D260" i="3" l="1"/>
  <c r="L259" i="3"/>
  <c r="F260" i="3" l="1"/>
  <c r="G260" i="3" s="1"/>
  <c r="I260" i="3"/>
  <c r="K260" i="3" l="1"/>
  <c r="M259" i="3"/>
  <c r="H260" i="3"/>
  <c r="J260" i="3" s="1"/>
  <c r="D261" i="3" l="1"/>
  <c r="L260" i="3"/>
  <c r="F261" i="3" l="1"/>
  <c r="G261" i="3" s="1"/>
  <c r="I261" i="3"/>
  <c r="K261" i="3" l="1"/>
  <c r="M260" i="3"/>
  <c r="H261" i="3"/>
  <c r="J261" i="3" s="1"/>
  <c r="L261" i="3" l="1"/>
  <c r="D262" i="3"/>
  <c r="F262" i="3" l="1"/>
  <c r="G262" i="3" s="1"/>
  <c r="I262" i="3"/>
  <c r="K262" i="3" l="1"/>
  <c r="M261" i="3"/>
  <c r="H262" i="3"/>
  <c r="J262" i="3" s="1"/>
  <c r="L262" i="3" l="1"/>
  <c r="D263" i="3"/>
  <c r="I263" i="3" l="1"/>
  <c r="F263" i="3"/>
  <c r="G263" i="3" s="1"/>
  <c r="M262" i="3" l="1"/>
  <c r="H263" i="3"/>
  <c r="J263" i="3" s="1"/>
  <c r="K263" i="3"/>
  <c r="D264" i="3" l="1"/>
  <c r="L263" i="3"/>
  <c r="I264" i="3" l="1"/>
  <c r="F264" i="3"/>
  <c r="G264" i="3" s="1"/>
  <c r="M263" i="3" l="1"/>
  <c r="H264" i="3"/>
  <c r="J264" i="3" s="1"/>
  <c r="K264" i="3"/>
  <c r="L264" i="3" l="1"/>
  <c r="D265" i="3"/>
  <c r="F265" i="3" l="1"/>
  <c r="G265" i="3" s="1"/>
  <c r="I265" i="3"/>
  <c r="K265" i="3" l="1"/>
  <c r="M264" i="3"/>
  <c r="H265" i="3"/>
  <c r="J265" i="3" s="1"/>
  <c r="L265" i="3" l="1"/>
  <c r="D266" i="3"/>
  <c r="I266" i="3" l="1"/>
  <c r="F266" i="3"/>
  <c r="G266" i="3" s="1"/>
  <c r="M265" i="3" l="1"/>
  <c r="H266" i="3"/>
  <c r="J266" i="3" s="1"/>
  <c r="K266" i="3"/>
  <c r="D267" i="3" l="1"/>
  <c r="L266" i="3"/>
  <c r="F267" i="3" l="1"/>
  <c r="G267" i="3" s="1"/>
  <c r="I267" i="3"/>
  <c r="K267" i="3" l="1"/>
  <c r="M266" i="3"/>
  <c r="H267" i="3"/>
  <c r="J267" i="3" s="1"/>
  <c r="L267" i="3" l="1"/>
  <c r="D268" i="3"/>
  <c r="F268" i="3" l="1"/>
  <c r="G268" i="3" s="1"/>
  <c r="I268" i="3"/>
  <c r="K268" i="3" l="1"/>
  <c r="M267" i="3"/>
  <c r="H268" i="3"/>
  <c r="J268" i="3" s="1"/>
  <c r="D269" i="3" l="1"/>
  <c r="L268" i="3"/>
  <c r="I269" i="3" l="1"/>
  <c r="F269" i="3"/>
  <c r="G269" i="3" s="1"/>
  <c r="M268" i="3" l="1"/>
  <c r="H269" i="3"/>
  <c r="J269" i="3" s="1"/>
  <c r="K269" i="3"/>
  <c r="L269" i="3" l="1"/>
  <c r="D270" i="3"/>
  <c r="F270" i="3" l="1"/>
  <c r="G270" i="3" s="1"/>
  <c r="I270" i="3"/>
  <c r="K270" i="3" l="1"/>
  <c r="M269" i="3"/>
  <c r="H270" i="3"/>
  <c r="J270" i="3" s="1"/>
  <c r="D271" i="3" l="1"/>
  <c r="L270" i="3"/>
  <c r="F271" i="3" l="1"/>
  <c r="G271" i="3" s="1"/>
  <c r="I271" i="3"/>
  <c r="K271" i="3" l="1"/>
  <c r="M270" i="3"/>
  <c r="H271" i="3"/>
  <c r="J271" i="3" s="1"/>
  <c r="L271" i="3" l="1"/>
  <c r="D272" i="3"/>
  <c r="F272" i="3" l="1"/>
  <c r="G272" i="3" s="1"/>
  <c r="I272" i="3"/>
  <c r="K272" i="3" l="1"/>
  <c r="M271" i="3"/>
  <c r="H272" i="3"/>
  <c r="J272" i="3" s="1"/>
  <c r="L272" i="3" l="1"/>
  <c r="D273" i="3"/>
  <c r="I273" i="3" l="1"/>
  <c r="F273" i="3"/>
  <c r="G273" i="3" s="1"/>
  <c r="M272" i="3" l="1"/>
  <c r="H273" i="3"/>
  <c r="J273" i="3" s="1"/>
  <c r="K273" i="3"/>
  <c r="L273" i="3" l="1"/>
  <c r="D274" i="3"/>
  <c r="F274" i="3" l="1"/>
  <c r="G274" i="3" s="1"/>
  <c r="I274" i="3"/>
  <c r="K274" i="3" l="1"/>
  <c r="M273" i="3"/>
  <c r="H274" i="3"/>
  <c r="J274" i="3" s="1"/>
  <c r="L274" i="3" l="1"/>
  <c r="D275" i="3"/>
  <c r="I275" i="3" l="1"/>
  <c r="F275" i="3"/>
  <c r="G275" i="3" s="1"/>
  <c r="M274" i="3" l="1"/>
  <c r="H275" i="3"/>
  <c r="J275" i="3" s="1"/>
  <c r="K275" i="3"/>
  <c r="D276" i="3" l="1"/>
  <c r="L275" i="3"/>
  <c r="F276" i="3" l="1"/>
  <c r="G276" i="3" s="1"/>
  <c r="I276" i="3"/>
  <c r="K276" i="3" l="1"/>
  <c r="M275" i="3"/>
  <c r="H276" i="3"/>
  <c r="J276" i="3" s="1"/>
  <c r="D277" i="3" l="1"/>
  <c r="L276" i="3"/>
  <c r="F277" i="3" l="1"/>
  <c r="G277" i="3" s="1"/>
  <c r="I277" i="3"/>
  <c r="K277" i="3" l="1"/>
  <c r="M276" i="3"/>
  <c r="H277" i="3"/>
  <c r="J277" i="3" s="1"/>
  <c r="D278" i="3" l="1"/>
  <c r="L277" i="3"/>
  <c r="F278" i="3" l="1"/>
  <c r="G278" i="3" s="1"/>
  <c r="I278" i="3"/>
  <c r="K278" i="3" l="1"/>
  <c r="M277" i="3"/>
  <c r="H278" i="3"/>
  <c r="J278" i="3" s="1"/>
  <c r="D279" i="3" l="1"/>
  <c r="L278" i="3"/>
  <c r="F279" i="3" l="1"/>
  <c r="G279" i="3" s="1"/>
  <c r="I279" i="3"/>
  <c r="K279" i="3" l="1"/>
  <c r="M278" i="3"/>
  <c r="H279" i="3"/>
  <c r="J279" i="3" s="1"/>
  <c r="L279" i="3" l="1"/>
  <c r="D280" i="3"/>
  <c r="F280" i="3" l="1"/>
  <c r="G280" i="3" s="1"/>
  <c r="I280" i="3"/>
  <c r="K280" i="3" l="1"/>
  <c r="M279" i="3"/>
  <c r="H280" i="3"/>
  <c r="J280" i="3" s="1"/>
  <c r="D281" i="3" l="1"/>
  <c r="L280" i="3"/>
  <c r="F281" i="3" l="1"/>
  <c r="G281" i="3" s="1"/>
  <c r="I281" i="3"/>
  <c r="K281" i="3" l="1"/>
  <c r="M280" i="3"/>
  <c r="H281" i="3"/>
  <c r="J281" i="3" s="1"/>
  <c r="L281" i="3" l="1"/>
  <c r="D282" i="3"/>
  <c r="F282" i="3" l="1"/>
  <c r="G282" i="3" s="1"/>
  <c r="I282" i="3"/>
  <c r="K282" i="3" l="1"/>
  <c r="M281" i="3"/>
  <c r="H282" i="3"/>
  <c r="J282" i="3" s="1"/>
  <c r="L282" i="3" l="1"/>
  <c r="D283" i="3"/>
  <c r="F283" i="3" l="1"/>
  <c r="G283" i="3" s="1"/>
  <c r="I283" i="3"/>
  <c r="K283" i="3" l="1"/>
  <c r="M282" i="3"/>
  <c r="H283" i="3"/>
  <c r="J283" i="3" s="1"/>
  <c r="L283" i="3" l="1"/>
  <c r="D284" i="3"/>
  <c r="I284" i="3" l="1"/>
  <c r="F284" i="3"/>
  <c r="G284" i="3" s="1"/>
  <c r="M283" i="3" l="1"/>
  <c r="H284" i="3"/>
  <c r="J284" i="3" s="1"/>
  <c r="K284" i="3"/>
  <c r="L284" i="3" l="1"/>
  <c r="D285" i="3"/>
  <c r="I285" i="3" l="1"/>
  <c r="F285" i="3"/>
  <c r="G285" i="3" s="1"/>
  <c r="M284" i="3" l="1"/>
  <c r="H285" i="3"/>
  <c r="J285" i="3" s="1"/>
  <c r="K285" i="3"/>
  <c r="L285" i="3" l="1"/>
  <c r="D286" i="3"/>
  <c r="I286" i="3" l="1"/>
  <c r="F286" i="3"/>
  <c r="G286" i="3" s="1"/>
  <c r="M285" i="3" l="1"/>
  <c r="H286" i="3"/>
  <c r="J286" i="3" s="1"/>
  <c r="K286" i="3"/>
  <c r="D287" i="3" l="1"/>
  <c r="L286" i="3"/>
  <c r="F287" i="3" l="1"/>
  <c r="G287" i="3" s="1"/>
  <c r="I287" i="3"/>
  <c r="K287" i="3" l="1"/>
  <c r="M286" i="3"/>
  <c r="H287" i="3"/>
  <c r="J287" i="3" s="1"/>
  <c r="L287" i="3" l="1"/>
  <c r="D288" i="3"/>
  <c r="F288" i="3" l="1"/>
  <c r="G288" i="3" s="1"/>
  <c r="I288" i="3"/>
  <c r="K288" i="3" l="1"/>
  <c r="M287" i="3"/>
  <c r="H288" i="3"/>
  <c r="J288" i="3" s="1"/>
  <c r="L288" i="3" l="1"/>
  <c r="D289" i="3"/>
  <c r="F289" i="3" l="1"/>
  <c r="G289" i="3" s="1"/>
  <c r="I289" i="3"/>
  <c r="K289" i="3" l="1"/>
  <c r="M288" i="3"/>
  <c r="H289" i="3"/>
  <c r="J289" i="3" s="1"/>
  <c r="D290" i="3" l="1"/>
  <c r="L289" i="3"/>
  <c r="I290" i="3" l="1"/>
  <c r="F290" i="3"/>
  <c r="G290" i="3" s="1"/>
  <c r="M289" i="3" l="1"/>
  <c r="H290" i="3"/>
  <c r="J290" i="3" s="1"/>
  <c r="K290" i="3"/>
  <c r="L290" i="3" l="1"/>
  <c r="D291" i="3"/>
  <c r="I291" i="3" l="1"/>
  <c r="F291" i="3"/>
  <c r="G291" i="3" s="1"/>
  <c r="M290" i="3" l="1"/>
  <c r="H291" i="3"/>
  <c r="J291" i="3" s="1"/>
  <c r="K291" i="3"/>
  <c r="D292" i="3" l="1"/>
  <c r="L291" i="3"/>
  <c r="I292" i="3" l="1"/>
  <c r="F292" i="3"/>
  <c r="G292" i="3" s="1"/>
  <c r="M291" i="3" l="1"/>
  <c r="H292" i="3"/>
  <c r="J292" i="3" s="1"/>
  <c r="K292" i="3"/>
  <c r="D293" i="3" l="1"/>
  <c r="L292" i="3"/>
  <c r="F293" i="3" l="1"/>
  <c r="G293" i="3" s="1"/>
  <c r="I293" i="3"/>
  <c r="K293" i="3" l="1"/>
  <c r="M292" i="3"/>
  <c r="H293" i="3"/>
  <c r="J293" i="3" s="1"/>
  <c r="D294" i="3" l="1"/>
  <c r="L293" i="3"/>
  <c r="I294" i="3" l="1"/>
  <c r="F294" i="3"/>
  <c r="G294" i="3" s="1"/>
  <c r="M293" i="3" l="1"/>
  <c r="H294" i="3"/>
  <c r="J294" i="3" s="1"/>
  <c r="K294" i="3"/>
  <c r="D295" i="3" l="1"/>
  <c r="L294" i="3"/>
  <c r="I295" i="3" l="1"/>
  <c r="F295" i="3"/>
  <c r="G295" i="3" s="1"/>
  <c r="M294" i="3" l="1"/>
  <c r="H295" i="3"/>
  <c r="J295" i="3" s="1"/>
  <c r="K295" i="3"/>
  <c r="L295" i="3" l="1"/>
  <c r="D296" i="3"/>
  <c r="I296" i="3" l="1"/>
  <c r="F296" i="3"/>
  <c r="G296" i="3" s="1"/>
  <c r="M295" i="3" l="1"/>
  <c r="H296" i="3"/>
  <c r="J296" i="3" s="1"/>
  <c r="K296" i="3"/>
  <c r="L296" i="3" l="1"/>
  <c r="D297" i="3"/>
  <c r="F297" i="3" l="1"/>
  <c r="G297" i="3" s="1"/>
  <c r="I297" i="3"/>
  <c r="K297" i="3" l="1"/>
  <c r="M296" i="3"/>
  <c r="H297" i="3"/>
  <c r="J297" i="3" s="1"/>
  <c r="D298" i="3" l="1"/>
  <c r="L297" i="3"/>
  <c r="F298" i="3" l="1"/>
  <c r="G298" i="3" s="1"/>
  <c r="I298" i="3"/>
  <c r="K298" i="3" l="1"/>
  <c r="M297" i="3"/>
  <c r="H298" i="3"/>
  <c r="J298" i="3" s="1"/>
  <c r="L298" i="3" l="1"/>
  <c r="D299" i="3"/>
  <c r="I299" i="3" l="1"/>
  <c r="F299" i="3"/>
  <c r="G299" i="3" s="1"/>
  <c r="M298" i="3" l="1"/>
  <c r="H299" i="3"/>
  <c r="J299" i="3" s="1"/>
  <c r="K299" i="3"/>
  <c r="D300" i="3" l="1"/>
  <c r="L299" i="3"/>
  <c r="F300" i="3" l="1"/>
  <c r="G300" i="3" s="1"/>
  <c r="I300" i="3"/>
  <c r="K300" i="3" l="1"/>
  <c r="M299" i="3"/>
  <c r="H300" i="3"/>
  <c r="J300" i="3" s="1"/>
  <c r="D301" i="3" l="1"/>
  <c r="L300" i="3"/>
  <c r="I301" i="3" l="1"/>
  <c r="F301" i="3"/>
  <c r="G301" i="3" s="1"/>
  <c r="M300" i="3" l="1"/>
  <c r="H301" i="3"/>
  <c r="J301" i="3" s="1"/>
  <c r="K301" i="3"/>
  <c r="D302" i="3" l="1"/>
  <c r="L301" i="3"/>
  <c r="F302" i="3" l="1"/>
  <c r="G302" i="3" s="1"/>
  <c r="I302" i="3"/>
  <c r="K302" i="3" l="1"/>
  <c r="M301" i="3"/>
  <c r="H302" i="3"/>
  <c r="J302" i="3" s="1"/>
  <c r="L302" i="3" l="1"/>
  <c r="D303" i="3"/>
  <c r="I303" i="3" l="1"/>
  <c r="F303" i="3"/>
  <c r="G303" i="3" s="1"/>
  <c r="M302" i="3" l="1"/>
  <c r="H303" i="3"/>
  <c r="J303" i="3" s="1"/>
  <c r="K303" i="3"/>
  <c r="L303" i="3" l="1"/>
  <c r="D304" i="3"/>
  <c r="F304" i="3" l="1"/>
  <c r="G304" i="3" s="1"/>
  <c r="I304" i="3"/>
  <c r="K304" i="3" l="1"/>
  <c r="M303" i="3"/>
  <c r="H304" i="3"/>
  <c r="J304" i="3" s="1"/>
  <c r="L304" i="3" l="1"/>
  <c r="D305" i="3"/>
  <c r="F305" i="3" l="1"/>
  <c r="G305" i="3" s="1"/>
  <c r="I305" i="3"/>
  <c r="K305" i="3" l="1"/>
  <c r="M304" i="3"/>
  <c r="H305" i="3"/>
  <c r="J305" i="3" s="1"/>
  <c r="L305" i="3" l="1"/>
  <c r="D306" i="3"/>
  <c r="I306" i="3" l="1"/>
  <c r="F306" i="3"/>
  <c r="G306" i="3" s="1"/>
  <c r="M305" i="3" l="1"/>
  <c r="H306" i="3"/>
  <c r="J306" i="3" s="1"/>
  <c r="K306" i="3"/>
  <c r="D307" i="3" l="1"/>
  <c r="L306" i="3"/>
  <c r="I307" i="3" l="1"/>
  <c r="F307" i="3"/>
  <c r="G307" i="3" s="1"/>
  <c r="M306" i="3" l="1"/>
  <c r="H307" i="3"/>
  <c r="J307" i="3" s="1"/>
  <c r="K307" i="3"/>
  <c r="D308" i="3" l="1"/>
  <c r="L307" i="3"/>
  <c r="I308" i="3" l="1"/>
  <c r="F308" i="3"/>
  <c r="G308" i="3" s="1"/>
  <c r="M307" i="3" l="1"/>
  <c r="H308" i="3"/>
  <c r="J308" i="3" s="1"/>
  <c r="K308" i="3"/>
  <c r="L308" i="3" l="1"/>
  <c r="D309" i="3"/>
  <c r="I309" i="3" l="1"/>
  <c r="F309" i="3"/>
  <c r="G309" i="3" s="1"/>
  <c r="M308" i="3" l="1"/>
  <c r="H309" i="3"/>
  <c r="J309" i="3" s="1"/>
  <c r="K309" i="3"/>
  <c r="L309" i="3" l="1"/>
  <c r="D310" i="3"/>
  <c r="F310" i="3" l="1"/>
  <c r="G310" i="3" s="1"/>
  <c r="I310" i="3"/>
  <c r="K310" i="3" l="1"/>
  <c r="M309" i="3"/>
  <c r="H310" i="3"/>
  <c r="J310" i="3" s="1"/>
  <c r="L310" i="3" l="1"/>
  <c r="D311" i="3"/>
  <c r="F311" i="3" l="1"/>
  <c r="G311" i="3" s="1"/>
  <c r="I311" i="3"/>
  <c r="K311" i="3" l="1"/>
  <c r="M310" i="3"/>
  <c r="H311" i="3"/>
  <c r="J311" i="3" s="1"/>
  <c r="D312" i="3" l="1"/>
  <c r="L311" i="3"/>
  <c r="I312" i="3" l="1"/>
  <c r="F312" i="3"/>
  <c r="G312" i="3" s="1"/>
  <c r="M311" i="3" l="1"/>
  <c r="H312" i="3"/>
  <c r="J312" i="3" s="1"/>
  <c r="K312" i="3"/>
  <c r="D313" i="3" l="1"/>
  <c r="L312" i="3"/>
  <c r="F313" i="3" l="1"/>
  <c r="G313" i="3" s="1"/>
  <c r="I313" i="3"/>
  <c r="K313" i="3" l="1"/>
  <c r="M312" i="3"/>
  <c r="H313" i="3"/>
  <c r="J313" i="3" s="1"/>
  <c r="L313" i="3" l="1"/>
  <c r="D314" i="3"/>
  <c r="F314" i="3" l="1"/>
  <c r="G314" i="3" s="1"/>
  <c r="I314" i="3"/>
  <c r="K314" i="3" l="1"/>
  <c r="M313" i="3"/>
  <c r="H314" i="3"/>
  <c r="J314" i="3" s="1"/>
  <c r="D315" i="3" l="1"/>
  <c r="L314" i="3"/>
  <c r="F315" i="3" l="1"/>
  <c r="G315" i="3" s="1"/>
  <c r="I315" i="3"/>
  <c r="K315" i="3" l="1"/>
  <c r="M314" i="3"/>
  <c r="H315" i="3"/>
  <c r="J315" i="3" s="1"/>
  <c r="D316" i="3" l="1"/>
  <c r="L315" i="3"/>
  <c r="I316" i="3" l="1"/>
  <c r="F316" i="3"/>
  <c r="G316" i="3" s="1"/>
  <c r="M315" i="3" l="1"/>
  <c r="H316" i="3"/>
  <c r="J316" i="3" s="1"/>
  <c r="K316" i="3"/>
  <c r="D317" i="3" l="1"/>
  <c r="L316" i="3"/>
  <c r="I317" i="3" l="1"/>
  <c r="F317" i="3"/>
  <c r="G317" i="3" s="1"/>
  <c r="M316" i="3" l="1"/>
  <c r="H317" i="3"/>
  <c r="J317" i="3" s="1"/>
  <c r="K317" i="3"/>
  <c r="D318" i="3" l="1"/>
  <c r="L317" i="3"/>
  <c r="I318" i="3" l="1"/>
  <c r="F318" i="3"/>
  <c r="G318" i="3" s="1"/>
  <c r="M317" i="3" l="1"/>
  <c r="H318" i="3"/>
  <c r="J318" i="3" s="1"/>
  <c r="K318" i="3"/>
  <c r="L318" i="3" l="1"/>
  <c r="D319" i="3"/>
  <c r="F319" i="3" l="1"/>
  <c r="G319" i="3" s="1"/>
  <c r="I319" i="3"/>
  <c r="K319" i="3" l="1"/>
  <c r="M318" i="3"/>
  <c r="H319" i="3"/>
  <c r="J319" i="3" s="1"/>
  <c r="D320" i="3" l="1"/>
  <c r="L319" i="3"/>
  <c r="F320" i="3" l="1"/>
  <c r="G320" i="3" s="1"/>
  <c r="I320" i="3"/>
  <c r="K320" i="3" l="1"/>
  <c r="M319" i="3"/>
  <c r="H320" i="3"/>
  <c r="J320" i="3" s="1"/>
  <c r="L320" i="3" l="1"/>
  <c r="D321" i="3"/>
  <c r="F321" i="3" l="1"/>
  <c r="G321" i="3" s="1"/>
  <c r="I321" i="3"/>
  <c r="K321" i="3" l="1"/>
  <c r="M320" i="3"/>
  <c r="H321" i="3"/>
  <c r="J321" i="3" s="1"/>
  <c r="D322" i="3" l="1"/>
  <c r="L321" i="3"/>
  <c r="F322" i="3" l="1"/>
  <c r="G322" i="3" s="1"/>
  <c r="I322" i="3"/>
  <c r="K322" i="3" l="1"/>
  <c r="M321" i="3"/>
  <c r="H322" i="3"/>
  <c r="J322" i="3" s="1"/>
  <c r="D323" i="3" l="1"/>
  <c r="L322" i="3"/>
  <c r="I323" i="3" l="1"/>
  <c r="F323" i="3"/>
  <c r="G323" i="3" s="1"/>
  <c r="M322" i="3" l="1"/>
  <c r="H323" i="3"/>
  <c r="J323" i="3" s="1"/>
  <c r="K323" i="3"/>
  <c r="L323" i="3" l="1"/>
  <c r="D324" i="3"/>
  <c r="F324" i="3" l="1"/>
  <c r="G324" i="3" s="1"/>
  <c r="I324" i="3"/>
  <c r="K324" i="3" l="1"/>
  <c r="M323" i="3"/>
  <c r="H324" i="3"/>
  <c r="J324" i="3" s="1"/>
  <c r="D325" i="3" l="1"/>
  <c r="L324" i="3"/>
  <c r="I325" i="3" l="1"/>
  <c r="F325" i="3"/>
  <c r="G325" i="3" s="1"/>
  <c r="M324" i="3" l="1"/>
  <c r="H325" i="3"/>
  <c r="J325" i="3" s="1"/>
  <c r="K325" i="3"/>
  <c r="D326" i="3" l="1"/>
  <c r="L325" i="3"/>
  <c r="F326" i="3" l="1"/>
  <c r="G326" i="3" s="1"/>
  <c r="I326" i="3"/>
  <c r="K326" i="3" l="1"/>
  <c r="M325" i="3"/>
  <c r="H326" i="3"/>
  <c r="J326" i="3" s="1"/>
  <c r="D327" i="3" l="1"/>
  <c r="L326" i="3"/>
  <c r="I327" i="3" l="1"/>
  <c r="F327" i="3"/>
  <c r="G327" i="3" s="1"/>
  <c r="M326" i="3" l="1"/>
  <c r="H327" i="3"/>
  <c r="J327" i="3" s="1"/>
  <c r="K327" i="3"/>
  <c r="D328" i="3" l="1"/>
  <c r="L327" i="3"/>
  <c r="I328" i="3" l="1"/>
  <c r="F328" i="3"/>
  <c r="G328" i="3" s="1"/>
  <c r="M327" i="3" l="1"/>
  <c r="H328" i="3"/>
  <c r="J328" i="3" s="1"/>
  <c r="K328" i="3"/>
  <c r="D329" i="3" l="1"/>
  <c r="L328" i="3"/>
  <c r="I329" i="3" l="1"/>
  <c r="F329" i="3"/>
  <c r="G329" i="3" s="1"/>
  <c r="M328" i="3" l="1"/>
  <c r="H329" i="3"/>
  <c r="J329" i="3" s="1"/>
  <c r="K329" i="3"/>
  <c r="L329" i="3" l="1"/>
  <c r="D330" i="3"/>
  <c r="F330" i="3" l="1"/>
  <c r="G330" i="3" s="1"/>
  <c r="I330" i="3"/>
  <c r="K330" i="3" l="1"/>
  <c r="M329" i="3"/>
  <c r="H330" i="3"/>
  <c r="J330" i="3" s="1"/>
  <c r="L330" i="3" l="1"/>
  <c r="D331" i="3"/>
  <c r="F331" i="3" l="1"/>
  <c r="G331" i="3" s="1"/>
  <c r="I331" i="3"/>
  <c r="K331" i="3" l="1"/>
  <c r="M330" i="3"/>
  <c r="H331" i="3"/>
  <c r="J331" i="3" s="1"/>
  <c r="L331" i="3" l="1"/>
  <c r="D332" i="3"/>
  <c r="F332" i="3" l="1"/>
  <c r="G332" i="3" s="1"/>
  <c r="I332" i="3"/>
  <c r="K332" i="3" l="1"/>
  <c r="M331" i="3"/>
  <c r="H332" i="3"/>
  <c r="J332" i="3" s="1"/>
  <c r="D333" i="3" l="1"/>
  <c r="L332" i="3"/>
  <c r="I333" i="3" l="1"/>
  <c r="F333" i="3"/>
  <c r="G333" i="3" s="1"/>
  <c r="M332" i="3" l="1"/>
  <c r="H333" i="3"/>
  <c r="J333" i="3" s="1"/>
  <c r="K333" i="3"/>
  <c r="D334" i="3" l="1"/>
  <c r="L333" i="3"/>
  <c r="F334" i="3" l="1"/>
  <c r="G334" i="3" s="1"/>
  <c r="I334" i="3"/>
  <c r="K334" i="3" l="1"/>
  <c r="M333" i="3"/>
  <c r="H334" i="3"/>
  <c r="J334" i="3" s="1"/>
  <c r="L334" i="3" l="1"/>
  <c r="D335" i="3"/>
  <c r="I335" i="3" l="1"/>
  <c r="F335" i="3"/>
  <c r="G335" i="3" s="1"/>
  <c r="M334" i="3" l="1"/>
  <c r="H335" i="3"/>
  <c r="J335" i="3" s="1"/>
  <c r="K335" i="3"/>
  <c r="L335" i="3" l="1"/>
  <c r="D336" i="3"/>
  <c r="I336" i="3" l="1"/>
  <c r="F336" i="3"/>
  <c r="G336" i="3" s="1"/>
  <c r="M335" i="3" l="1"/>
  <c r="H336" i="3"/>
  <c r="J336" i="3" s="1"/>
  <c r="K336" i="3"/>
  <c r="D337" i="3" l="1"/>
  <c r="L336" i="3"/>
  <c r="I337" i="3" l="1"/>
  <c r="F337" i="3"/>
  <c r="G337" i="3" s="1"/>
  <c r="M336" i="3" l="1"/>
  <c r="H337" i="3"/>
  <c r="J337" i="3" s="1"/>
  <c r="K337" i="3"/>
  <c r="D338" i="3" l="1"/>
  <c r="L337" i="3"/>
  <c r="F338" i="3" l="1"/>
  <c r="G338" i="3" s="1"/>
  <c r="I338" i="3"/>
  <c r="K338" i="3" l="1"/>
  <c r="M337" i="3"/>
  <c r="H338" i="3"/>
  <c r="J338" i="3" s="1"/>
  <c r="L338" i="3" l="1"/>
  <c r="D339" i="3"/>
  <c r="F339" i="3" l="1"/>
  <c r="G339" i="3" s="1"/>
  <c r="I339" i="3"/>
  <c r="K339" i="3" l="1"/>
  <c r="M338" i="3"/>
  <c r="H339" i="3"/>
  <c r="J339" i="3" s="1"/>
  <c r="L339" i="3" l="1"/>
  <c r="D340" i="3"/>
  <c r="F340" i="3" l="1"/>
  <c r="G340" i="3" s="1"/>
  <c r="I340" i="3"/>
  <c r="K340" i="3" l="1"/>
  <c r="M339" i="3"/>
  <c r="H340" i="3"/>
  <c r="J340" i="3" s="1"/>
  <c r="L340" i="3" l="1"/>
  <c r="D341" i="3"/>
  <c r="I341" i="3" l="1"/>
  <c r="F341" i="3"/>
  <c r="G341" i="3" s="1"/>
  <c r="M340" i="3" l="1"/>
  <c r="H341" i="3"/>
  <c r="J341" i="3" s="1"/>
  <c r="K341" i="3"/>
  <c r="L341" i="3" l="1"/>
  <c r="D342" i="3"/>
  <c r="I342" i="3" l="1"/>
  <c r="F342" i="3"/>
  <c r="G342" i="3" s="1"/>
  <c r="M341" i="3" l="1"/>
  <c r="H342" i="3"/>
  <c r="J342" i="3" s="1"/>
  <c r="K342" i="3"/>
  <c r="L342" i="3" l="1"/>
  <c r="D343" i="3"/>
  <c r="I343" i="3" l="1"/>
  <c r="F343" i="3"/>
  <c r="G343" i="3" s="1"/>
  <c r="M342" i="3" l="1"/>
  <c r="H343" i="3"/>
  <c r="J343" i="3" s="1"/>
  <c r="K343" i="3"/>
  <c r="L343" i="3" l="1"/>
  <c r="D344" i="3"/>
  <c r="F344" i="3" l="1"/>
  <c r="G344" i="3" s="1"/>
  <c r="I344" i="3"/>
  <c r="K344" i="3" l="1"/>
  <c r="M343" i="3"/>
  <c r="H344" i="3"/>
  <c r="J344" i="3" s="1"/>
  <c r="L344" i="3" l="1"/>
  <c r="D345" i="3"/>
  <c r="F345" i="3" l="1"/>
  <c r="G345" i="3" s="1"/>
  <c r="I345" i="3"/>
  <c r="K345" i="3" l="1"/>
  <c r="M344" i="3"/>
  <c r="H345" i="3"/>
  <c r="J345" i="3" s="1"/>
  <c r="L345" i="3" l="1"/>
  <c r="D346" i="3"/>
  <c r="F346" i="3" l="1"/>
  <c r="G346" i="3" s="1"/>
  <c r="I346" i="3"/>
  <c r="K346" i="3" l="1"/>
  <c r="M345" i="3"/>
  <c r="H346" i="3"/>
  <c r="J346" i="3" s="1"/>
  <c r="L346" i="3" l="1"/>
  <c r="D347" i="3"/>
  <c r="I347" i="3" l="1"/>
  <c r="F347" i="3"/>
  <c r="G347" i="3" s="1"/>
  <c r="M346" i="3" l="1"/>
  <c r="H347" i="3"/>
  <c r="J347" i="3" s="1"/>
  <c r="K347" i="3"/>
  <c r="L347" i="3" l="1"/>
  <c r="D348" i="3"/>
  <c r="I348" i="3" l="1"/>
  <c r="F348" i="3"/>
  <c r="G348" i="3" s="1"/>
  <c r="M347" i="3" l="1"/>
  <c r="H348" i="3"/>
  <c r="J348" i="3" s="1"/>
  <c r="K348" i="3"/>
  <c r="L348" i="3" l="1"/>
  <c r="D349" i="3"/>
  <c r="F349" i="3" l="1"/>
  <c r="G349" i="3" s="1"/>
  <c r="I349" i="3"/>
  <c r="K349" i="3" l="1"/>
  <c r="M348" i="3"/>
  <c r="H349" i="3"/>
  <c r="J349" i="3" s="1"/>
  <c r="L349" i="3" l="1"/>
  <c r="D350" i="3"/>
  <c r="I350" i="3" l="1"/>
  <c r="F350" i="3"/>
  <c r="G350" i="3" s="1"/>
  <c r="M349" i="3" l="1"/>
  <c r="H350" i="3"/>
  <c r="J350" i="3" s="1"/>
  <c r="K350" i="3"/>
  <c r="L350" i="3" l="1"/>
  <c r="D351" i="3"/>
  <c r="I351" i="3" l="1"/>
  <c r="F351" i="3"/>
  <c r="G351" i="3" s="1"/>
  <c r="M350" i="3" l="1"/>
  <c r="H351" i="3"/>
  <c r="J351" i="3" s="1"/>
  <c r="K351" i="3"/>
  <c r="L351" i="3" l="1"/>
  <c r="D352" i="3"/>
  <c r="I352" i="3" l="1"/>
  <c r="F352" i="3"/>
  <c r="G352" i="3" s="1"/>
  <c r="M351" i="3" l="1"/>
  <c r="H352" i="3"/>
  <c r="J352" i="3" s="1"/>
  <c r="K352" i="3"/>
  <c r="L352" i="3" l="1"/>
  <c r="D353" i="3"/>
  <c r="I353" i="3" l="1"/>
  <c r="F353" i="3"/>
  <c r="G353" i="3" s="1"/>
  <c r="M352" i="3" l="1"/>
  <c r="H353" i="3"/>
  <c r="J353" i="3" s="1"/>
  <c r="K353" i="3"/>
  <c r="L353" i="3" l="1"/>
  <c r="D354" i="3"/>
  <c r="I354" i="3" l="1"/>
  <c r="F354" i="3"/>
  <c r="G354" i="3" s="1"/>
  <c r="M353" i="3" l="1"/>
  <c r="H354" i="3"/>
  <c r="J354" i="3" s="1"/>
  <c r="K354" i="3"/>
  <c r="L354" i="3" l="1"/>
  <c r="D355" i="3"/>
  <c r="I355" i="3" l="1"/>
  <c r="F355" i="3"/>
  <c r="G355" i="3" s="1"/>
  <c r="M354" i="3" l="1"/>
  <c r="H355" i="3"/>
  <c r="J355" i="3" s="1"/>
  <c r="K355" i="3"/>
  <c r="L355" i="3" l="1"/>
  <c r="D356" i="3"/>
  <c r="F356" i="3" l="1"/>
  <c r="G356" i="3" s="1"/>
  <c r="I356" i="3"/>
  <c r="K356" i="3" l="1"/>
  <c r="M355" i="3"/>
  <c r="H356" i="3"/>
  <c r="J356" i="3" s="1"/>
  <c r="L356" i="3" l="1"/>
  <c r="D357" i="3"/>
  <c r="F357" i="3" l="1"/>
  <c r="G357" i="3" s="1"/>
  <c r="I357" i="3"/>
  <c r="K357" i="3" l="1"/>
  <c r="M356" i="3"/>
  <c r="H357" i="3"/>
  <c r="J357" i="3" s="1"/>
  <c r="L357" i="3" l="1"/>
  <c r="D358" i="3"/>
  <c r="I358" i="3" l="1"/>
  <c r="F358" i="3"/>
  <c r="G358" i="3" s="1"/>
  <c r="M357" i="3" l="1"/>
  <c r="H358" i="3"/>
  <c r="J358" i="3" s="1"/>
  <c r="K358" i="3"/>
  <c r="L358" i="3" l="1"/>
  <c r="D359" i="3"/>
  <c r="I359" i="3" l="1"/>
  <c r="F359" i="3"/>
  <c r="G359" i="3" s="1"/>
  <c r="M358" i="3" l="1"/>
  <c r="H359" i="3"/>
  <c r="J359" i="3" s="1"/>
  <c r="K359" i="3"/>
  <c r="L359" i="3" l="1"/>
  <c r="D360" i="3"/>
  <c r="F360" i="3" l="1"/>
  <c r="G360" i="3" s="1"/>
  <c r="I360" i="3"/>
  <c r="K360" i="3" l="1"/>
  <c r="M359" i="3"/>
  <c r="H360" i="3"/>
  <c r="J360" i="3" s="1"/>
  <c r="L360" i="3" l="1"/>
  <c r="D361" i="3"/>
  <c r="I361" i="3" l="1"/>
  <c r="F361" i="3"/>
  <c r="G361" i="3" s="1"/>
  <c r="M360" i="3" l="1"/>
  <c r="H361" i="3"/>
  <c r="J361" i="3" s="1"/>
  <c r="K361" i="3"/>
  <c r="L361" i="3" l="1"/>
  <c r="D362" i="3"/>
  <c r="I362" i="3" l="1"/>
  <c r="F362" i="3"/>
  <c r="G362" i="3" s="1"/>
  <c r="M361" i="3" l="1"/>
  <c r="H362" i="3"/>
  <c r="J362" i="3" s="1"/>
  <c r="K362" i="3"/>
  <c r="L362" i="3" l="1"/>
  <c r="D363" i="3"/>
  <c r="I363" i="3" l="1"/>
  <c r="F363" i="3"/>
  <c r="G363" i="3" s="1"/>
  <c r="M362" i="3" l="1"/>
  <c r="H363" i="3"/>
  <c r="J363" i="3" s="1"/>
  <c r="K363" i="3"/>
  <c r="L363" i="3" l="1"/>
  <c r="D364" i="3"/>
  <c r="I364" i="3" l="1"/>
  <c r="F364" i="3"/>
  <c r="G364" i="3" s="1"/>
  <c r="M363" i="3" l="1"/>
  <c r="H364" i="3"/>
  <c r="J364" i="3" s="1"/>
  <c r="K364" i="3"/>
  <c r="L364" i="3" l="1"/>
  <c r="D365" i="3"/>
  <c r="I365" i="3" l="1"/>
  <c r="F365" i="3"/>
  <c r="G365" i="3" s="1"/>
  <c r="M364" i="3" l="1"/>
  <c r="H365" i="3"/>
  <c r="J365" i="3" s="1"/>
  <c r="K365" i="3"/>
  <c r="L365" i="3" l="1"/>
  <c r="D366" i="3"/>
  <c r="F366" i="3" l="1"/>
  <c r="G366" i="3" s="1"/>
  <c r="I366" i="3"/>
  <c r="K366" i="3" l="1"/>
  <c r="M365" i="3"/>
  <c r="H366" i="3"/>
  <c r="J366" i="3" s="1"/>
  <c r="L366" i="3" l="1"/>
  <c r="D367" i="3"/>
  <c r="I367" i="3" l="1"/>
  <c r="F367" i="3"/>
  <c r="G367" i="3" s="1"/>
  <c r="M366" i="3" l="1"/>
  <c r="H367" i="3"/>
  <c r="J367" i="3" s="1"/>
  <c r="K367" i="3"/>
  <c r="L367" i="3" l="1"/>
  <c r="D368" i="3"/>
  <c r="F368" i="3" l="1"/>
  <c r="G368" i="3" s="1"/>
  <c r="I368" i="3"/>
  <c r="K368" i="3" l="1"/>
  <c r="M367" i="3"/>
  <c r="H368" i="3"/>
  <c r="J368" i="3" s="1"/>
  <c r="L368" i="3" l="1"/>
  <c r="D369" i="3"/>
  <c r="F369" i="3" l="1"/>
  <c r="G369" i="3" s="1"/>
  <c r="I369" i="3"/>
  <c r="K369" i="3" l="1"/>
  <c r="M368" i="3"/>
  <c r="H369" i="3"/>
  <c r="J369" i="3" s="1"/>
  <c r="L369" i="3" l="1"/>
  <c r="D370" i="3"/>
  <c r="F370" i="3" l="1"/>
  <c r="G370" i="3" s="1"/>
  <c r="I370" i="3"/>
  <c r="K370" i="3" l="1"/>
  <c r="M369" i="3"/>
  <c r="H370" i="3"/>
  <c r="J370" i="3" s="1"/>
  <c r="L370" i="3" l="1"/>
  <c r="D371" i="3"/>
  <c r="I371" i="3" l="1"/>
  <c r="F371" i="3"/>
  <c r="G371" i="3" s="1"/>
  <c r="M370" i="3" l="1"/>
  <c r="H371" i="3"/>
  <c r="J371" i="3" s="1"/>
  <c r="K371" i="3"/>
  <c r="L371" i="3" l="1"/>
  <c r="D372" i="3"/>
  <c r="I372" i="3" l="1"/>
  <c r="F372" i="3"/>
  <c r="G372" i="3" s="1"/>
  <c r="M371" i="3" l="1"/>
  <c r="H372" i="3"/>
  <c r="J372" i="3" s="1"/>
  <c r="K372" i="3"/>
  <c r="L372" i="3" l="1"/>
  <c r="D373" i="3"/>
  <c r="I373" i="3" l="1"/>
  <c r="F373" i="3"/>
  <c r="G373" i="3" s="1"/>
  <c r="M372" i="3" l="1"/>
  <c r="H373" i="3"/>
  <c r="J373" i="3" s="1"/>
  <c r="K373" i="3"/>
  <c r="L373" i="3" l="1"/>
  <c r="D374" i="3"/>
  <c r="F374" i="3" l="1"/>
  <c r="G374" i="3" s="1"/>
  <c r="I374" i="3"/>
  <c r="K374" i="3" l="1"/>
  <c r="M373" i="3"/>
  <c r="H374" i="3"/>
  <c r="J374" i="3" s="1"/>
  <c r="L374" i="3" l="1"/>
  <c r="D375" i="3"/>
  <c r="I375" i="3" l="1"/>
  <c r="F375" i="3"/>
  <c r="G375" i="3" s="1"/>
  <c r="M374" i="3" l="1"/>
  <c r="H375" i="3"/>
  <c r="J375" i="3" s="1"/>
  <c r="K375" i="3"/>
  <c r="L375" i="3" l="1"/>
  <c r="D376" i="3"/>
  <c r="F376" i="3" l="1"/>
  <c r="I376" i="3"/>
  <c r="K376" i="3" l="1"/>
  <c r="G376" i="3"/>
  <c r="M375" i="3" l="1"/>
  <c r="H376" i="3"/>
  <c r="J376" i="3" s="1"/>
  <c r="L376" i="3" l="1"/>
  <c r="D377" i="3"/>
  <c r="I377" i="3" l="1"/>
  <c r="F377" i="3"/>
  <c r="G377" i="3" l="1"/>
  <c r="I10" i="3"/>
  <c r="I11" i="3"/>
  <c r="K377" i="3"/>
  <c r="M376" i="3" l="1"/>
  <c r="M377" i="3"/>
  <c r="H377" i="3"/>
  <c r="J377" i="3" s="1"/>
  <c r="L377" i="3" l="1"/>
  <c r="I9" i="3"/>
</calcChain>
</file>

<file path=xl/sharedStrings.xml><?xml version="1.0" encoding="utf-8"?>
<sst xmlns="http://schemas.openxmlformats.org/spreadsheetml/2006/main" count="69" uniqueCount="68">
  <si>
    <t>Loan amount</t>
  </si>
  <si>
    <t>Annual interest rate</t>
  </si>
  <si>
    <t>Loan period in years</t>
  </si>
  <si>
    <t>Number of payments per year</t>
  </si>
  <si>
    <t>Start date of loan</t>
  </si>
  <si>
    <t>Scheduled number of payments</t>
  </si>
  <si>
    <t>Actual number of payments</t>
  </si>
  <si>
    <t>Total early payments</t>
  </si>
  <si>
    <t>Total interest</t>
  </si>
  <si>
    <t>Loan Amortization Schedule</t>
  </si>
  <si>
    <t>Loan Summary</t>
  </si>
  <si>
    <t>Payment Number</t>
  </si>
  <si>
    <t>Payment
Date</t>
  </si>
  <si>
    <t>Beginning
Balance</t>
  </si>
  <si>
    <t>Extra
Payment</t>
  </si>
  <si>
    <t>Total
Payment</t>
  </si>
  <si>
    <t>Principal</t>
  </si>
  <si>
    <t>Interest</t>
  </si>
  <si>
    <t>Ending
Balance</t>
  </si>
  <si>
    <t>Cumulative
Interest</t>
  </si>
  <si>
    <t>Enter Values</t>
  </si>
  <si>
    <t>Optional extra payments</t>
  </si>
  <si>
    <t>Scheduled Payment</t>
  </si>
  <si>
    <t>Amount Paid Off</t>
  </si>
  <si>
    <t>Tax Amount</t>
  </si>
  <si>
    <t>Monthly Costs</t>
  </si>
  <si>
    <t>Tax</t>
  </si>
  <si>
    <t>PMI</t>
  </si>
  <si>
    <t>House Insurance</t>
  </si>
  <si>
    <t>Insurance</t>
  </si>
  <si>
    <t>Purchase Price</t>
  </si>
  <si>
    <t>Down Payment</t>
  </si>
  <si>
    <t>Total Monthly Payment</t>
  </si>
  <si>
    <t xml:space="preserve"> Payment Total</t>
  </si>
  <si>
    <t>All In Estimated Monthly Payment</t>
  </si>
  <si>
    <t>Total</t>
  </si>
  <si>
    <t>Scheduled P&amp;I payment</t>
  </si>
  <si>
    <t>Year 1 Pay off</t>
  </si>
  <si>
    <t>Year 2 Pay off</t>
  </si>
  <si>
    <t>Year 4 Pay off</t>
  </si>
  <si>
    <t>Year 5 Pay off</t>
  </si>
  <si>
    <t>Year 3 Pay off</t>
  </si>
  <si>
    <t>Total 5 Year Pay Down</t>
  </si>
  <si>
    <t>Year 1 Value Growth</t>
  </si>
  <si>
    <t>Year 2 Value Growth</t>
  </si>
  <si>
    <t>Year 3 Value Growth</t>
  </si>
  <si>
    <t>Year 4 Value Growth</t>
  </si>
  <si>
    <t>Year 5 Value Growth</t>
  </si>
  <si>
    <t>Total 5 YearValue Growth</t>
  </si>
  <si>
    <t>Rent Total</t>
  </si>
  <si>
    <t>Cost</t>
  </si>
  <si>
    <t>Monthy Cash Flow</t>
  </si>
  <si>
    <t>5 year Total Cash</t>
  </si>
  <si>
    <t>Year 1 Positive Gain</t>
  </si>
  <si>
    <t>Year 2 Positive Gain</t>
  </si>
  <si>
    <t>Year 3 Positive Gain</t>
  </si>
  <si>
    <t>Year 4 Positive Gain</t>
  </si>
  <si>
    <t>Total 5 Gain</t>
  </si>
  <si>
    <t>1 year Total Cash</t>
  </si>
  <si>
    <t>5 year Summary Owed</t>
  </si>
  <si>
    <t>5 year Summary Value</t>
  </si>
  <si>
    <t>5 year Summary Equity</t>
  </si>
  <si>
    <t>5 year Total Positive Arbitrage</t>
  </si>
  <si>
    <t>Yearly Cashflow Cap Rate Rate</t>
  </si>
  <si>
    <t>5 year Total Yearly Cap Rate</t>
  </si>
  <si>
    <t>5 year Paydown/Growth Cap Rate Yearly</t>
  </si>
  <si>
    <t>Purchase Price Cap Rate</t>
  </si>
  <si>
    <t>Fill in  Orange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</si>
</sst>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30"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20"/>
      <color theme="4" tint="-0.499984740745262"/>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b/>
      <sz val="40"/>
      <color rgb="FF376B36"/>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14"/>
      <color rgb="FF376B36"/>
      <name val="Calibri"/>
      <family val="2"/>
      <scheme val="minor"/>
    </font>
    <font>
      <b/>
      <sz val="14"/>
      <color theme="1" tint="0.34998626667073579"/>
      <name val="Calibri"/>
      <family val="2"/>
      <scheme val="minor"/>
    </font>
    <font>
      <b/>
      <sz val="12"/>
      <color theme="1"/>
      <name val="Calibri"/>
      <family val="2"/>
      <scheme val="minor"/>
    </font>
    <font>
      <b/>
      <sz val="11"/>
      <name val="Calibri"/>
      <family val="2"/>
      <scheme val="minor"/>
    </font>
    <font>
      <sz val="12"/>
      <color theme="1" tint="0.24994659260841701"/>
      <name val="Calibri"/>
      <family val="2"/>
    </font>
    <font>
      <b/>
      <sz val="12"/>
      <color theme="1" tint="0.24994659260841701"/>
      <name val="Calibri"/>
      <family val="2"/>
      <scheme val="minor"/>
    </font>
    <font>
      <sz val="8"/>
      <name val="Calibri"/>
      <family val="2"/>
      <scheme val="minor"/>
    </font>
    <font>
      <b/>
      <sz val="14"/>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13">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style="thin">
        <color theme="0"/>
      </right>
      <top/>
      <bottom/>
      <diagonal/>
    </border>
    <border>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5" fillId="5" borderId="0" applyFill="0" applyProtection="0">
      <alignment horizontal="center" vertical="center" wrapText="1"/>
    </xf>
    <xf numFmtId="44" fontId="4" fillId="0" borderId="0" applyFont="0" applyFill="0" applyBorder="0" applyAlignment="0" applyProtection="0"/>
  </cellStyleXfs>
  <cellXfs count="86">
    <xf numFmtId="0" fontId="0" fillId="0" borderId="0" xfId="0"/>
    <xf numFmtId="0" fontId="7" fillId="0" borderId="0" xfId="0" applyFont="1"/>
    <xf numFmtId="0" fontId="0" fillId="0" borderId="0" xfId="0" applyBorder="1"/>
    <xf numFmtId="0" fontId="10" fillId="0" borderId="0" xfId="2" applyBorder="1">
      <alignment vertical="center"/>
    </xf>
    <xf numFmtId="0" fontId="10" fillId="0" borderId="0" xfId="2" applyFill="1" applyBorder="1">
      <alignment vertical="center"/>
    </xf>
    <xf numFmtId="0" fontId="7" fillId="0" borderId="0" xfId="0" applyFont="1" applyBorder="1"/>
    <xf numFmtId="0" fontId="13" fillId="0" borderId="0" xfId="13" applyFont="1" applyFill="1" applyBorder="1" applyAlignment="1">
      <alignment vertical="center" wrapText="1"/>
    </xf>
    <xf numFmtId="0" fontId="12" fillId="0" borderId="0" xfId="5" applyFont="1" applyBorder="1">
      <alignment vertical="center"/>
    </xf>
    <xf numFmtId="14" fontId="8" fillId="0" borderId="0" xfId="11" applyFont="1" applyFill="1" applyBorder="1" applyAlignment="1">
      <alignment horizontal="right" indent="1"/>
    </xf>
    <xf numFmtId="14" fontId="16" fillId="0" borderId="0" xfId="11" applyFont="1" applyFill="1" applyBorder="1" applyAlignment="1">
      <alignment horizontal="center" vertical="center"/>
    </xf>
    <xf numFmtId="0" fontId="16" fillId="0" borderId="0" xfId="0" applyFont="1"/>
    <xf numFmtId="0" fontId="0" fillId="0" borderId="7" xfId="0" applyBorder="1" applyAlignment="1">
      <alignment vertical="center"/>
    </xf>
    <xf numFmtId="0" fontId="17" fillId="0" borderId="0" xfId="2" applyFont="1" applyFill="1" applyBorder="1">
      <alignment vertical="center"/>
    </xf>
    <xf numFmtId="0" fontId="21" fillId="0" borderId="0" xfId="5" applyFont="1" applyBorder="1">
      <alignment vertical="center"/>
    </xf>
    <xf numFmtId="0" fontId="0" fillId="0" borderId="0" xfId="0" applyFont="1"/>
    <xf numFmtId="0" fontId="0" fillId="0" borderId="0" xfId="0" applyFont="1" applyBorder="1"/>
    <xf numFmtId="0" fontId="0" fillId="0" borderId="7" xfId="0" applyFont="1" applyBorder="1" applyAlignment="1">
      <alignment vertical="center"/>
    </xf>
    <xf numFmtId="0" fontId="0" fillId="0" borderId="6" xfId="0" applyFont="1" applyBorder="1"/>
    <xf numFmtId="1" fontId="16" fillId="0" borderId="0" xfId="10" applyFont="1" applyFill="1" applyBorder="1" applyAlignment="1">
      <alignment horizontal="center" vertical="center"/>
    </xf>
    <xf numFmtId="164" fontId="16" fillId="0" borderId="0" xfId="12" applyFont="1" applyFill="1" applyBorder="1" applyAlignment="1">
      <alignment horizontal="center" vertical="center"/>
    </xf>
    <xf numFmtId="164" fontId="16" fillId="0" borderId="0" xfId="12" applyFont="1" applyFill="1" applyBorder="1" applyAlignment="1">
      <alignment horizontal="right" vertical="center" indent="3"/>
    </xf>
    <xf numFmtId="164" fontId="16" fillId="0" borderId="0" xfId="12" applyFont="1" applyFill="1" applyBorder="1">
      <alignment horizontal="right" indent="2"/>
    </xf>
    <xf numFmtId="0" fontId="23" fillId="0" borderId="8" xfId="15" applyFont="1" applyFill="1" applyBorder="1" applyAlignment="1">
      <alignment horizontal="center" vertical="center" wrapText="1"/>
    </xf>
    <xf numFmtId="1" fontId="16" fillId="0" borderId="8" xfId="10" applyFont="1" applyFill="1" applyBorder="1" applyAlignment="1">
      <alignment horizontal="center" vertical="center"/>
    </xf>
    <xf numFmtId="14" fontId="16" fillId="0" borderId="8" xfId="11" applyFont="1" applyFill="1" applyBorder="1" applyAlignment="1">
      <alignment horizontal="center" vertical="center"/>
    </xf>
    <xf numFmtId="164" fontId="16" fillId="0" borderId="8" xfId="12" applyFont="1" applyFill="1" applyBorder="1" applyAlignment="1">
      <alignment horizontal="center" vertical="center"/>
    </xf>
    <xf numFmtId="164" fontId="0" fillId="0" borderId="0" xfId="12" applyFont="1" applyFill="1" applyBorder="1">
      <alignment horizontal="right" indent="2"/>
    </xf>
    <xf numFmtId="0" fontId="19" fillId="0" borderId="0" xfId="5" applyFont="1" applyBorder="1" applyAlignment="1">
      <alignment horizontal="left" vertical="center" indent="1"/>
    </xf>
    <xf numFmtId="164" fontId="20" fillId="0" borderId="0" xfId="8" applyNumberFormat="1" applyFont="1" applyFill="1" applyBorder="1" applyAlignment="1">
      <alignment horizontal="right" vertical="center" indent="1"/>
    </xf>
    <xf numFmtId="0" fontId="17" fillId="0" borderId="0" xfId="2" applyFont="1" applyBorder="1" applyAlignment="1">
      <alignment horizontal="left" vertical="center" indent="1"/>
    </xf>
    <xf numFmtId="0" fontId="14" fillId="0" borderId="0" xfId="2" applyFont="1" applyBorder="1" applyAlignment="1">
      <alignment horizontal="left" vertical="center" indent="1"/>
    </xf>
    <xf numFmtId="0" fontId="10" fillId="0" borderId="0" xfId="2" applyBorder="1" applyAlignment="1">
      <alignment horizontal="left" vertical="center" indent="1"/>
    </xf>
    <xf numFmtId="164" fontId="20" fillId="0" borderId="8" xfId="7" applyFont="1" applyFill="1" applyBorder="1" applyAlignment="1">
      <alignment horizontal="right" vertical="center" indent="1"/>
    </xf>
    <xf numFmtId="1" fontId="20" fillId="0" borderId="8" xfId="10" applyFont="1" applyFill="1" applyBorder="1" applyAlignment="1">
      <alignment horizontal="right" vertical="center" indent="1"/>
    </xf>
    <xf numFmtId="0" fontId="24" fillId="0" borderId="8" xfId="5" applyFont="1" applyBorder="1" applyAlignment="1"/>
    <xf numFmtId="0" fontId="24" fillId="0" borderId="9" xfId="5" applyFont="1" applyBorder="1" applyAlignment="1"/>
    <xf numFmtId="0" fontId="24" fillId="0" borderId="11" xfId="5" applyFont="1" applyBorder="1" applyAlignment="1"/>
    <xf numFmtId="164" fontId="0" fillId="0" borderId="0" xfId="0" applyNumberFormat="1"/>
    <xf numFmtId="164" fontId="0" fillId="0" borderId="8" xfId="0" applyNumberFormat="1" applyBorder="1"/>
    <xf numFmtId="0" fontId="25" fillId="0" borderId="8" xfId="0" applyFont="1" applyBorder="1"/>
    <xf numFmtId="164" fontId="26" fillId="8" borderId="8" xfId="16" applyNumberFormat="1" applyFont="1" applyFill="1" applyBorder="1" applyAlignment="1">
      <alignment vertical="center"/>
    </xf>
    <xf numFmtId="10" fontId="20" fillId="8" borderId="8" xfId="6" applyFont="1" applyFill="1" applyBorder="1" applyAlignment="1">
      <alignment horizontal="right" vertical="center" indent="1"/>
    </xf>
    <xf numFmtId="1" fontId="20" fillId="8" borderId="8" xfId="10" applyFont="1" applyFill="1" applyBorder="1" applyAlignment="1">
      <alignment horizontal="right" vertical="center" indent="1"/>
    </xf>
    <xf numFmtId="14" fontId="20" fillId="8" borderId="8" xfId="11" applyFont="1" applyFill="1" applyBorder="1" applyAlignment="1">
      <alignment horizontal="right" vertical="center" indent="1"/>
    </xf>
    <xf numFmtId="164" fontId="20" fillId="8" borderId="8" xfId="11" applyNumberFormat="1" applyFont="1" applyFill="1" applyBorder="1" applyAlignment="1">
      <alignment horizontal="right" vertical="center" indent="1"/>
    </xf>
    <xf numFmtId="164" fontId="0" fillId="8" borderId="8" xfId="0" applyNumberFormat="1" applyFill="1" applyBorder="1"/>
    <xf numFmtId="164" fontId="19" fillId="8" borderId="8" xfId="7" applyFont="1" applyFill="1" applyBorder="1" applyAlignment="1">
      <alignment horizontal="right" vertical="center" indent="1"/>
    </xf>
    <xf numFmtId="0" fontId="23" fillId="0" borderId="8" xfId="15" applyNumberFormat="1" applyFont="1" applyFill="1" applyBorder="1" applyAlignment="1">
      <alignment horizontal="center" vertical="center" wrapText="1"/>
    </xf>
    <xf numFmtId="164" fontId="16" fillId="0" borderId="12" xfId="12" applyFont="1" applyFill="1" applyBorder="1" applyAlignment="1">
      <alignment horizontal="center" vertical="center"/>
    </xf>
    <xf numFmtId="164" fontId="0" fillId="0" borderId="8" xfId="12" applyFont="1" applyFill="1" applyBorder="1" applyAlignment="1">
      <alignment horizontal="center" vertical="center"/>
    </xf>
    <xf numFmtId="164" fontId="16" fillId="0" borderId="9" xfId="12" applyFont="1" applyFill="1" applyBorder="1" applyAlignment="1">
      <alignment horizontal="center" vertical="center"/>
    </xf>
    <xf numFmtId="164" fontId="0" fillId="7" borderId="8" xfId="0" applyNumberFormat="1" applyFill="1" applyBorder="1"/>
    <xf numFmtId="10" fontId="0" fillId="0" borderId="0" xfId="6" applyFont="1" applyBorder="1"/>
    <xf numFmtId="0" fontId="25" fillId="0" borderId="8" xfId="0" applyFont="1" applyFill="1" applyBorder="1"/>
    <xf numFmtId="164" fontId="0" fillId="8" borderId="8" xfId="16" applyNumberFormat="1" applyFont="1" applyFill="1" applyBorder="1"/>
    <xf numFmtId="0" fontId="25" fillId="0" borderId="8" xfId="0" applyFont="1" applyFill="1" applyBorder="1" applyAlignment="1">
      <alignment wrapText="1"/>
    </xf>
    <xf numFmtId="10" fontId="0" fillId="7" borderId="0" xfId="6" applyFont="1" applyFill="1"/>
    <xf numFmtId="10" fontId="0" fillId="7" borderId="8" xfId="6" applyFont="1" applyFill="1" applyBorder="1"/>
    <xf numFmtId="0" fontId="24" fillId="5" borderId="9" xfId="5" applyFont="1" applyFill="1" applyBorder="1" applyAlignment="1">
      <alignment horizontal="left" vertical="center" indent="1"/>
    </xf>
    <xf numFmtId="0" fontId="24" fillId="5" borderId="11" xfId="5" applyFont="1" applyFill="1" applyBorder="1" applyAlignment="1">
      <alignment horizontal="left" vertical="center" indent="1"/>
    </xf>
    <xf numFmtId="164" fontId="20" fillId="0" borderId="9" xfId="8" applyNumberFormat="1" applyFont="1" applyFill="1" applyBorder="1" applyAlignment="1">
      <alignment horizontal="right" vertical="center" indent="1"/>
    </xf>
    <xf numFmtId="164" fontId="20" fillId="0" borderId="10" xfId="8" applyNumberFormat="1" applyFont="1" applyFill="1" applyBorder="1" applyAlignment="1">
      <alignment horizontal="right" vertical="center" indent="1"/>
    </xf>
    <xf numFmtId="164" fontId="20" fillId="0" borderId="11" xfId="8" applyNumberFormat="1" applyFont="1" applyFill="1" applyBorder="1" applyAlignment="1">
      <alignment horizontal="right" vertical="center" indent="1"/>
    </xf>
    <xf numFmtId="0" fontId="24" fillId="0" borderId="9" xfId="5" applyFont="1" applyFill="1" applyBorder="1" applyAlignment="1">
      <alignment horizontal="left" vertical="center" indent="1"/>
    </xf>
    <xf numFmtId="0" fontId="24" fillId="0" borderId="11" xfId="5" applyFont="1" applyFill="1" applyBorder="1" applyAlignment="1">
      <alignment horizontal="left" vertical="center" indent="1"/>
    </xf>
    <xf numFmtId="1" fontId="20" fillId="0" borderId="9" xfId="10" applyFont="1" applyFill="1" applyBorder="1" applyAlignment="1">
      <alignment horizontal="right" vertical="center" indent="1"/>
    </xf>
    <xf numFmtId="1" fontId="20" fillId="0" borderId="10" xfId="10" applyFont="1" applyFill="1" applyBorder="1" applyAlignment="1">
      <alignment horizontal="right" vertical="center" indent="1"/>
    </xf>
    <xf numFmtId="1" fontId="20" fillId="0" borderId="11" xfId="10" applyFont="1" applyFill="1" applyBorder="1" applyAlignment="1">
      <alignment horizontal="right" vertical="center" indent="1"/>
    </xf>
    <xf numFmtId="0" fontId="18" fillId="0" borderId="0" xfId="13" applyFont="1" applyFill="1" applyBorder="1" applyAlignment="1">
      <alignment horizontal="left" vertical="center" wrapText="1"/>
    </xf>
    <xf numFmtId="0" fontId="24" fillId="0" borderId="9" xfId="5" applyFont="1" applyBorder="1" applyAlignment="1"/>
    <xf numFmtId="0" fontId="24" fillId="0" borderId="10" xfId="5" applyFont="1" applyBorder="1" applyAlignment="1"/>
    <xf numFmtId="0" fontId="24" fillId="0" borderId="11" xfId="5" applyFont="1" applyBorder="1" applyAlignment="1"/>
    <xf numFmtId="0" fontId="24" fillId="0" borderId="8" xfId="5" applyFont="1" applyBorder="1" applyAlignment="1"/>
    <xf numFmtId="0" fontId="22" fillId="0" borderId="0" xfId="5" applyFont="1" applyFill="1" applyBorder="1" applyAlignment="1">
      <alignment horizontal="left" vertical="center" indent="1"/>
    </xf>
    <xf numFmtId="0" fontId="24" fillId="0" borderId="9" xfId="5" applyFont="1" applyBorder="1" applyAlignment="1">
      <alignment horizontal="left" vertical="center" indent="1"/>
    </xf>
    <xf numFmtId="0" fontId="24" fillId="0" borderId="11" xfId="5" applyFont="1" applyBorder="1" applyAlignment="1">
      <alignment horizontal="left" vertical="center" indent="1"/>
    </xf>
    <xf numFmtId="164" fontId="2" fillId="0" borderId="0" xfId="8" applyNumberFormat="1" applyFont="1" applyFill="1" applyBorder="1" applyAlignment="1">
      <alignment horizontal="right" indent="1"/>
    </xf>
    <xf numFmtId="0" fontId="22" fillId="0" borderId="0" xfId="3" applyFont="1" applyFill="1" applyBorder="1" applyAlignment="1">
      <alignment horizontal="left" vertical="top" indent="1"/>
    </xf>
    <xf numFmtId="0" fontId="19" fillId="0" borderId="0" xfId="3" applyFont="1" applyFill="1" applyBorder="1" applyAlignment="1">
      <alignment horizontal="right" vertical="center" indent="1"/>
    </xf>
    <xf numFmtId="0" fontId="24" fillId="0" borderId="9" xfId="5" applyFont="1" applyBorder="1" applyAlignment="1">
      <alignment horizontal="left"/>
    </xf>
    <xf numFmtId="0" fontId="24" fillId="0" borderId="10" xfId="5" applyFont="1" applyBorder="1" applyAlignment="1">
      <alignment horizontal="left"/>
    </xf>
    <xf numFmtId="0" fontId="24" fillId="0" borderId="11" xfId="5" applyFont="1" applyBorder="1" applyAlignment="1">
      <alignment horizontal="left"/>
    </xf>
    <xf numFmtId="164" fontId="27" fillId="7" borderId="9" xfId="8" applyNumberFormat="1" applyFont="1" applyFill="1" applyBorder="1" applyAlignment="1">
      <alignment horizontal="right" vertical="center" indent="1"/>
    </xf>
    <xf numFmtId="164" fontId="27" fillId="7" borderId="10" xfId="8" applyNumberFormat="1" applyFont="1" applyFill="1" applyBorder="1" applyAlignment="1">
      <alignment horizontal="right" vertical="center" indent="1"/>
    </xf>
    <xf numFmtId="164" fontId="27" fillId="7" borderId="11" xfId="8" applyNumberFormat="1" applyFont="1" applyFill="1" applyBorder="1" applyAlignment="1">
      <alignment horizontal="right" vertical="center" indent="1"/>
    </xf>
    <xf numFmtId="0" fontId="29" fillId="9" borderId="0" xfId="0" applyFont="1" applyFill="1" applyAlignment="1">
      <alignment horizontal="center" vertical="center"/>
    </xf>
  </cellXfs>
  <cellStyles count="17">
    <cellStyle name="Amount" xfId="7" xr:uid="{00000000-0005-0000-0000-000000000000}"/>
    <cellStyle name="Currency" xfId="16" builtinId="4"/>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19">
    <dxf>
      <font>
        <strike val="0"/>
        <outline val="0"/>
        <shadow val="0"/>
        <u val="none"/>
        <vertAlign val="baseline"/>
        <name val="Calibri"/>
        <family val="2"/>
        <scheme val="minor"/>
      </font>
      <numFmt numFmtId="164" formatCode="&quot;$&quot;#,##0.00"/>
      <fill>
        <patternFill patternType="none">
          <fgColor indexed="64"/>
          <bgColor auto="1"/>
        </patternFill>
      </fill>
    </dxf>
    <dxf>
      <font>
        <strike val="0"/>
        <outline val="0"/>
        <shadow val="0"/>
        <u val="none"/>
        <vertAlign val="baseline"/>
        <name val="Calibri"/>
        <family val="2"/>
        <scheme val="minor"/>
      </font>
      <numFmt numFmtId="164" formatCode="&quot;$&quot;#,##0.00"/>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sz val="14"/>
        <color theme="1" tint="0.34998626667073579"/>
        <name val="Calibri"/>
        <family val="2"/>
        <scheme val="minor"/>
      </font>
      <fill>
        <patternFill patternType="none">
          <fgColor indexed="64"/>
          <bgColor auto="1"/>
        </patternFill>
      </fill>
      <alignment vertical="center" textRotation="0" indent="0" justifyLastLine="0" shrinkToFit="0" readingOrder="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18"/>
      <tableStyleElement type="headerRow" dxfId="17"/>
      <tableStyleElement type="totalRow" dxfId="1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xdr:colOff>
      <xdr:row>2</xdr:row>
      <xdr:rowOff>50800</xdr:rowOff>
    </xdr:to>
    <xdr:pic>
      <xdr:nvPicPr>
        <xdr:cNvPr id="8" name="Graphic 7" descr="bank building icon">
          <a:extLst>
            <a:ext uri="{FF2B5EF4-FFF2-40B4-BE49-F238E27FC236}">
              <a16:creationId xmlns:a16="http://schemas.microsoft.com/office/drawing/2014/main" id="{247DDAC1-A042-8344-8CF8-7E87E916F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6700" y="266700"/>
          <a:ext cx="914400" cy="914400"/>
        </a:xfrm>
        <a:prstGeom prst="rect">
          <a:avLst/>
        </a:prstGeom>
      </xdr:spPr>
    </xdr:pic>
    <xdr:clientData/>
  </xdr:twoCellAnchor>
  <xdr:twoCellAnchor editAs="oneCell">
    <xdr:from>
      <xdr:col>1</xdr:col>
      <xdr:colOff>0</xdr:colOff>
      <xdr:row>1</xdr:row>
      <xdr:rowOff>0</xdr:rowOff>
    </xdr:from>
    <xdr:to>
      <xdr:col>2</xdr:col>
      <xdr:colOff>30480</xdr:colOff>
      <xdr:row>2</xdr:row>
      <xdr:rowOff>50800</xdr:rowOff>
    </xdr:to>
    <xdr:pic>
      <xdr:nvPicPr>
        <xdr:cNvPr id="3" name="Graphic 2" descr="bank building icon">
          <a:extLst>
            <a:ext uri="{FF2B5EF4-FFF2-40B4-BE49-F238E27FC236}">
              <a16:creationId xmlns:a16="http://schemas.microsoft.com/office/drawing/2014/main" id="{91C14DF2-CCBD-413B-9562-DB08B7F393E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43840" y="266700"/>
          <a:ext cx="914400" cy="911860"/>
        </a:xfrm>
        <a:prstGeom prst="rect">
          <a:avLst/>
        </a:prstGeom>
      </xdr:spPr>
    </xdr:pic>
    <xdr:clientData/>
  </xdr:twoCellAnchor>
  <xdr:twoCellAnchor editAs="oneCell">
    <xdr:from>
      <xdr:col>13</xdr:col>
      <xdr:colOff>238125</xdr:colOff>
      <xdr:row>0</xdr:row>
      <xdr:rowOff>200025</xdr:rowOff>
    </xdr:from>
    <xdr:to>
      <xdr:col>16</xdr:col>
      <xdr:colOff>485775</xdr:colOff>
      <xdr:row>4</xdr:row>
      <xdr:rowOff>112693</xdr:rowOff>
    </xdr:to>
    <xdr:pic>
      <xdr:nvPicPr>
        <xdr:cNvPr id="4" name="Picture 3">
          <a:extLst>
            <a:ext uri="{FF2B5EF4-FFF2-40B4-BE49-F238E27FC236}">
              <a16:creationId xmlns:a16="http://schemas.microsoft.com/office/drawing/2014/main" id="{9B9FFD2C-D4EF-4CAA-80B2-13023DD296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658850" y="200025"/>
          <a:ext cx="3629025" cy="18176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A382EF-BEF8-4FAC-BDE6-14E294B4CB3B}" name="PaymentSchedule3" displayName="PaymentSchedule3" ref="B17:M378" totalsRowShown="0" headerRowDxfId="13" dataDxfId="12" headerRowCellStyle="Style 6">
  <tableColumns count="12">
    <tableColumn id="1" xr3:uid="{34276CB7-3C34-4F7B-BA90-A3E3BDDC992A}" name="Payment Number" dataDxfId="11"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10"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9"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8" dataCellStyle="Table Amount">
      <calculatedColumnFormula>IF(PaymentSchedule3[[#This Row],[Payment Number]]&lt;&gt;"",ScheduledPayment,"")</calculatedColumnFormula>
    </tableColumn>
    <tableColumn id="5" xr3:uid="{931027E7-8C19-4466-9D4A-F9288DA86D21}" name="Extra_x000a_Payment" dataDxfId="7"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6"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5" dataCellStyle="Table Amount">
      <calculatedColumnFormula>IF(PaymentSchedule3[[#This Row],[Payment Number]]&lt;&gt;"",PaymentSchedule3[[#This Row],[Total
Payment]]-PaymentSchedule3[[#This Row],[Interest]],"")</calculatedColumnFormula>
    </tableColumn>
    <tableColumn id="8" xr3:uid="{4A9CA4D4-2346-4A75-8123-A968977AF4B8}" name="Interest" dataDxfId="4"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3"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2" dataCellStyle="Table Amount">
      <calculatedColumnFormula>IF(PaymentSchedule3[[#This Row],[Payment Number]]&lt;&gt;"",SUM(INDEX(PaymentSchedule3[Interest],1,1):PaymentSchedule3[[#This Row],[Interest]]),"")</calculatedColumnFormula>
    </tableColumn>
    <tableColumn id="11" xr3:uid="{838AC094-4789-471C-B328-3D02E1F696D4}" name="Amount Paid Off" dataDxfId="1" dataCellStyle="Table Amount">
      <calculatedColumnFormula>LoanAmount-PaymentSchedule3[[#This Row],[Ending
Balance]]</calculatedColumnFormula>
    </tableColumn>
    <tableColumn id="12" xr3:uid="{AADC9D72-FABC-486E-9FE6-7C33648266B4}" name="Total Monthly Payment" dataDxfId="0" dataCellStyle="Table Amount">
      <calculatedColumnFormula>G19+$N$7+N$8</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0632-B3BD-43EF-A3A5-D48CEBC148C6}">
  <sheetPr>
    <tabColor theme="4" tint="-0.499984740745262"/>
    <pageSetUpPr autoPageBreaks="0" fitToPage="1"/>
  </sheetPr>
  <dimension ref="A1:Q378"/>
  <sheetViews>
    <sheetView showGridLines="0" tabSelected="1" topLeftCell="B1" zoomScaleNormal="100" workbookViewId="0">
      <selection activeCell="G4" sqref="G4:H4"/>
    </sheetView>
  </sheetViews>
  <sheetFormatPr defaultColWidth="8.85546875" defaultRowHeight="15" x14ac:dyDescent="0.25"/>
  <cols>
    <col min="1" max="1" width="3.5703125" customWidth="1"/>
    <col min="2" max="2" width="12.85546875" customWidth="1"/>
    <col min="3" max="3" width="14.7109375" customWidth="1"/>
    <col min="4" max="4" width="16.7109375" customWidth="1"/>
    <col min="5" max="5" width="18" customWidth="1"/>
    <col min="6" max="7" width="15.7109375" customWidth="1"/>
    <col min="8" max="8" width="20.42578125" customWidth="1"/>
    <col min="9" max="10" width="15.7109375" customWidth="1"/>
    <col min="11" max="11" width="17.7109375" customWidth="1"/>
    <col min="12" max="12" width="14.42578125" customWidth="1"/>
    <col min="13" max="13" width="20" customWidth="1"/>
    <col min="14" max="14" width="16.42578125" bestFit="1" customWidth="1"/>
    <col min="16" max="16" width="25.42578125" customWidth="1"/>
    <col min="17" max="17" width="12.28515625" customWidth="1"/>
  </cols>
  <sheetData>
    <row r="1" spans="1:17" s="1" customFormat="1" ht="21" customHeight="1" x14ac:dyDescent="0.25">
      <c r="B1" s="6"/>
      <c r="C1" s="6"/>
      <c r="D1" s="6"/>
      <c r="E1" s="6"/>
      <c r="F1" s="6"/>
      <c r="G1" s="6"/>
      <c r="H1" s="6"/>
      <c r="I1" s="6"/>
      <c r="J1" s="6"/>
      <c r="K1" s="6"/>
    </row>
    <row r="2" spans="1:17" s="1" customFormat="1" ht="67.900000000000006" customHeight="1" x14ac:dyDescent="0.25">
      <c r="B2" s="6"/>
      <c r="C2" s="68" t="s">
        <v>9</v>
      </c>
      <c r="D2" s="68"/>
      <c r="E2" s="68"/>
      <c r="F2" s="68"/>
      <c r="G2" s="68"/>
      <c r="H2" s="68"/>
      <c r="I2" s="68"/>
      <c r="J2" s="68"/>
      <c r="K2" s="68"/>
    </row>
    <row r="3" spans="1:17" s="1" customFormat="1" ht="24" customHeight="1" x14ac:dyDescent="0.25">
      <c r="B3" s="6"/>
      <c r="C3" s="6"/>
      <c r="D3" s="6"/>
      <c r="E3" s="6"/>
      <c r="F3" s="6"/>
      <c r="G3" s="6"/>
      <c r="H3" s="6"/>
      <c r="I3" s="6"/>
      <c r="J3" s="6"/>
      <c r="K3" s="6"/>
      <c r="O3" s="5"/>
    </row>
    <row r="4" spans="1:17" ht="37.9" customHeight="1" x14ac:dyDescent="0.25">
      <c r="B4" s="29" t="s">
        <v>20</v>
      </c>
      <c r="C4" s="30"/>
      <c r="D4" s="31"/>
      <c r="E4" s="3"/>
      <c r="F4" s="2"/>
      <c r="G4" s="85" t="s">
        <v>67</v>
      </c>
      <c r="H4" s="85"/>
      <c r="I4" s="3"/>
      <c r="J4" s="4"/>
      <c r="M4" s="12"/>
      <c r="O4" s="2"/>
    </row>
    <row r="5" spans="1:17" ht="24" customHeight="1" x14ac:dyDescent="0.25">
      <c r="B5" s="72" t="s">
        <v>30</v>
      </c>
      <c r="C5" s="72"/>
      <c r="D5" s="72"/>
      <c r="E5" s="40">
        <v>135000</v>
      </c>
      <c r="F5" s="2"/>
      <c r="G5" s="12"/>
      <c r="H5" s="3"/>
      <c r="I5" s="3"/>
      <c r="J5" s="4"/>
      <c r="M5" s="12"/>
      <c r="O5" s="2"/>
    </row>
    <row r="6" spans="1:17" ht="24" customHeight="1" x14ac:dyDescent="0.25">
      <c r="B6" s="72" t="s">
        <v>31</v>
      </c>
      <c r="C6" s="72"/>
      <c r="D6" s="72"/>
      <c r="E6" s="40">
        <f>E5*F6</f>
        <v>33750</v>
      </c>
      <c r="F6" s="52">
        <v>0.25</v>
      </c>
      <c r="G6" s="12" t="s">
        <v>10</v>
      </c>
      <c r="H6" s="3"/>
      <c r="I6" s="3"/>
      <c r="J6" s="4"/>
      <c r="M6" s="12" t="s">
        <v>25</v>
      </c>
      <c r="O6" s="2"/>
    </row>
    <row r="7" spans="1:17" ht="24" customHeight="1" x14ac:dyDescent="0.25">
      <c r="B7" s="69" t="s">
        <v>0</v>
      </c>
      <c r="C7" s="70"/>
      <c r="D7" s="71"/>
      <c r="E7" s="32">
        <f>E5-E6</f>
        <v>101250</v>
      </c>
      <c r="G7" s="58" t="s">
        <v>36</v>
      </c>
      <c r="H7" s="59"/>
      <c r="I7" s="60">
        <f ca="1">IF(LoanIsGood,-PMT(InterestRate/PaymentsPerYear,ScheduledNumberOfPayments,LoanAmount),"")</f>
        <v>543.5318932997908</v>
      </c>
      <c r="J7" s="61"/>
      <c r="K7" s="62"/>
      <c r="M7" s="39" t="s">
        <v>26</v>
      </c>
      <c r="N7" s="38">
        <f>E12/12</f>
        <v>158.33333333333334</v>
      </c>
      <c r="P7" s="39" t="s">
        <v>37</v>
      </c>
      <c r="Q7" s="38">
        <f ca="1">SUM(H18:H29)</f>
        <v>1493.8074123870738</v>
      </c>
    </row>
    <row r="8" spans="1:17" ht="24" customHeight="1" x14ac:dyDescent="0.25">
      <c r="B8" s="72" t="s">
        <v>1</v>
      </c>
      <c r="C8" s="72"/>
      <c r="D8" s="72"/>
      <c r="E8" s="41">
        <v>0.05</v>
      </c>
      <c r="G8" s="63" t="s">
        <v>5</v>
      </c>
      <c r="H8" s="64"/>
      <c r="I8" s="65">
        <f ca="1">IF(LoanIsGood,LoanPeriod*PaymentsPerYear,"")</f>
        <v>360</v>
      </c>
      <c r="J8" s="66"/>
      <c r="K8" s="67"/>
      <c r="M8" s="39" t="s">
        <v>27</v>
      </c>
      <c r="N8" s="45">
        <v>115</v>
      </c>
      <c r="P8" s="39" t="s">
        <v>38</v>
      </c>
      <c r="Q8" s="38">
        <f ca="1">SUM(H30:H41)</f>
        <v>1570.2334346745965</v>
      </c>
    </row>
    <row r="9" spans="1:17" ht="24" customHeight="1" x14ac:dyDescent="0.25">
      <c r="B9" s="72" t="s">
        <v>2</v>
      </c>
      <c r="C9" s="72"/>
      <c r="D9" s="72"/>
      <c r="E9" s="42">
        <v>30</v>
      </c>
      <c r="G9" s="74" t="s">
        <v>6</v>
      </c>
      <c r="H9" s="75"/>
      <c r="I9" s="65">
        <f ca="1">ActualNumberOfPayments</f>
        <v>360</v>
      </c>
      <c r="J9" s="66"/>
      <c r="K9" s="67"/>
      <c r="M9" s="39" t="s">
        <v>29</v>
      </c>
      <c r="N9" s="38">
        <f>E13/12</f>
        <v>91.666666666666671</v>
      </c>
      <c r="P9" s="39" t="s">
        <v>41</v>
      </c>
      <c r="Q9" s="38">
        <f ca="1">SUM(H42:H53)</f>
        <v>1650.5695573099015</v>
      </c>
    </row>
    <row r="10" spans="1:17" ht="24" customHeight="1" x14ac:dyDescent="0.25">
      <c r="B10" s="72" t="s">
        <v>3</v>
      </c>
      <c r="C10" s="72"/>
      <c r="D10" s="72"/>
      <c r="E10" s="33">
        <v>12</v>
      </c>
      <c r="G10" s="74" t="s">
        <v>7</v>
      </c>
      <c r="H10" s="75"/>
      <c r="I10" s="60">
        <f ca="1">TotalEarlyPayments</f>
        <v>0</v>
      </c>
      <c r="J10" s="61"/>
      <c r="K10" s="62"/>
      <c r="M10" s="39" t="s">
        <v>35</v>
      </c>
      <c r="N10" s="51">
        <f>SUM(N7,N8,N9)</f>
        <v>365.00000000000006</v>
      </c>
      <c r="P10" s="39" t="s">
        <v>39</v>
      </c>
      <c r="Q10" s="38">
        <f ca="1">SUM(H54:H65)</f>
        <v>1735.0158284476888</v>
      </c>
    </row>
    <row r="11" spans="1:17" ht="24" customHeight="1" x14ac:dyDescent="0.25">
      <c r="B11" s="34" t="s">
        <v>4</v>
      </c>
      <c r="C11" s="35"/>
      <c r="D11" s="36"/>
      <c r="E11" s="43">
        <f ca="1">TODAY()</f>
        <v>44633</v>
      </c>
      <c r="G11" s="74" t="s">
        <v>8</v>
      </c>
      <c r="H11" s="75"/>
      <c r="I11" s="60">
        <f ca="1">TotalInterest</f>
        <v>94421.48158792466</v>
      </c>
      <c r="J11" s="61"/>
      <c r="K11" s="62"/>
      <c r="P11" s="39" t="s">
        <v>40</v>
      </c>
      <c r="Q11" s="38">
        <f ca="1">SUM(H66:H77)</f>
        <v>1823.7825310859203</v>
      </c>
    </row>
    <row r="12" spans="1:17" ht="24" customHeight="1" x14ac:dyDescent="0.25">
      <c r="B12" s="69" t="s">
        <v>24</v>
      </c>
      <c r="C12" s="70"/>
      <c r="D12" s="71"/>
      <c r="E12" s="44">
        <v>1900</v>
      </c>
      <c r="G12" s="74" t="s">
        <v>34</v>
      </c>
      <c r="H12" s="75"/>
      <c r="I12" s="82">
        <f ca="1">M20</f>
        <v>908.5318932997908</v>
      </c>
      <c r="J12" s="83"/>
      <c r="K12" s="84"/>
      <c r="P12" s="39" t="s">
        <v>42</v>
      </c>
      <c r="Q12" s="51">
        <f ca="1">SUM(Q7:Q11)</f>
        <v>8273.4087639051813</v>
      </c>
    </row>
    <row r="13" spans="1:17" ht="24" customHeight="1" x14ac:dyDescent="0.25">
      <c r="B13" s="79" t="s">
        <v>28</v>
      </c>
      <c r="C13" s="80"/>
      <c r="D13" s="81"/>
      <c r="E13" s="44">
        <v>1100</v>
      </c>
      <c r="G13" s="27"/>
      <c r="H13" s="27"/>
      <c r="I13" s="28"/>
      <c r="J13" s="28"/>
      <c r="K13" s="28"/>
    </row>
    <row r="14" spans="1:17" ht="12.4" customHeight="1" x14ac:dyDescent="0.25">
      <c r="C14" s="7"/>
      <c r="D14" s="7"/>
      <c r="E14" s="8"/>
      <c r="G14" s="13"/>
      <c r="H14" s="13"/>
      <c r="I14" s="76"/>
      <c r="J14" s="76"/>
      <c r="K14" s="76"/>
    </row>
    <row r="15" spans="1:17" ht="20.65" customHeight="1" x14ac:dyDescent="0.25">
      <c r="B15" s="73" t="s">
        <v>21</v>
      </c>
      <c r="C15" s="73"/>
      <c r="D15" s="73"/>
      <c r="E15" s="46">
        <v>0</v>
      </c>
      <c r="F15" s="10"/>
      <c r="G15" s="77"/>
      <c r="H15" s="77"/>
      <c r="I15" s="78"/>
      <c r="J15" s="78"/>
      <c r="K15" s="78"/>
      <c r="P15" s="39" t="s">
        <v>43</v>
      </c>
      <c r="Q15" s="38">
        <f>0.02*E5</f>
        <v>2700</v>
      </c>
    </row>
    <row r="16" spans="1:17" ht="31.9" customHeight="1" x14ac:dyDescent="0.25">
      <c r="A16" s="14"/>
      <c r="B16" s="17"/>
      <c r="C16" s="15"/>
      <c r="D16" s="15"/>
      <c r="E16" s="15"/>
      <c r="F16" s="15"/>
      <c r="G16" s="15"/>
      <c r="H16" s="15"/>
      <c r="I16" s="15"/>
      <c r="J16" s="15"/>
      <c r="K16" s="15"/>
      <c r="L16" s="14"/>
      <c r="M16" s="14"/>
      <c r="N16" s="14"/>
      <c r="O16" s="14"/>
      <c r="P16" s="39" t="s">
        <v>44</v>
      </c>
      <c r="Q16" s="38">
        <f>(Q15+E5)*0.02</f>
        <v>2754</v>
      </c>
    </row>
    <row r="17" spans="1:17" s="11" customFormat="1" ht="48" customHeight="1" x14ac:dyDescent="0.25">
      <c r="A17" s="16"/>
      <c r="B17" s="22" t="s">
        <v>11</v>
      </c>
      <c r="C17" s="22" t="s">
        <v>12</v>
      </c>
      <c r="D17" s="22" t="s">
        <v>13</v>
      </c>
      <c r="E17" s="22" t="s">
        <v>22</v>
      </c>
      <c r="F17" s="22" t="s">
        <v>14</v>
      </c>
      <c r="G17" s="22" t="s">
        <v>15</v>
      </c>
      <c r="H17" s="22" t="s">
        <v>16</v>
      </c>
      <c r="I17" s="22" t="s">
        <v>17</v>
      </c>
      <c r="J17" s="22" t="s">
        <v>18</v>
      </c>
      <c r="K17" s="22" t="s">
        <v>19</v>
      </c>
      <c r="L17" s="22" t="s">
        <v>23</v>
      </c>
      <c r="M17" s="22" t="s">
        <v>32</v>
      </c>
      <c r="N17" s="47" t="s">
        <v>33</v>
      </c>
      <c r="O17" s="16"/>
      <c r="P17" s="39" t="s">
        <v>45</v>
      </c>
      <c r="Q17" s="38">
        <f>(E5+Q15+Q16)*0.02</f>
        <v>2809.08</v>
      </c>
    </row>
    <row r="18" spans="1:17" ht="15.75" customHeight="1" x14ac:dyDescent="0.25">
      <c r="A18" s="14"/>
      <c r="B18" s="23">
        <f ca="1">IF(LoanIsGood,IF(ROW()-ROW(PaymentSchedule3[[#Headers],[Payment Number]])&gt;ScheduledNumberOfPayments,"",ROW()-ROW(PaymentSchedule3[[#Headers],[Payment Number]])),"")</f>
        <v>1</v>
      </c>
      <c r="C18" s="24">
        <f ca="1">IF(PaymentSchedule3[[#This Row],[Payment Number]]&lt;&gt;"",EOMONTH(LoanStartDate,ROW(PaymentSchedule3[[#This Row],[Payment Number]])-ROW(PaymentSchedule3[[#Headers],[Payment Number]])-2)+DAY(LoanStartDate),"")</f>
        <v>44633</v>
      </c>
      <c r="D18" s="25">
        <f ca="1">IF(PaymentSchedule3[[#This Row],[Payment Number]]&lt;&gt;"",IF(ROW()-ROW(PaymentSchedule3[[#Headers],[Beginning
Balance]])=1,LoanAmount,INDEX(PaymentSchedule3[Ending
Balance],ROW()-ROW(PaymentSchedule3[[#Headers],[Beginning
Balance]])-1)),"")</f>
        <v>101250</v>
      </c>
      <c r="E18" s="25">
        <f ca="1">IF(PaymentSchedule3[[#This Row],[Payment Number]]&lt;&gt;"",ScheduledPayment,"")</f>
        <v>543.5318932997908</v>
      </c>
      <c r="F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 s="25">
        <f ca="1">IF(PaymentSchedule3[[#This Row],[Payment Number]]&lt;&gt;"",PaymentSchedule3[[#This Row],[Total
Payment]]-PaymentSchedule3[[#This Row],[Interest]],"")</f>
        <v>121.6568932997908</v>
      </c>
      <c r="I18" s="25">
        <f ca="1">IF(PaymentSchedule3[[#This Row],[Payment Number]]&lt;&gt;"",PaymentSchedule3[[#This Row],[Beginning
Balance]]*(InterestRate/PaymentsPerYear),"")</f>
        <v>421.875</v>
      </c>
      <c r="J18" s="25">
        <f ca="1">IF(PaymentSchedule3[[#This Row],[Payment Number]]&lt;&gt;"",IF(PaymentSchedule3[[#This Row],[Scheduled Payment]]+PaymentSchedule3[[#This Row],[Extra
Payment]]&lt;=PaymentSchedule3[[#This Row],[Beginning
Balance]],PaymentSchedule3[[#This Row],[Beginning
Balance]]-PaymentSchedule3[[#This Row],[Principal]],0),"")</f>
        <v>101128.34310670021</v>
      </c>
      <c r="K18" s="25">
        <f ca="1">IF(PaymentSchedule3[[#This Row],[Payment Number]]&lt;&gt;"",SUM(INDEX(PaymentSchedule3[Interest],1,1):PaymentSchedule3[[#This Row],[Interest]]),"")</f>
        <v>421.875</v>
      </c>
      <c r="L18" s="49">
        <f ca="1">LoanAmount-PaymentSchedule3[[#This Row],[Ending
Balance]]</f>
        <v>121.65689329979068</v>
      </c>
      <c r="M18" s="49">
        <f t="shared" ref="M18:M81" ca="1" si="0">G19+$N$7+N$8+$N$9</f>
        <v>908.5318932997908</v>
      </c>
      <c r="N18" s="25">
        <f ca="1">PaymentSchedule3[[#This Row],[Payment Number]]*$M$19</f>
        <v>908.5318932997908</v>
      </c>
      <c r="O18" s="14"/>
      <c r="P18" s="39" t="s">
        <v>46</v>
      </c>
      <c r="Q18" s="38">
        <f>(E5+Q15+Q16+Q17)*0.02</f>
        <v>2865.2615999999998</v>
      </c>
    </row>
    <row r="19" spans="1:17" ht="15.75" customHeight="1" x14ac:dyDescent="0.25">
      <c r="A19" s="15"/>
      <c r="B19" s="23">
        <f ca="1">IF(LoanIsGood,IF(ROW()-ROW(PaymentSchedule3[[#Headers],[Payment Number]])&gt;ScheduledNumberOfPayments,"",ROW()-ROW(PaymentSchedule3[[#Headers],[Payment Number]])),"")</f>
        <v>2</v>
      </c>
      <c r="C19" s="24">
        <f ca="1">IF(PaymentSchedule3[[#This Row],[Payment Number]]&lt;&gt;"",EOMONTH(LoanStartDate,ROW(PaymentSchedule3[[#This Row],[Payment Number]])-ROW(PaymentSchedule3[[#Headers],[Payment Number]])-2)+DAY(LoanStartDate),"")</f>
        <v>44664</v>
      </c>
      <c r="D19" s="25">
        <f ca="1">IF(PaymentSchedule3[[#This Row],[Payment Number]]&lt;&gt;"",IF(ROW()-ROW(PaymentSchedule3[[#Headers],[Beginning
Balance]])=1,LoanAmount,INDEX(PaymentSchedule3[Ending
Balance],ROW()-ROW(PaymentSchedule3[[#Headers],[Beginning
Balance]])-1)),"")</f>
        <v>101128.34310670021</v>
      </c>
      <c r="E19" s="25">
        <f ca="1">IF(PaymentSchedule3[[#This Row],[Payment Number]]&lt;&gt;"",ScheduledPayment,"")</f>
        <v>543.5318932997908</v>
      </c>
      <c r="F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 s="25">
        <f ca="1">IF(PaymentSchedule3[[#This Row],[Payment Number]]&lt;&gt;"",PaymentSchedule3[[#This Row],[Total
Payment]]-PaymentSchedule3[[#This Row],[Interest]],"")</f>
        <v>122.16379702187328</v>
      </c>
      <c r="I19" s="25">
        <f ca="1">IF(PaymentSchedule3[[#This Row],[Payment Number]]&lt;&gt;"",PaymentSchedule3[[#This Row],[Beginning
Balance]]*(InterestRate/PaymentsPerYear),"")</f>
        <v>421.36809627791752</v>
      </c>
      <c r="J19" s="25">
        <f ca="1">IF(PaymentSchedule3[[#This Row],[Payment Number]]&lt;&gt;"",IF(PaymentSchedule3[[#This Row],[Scheduled Payment]]+PaymentSchedule3[[#This Row],[Extra
Payment]]&lt;=PaymentSchedule3[[#This Row],[Beginning
Balance]],PaymentSchedule3[[#This Row],[Beginning
Balance]]-PaymentSchedule3[[#This Row],[Principal]],0),"")</f>
        <v>101006.17930967834</v>
      </c>
      <c r="K19" s="25">
        <f ca="1">IF(PaymentSchedule3[[#This Row],[Payment Number]]&lt;&gt;"",SUM(INDEX(PaymentSchedule3[Interest],1,1):PaymentSchedule3[[#This Row],[Interest]]),"")</f>
        <v>843.24309627791752</v>
      </c>
      <c r="L19" s="49">
        <f ca="1">LoanAmount-PaymentSchedule3[[#This Row],[Ending
Balance]]</f>
        <v>243.82069032166328</v>
      </c>
      <c r="M19" s="49">
        <f t="shared" ca="1" si="0"/>
        <v>908.5318932997908</v>
      </c>
      <c r="N19" s="25">
        <f ca="1">PaymentSchedule3[[#This Row],[Payment Number]]*$M$19</f>
        <v>1817.0637865995816</v>
      </c>
      <c r="O19" s="14"/>
      <c r="P19" s="39" t="s">
        <v>47</v>
      </c>
      <c r="Q19" s="38">
        <f>(E5+Q15+Q16+Q17+Q18)*0.02</f>
        <v>2922.566832</v>
      </c>
    </row>
    <row r="20" spans="1:17" ht="15.75" customHeight="1" x14ac:dyDescent="0.25">
      <c r="A20" s="14"/>
      <c r="B20" s="23">
        <f ca="1">IF(LoanIsGood,IF(ROW()-ROW(PaymentSchedule3[[#Headers],[Payment Number]])&gt;ScheduledNumberOfPayments,"",ROW()-ROW(PaymentSchedule3[[#Headers],[Payment Number]])),"")</f>
        <v>3</v>
      </c>
      <c r="C20" s="24">
        <f ca="1">IF(PaymentSchedule3[[#This Row],[Payment Number]]&lt;&gt;"",EOMONTH(LoanStartDate,ROW(PaymentSchedule3[[#This Row],[Payment Number]])-ROW(PaymentSchedule3[[#Headers],[Payment Number]])-2)+DAY(LoanStartDate),"")</f>
        <v>44694</v>
      </c>
      <c r="D20" s="25">
        <f ca="1">IF(PaymentSchedule3[[#This Row],[Payment Number]]&lt;&gt;"",IF(ROW()-ROW(PaymentSchedule3[[#Headers],[Beginning
Balance]])=1,LoanAmount,INDEX(PaymentSchedule3[Ending
Balance],ROW()-ROW(PaymentSchedule3[[#Headers],[Beginning
Balance]])-1)),"")</f>
        <v>101006.17930967834</v>
      </c>
      <c r="E20" s="25">
        <f ca="1">IF(PaymentSchedule3[[#This Row],[Payment Number]]&lt;&gt;"",ScheduledPayment,"")</f>
        <v>543.5318932997908</v>
      </c>
      <c r="F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 s="25">
        <f ca="1">IF(PaymentSchedule3[[#This Row],[Payment Number]]&lt;&gt;"",PaymentSchedule3[[#This Row],[Total
Payment]]-PaymentSchedule3[[#This Row],[Interest]],"")</f>
        <v>122.67281284279773</v>
      </c>
      <c r="I20" s="25">
        <f ca="1">IF(PaymentSchedule3[[#This Row],[Payment Number]]&lt;&gt;"",PaymentSchedule3[[#This Row],[Beginning
Balance]]*(InterestRate/PaymentsPerYear),"")</f>
        <v>420.85908045699307</v>
      </c>
      <c r="J20" s="25">
        <f ca="1">IF(PaymentSchedule3[[#This Row],[Payment Number]]&lt;&gt;"",IF(PaymentSchedule3[[#This Row],[Scheduled Payment]]+PaymentSchedule3[[#This Row],[Extra
Payment]]&lt;=PaymentSchedule3[[#This Row],[Beginning
Balance]],PaymentSchedule3[[#This Row],[Beginning
Balance]]-PaymentSchedule3[[#This Row],[Principal]],0),"")</f>
        <v>100883.50649683554</v>
      </c>
      <c r="K20" s="25">
        <f ca="1">IF(PaymentSchedule3[[#This Row],[Payment Number]]&lt;&gt;"",SUM(INDEX(PaymentSchedule3[Interest],1,1):PaymentSchedule3[[#This Row],[Interest]]),"")</f>
        <v>1264.1021767349107</v>
      </c>
      <c r="L20" s="49">
        <f ca="1">LoanAmount-PaymentSchedule3[[#This Row],[Ending
Balance]]</f>
        <v>366.49350316445634</v>
      </c>
      <c r="M20" s="49">
        <f t="shared" ca="1" si="0"/>
        <v>908.5318932997908</v>
      </c>
      <c r="N20" s="25">
        <f ca="1">PaymentSchedule3[[#This Row],[Payment Number]]*$M$19</f>
        <v>2725.5956798993725</v>
      </c>
      <c r="O20" s="14"/>
      <c r="P20" s="39" t="s">
        <v>48</v>
      </c>
      <c r="Q20" s="51">
        <f>SUM(Q15:Q19)</f>
        <v>14050.908432</v>
      </c>
    </row>
    <row r="21" spans="1:17" ht="15.75" customHeight="1" x14ac:dyDescent="0.25">
      <c r="A21" s="14"/>
      <c r="B21" s="23">
        <f ca="1">IF(LoanIsGood,IF(ROW()-ROW(PaymentSchedule3[[#Headers],[Payment Number]])&gt;ScheduledNumberOfPayments,"",ROW()-ROW(PaymentSchedule3[[#Headers],[Payment Number]])),"")</f>
        <v>4</v>
      </c>
      <c r="C21" s="24">
        <f ca="1">IF(PaymentSchedule3[[#This Row],[Payment Number]]&lt;&gt;"",EOMONTH(LoanStartDate,ROW(PaymentSchedule3[[#This Row],[Payment Number]])-ROW(PaymentSchedule3[[#Headers],[Payment Number]])-2)+DAY(LoanStartDate),"")</f>
        <v>44725</v>
      </c>
      <c r="D21" s="25">
        <f ca="1">IF(PaymentSchedule3[[#This Row],[Payment Number]]&lt;&gt;"",IF(ROW()-ROW(PaymentSchedule3[[#Headers],[Beginning
Balance]])=1,LoanAmount,INDEX(PaymentSchedule3[Ending
Balance],ROW()-ROW(PaymentSchedule3[[#Headers],[Beginning
Balance]])-1)),"")</f>
        <v>100883.50649683554</v>
      </c>
      <c r="E21" s="25">
        <f ca="1">IF(PaymentSchedule3[[#This Row],[Payment Number]]&lt;&gt;"",ScheduledPayment,"")</f>
        <v>543.5318932997908</v>
      </c>
      <c r="F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 s="25">
        <f ca="1">IF(PaymentSchedule3[[#This Row],[Payment Number]]&lt;&gt;"",PaymentSchedule3[[#This Row],[Total
Payment]]-PaymentSchedule3[[#This Row],[Interest]],"")</f>
        <v>123.18394956297601</v>
      </c>
      <c r="I21" s="25">
        <f ca="1">IF(PaymentSchedule3[[#This Row],[Payment Number]]&lt;&gt;"",PaymentSchedule3[[#This Row],[Beginning
Balance]]*(InterestRate/PaymentsPerYear),"")</f>
        <v>420.34794373681478</v>
      </c>
      <c r="J21" s="25">
        <f ca="1">IF(PaymentSchedule3[[#This Row],[Payment Number]]&lt;&gt;"",IF(PaymentSchedule3[[#This Row],[Scheduled Payment]]+PaymentSchedule3[[#This Row],[Extra
Payment]]&lt;=PaymentSchedule3[[#This Row],[Beginning
Balance]],PaymentSchedule3[[#This Row],[Beginning
Balance]]-PaymentSchedule3[[#This Row],[Principal]],0),"")</f>
        <v>100760.32254727256</v>
      </c>
      <c r="K21" s="25">
        <f ca="1">IF(PaymentSchedule3[[#This Row],[Payment Number]]&lt;&gt;"",SUM(INDEX(PaymentSchedule3[Interest],1,1):PaymentSchedule3[[#This Row],[Interest]]),"")</f>
        <v>1684.4501204717255</v>
      </c>
      <c r="L21" s="49">
        <f ca="1">LoanAmount-PaymentSchedule3[[#This Row],[Ending
Balance]]</f>
        <v>489.67745272743923</v>
      </c>
      <c r="M21" s="49">
        <f t="shared" ca="1" si="0"/>
        <v>908.5318932997908</v>
      </c>
      <c r="N21" s="25">
        <f ca="1">PaymentSchedule3[[#This Row],[Payment Number]]*$M$19</f>
        <v>3634.1275731991632</v>
      </c>
      <c r="O21" s="14"/>
    </row>
    <row r="22" spans="1:17" ht="15.75" customHeight="1" x14ac:dyDescent="0.25">
      <c r="A22" s="14"/>
      <c r="B22" s="23">
        <f ca="1">IF(LoanIsGood,IF(ROW()-ROW(PaymentSchedule3[[#Headers],[Payment Number]])&gt;ScheduledNumberOfPayments,"",ROW()-ROW(PaymentSchedule3[[#Headers],[Payment Number]])),"")</f>
        <v>5</v>
      </c>
      <c r="C22" s="24">
        <f ca="1">IF(PaymentSchedule3[[#This Row],[Payment Number]]&lt;&gt;"",EOMONTH(LoanStartDate,ROW(PaymentSchedule3[[#This Row],[Payment Number]])-ROW(PaymentSchedule3[[#Headers],[Payment Number]])-2)+DAY(LoanStartDate),"")</f>
        <v>44755</v>
      </c>
      <c r="D22" s="25">
        <f ca="1">IF(PaymentSchedule3[[#This Row],[Payment Number]]&lt;&gt;"",IF(ROW()-ROW(PaymentSchedule3[[#Headers],[Beginning
Balance]])=1,LoanAmount,INDEX(PaymentSchedule3[Ending
Balance],ROW()-ROW(PaymentSchedule3[[#Headers],[Beginning
Balance]])-1)),"")</f>
        <v>100760.32254727256</v>
      </c>
      <c r="E22" s="25">
        <f ca="1">IF(PaymentSchedule3[[#This Row],[Payment Number]]&lt;&gt;"",ScheduledPayment,"")</f>
        <v>543.5318932997908</v>
      </c>
      <c r="F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 s="25">
        <f ca="1">IF(PaymentSchedule3[[#This Row],[Payment Number]]&lt;&gt;"",PaymentSchedule3[[#This Row],[Total
Payment]]-PaymentSchedule3[[#This Row],[Interest]],"")</f>
        <v>123.69721601948845</v>
      </c>
      <c r="I22" s="25">
        <f ca="1">IF(PaymentSchedule3[[#This Row],[Payment Number]]&lt;&gt;"",PaymentSchedule3[[#This Row],[Beginning
Balance]]*(InterestRate/PaymentsPerYear),"")</f>
        <v>419.83467728030234</v>
      </c>
      <c r="J22" s="25">
        <f ca="1">IF(PaymentSchedule3[[#This Row],[Payment Number]]&lt;&gt;"",IF(PaymentSchedule3[[#This Row],[Scheduled Payment]]+PaymentSchedule3[[#This Row],[Extra
Payment]]&lt;=PaymentSchedule3[[#This Row],[Beginning
Balance]],PaymentSchedule3[[#This Row],[Beginning
Balance]]-PaymentSchedule3[[#This Row],[Principal]],0),"")</f>
        <v>100636.62533125308</v>
      </c>
      <c r="K22" s="25">
        <f ca="1">IF(PaymentSchedule3[[#This Row],[Payment Number]]&lt;&gt;"",SUM(INDEX(PaymentSchedule3[Interest],1,1):PaymentSchedule3[[#This Row],[Interest]]),"")</f>
        <v>2104.2847977520278</v>
      </c>
      <c r="L22" s="49">
        <f ca="1">LoanAmount-PaymentSchedule3[[#This Row],[Ending
Balance]]</f>
        <v>613.37466874692473</v>
      </c>
      <c r="M22" s="49">
        <f t="shared" ca="1" si="0"/>
        <v>908.5318932997908</v>
      </c>
      <c r="N22" s="25">
        <f ca="1">PaymentSchedule3[[#This Row],[Payment Number]]*$M$19</f>
        <v>4542.6594664989543</v>
      </c>
      <c r="O22" s="14"/>
      <c r="P22" s="39" t="s">
        <v>53</v>
      </c>
      <c r="Q22" s="38">
        <f ca="1">(12*Q31)+Q15+Q7</f>
        <v>10391.424692789584</v>
      </c>
    </row>
    <row r="23" spans="1:17" ht="15.75" customHeight="1" x14ac:dyDescent="0.25">
      <c r="A23" s="14"/>
      <c r="B23" s="23">
        <f ca="1">IF(LoanIsGood,IF(ROW()-ROW(PaymentSchedule3[[#Headers],[Payment Number]])&gt;ScheduledNumberOfPayments,"",ROW()-ROW(PaymentSchedule3[[#Headers],[Payment Number]])),"")</f>
        <v>6</v>
      </c>
      <c r="C23" s="24">
        <f ca="1">IF(PaymentSchedule3[[#This Row],[Payment Number]]&lt;&gt;"",EOMONTH(LoanStartDate,ROW(PaymentSchedule3[[#This Row],[Payment Number]])-ROW(PaymentSchedule3[[#Headers],[Payment Number]])-2)+DAY(LoanStartDate),"")</f>
        <v>44786</v>
      </c>
      <c r="D23" s="25">
        <f ca="1">IF(PaymentSchedule3[[#This Row],[Payment Number]]&lt;&gt;"",IF(ROW()-ROW(PaymentSchedule3[[#Headers],[Beginning
Balance]])=1,LoanAmount,INDEX(PaymentSchedule3[Ending
Balance],ROW()-ROW(PaymentSchedule3[[#Headers],[Beginning
Balance]])-1)),"")</f>
        <v>100636.62533125308</v>
      </c>
      <c r="E23" s="25">
        <f ca="1">IF(PaymentSchedule3[[#This Row],[Payment Number]]&lt;&gt;"",ScheduledPayment,"")</f>
        <v>543.5318932997908</v>
      </c>
      <c r="F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 s="25">
        <f ca="1">IF(PaymentSchedule3[[#This Row],[Payment Number]]&lt;&gt;"",PaymentSchedule3[[#This Row],[Total
Payment]]-PaymentSchedule3[[#This Row],[Interest]],"")</f>
        <v>124.21262108623631</v>
      </c>
      <c r="I23" s="25">
        <f ca="1">IF(PaymentSchedule3[[#This Row],[Payment Number]]&lt;&gt;"",PaymentSchedule3[[#This Row],[Beginning
Balance]]*(InterestRate/PaymentsPerYear),"")</f>
        <v>419.31927221355448</v>
      </c>
      <c r="J23" s="25">
        <f ca="1">IF(PaymentSchedule3[[#This Row],[Payment Number]]&lt;&gt;"",IF(PaymentSchedule3[[#This Row],[Scheduled Payment]]+PaymentSchedule3[[#This Row],[Extra
Payment]]&lt;=PaymentSchedule3[[#This Row],[Beginning
Balance]],PaymentSchedule3[[#This Row],[Beginning
Balance]]-PaymentSchedule3[[#This Row],[Principal]],0),"")</f>
        <v>100512.41271016684</v>
      </c>
      <c r="K23" s="25">
        <f ca="1">IF(PaymentSchedule3[[#This Row],[Payment Number]]&lt;&gt;"",SUM(INDEX(PaymentSchedule3[Interest],1,1):PaymentSchedule3[[#This Row],[Interest]]),"")</f>
        <v>2523.6040699655823</v>
      </c>
      <c r="L23" s="49">
        <f ca="1">LoanAmount-PaymentSchedule3[[#This Row],[Ending
Balance]]</f>
        <v>737.58728983315814</v>
      </c>
      <c r="M23" s="49">
        <f t="shared" ca="1" si="0"/>
        <v>908.5318932997908</v>
      </c>
      <c r="N23" s="25">
        <f ca="1">PaymentSchedule3[[#This Row],[Payment Number]]*$M$19</f>
        <v>5451.191359798745</v>
      </c>
      <c r="O23" s="14"/>
      <c r="P23" s="39" t="s">
        <v>54</v>
      </c>
      <c r="Q23" s="38">
        <f ca="1">(12*Q31)+Q8+Q16</f>
        <v>10521.850715077107</v>
      </c>
    </row>
    <row r="24" spans="1:17" ht="15.75" customHeight="1" x14ac:dyDescent="0.25">
      <c r="A24" s="14"/>
      <c r="B24" s="23">
        <f ca="1">IF(LoanIsGood,IF(ROW()-ROW(PaymentSchedule3[[#Headers],[Payment Number]])&gt;ScheduledNumberOfPayments,"",ROW()-ROW(PaymentSchedule3[[#Headers],[Payment Number]])),"")</f>
        <v>7</v>
      </c>
      <c r="C24" s="24">
        <f ca="1">IF(PaymentSchedule3[[#This Row],[Payment Number]]&lt;&gt;"",EOMONTH(LoanStartDate,ROW(PaymentSchedule3[[#This Row],[Payment Number]])-ROW(PaymentSchedule3[[#Headers],[Payment Number]])-2)+DAY(LoanStartDate),"")</f>
        <v>44817</v>
      </c>
      <c r="D24" s="25">
        <f ca="1">IF(PaymentSchedule3[[#This Row],[Payment Number]]&lt;&gt;"",IF(ROW()-ROW(PaymentSchedule3[[#Headers],[Beginning
Balance]])=1,LoanAmount,INDEX(PaymentSchedule3[Ending
Balance],ROW()-ROW(PaymentSchedule3[[#Headers],[Beginning
Balance]])-1)),"")</f>
        <v>100512.41271016684</v>
      </c>
      <c r="E24" s="25">
        <f ca="1">IF(PaymentSchedule3[[#This Row],[Payment Number]]&lt;&gt;"",ScheduledPayment,"")</f>
        <v>543.5318932997908</v>
      </c>
      <c r="F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 s="25">
        <f ca="1">IF(PaymentSchedule3[[#This Row],[Payment Number]]&lt;&gt;"",PaymentSchedule3[[#This Row],[Total
Payment]]-PaymentSchedule3[[#This Row],[Interest]],"")</f>
        <v>124.73017367409562</v>
      </c>
      <c r="I24" s="25">
        <f ca="1">IF(PaymentSchedule3[[#This Row],[Payment Number]]&lt;&gt;"",PaymentSchedule3[[#This Row],[Beginning
Balance]]*(InterestRate/PaymentsPerYear),"")</f>
        <v>418.80171962569517</v>
      </c>
      <c r="J24" s="25">
        <f ca="1">IF(PaymentSchedule3[[#This Row],[Payment Number]]&lt;&gt;"",IF(PaymentSchedule3[[#This Row],[Scheduled Payment]]+PaymentSchedule3[[#This Row],[Extra
Payment]]&lt;=PaymentSchedule3[[#This Row],[Beginning
Balance]],PaymentSchedule3[[#This Row],[Beginning
Balance]]-PaymentSchedule3[[#This Row],[Principal]],0),"")</f>
        <v>100387.68253649275</v>
      </c>
      <c r="K24" s="25">
        <f ca="1">IF(PaymentSchedule3[[#This Row],[Payment Number]]&lt;&gt;"",SUM(INDEX(PaymentSchedule3[Interest],1,1):PaymentSchedule3[[#This Row],[Interest]]),"")</f>
        <v>2942.4057895912774</v>
      </c>
      <c r="L24" s="49">
        <f ca="1">LoanAmount-PaymentSchedule3[[#This Row],[Ending
Balance]]</f>
        <v>862.31746350725007</v>
      </c>
      <c r="M24" s="49">
        <f t="shared" ca="1" si="0"/>
        <v>908.5318932997908</v>
      </c>
      <c r="N24" s="25">
        <f ca="1">PaymentSchedule3[[#This Row],[Payment Number]]*$M$19</f>
        <v>6359.7232530985357</v>
      </c>
      <c r="O24" s="14"/>
      <c r="P24" s="39" t="s">
        <v>55</v>
      </c>
      <c r="Q24" s="38">
        <f ca="1">(12*Q31)+Q17+Q9</f>
        <v>10657.266837712412</v>
      </c>
    </row>
    <row r="25" spans="1:17" ht="15.75" customHeight="1" x14ac:dyDescent="0.25">
      <c r="A25" s="14"/>
      <c r="B25" s="23">
        <f ca="1">IF(LoanIsGood,IF(ROW()-ROW(PaymentSchedule3[[#Headers],[Payment Number]])&gt;ScheduledNumberOfPayments,"",ROW()-ROW(PaymentSchedule3[[#Headers],[Payment Number]])),"")</f>
        <v>8</v>
      </c>
      <c r="C25" s="24">
        <f ca="1">IF(PaymentSchedule3[[#This Row],[Payment Number]]&lt;&gt;"",EOMONTH(LoanStartDate,ROW(PaymentSchedule3[[#This Row],[Payment Number]])-ROW(PaymentSchedule3[[#Headers],[Payment Number]])-2)+DAY(LoanStartDate),"")</f>
        <v>44847</v>
      </c>
      <c r="D25" s="25">
        <f ca="1">IF(PaymentSchedule3[[#This Row],[Payment Number]]&lt;&gt;"",IF(ROW()-ROW(PaymentSchedule3[[#Headers],[Beginning
Balance]])=1,LoanAmount,INDEX(PaymentSchedule3[Ending
Balance],ROW()-ROW(PaymentSchedule3[[#Headers],[Beginning
Balance]])-1)),"")</f>
        <v>100387.68253649275</v>
      </c>
      <c r="E25" s="25">
        <f ca="1">IF(PaymentSchedule3[[#This Row],[Payment Number]]&lt;&gt;"",ScheduledPayment,"")</f>
        <v>543.5318932997908</v>
      </c>
      <c r="F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 s="25">
        <f ca="1">IF(PaymentSchedule3[[#This Row],[Payment Number]]&lt;&gt;"",PaymentSchedule3[[#This Row],[Total
Payment]]-PaymentSchedule3[[#This Row],[Interest]],"")</f>
        <v>125.24988273107101</v>
      </c>
      <c r="I25" s="25">
        <f ca="1">IF(PaymentSchedule3[[#This Row],[Payment Number]]&lt;&gt;"",PaymentSchedule3[[#This Row],[Beginning
Balance]]*(InterestRate/PaymentsPerYear),"")</f>
        <v>418.28201056871978</v>
      </c>
      <c r="J25" s="25">
        <f ca="1">IF(PaymentSchedule3[[#This Row],[Payment Number]]&lt;&gt;"",IF(PaymentSchedule3[[#This Row],[Scheduled Payment]]+PaymentSchedule3[[#This Row],[Extra
Payment]]&lt;=PaymentSchedule3[[#This Row],[Beginning
Balance]],PaymentSchedule3[[#This Row],[Beginning
Balance]]-PaymentSchedule3[[#This Row],[Principal]],0),"")</f>
        <v>100262.43265376167</v>
      </c>
      <c r="K25" s="25">
        <f ca="1">IF(PaymentSchedule3[[#This Row],[Payment Number]]&lt;&gt;"",SUM(INDEX(PaymentSchedule3[Interest],1,1):PaymentSchedule3[[#This Row],[Interest]]),"")</f>
        <v>3360.6878001599971</v>
      </c>
      <c r="L25" s="49">
        <f ca="1">LoanAmount-PaymentSchedule3[[#This Row],[Ending
Balance]]</f>
        <v>987.56734623832745</v>
      </c>
      <c r="M25" s="49">
        <f t="shared" ca="1" si="0"/>
        <v>908.5318932997908</v>
      </c>
      <c r="N25" s="25">
        <f ca="1">PaymentSchedule3[[#This Row],[Payment Number]]*$M$19</f>
        <v>7268.2551463983264</v>
      </c>
      <c r="O25" s="14"/>
      <c r="P25" s="39" t="s">
        <v>56</v>
      </c>
      <c r="Q25" s="38">
        <f ca="1">(12*Q31)+Q18+Q10</f>
        <v>10797.894708850199</v>
      </c>
    </row>
    <row r="26" spans="1:17" ht="15.75" customHeight="1" x14ac:dyDescent="0.25">
      <c r="A26" s="14"/>
      <c r="B26" s="23">
        <f ca="1">IF(LoanIsGood,IF(ROW()-ROW(PaymentSchedule3[[#Headers],[Payment Number]])&gt;ScheduledNumberOfPayments,"",ROW()-ROW(PaymentSchedule3[[#Headers],[Payment Number]])),"")</f>
        <v>9</v>
      </c>
      <c r="C26" s="24">
        <f ca="1">IF(PaymentSchedule3[[#This Row],[Payment Number]]&lt;&gt;"",EOMONTH(LoanStartDate,ROW(PaymentSchedule3[[#This Row],[Payment Number]])-ROW(PaymentSchedule3[[#Headers],[Payment Number]])-2)+DAY(LoanStartDate),"")</f>
        <v>44878</v>
      </c>
      <c r="D26" s="25">
        <f ca="1">IF(PaymentSchedule3[[#This Row],[Payment Number]]&lt;&gt;"",IF(ROW()-ROW(PaymentSchedule3[[#Headers],[Beginning
Balance]])=1,LoanAmount,INDEX(PaymentSchedule3[Ending
Balance],ROW()-ROW(PaymentSchedule3[[#Headers],[Beginning
Balance]])-1)),"")</f>
        <v>100262.43265376167</v>
      </c>
      <c r="E26" s="25">
        <f ca="1">IF(PaymentSchedule3[[#This Row],[Payment Number]]&lt;&gt;"",ScheduledPayment,"")</f>
        <v>543.5318932997908</v>
      </c>
      <c r="F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 s="25">
        <f ca="1">IF(PaymentSchedule3[[#This Row],[Payment Number]]&lt;&gt;"",PaymentSchedule3[[#This Row],[Total
Payment]]-PaymentSchedule3[[#This Row],[Interest]],"")</f>
        <v>125.77175724245052</v>
      </c>
      <c r="I26" s="25">
        <f ca="1">IF(PaymentSchedule3[[#This Row],[Payment Number]]&lt;&gt;"",PaymentSchedule3[[#This Row],[Beginning
Balance]]*(InterestRate/PaymentsPerYear),"")</f>
        <v>417.76013605734028</v>
      </c>
      <c r="J26" s="25">
        <f ca="1">IF(PaymentSchedule3[[#This Row],[Payment Number]]&lt;&gt;"",IF(PaymentSchedule3[[#This Row],[Scheduled Payment]]+PaymentSchedule3[[#This Row],[Extra
Payment]]&lt;=PaymentSchedule3[[#This Row],[Beginning
Balance]],PaymentSchedule3[[#This Row],[Beginning
Balance]]-PaymentSchedule3[[#This Row],[Principal]],0),"")</f>
        <v>100136.66089651923</v>
      </c>
      <c r="K26" s="25">
        <f ca="1">IF(PaymentSchedule3[[#This Row],[Payment Number]]&lt;&gt;"",SUM(INDEX(PaymentSchedule3[Interest],1,1):PaymentSchedule3[[#This Row],[Interest]]),"")</f>
        <v>3778.4479362173374</v>
      </c>
      <c r="L26" s="49">
        <f ca="1">LoanAmount-PaymentSchedule3[[#This Row],[Ending
Balance]]</f>
        <v>1113.3391034807719</v>
      </c>
      <c r="M26" s="49">
        <f t="shared" ca="1" si="0"/>
        <v>908.5318932997908</v>
      </c>
      <c r="N26" s="25">
        <f ca="1">PaymentSchedule3[[#This Row],[Payment Number]]*$M$19</f>
        <v>8176.787039698117</v>
      </c>
      <c r="O26" s="14"/>
      <c r="P26" s="39" t="s">
        <v>56</v>
      </c>
      <c r="Q26" s="38">
        <f ca="1">(12*Q31)+Q19+Q11</f>
        <v>10943.966643488431</v>
      </c>
    </row>
    <row r="27" spans="1:17" ht="15.75" customHeight="1" x14ac:dyDescent="0.25">
      <c r="A27" s="15"/>
      <c r="B27" s="23">
        <f ca="1">IF(LoanIsGood,IF(ROW()-ROW(PaymentSchedule3[[#Headers],[Payment Number]])&gt;ScheduledNumberOfPayments,"",ROW()-ROW(PaymentSchedule3[[#Headers],[Payment Number]])),"")</f>
        <v>10</v>
      </c>
      <c r="C27" s="24">
        <f ca="1">IF(PaymentSchedule3[[#This Row],[Payment Number]]&lt;&gt;"",EOMONTH(LoanStartDate,ROW(PaymentSchedule3[[#This Row],[Payment Number]])-ROW(PaymentSchedule3[[#Headers],[Payment Number]])-2)+DAY(LoanStartDate),"")</f>
        <v>44908</v>
      </c>
      <c r="D27" s="25">
        <f ca="1">IF(PaymentSchedule3[[#This Row],[Payment Number]]&lt;&gt;"",IF(ROW()-ROW(PaymentSchedule3[[#Headers],[Beginning
Balance]])=1,LoanAmount,INDEX(PaymentSchedule3[Ending
Balance],ROW()-ROW(PaymentSchedule3[[#Headers],[Beginning
Balance]])-1)),"")</f>
        <v>100136.66089651923</v>
      </c>
      <c r="E27" s="25">
        <f ca="1">IF(PaymentSchedule3[[#This Row],[Payment Number]]&lt;&gt;"",ScheduledPayment,"")</f>
        <v>543.5318932997908</v>
      </c>
      <c r="F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 s="25">
        <f ca="1">IF(PaymentSchedule3[[#This Row],[Payment Number]]&lt;&gt;"",PaymentSchedule3[[#This Row],[Total
Payment]]-PaymentSchedule3[[#This Row],[Interest]],"")</f>
        <v>126.29580623096069</v>
      </c>
      <c r="I27" s="25">
        <f ca="1">IF(PaymentSchedule3[[#This Row],[Payment Number]]&lt;&gt;"",PaymentSchedule3[[#This Row],[Beginning
Balance]]*(InterestRate/PaymentsPerYear),"")</f>
        <v>417.2360870688301</v>
      </c>
      <c r="J27" s="25">
        <f ca="1">IF(PaymentSchedule3[[#This Row],[Payment Number]]&lt;&gt;"",IF(PaymentSchedule3[[#This Row],[Scheduled Payment]]+PaymentSchedule3[[#This Row],[Extra
Payment]]&lt;=PaymentSchedule3[[#This Row],[Beginning
Balance]],PaymentSchedule3[[#This Row],[Beginning
Balance]]-PaymentSchedule3[[#This Row],[Principal]],0),"")</f>
        <v>100010.36509028827</v>
      </c>
      <c r="K27" s="25">
        <f ca="1">IF(PaymentSchedule3[[#This Row],[Payment Number]]&lt;&gt;"",SUM(INDEX(PaymentSchedule3[Interest],1,1):PaymentSchedule3[[#This Row],[Interest]]),"")</f>
        <v>4195.6840232861678</v>
      </c>
      <c r="L27" s="49">
        <f ca="1">LoanAmount-PaymentSchedule3[[#This Row],[Ending
Balance]]</f>
        <v>1239.6349097117345</v>
      </c>
      <c r="M27" s="49">
        <f t="shared" ca="1" si="0"/>
        <v>908.5318932997908</v>
      </c>
      <c r="N27" s="25">
        <f ca="1">PaymentSchedule3[[#This Row],[Payment Number]]*$M$19</f>
        <v>9085.3189329979086</v>
      </c>
      <c r="O27" s="14"/>
      <c r="P27" s="39" t="s">
        <v>57</v>
      </c>
      <c r="Q27" s="51">
        <f ca="1">SUM(Q22:Q26)</f>
        <v>53312.403597917728</v>
      </c>
    </row>
    <row r="28" spans="1:17" ht="15.75" customHeight="1" x14ac:dyDescent="0.25">
      <c r="B28" s="23">
        <f ca="1">IF(LoanIsGood,IF(ROW()-ROW(PaymentSchedule3[[#Headers],[Payment Number]])&gt;ScheduledNumberOfPayments,"",ROW()-ROW(PaymentSchedule3[[#Headers],[Payment Number]])),"")</f>
        <v>11</v>
      </c>
      <c r="C28" s="24">
        <f ca="1">IF(PaymentSchedule3[[#This Row],[Payment Number]]&lt;&gt;"",EOMONTH(LoanStartDate,ROW(PaymentSchedule3[[#This Row],[Payment Number]])-ROW(PaymentSchedule3[[#Headers],[Payment Number]])-2)+DAY(LoanStartDate),"")</f>
        <v>44939</v>
      </c>
      <c r="D28" s="25">
        <f ca="1">IF(PaymentSchedule3[[#This Row],[Payment Number]]&lt;&gt;"",IF(ROW()-ROW(PaymentSchedule3[[#Headers],[Beginning
Balance]])=1,LoanAmount,INDEX(PaymentSchedule3[Ending
Balance],ROW()-ROW(PaymentSchedule3[[#Headers],[Beginning
Balance]])-1)),"")</f>
        <v>100010.36509028827</v>
      </c>
      <c r="E28" s="25">
        <f ca="1">IF(PaymentSchedule3[[#This Row],[Payment Number]]&lt;&gt;"",ScheduledPayment,"")</f>
        <v>543.5318932997908</v>
      </c>
      <c r="F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 s="25">
        <f ca="1">IF(PaymentSchedule3[[#This Row],[Payment Number]]&lt;&gt;"",PaymentSchedule3[[#This Row],[Total
Payment]]-PaymentSchedule3[[#This Row],[Interest]],"")</f>
        <v>126.82203875692301</v>
      </c>
      <c r="I28" s="25">
        <f ca="1">IF(PaymentSchedule3[[#This Row],[Payment Number]]&lt;&gt;"",PaymentSchedule3[[#This Row],[Beginning
Balance]]*(InterestRate/PaymentsPerYear),"")</f>
        <v>416.70985454286779</v>
      </c>
      <c r="J28" s="25">
        <f ca="1">IF(PaymentSchedule3[[#This Row],[Payment Number]]&lt;&gt;"",IF(PaymentSchedule3[[#This Row],[Scheduled Payment]]+PaymentSchedule3[[#This Row],[Extra
Payment]]&lt;=PaymentSchedule3[[#This Row],[Beginning
Balance]],PaymentSchedule3[[#This Row],[Beginning
Balance]]-PaymentSchedule3[[#This Row],[Principal]],0),"")</f>
        <v>99883.543051531349</v>
      </c>
      <c r="K28" s="25">
        <f ca="1">IF(PaymentSchedule3[[#This Row],[Payment Number]]&lt;&gt;"",SUM(INDEX(PaymentSchedule3[Interest],1,1):PaymentSchedule3[[#This Row],[Interest]]),"")</f>
        <v>4612.3938778290358</v>
      </c>
      <c r="L28" s="49">
        <f ca="1">LoanAmount-PaymentSchedule3[[#This Row],[Ending
Balance]]</f>
        <v>1366.4569484686508</v>
      </c>
      <c r="M28" s="49">
        <f t="shared" ca="1" si="0"/>
        <v>908.5318932997908</v>
      </c>
      <c r="N28" s="25">
        <f ca="1">PaymentSchedule3[[#This Row],[Payment Number]]*$M$19</f>
        <v>9993.8508262976993</v>
      </c>
    </row>
    <row r="29" spans="1:17" ht="15.75" x14ac:dyDescent="0.25">
      <c r="B29" s="23">
        <f ca="1">IF(LoanIsGood,IF(ROW()-ROW(PaymentSchedule3[[#Headers],[Payment Number]])&gt;ScheduledNumberOfPayments,"",ROW()-ROW(PaymentSchedule3[[#Headers],[Payment Number]])),"")</f>
        <v>12</v>
      </c>
      <c r="C29" s="24">
        <f ca="1">IF(PaymentSchedule3[[#This Row],[Payment Number]]&lt;&gt;"",EOMONTH(LoanStartDate,ROW(PaymentSchedule3[[#This Row],[Payment Number]])-ROW(PaymentSchedule3[[#Headers],[Payment Number]])-2)+DAY(LoanStartDate),"")</f>
        <v>44970</v>
      </c>
      <c r="D29" s="25">
        <f ca="1">IF(PaymentSchedule3[[#This Row],[Payment Number]]&lt;&gt;"",IF(ROW()-ROW(PaymentSchedule3[[#Headers],[Beginning
Balance]])=1,LoanAmount,INDEX(PaymentSchedule3[Ending
Balance],ROW()-ROW(PaymentSchedule3[[#Headers],[Beginning
Balance]])-1)),"")</f>
        <v>99883.543051531349</v>
      </c>
      <c r="E29" s="25">
        <f ca="1">IF(PaymentSchedule3[[#This Row],[Payment Number]]&lt;&gt;"",ScheduledPayment,"")</f>
        <v>543.5318932997908</v>
      </c>
      <c r="F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 s="25">
        <f ca="1">IF(PaymentSchedule3[[#This Row],[Payment Number]]&lt;&gt;"",PaymentSchedule3[[#This Row],[Total
Payment]]-PaymentSchedule3[[#This Row],[Interest]],"")</f>
        <v>127.35046391841018</v>
      </c>
      <c r="I29" s="25">
        <f ca="1">IF(PaymentSchedule3[[#This Row],[Payment Number]]&lt;&gt;"",PaymentSchedule3[[#This Row],[Beginning
Balance]]*(InterestRate/PaymentsPerYear),"")</f>
        <v>416.18142938138061</v>
      </c>
      <c r="J29" s="25">
        <f ca="1">IF(PaymentSchedule3[[#This Row],[Payment Number]]&lt;&gt;"",IF(PaymentSchedule3[[#This Row],[Scheduled Payment]]+PaymentSchedule3[[#This Row],[Extra
Payment]]&lt;=PaymentSchedule3[[#This Row],[Beginning
Balance]],PaymentSchedule3[[#This Row],[Beginning
Balance]]-PaymentSchedule3[[#This Row],[Principal]],0),"")</f>
        <v>99756.192587612939</v>
      </c>
      <c r="K29" s="25">
        <f ca="1">IF(PaymentSchedule3[[#This Row],[Payment Number]]&lt;&gt;"",SUM(INDEX(PaymentSchedule3[Interest],1,1):PaymentSchedule3[[#This Row],[Interest]]),"")</f>
        <v>5028.5753072104162</v>
      </c>
      <c r="L29" s="49">
        <f ca="1">LoanAmount-PaymentSchedule3[[#This Row],[Ending
Balance]]</f>
        <v>1493.807412387061</v>
      </c>
      <c r="M29" s="49">
        <f t="shared" ca="1" si="0"/>
        <v>908.5318932997908</v>
      </c>
      <c r="N29" s="25">
        <f ca="1">PaymentSchedule3[[#This Row],[Payment Number]]*$M$19</f>
        <v>10902.38271959749</v>
      </c>
      <c r="P29" s="53" t="s">
        <v>49</v>
      </c>
      <c r="Q29" s="54">
        <v>1425</v>
      </c>
    </row>
    <row r="30" spans="1:17" ht="15.75" x14ac:dyDescent="0.25">
      <c r="B30" s="23">
        <f ca="1">IF(LoanIsGood,IF(ROW()-ROW(PaymentSchedule3[[#Headers],[Payment Number]])&gt;ScheduledNumberOfPayments,"",ROW()-ROW(PaymentSchedule3[[#Headers],[Payment Number]])),"")</f>
        <v>13</v>
      </c>
      <c r="C30" s="24">
        <f ca="1">IF(PaymentSchedule3[[#This Row],[Payment Number]]&lt;&gt;"",EOMONTH(LoanStartDate,ROW(PaymentSchedule3[[#This Row],[Payment Number]])-ROW(PaymentSchedule3[[#Headers],[Payment Number]])-2)+DAY(LoanStartDate),"")</f>
        <v>44998</v>
      </c>
      <c r="D30" s="25">
        <f ca="1">IF(PaymentSchedule3[[#This Row],[Payment Number]]&lt;&gt;"",IF(ROW()-ROW(PaymentSchedule3[[#Headers],[Beginning
Balance]])=1,LoanAmount,INDEX(PaymentSchedule3[Ending
Balance],ROW()-ROW(PaymentSchedule3[[#Headers],[Beginning
Balance]])-1)),"")</f>
        <v>99756.192587612939</v>
      </c>
      <c r="E30" s="25">
        <f ca="1">IF(PaymentSchedule3[[#This Row],[Payment Number]]&lt;&gt;"",ScheduledPayment,"")</f>
        <v>543.5318932997908</v>
      </c>
      <c r="F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 s="25">
        <f ca="1">IF(PaymentSchedule3[[#This Row],[Payment Number]]&lt;&gt;"",PaymentSchedule3[[#This Row],[Total
Payment]]-PaymentSchedule3[[#This Row],[Interest]],"")</f>
        <v>127.88109085140354</v>
      </c>
      <c r="I30" s="25">
        <f ca="1">IF(PaymentSchedule3[[#This Row],[Payment Number]]&lt;&gt;"",PaymentSchedule3[[#This Row],[Beginning
Balance]]*(InterestRate/PaymentsPerYear),"")</f>
        <v>415.65080244838725</v>
      </c>
      <c r="J30" s="25">
        <f ca="1">IF(PaymentSchedule3[[#This Row],[Payment Number]]&lt;&gt;"",IF(PaymentSchedule3[[#This Row],[Scheduled Payment]]+PaymentSchedule3[[#This Row],[Extra
Payment]]&lt;=PaymentSchedule3[[#This Row],[Beginning
Balance]],PaymentSchedule3[[#This Row],[Beginning
Balance]]-PaymentSchedule3[[#This Row],[Principal]],0),"")</f>
        <v>99628.31149676154</v>
      </c>
      <c r="K30" s="25">
        <f ca="1">IF(PaymentSchedule3[[#This Row],[Payment Number]]&lt;&gt;"",SUM(INDEX(PaymentSchedule3[Interest],1,1):PaymentSchedule3[[#This Row],[Interest]]),"")</f>
        <v>5444.2261096588036</v>
      </c>
      <c r="L30" s="49">
        <f ca="1">LoanAmount-PaymentSchedule3[[#This Row],[Ending
Balance]]</f>
        <v>1621.6885032384598</v>
      </c>
      <c r="M30" s="49">
        <f t="shared" ca="1" si="0"/>
        <v>908.5318932997908</v>
      </c>
      <c r="N30" s="25">
        <f ca="1">PaymentSchedule3[[#This Row],[Payment Number]]*$M$19</f>
        <v>11810.914612897281</v>
      </c>
      <c r="P30" s="53" t="s">
        <v>50</v>
      </c>
      <c r="Q30" s="38">
        <f ca="1">I12</f>
        <v>908.5318932997908</v>
      </c>
    </row>
    <row r="31" spans="1:17" ht="15.75" x14ac:dyDescent="0.25">
      <c r="B31" s="23">
        <f ca="1">IF(LoanIsGood,IF(ROW()-ROW(PaymentSchedule3[[#Headers],[Payment Number]])&gt;ScheduledNumberOfPayments,"",ROW()-ROW(PaymentSchedule3[[#Headers],[Payment Number]])),"")</f>
        <v>14</v>
      </c>
      <c r="C31" s="24">
        <f ca="1">IF(PaymentSchedule3[[#This Row],[Payment Number]]&lt;&gt;"",EOMONTH(LoanStartDate,ROW(PaymentSchedule3[[#This Row],[Payment Number]])-ROW(PaymentSchedule3[[#Headers],[Payment Number]])-2)+DAY(LoanStartDate),"")</f>
        <v>45029</v>
      </c>
      <c r="D31" s="25">
        <f ca="1">IF(PaymentSchedule3[[#This Row],[Payment Number]]&lt;&gt;"",IF(ROW()-ROW(PaymentSchedule3[[#Headers],[Beginning
Balance]])=1,LoanAmount,INDEX(PaymentSchedule3[Ending
Balance],ROW()-ROW(PaymentSchedule3[[#Headers],[Beginning
Balance]])-1)),"")</f>
        <v>99628.31149676154</v>
      </c>
      <c r="E31" s="25">
        <f ca="1">IF(PaymentSchedule3[[#This Row],[Payment Number]]&lt;&gt;"",ScheduledPayment,"")</f>
        <v>543.5318932997908</v>
      </c>
      <c r="F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 s="25">
        <f ca="1">IF(PaymentSchedule3[[#This Row],[Payment Number]]&lt;&gt;"",PaymentSchedule3[[#This Row],[Total
Payment]]-PaymentSchedule3[[#This Row],[Interest]],"")</f>
        <v>128.41392872995107</v>
      </c>
      <c r="I31" s="25">
        <f ca="1">IF(PaymentSchedule3[[#This Row],[Payment Number]]&lt;&gt;"",PaymentSchedule3[[#This Row],[Beginning
Balance]]*(InterestRate/PaymentsPerYear),"")</f>
        <v>415.11796456983973</v>
      </c>
      <c r="J31" s="25">
        <f ca="1">IF(PaymentSchedule3[[#This Row],[Payment Number]]&lt;&gt;"",IF(PaymentSchedule3[[#This Row],[Scheduled Payment]]+PaymentSchedule3[[#This Row],[Extra
Payment]]&lt;=PaymentSchedule3[[#This Row],[Beginning
Balance]],PaymentSchedule3[[#This Row],[Beginning
Balance]]-PaymentSchedule3[[#This Row],[Principal]],0),"")</f>
        <v>99499.897568031593</v>
      </c>
      <c r="K31" s="25">
        <f ca="1">IF(PaymentSchedule3[[#This Row],[Payment Number]]&lt;&gt;"",SUM(INDEX(PaymentSchedule3[Interest],1,1):PaymentSchedule3[[#This Row],[Interest]]),"")</f>
        <v>5859.344074228643</v>
      </c>
      <c r="L31" s="49">
        <f ca="1">LoanAmount-PaymentSchedule3[[#This Row],[Ending
Balance]]</f>
        <v>1750.1024319684075</v>
      </c>
      <c r="M31" s="49">
        <f t="shared" ca="1" si="0"/>
        <v>908.5318932997908</v>
      </c>
      <c r="N31" s="25">
        <f ca="1">PaymentSchedule3[[#This Row],[Payment Number]]*$M$19</f>
        <v>12719.446506197071</v>
      </c>
      <c r="P31" s="53" t="s">
        <v>51</v>
      </c>
      <c r="Q31" s="51">
        <f ca="1">Q29-Q30</f>
        <v>516.4681067002092</v>
      </c>
    </row>
    <row r="32" spans="1:17" ht="15.75" x14ac:dyDescent="0.25">
      <c r="B32" s="23">
        <f ca="1">IF(LoanIsGood,IF(ROW()-ROW(PaymentSchedule3[[#Headers],[Payment Number]])&gt;ScheduledNumberOfPayments,"",ROW()-ROW(PaymentSchedule3[[#Headers],[Payment Number]])),"")</f>
        <v>15</v>
      </c>
      <c r="C32" s="24">
        <f ca="1">IF(PaymentSchedule3[[#This Row],[Payment Number]]&lt;&gt;"",EOMONTH(LoanStartDate,ROW(PaymentSchedule3[[#This Row],[Payment Number]])-ROW(PaymentSchedule3[[#Headers],[Payment Number]])-2)+DAY(LoanStartDate),"")</f>
        <v>45059</v>
      </c>
      <c r="D32" s="25">
        <f ca="1">IF(PaymentSchedule3[[#This Row],[Payment Number]]&lt;&gt;"",IF(ROW()-ROW(PaymentSchedule3[[#Headers],[Beginning
Balance]])=1,LoanAmount,INDEX(PaymentSchedule3[Ending
Balance],ROW()-ROW(PaymentSchedule3[[#Headers],[Beginning
Balance]])-1)),"")</f>
        <v>99499.897568031593</v>
      </c>
      <c r="E32" s="25">
        <f ca="1">IF(PaymentSchedule3[[#This Row],[Payment Number]]&lt;&gt;"",ScheduledPayment,"")</f>
        <v>543.5318932997908</v>
      </c>
      <c r="F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 s="25">
        <f ca="1">IF(PaymentSchedule3[[#This Row],[Payment Number]]&lt;&gt;"",PaymentSchedule3[[#This Row],[Total
Payment]]-PaymentSchedule3[[#This Row],[Interest]],"")</f>
        <v>128.94898676632585</v>
      </c>
      <c r="I32" s="25">
        <f ca="1">IF(PaymentSchedule3[[#This Row],[Payment Number]]&lt;&gt;"",PaymentSchedule3[[#This Row],[Beginning
Balance]]*(InterestRate/PaymentsPerYear),"")</f>
        <v>414.58290653346495</v>
      </c>
      <c r="J32" s="25">
        <f ca="1">IF(PaymentSchedule3[[#This Row],[Payment Number]]&lt;&gt;"",IF(PaymentSchedule3[[#This Row],[Scheduled Payment]]+PaymentSchedule3[[#This Row],[Extra
Payment]]&lt;=PaymentSchedule3[[#This Row],[Beginning
Balance]],PaymentSchedule3[[#This Row],[Beginning
Balance]]-PaymentSchedule3[[#This Row],[Principal]],0),"")</f>
        <v>99370.948581265271</v>
      </c>
      <c r="K32" s="25">
        <f ca="1">IF(PaymentSchedule3[[#This Row],[Payment Number]]&lt;&gt;"",SUM(INDEX(PaymentSchedule3[Interest],1,1):PaymentSchedule3[[#This Row],[Interest]]),"")</f>
        <v>6273.9269807621076</v>
      </c>
      <c r="L32" s="49">
        <f ca="1">LoanAmount-PaymentSchedule3[[#This Row],[Ending
Balance]]</f>
        <v>1879.0514187347289</v>
      </c>
      <c r="M32" s="49">
        <f t="shared" ca="1" si="0"/>
        <v>908.5318932997908</v>
      </c>
      <c r="N32" s="25">
        <f ca="1">PaymentSchedule3[[#This Row],[Payment Number]]*$M$19</f>
        <v>13627.978399496862</v>
      </c>
      <c r="P32" s="53" t="s">
        <v>58</v>
      </c>
      <c r="Q32" s="37">
        <f ca="1">12*Q31</f>
        <v>6197.61728040251</v>
      </c>
    </row>
    <row r="33" spans="2:17" ht="15.75" x14ac:dyDescent="0.25">
      <c r="B33" s="23">
        <f ca="1">IF(LoanIsGood,IF(ROW()-ROW(PaymentSchedule3[[#Headers],[Payment Number]])&gt;ScheduledNumberOfPayments,"",ROW()-ROW(PaymentSchedule3[[#Headers],[Payment Number]])),"")</f>
        <v>16</v>
      </c>
      <c r="C33" s="24">
        <f ca="1">IF(PaymentSchedule3[[#This Row],[Payment Number]]&lt;&gt;"",EOMONTH(LoanStartDate,ROW(PaymentSchedule3[[#This Row],[Payment Number]])-ROW(PaymentSchedule3[[#Headers],[Payment Number]])-2)+DAY(LoanStartDate),"")</f>
        <v>45090</v>
      </c>
      <c r="D33" s="25">
        <f ca="1">IF(PaymentSchedule3[[#This Row],[Payment Number]]&lt;&gt;"",IF(ROW()-ROW(PaymentSchedule3[[#Headers],[Beginning
Balance]])=1,LoanAmount,INDEX(PaymentSchedule3[Ending
Balance],ROW()-ROW(PaymentSchedule3[[#Headers],[Beginning
Balance]])-1)),"")</f>
        <v>99370.948581265271</v>
      </c>
      <c r="E33" s="25">
        <f ca="1">IF(PaymentSchedule3[[#This Row],[Payment Number]]&lt;&gt;"",ScheduledPayment,"")</f>
        <v>543.5318932997908</v>
      </c>
      <c r="F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 s="25">
        <f ca="1">IF(PaymentSchedule3[[#This Row],[Payment Number]]&lt;&gt;"",PaymentSchedule3[[#This Row],[Total
Payment]]-PaymentSchedule3[[#This Row],[Interest]],"")</f>
        <v>129.4862742111855</v>
      </c>
      <c r="I33" s="25">
        <f ca="1">IF(PaymentSchedule3[[#This Row],[Payment Number]]&lt;&gt;"",PaymentSchedule3[[#This Row],[Beginning
Balance]]*(InterestRate/PaymentsPerYear),"")</f>
        <v>414.04561908860529</v>
      </c>
      <c r="J33" s="25">
        <f ca="1">IF(PaymentSchedule3[[#This Row],[Payment Number]]&lt;&gt;"",IF(PaymentSchedule3[[#This Row],[Scheduled Payment]]+PaymentSchedule3[[#This Row],[Extra
Payment]]&lt;=PaymentSchedule3[[#This Row],[Beginning
Balance]],PaymentSchedule3[[#This Row],[Beginning
Balance]]-PaymentSchedule3[[#This Row],[Principal]],0),"")</f>
        <v>99241.462307054084</v>
      </c>
      <c r="K33" s="25">
        <f ca="1">IF(PaymentSchedule3[[#This Row],[Payment Number]]&lt;&gt;"",SUM(INDEX(PaymentSchedule3[Interest],1,1):PaymentSchedule3[[#This Row],[Interest]]),"")</f>
        <v>6687.9725998507129</v>
      </c>
      <c r="L33" s="49">
        <f ca="1">LoanAmount-PaymentSchedule3[[#This Row],[Ending
Balance]]</f>
        <v>2008.5376929459162</v>
      </c>
      <c r="M33" s="49">
        <f t="shared" ca="1" si="0"/>
        <v>908.5318932997908</v>
      </c>
      <c r="N33" s="25">
        <f ca="1">PaymentSchedule3[[#This Row],[Payment Number]]*$M$19</f>
        <v>14536.510292796653</v>
      </c>
      <c r="P33" s="53" t="s">
        <v>52</v>
      </c>
      <c r="Q33" s="51">
        <f ca="1">60*Q31</f>
        <v>30988.086402012552</v>
      </c>
    </row>
    <row r="34" spans="2:17" ht="30" x14ac:dyDescent="0.25">
      <c r="B34" s="23">
        <f ca="1">IF(LoanIsGood,IF(ROW()-ROW(PaymentSchedule3[[#Headers],[Payment Number]])&gt;ScheduledNumberOfPayments,"",ROW()-ROW(PaymentSchedule3[[#Headers],[Payment Number]])),"")</f>
        <v>17</v>
      </c>
      <c r="C34" s="24">
        <f ca="1">IF(PaymentSchedule3[[#This Row],[Payment Number]]&lt;&gt;"",EOMONTH(LoanStartDate,ROW(PaymentSchedule3[[#This Row],[Payment Number]])-ROW(PaymentSchedule3[[#Headers],[Payment Number]])-2)+DAY(LoanStartDate),"")</f>
        <v>45120</v>
      </c>
      <c r="D34" s="25">
        <f ca="1">IF(PaymentSchedule3[[#This Row],[Payment Number]]&lt;&gt;"",IF(ROW()-ROW(PaymentSchedule3[[#Headers],[Beginning
Balance]])=1,LoanAmount,INDEX(PaymentSchedule3[Ending
Balance],ROW()-ROW(PaymentSchedule3[[#Headers],[Beginning
Balance]])-1)),"")</f>
        <v>99241.462307054084</v>
      </c>
      <c r="E34" s="25">
        <f ca="1">IF(PaymentSchedule3[[#This Row],[Payment Number]]&lt;&gt;"",ScheduledPayment,"")</f>
        <v>543.5318932997908</v>
      </c>
      <c r="F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 s="25">
        <f ca="1">IF(PaymentSchedule3[[#This Row],[Payment Number]]&lt;&gt;"",PaymentSchedule3[[#This Row],[Total
Payment]]-PaymentSchedule3[[#This Row],[Interest]],"")</f>
        <v>130.02580035373211</v>
      </c>
      <c r="I34" s="25">
        <f ca="1">IF(PaymentSchedule3[[#This Row],[Payment Number]]&lt;&gt;"",PaymentSchedule3[[#This Row],[Beginning
Balance]]*(InterestRate/PaymentsPerYear),"")</f>
        <v>413.50609294605869</v>
      </c>
      <c r="J34" s="25">
        <f ca="1">IF(PaymentSchedule3[[#This Row],[Payment Number]]&lt;&gt;"",IF(PaymentSchedule3[[#This Row],[Scheduled Payment]]+PaymentSchedule3[[#This Row],[Extra
Payment]]&lt;=PaymentSchedule3[[#This Row],[Beginning
Balance]],PaymentSchedule3[[#This Row],[Beginning
Balance]]-PaymentSchedule3[[#This Row],[Principal]],0),"")</f>
        <v>99111.436506700353</v>
      </c>
      <c r="K34" s="25">
        <f ca="1">IF(PaymentSchedule3[[#This Row],[Payment Number]]&lt;&gt;"",SUM(INDEX(PaymentSchedule3[Interest],1,1):PaymentSchedule3[[#This Row],[Interest]]),"")</f>
        <v>7101.4786927967716</v>
      </c>
      <c r="L34" s="49">
        <f ca="1">LoanAmount-PaymentSchedule3[[#This Row],[Ending
Balance]]</f>
        <v>2138.5634932996472</v>
      </c>
      <c r="M34" s="49">
        <f t="shared" ca="1" si="0"/>
        <v>908.5318932997908</v>
      </c>
      <c r="N34" s="25">
        <f ca="1">PaymentSchedule3[[#This Row],[Payment Number]]*$M$19</f>
        <v>15445.042186096443</v>
      </c>
      <c r="P34" s="55" t="s">
        <v>63</v>
      </c>
      <c r="Q34" s="56">
        <f ca="1">Q32/E6</f>
        <v>0.18363310460451882</v>
      </c>
    </row>
    <row r="35" spans="2:17" ht="30" x14ac:dyDescent="0.25">
      <c r="B35" s="23">
        <f ca="1">IF(LoanIsGood,IF(ROW()-ROW(PaymentSchedule3[[#Headers],[Payment Number]])&gt;ScheduledNumberOfPayments,"",ROW()-ROW(PaymentSchedule3[[#Headers],[Payment Number]])),"")</f>
        <v>18</v>
      </c>
      <c r="C35" s="24">
        <f ca="1">IF(PaymentSchedule3[[#This Row],[Payment Number]]&lt;&gt;"",EOMONTH(LoanStartDate,ROW(PaymentSchedule3[[#This Row],[Payment Number]])-ROW(PaymentSchedule3[[#Headers],[Payment Number]])-2)+DAY(LoanStartDate),"")</f>
        <v>45151</v>
      </c>
      <c r="D35" s="25">
        <f ca="1">IF(PaymentSchedule3[[#This Row],[Payment Number]]&lt;&gt;"",IF(ROW()-ROW(PaymentSchedule3[[#Headers],[Beginning
Balance]])=1,LoanAmount,INDEX(PaymentSchedule3[Ending
Balance],ROW()-ROW(PaymentSchedule3[[#Headers],[Beginning
Balance]])-1)),"")</f>
        <v>99111.436506700353</v>
      </c>
      <c r="E35" s="25">
        <f ca="1">IF(PaymentSchedule3[[#This Row],[Payment Number]]&lt;&gt;"",ScheduledPayment,"")</f>
        <v>543.5318932997908</v>
      </c>
      <c r="F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 s="25">
        <f ca="1">IF(PaymentSchedule3[[#This Row],[Payment Number]]&lt;&gt;"",PaymentSchedule3[[#This Row],[Total
Payment]]-PaymentSchedule3[[#This Row],[Interest]],"")</f>
        <v>130.56757452187264</v>
      </c>
      <c r="I35" s="25">
        <f ca="1">IF(PaymentSchedule3[[#This Row],[Payment Number]]&lt;&gt;"",PaymentSchedule3[[#This Row],[Beginning
Balance]]*(InterestRate/PaymentsPerYear),"")</f>
        <v>412.96431877791815</v>
      </c>
      <c r="J35" s="25">
        <f ca="1">IF(PaymentSchedule3[[#This Row],[Payment Number]]&lt;&gt;"",IF(PaymentSchedule3[[#This Row],[Scheduled Payment]]+PaymentSchedule3[[#This Row],[Extra
Payment]]&lt;=PaymentSchedule3[[#This Row],[Beginning
Balance]],PaymentSchedule3[[#This Row],[Beginning
Balance]]-PaymentSchedule3[[#This Row],[Principal]],0),"")</f>
        <v>98980.868932178477</v>
      </c>
      <c r="K35" s="25">
        <f ca="1">IF(PaymentSchedule3[[#This Row],[Payment Number]]&lt;&gt;"",SUM(INDEX(PaymentSchedule3[Interest],1,1):PaymentSchedule3[[#This Row],[Interest]]),"")</f>
        <v>7514.44301157469</v>
      </c>
      <c r="L35" s="49">
        <f ca="1">LoanAmount-PaymentSchedule3[[#This Row],[Ending
Balance]]</f>
        <v>2269.1310678215232</v>
      </c>
      <c r="M35" s="49">
        <f t="shared" ca="1" si="0"/>
        <v>908.5318932997908</v>
      </c>
      <c r="N35" s="25">
        <f ca="1">PaymentSchedule3[[#This Row],[Payment Number]]*$M$19</f>
        <v>16353.574079396234</v>
      </c>
      <c r="P35" s="55" t="s">
        <v>62</v>
      </c>
      <c r="Q35" s="51">
        <f ca="1">SUM(Q33,Q20,Q12)</f>
        <v>53312.403597917735</v>
      </c>
    </row>
    <row r="36" spans="2:17" ht="15.75" x14ac:dyDescent="0.25">
      <c r="B36" s="23">
        <f ca="1">IF(LoanIsGood,IF(ROW()-ROW(PaymentSchedule3[[#Headers],[Payment Number]])&gt;ScheduledNumberOfPayments,"",ROW()-ROW(PaymentSchedule3[[#Headers],[Payment Number]])),"")</f>
        <v>19</v>
      </c>
      <c r="C36" s="24">
        <f ca="1">IF(PaymentSchedule3[[#This Row],[Payment Number]]&lt;&gt;"",EOMONTH(LoanStartDate,ROW(PaymentSchedule3[[#This Row],[Payment Number]])-ROW(PaymentSchedule3[[#Headers],[Payment Number]])-2)+DAY(LoanStartDate),"")</f>
        <v>45182</v>
      </c>
      <c r="D36" s="25">
        <f ca="1">IF(PaymentSchedule3[[#This Row],[Payment Number]]&lt;&gt;"",IF(ROW()-ROW(PaymentSchedule3[[#Headers],[Beginning
Balance]])=1,LoanAmount,INDEX(PaymentSchedule3[Ending
Balance],ROW()-ROW(PaymentSchedule3[[#Headers],[Beginning
Balance]])-1)),"")</f>
        <v>98980.868932178477</v>
      </c>
      <c r="E36" s="25">
        <f ca="1">IF(PaymentSchedule3[[#This Row],[Payment Number]]&lt;&gt;"",ScheduledPayment,"")</f>
        <v>543.5318932997908</v>
      </c>
      <c r="F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 s="25">
        <f ca="1">IF(PaymentSchedule3[[#This Row],[Payment Number]]&lt;&gt;"",PaymentSchedule3[[#This Row],[Total
Payment]]-PaymentSchedule3[[#This Row],[Interest]],"")</f>
        <v>131.11160608238049</v>
      </c>
      <c r="I36" s="25">
        <f ca="1">IF(PaymentSchedule3[[#This Row],[Payment Number]]&lt;&gt;"",PaymentSchedule3[[#This Row],[Beginning
Balance]]*(InterestRate/PaymentsPerYear),"")</f>
        <v>412.4202872174103</v>
      </c>
      <c r="J36" s="25">
        <f ca="1">IF(PaymentSchedule3[[#This Row],[Payment Number]]&lt;&gt;"",IF(PaymentSchedule3[[#This Row],[Scheduled Payment]]+PaymentSchedule3[[#This Row],[Extra
Payment]]&lt;=PaymentSchedule3[[#This Row],[Beginning
Balance]],PaymentSchedule3[[#This Row],[Beginning
Balance]]-PaymentSchedule3[[#This Row],[Principal]],0),"")</f>
        <v>98849.757326096093</v>
      </c>
      <c r="K36" s="25">
        <f ca="1">IF(PaymentSchedule3[[#This Row],[Payment Number]]&lt;&gt;"",SUM(INDEX(PaymentSchedule3[Interest],1,1):PaymentSchedule3[[#This Row],[Interest]]),"")</f>
        <v>7926.8632987921001</v>
      </c>
      <c r="L36" s="49">
        <f ca="1">LoanAmount-PaymentSchedule3[[#This Row],[Ending
Balance]]</f>
        <v>2400.2426739039074</v>
      </c>
      <c r="M36" s="49">
        <f t="shared" ca="1" si="0"/>
        <v>908.5318932997908</v>
      </c>
      <c r="N36" s="25">
        <f ca="1">PaymentSchedule3[[#This Row],[Payment Number]]*$M$19</f>
        <v>17262.105972696027</v>
      </c>
      <c r="P36" s="53" t="s">
        <v>59</v>
      </c>
      <c r="Q36" s="38">
        <f ca="1">LoanAmount-Q12</f>
        <v>92976.591236094813</v>
      </c>
    </row>
    <row r="37" spans="2:17" ht="15.75" x14ac:dyDescent="0.25">
      <c r="B37" s="23">
        <f ca="1">IF(LoanIsGood,IF(ROW()-ROW(PaymentSchedule3[[#Headers],[Payment Number]])&gt;ScheduledNumberOfPayments,"",ROW()-ROW(PaymentSchedule3[[#Headers],[Payment Number]])),"")</f>
        <v>20</v>
      </c>
      <c r="C37" s="24">
        <f ca="1">IF(PaymentSchedule3[[#This Row],[Payment Number]]&lt;&gt;"",EOMONTH(LoanStartDate,ROW(PaymentSchedule3[[#This Row],[Payment Number]])-ROW(PaymentSchedule3[[#Headers],[Payment Number]])-2)+DAY(LoanStartDate),"")</f>
        <v>45212</v>
      </c>
      <c r="D37" s="25">
        <f ca="1">IF(PaymentSchedule3[[#This Row],[Payment Number]]&lt;&gt;"",IF(ROW()-ROW(PaymentSchedule3[[#Headers],[Beginning
Balance]])=1,LoanAmount,INDEX(PaymentSchedule3[Ending
Balance],ROW()-ROW(PaymentSchedule3[[#Headers],[Beginning
Balance]])-1)),"")</f>
        <v>98849.757326096093</v>
      </c>
      <c r="E37" s="25">
        <f ca="1">IF(PaymentSchedule3[[#This Row],[Payment Number]]&lt;&gt;"",ScheduledPayment,"")</f>
        <v>543.5318932997908</v>
      </c>
      <c r="F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 s="25">
        <f ca="1">IF(PaymentSchedule3[[#This Row],[Payment Number]]&lt;&gt;"",PaymentSchedule3[[#This Row],[Total
Payment]]-PaymentSchedule3[[#This Row],[Interest]],"")</f>
        <v>131.6579044410571</v>
      </c>
      <c r="I37" s="25">
        <f ca="1">IF(PaymentSchedule3[[#This Row],[Payment Number]]&lt;&gt;"",PaymentSchedule3[[#This Row],[Beginning
Balance]]*(InterestRate/PaymentsPerYear),"")</f>
        <v>411.8739888587337</v>
      </c>
      <c r="J37" s="25">
        <f ca="1">IF(PaymentSchedule3[[#This Row],[Payment Number]]&lt;&gt;"",IF(PaymentSchedule3[[#This Row],[Scheduled Payment]]+PaymentSchedule3[[#This Row],[Extra
Payment]]&lt;=PaymentSchedule3[[#This Row],[Beginning
Balance]],PaymentSchedule3[[#This Row],[Beginning
Balance]]-PaymentSchedule3[[#This Row],[Principal]],0),"")</f>
        <v>98718.099421655032</v>
      </c>
      <c r="K37" s="25">
        <f ca="1">IF(PaymentSchedule3[[#This Row],[Payment Number]]&lt;&gt;"",SUM(INDEX(PaymentSchedule3[Interest],1,1):PaymentSchedule3[[#This Row],[Interest]]),"")</f>
        <v>8338.7372876508343</v>
      </c>
      <c r="L37" s="49">
        <f ca="1">LoanAmount-PaymentSchedule3[[#This Row],[Ending
Balance]]</f>
        <v>2531.9005783449684</v>
      </c>
      <c r="M37" s="49">
        <f t="shared" ca="1" si="0"/>
        <v>908.5318932997908</v>
      </c>
      <c r="N37" s="25">
        <f ca="1">PaymentSchedule3[[#This Row],[Payment Number]]*$M$19</f>
        <v>18170.637865995817</v>
      </c>
      <c r="P37" s="53" t="s">
        <v>60</v>
      </c>
      <c r="Q37" s="38">
        <f>E5+Q20</f>
        <v>149050.908432</v>
      </c>
    </row>
    <row r="38" spans="2:17" ht="15.75" x14ac:dyDescent="0.25">
      <c r="B38" s="23">
        <f ca="1">IF(LoanIsGood,IF(ROW()-ROW(PaymentSchedule3[[#Headers],[Payment Number]])&gt;ScheduledNumberOfPayments,"",ROW()-ROW(PaymentSchedule3[[#Headers],[Payment Number]])),"")</f>
        <v>21</v>
      </c>
      <c r="C38" s="24">
        <f ca="1">IF(PaymentSchedule3[[#This Row],[Payment Number]]&lt;&gt;"",EOMONTH(LoanStartDate,ROW(PaymentSchedule3[[#This Row],[Payment Number]])-ROW(PaymentSchedule3[[#Headers],[Payment Number]])-2)+DAY(LoanStartDate),"")</f>
        <v>45243</v>
      </c>
      <c r="D38" s="25">
        <f ca="1">IF(PaymentSchedule3[[#This Row],[Payment Number]]&lt;&gt;"",IF(ROW()-ROW(PaymentSchedule3[[#Headers],[Beginning
Balance]])=1,LoanAmount,INDEX(PaymentSchedule3[Ending
Balance],ROW()-ROW(PaymentSchedule3[[#Headers],[Beginning
Balance]])-1)),"")</f>
        <v>98718.099421655032</v>
      </c>
      <c r="E38" s="25">
        <f ca="1">IF(PaymentSchedule3[[#This Row],[Payment Number]]&lt;&gt;"",ScheduledPayment,"")</f>
        <v>543.5318932997908</v>
      </c>
      <c r="F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8" s="25">
        <f ca="1">IF(PaymentSchedule3[[#This Row],[Payment Number]]&lt;&gt;"",PaymentSchedule3[[#This Row],[Total
Payment]]-PaymentSchedule3[[#This Row],[Interest]],"")</f>
        <v>132.20647904289484</v>
      </c>
      <c r="I38" s="25">
        <f ca="1">IF(PaymentSchedule3[[#This Row],[Payment Number]]&lt;&gt;"",PaymentSchedule3[[#This Row],[Beginning
Balance]]*(InterestRate/PaymentsPerYear),"")</f>
        <v>411.32541425689595</v>
      </c>
      <c r="J38" s="25">
        <f ca="1">IF(PaymentSchedule3[[#This Row],[Payment Number]]&lt;&gt;"",IF(PaymentSchedule3[[#This Row],[Scheduled Payment]]+PaymentSchedule3[[#This Row],[Extra
Payment]]&lt;=PaymentSchedule3[[#This Row],[Beginning
Balance]],PaymentSchedule3[[#This Row],[Beginning
Balance]]-PaymentSchedule3[[#This Row],[Principal]],0),"")</f>
        <v>98585.892942612132</v>
      </c>
      <c r="K38" s="25">
        <f ca="1">IF(PaymentSchedule3[[#This Row],[Payment Number]]&lt;&gt;"",SUM(INDEX(PaymentSchedule3[Interest],1,1):PaymentSchedule3[[#This Row],[Interest]]),"")</f>
        <v>8750.062701907731</v>
      </c>
      <c r="L38" s="49">
        <f ca="1">LoanAmount-PaymentSchedule3[[#This Row],[Ending
Balance]]</f>
        <v>2664.1070573878678</v>
      </c>
      <c r="M38" s="49">
        <f t="shared" ca="1" si="0"/>
        <v>908.5318932997908</v>
      </c>
      <c r="N38" s="25">
        <f ca="1">PaymentSchedule3[[#This Row],[Payment Number]]*$M$19</f>
        <v>19079.169759295608</v>
      </c>
      <c r="P38" s="53" t="s">
        <v>61</v>
      </c>
      <c r="Q38" s="38">
        <f ca="1">Q37-Q36</f>
        <v>56074.317195905183</v>
      </c>
    </row>
    <row r="39" spans="2:17" ht="30" x14ac:dyDescent="0.25">
      <c r="B39" s="23">
        <f ca="1">IF(LoanIsGood,IF(ROW()-ROW(PaymentSchedule3[[#Headers],[Payment Number]])&gt;ScheduledNumberOfPayments,"",ROW()-ROW(PaymentSchedule3[[#Headers],[Payment Number]])),"")</f>
        <v>22</v>
      </c>
      <c r="C39" s="24">
        <f ca="1">IF(PaymentSchedule3[[#This Row],[Payment Number]]&lt;&gt;"",EOMONTH(LoanStartDate,ROW(PaymentSchedule3[[#This Row],[Payment Number]])-ROW(PaymentSchedule3[[#Headers],[Payment Number]])-2)+DAY(LoanStartDate),"")</f>
        <v>45273</v>
      </c>
      <c r="D39" s="25">
        <f ca="1">IF(PaymentSchedule3[[#This Row],[Payment Number]]&lt;&gt;"",IF(ROW()-ROW(PaymentSchedule3[[#Headers],[Beginning
Balance]])=1,LoanAmount,INDEX(PaymentSchedule3[Ending
Balance],ROW()-ROW(PaymentSchedule3[[#Headers],[Beginning
Balance]])-1)),"")</f>
        <v>98585.892942612132</v>
      </c>
      <c r="E39" s="25">
        <f ca="1">IF(PaymentSchedule3[[#This Row],[Payment Number]]&lt;&gt;"",ScheduledPayment,"")</f>
        <v>543.5318932997908</v>
      </c>
      <c r="F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9" s="25">
        <f ca="1">IF(PaymentSchedule3[[#This Row],[Payment Number]]&lt;&gt;"",PaymentSchedule3[[#This Row],[Total
Payment]]-PaymentSchedule3[[#This Row],[Interest]],"")</f>
        <v>132.75733937224027</v>
      </c>
      <c r="I39" s="25">
        <f ca="1">IF(PaymentSchedule3[[#This Row],[Payment Number]]&lt;&gt;"",PaymentSchedule3[[#This Row],[Beginning
Balance]]*(InterestRate/PaymentsPerYear),"")</f>
        <v>410.77455392755053</v>
      </c>
      <c r="J39" s="25">
        <f ca="1">IF(PaymentSchedule3[[#This Row],[Payment Number]]&lt;&gt;"",IF(PaymentSchedule3[[#This Row],[Scheduled Payment]]+PaymentSchedule3[[#This Row],[Extra
Payment]]&lt;=PaymentSchedule3[[#This Row],[Beginning
Balance]],PaymentSchedule3[[#This Row],[Beginning
Balance]]-PaymentSchedule3[[#This Row],[Principal]],0),"")</f>
        <v>98453.135603239891</v>
      </c>
      <c r="K39" s="25">
        <f ca="1">IF(PaymentSchedule3[[#This Row],[Payment Number]]&lt;&gt;"",SUM(INDEX(PaymentSchedule3[Interest],1,1):PaymentSchedule3[[#This Row],[Interest]]),"")</f>
        <v>9160.8372558352821</v>
      </c>
      <c r="L39" s="49">
        <f ca="1">LoanAmount-PaymentSchedule3[[#This Row],[Ending
Balance]]</f>
        <v>2796.8643967601092</v>
      </c>
      <c r="M39" s="49">
        <f t="shared" ca="1" si="0"/>
        <v>908.5318932997908</v>
      </c>
      <c r="N39" s="25">
        <f ca="1">PaymentSchedule3[[#This Row],[Payment Number]]*$M$19</f>
        <v>19987.701652595399</v>
      </c>
      <c r="P39" s="55" t="s">
        <v>65</v>
      </c>
      <c r="Q39" s="57">
        <f ca="1">((Q12+Q20)/5)/E6</f>
        <v>0.13229225004980849</v>
      </c>
    </row>
    <row r="40" spans="2:17" ht="30" x14ac:dyDescent="0.25">
      <c r="B40" s="23">
        <f ca="1">IF(LoanIsGood,IF(ROW()-ROW(PaymentSchedule3[[#Headers],[Payment Number]])&gt;ScheduledNumberOfPayments,"",ROW()-ROW(PaymentSchedule3[[#Headers],[Payment Number]])),"")</f>
        <v>23</v>
      </c>
      <c r="C40" s="24">
        <f ca="1">IF(PaymentSchedule3[[#This Row],[Payment Number]]&lt;&gt;"",EOMONTH(LoanStartDate,ROW(PaymentSchedule3[[#This Row],[Payment Number]])-ROW(PaymentSchedule3[[#Headers],[Payment Number]])-2)+DAY(LoanStartDate),"")</f>
        <v>45304</v>
      </c>
      <c r="D40" s="25">
        <f ca="1">IF(PaymentSchedule3[[#This Row],[Payment Number]]&lt;&gt;"",IF(ROW()-ROW(PaymentSchedule3[[#Headers],[Beginning
Balance]])=1,LoanAmount,INDEX(PaymentSchedule3[Ending
Balance],ROW()-ROW(PaymentSchedule3[[#Headers],[Beginning
Balance]])-1)),"")</f>
        <v>98453.135603239891</v>
      </c>
      <c r="E40" s="25">
        <f ca="1">IF(PaymentSchedule3[[#This Row],[Payment Number]]&lt;&gt;"",ScheduledPayment,"")</f>
        <v>543.5318932997908</v>
      </c>
      <c r="F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0" s="25">
        <f ca="1">IF(PaymentSchedule3[[#This Row],[Payment Number]]&lt;&gt;"",PaymentSchedule3[[#This Row],[Total
Payment]]-PaymentSchedule3[[#This Row],[Interest]],"")</f>
        <v>133.31049495295792</v>
      </c>
      <c r="I40" s="25">
        <f ca="1">IF(PaymentSchedule3[[#This Row],[Payment Number]]&lt;&gt;"",PaymentSchedule3[[#This Row],[Beginning
Balance]]*(InterestRate/PaymentsPerYear),"")</f>
        <v>410.22139834683287</v>
      </c>
      <c r="J40" s="25">
        <f ca="1">IF(PaymentSchedule3[[#This Row],[Payment Number]]&lt;&gt;"",IF(PaymentSchedule3[[#This Row],[Scheduled Payment]]+PaymentSchedule3[[#This Row],[Extra
Payment]]&lt;=PaymentSchedule3[[#This Row],[Beginning
Balance]],PaymentSchedule3[[#This Row],[Beginning
Balance]]-PaymentSchedule3[[#This Row],[Principal]],0),"")</f>
        <v>98319.825108286939</v>
      </c>
      <c r="K40" s="25">
        <f ca="1">IF(PaymentSchedule3[[#This Row],[Payment Number]]&lt;&gt;"",SUM(INDEX(PaymentSchedule3[Interest],1,1):PaymentSchedule3[[#This Row],[Interest]]),"")</f>
        <v>9571.0586541821158</v>
      </c>
      <c r="L40" s="49">
        <f ca="1">LoanAmount-PaymentSchedule3[[#This Row],[Ending
Balance]]</f>
        <v>2930.1748917130608</v>
      </c>
      <c r="M40" s="49">
        <f t="shared" ca="1" si="0"/>
        <v>908.5318932997908</v>
      </c>
      <c r="N40" s="25">
        <f ca="1">PaymentSchedule3[[#This Row],[Payment Number]]*$M$19</f>
        <v>20896.233545895189</v>
      </c>
      <c r="P40" s="55" t="s">
        <v>64</v>
      </c>
      <c r="Q40" s="57">
        <f ca="1">(Q27/5)/E6</f>
        <v>0.31592535465432725</v>
      </c>
    </row>
    <row r="41" spans="2:17" ht="15.75" x14ac:dyDescent="0.25">
      <c r="B41" s="23">
        <f ca="1">IF(LoanIsGood,IF(ROW()-ROW(PaymentSchedule3[[#Headers],[Payment Number]])&gt;ScheduledNumberOfPayments,"",ROW()-ROW(PaymentSchedule3[[#Headers],[Payment Number]])),"")</f>
        <v>24</v>
      </c>
      <c r="C41" s="24">
        <f ca="1">IF(PaymentSchedule3[[#This Row],[Payment Number]]&lt;&gt;"",EOMONTH(LoanStartDate,ROW(PaymentSchedule3[[#This Row],[Payment Number]])-ROW(PaymentSchedule3[[#Headers],[Payment Number]])-2)+DAY(LoanStartDate),"")</f>
        <v>45335</v>
      </c>
      <c r="D41" s="25">
        <f ca="1">IF(PaymentSchedule3[[#This Row],[Payment Number]]&lt;&gt;"",IF(ROW()-ROW(PaymentSchedule3[[#Headers],[Beginning
Balance]])=1,LoanAmount,INDEX(PaymentSchedule3[Ending
Balance],ROW()-ROW(PaymentSchedule3[[#Headers],[Beginning
Balance]])-1)),"")</f>
        <v>98319.825108286939</v>
      </c>
      <c r="E41" s="25">
        <f ca="1">IF(PaymentSchedule3[[#This Row],[Payment Number]]&lt;&gt;"",ScheduledPayment,"")</f>
        <v>543.5318932997908</v>
      </c>
      <c r="F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1" s="25">
        <f ca="1">IF(PaymentSchedule3[[#This Row],[Payment Number]]&lt;&gt;"",PaymentSchedule3[[#This Row],[Total
Payment]]-PaymentSchedule3[[#This Row],[Interest]],"")</f>
        <v>133.86595534859521</v>
      </c>
      <c r="I41" s="25">
        <f ca="1">IF(PaymentSchedule3[[#This Row],[Payment Number]]&lt;&gt;"",PaymentSchedule3[[#This Row],[Beginning
Balance]]*(InterestRate/PaymentsPerYear),"")</f>
        <v>409.66593795119559</v>
      </c>
      <c r="J41" s="25">
        <f ca="1">IF(PaymentSchedule3[[#This Row],[Payment Number]]&lt;&gt;"",IF(PaymentSchedule3[[#This Row],[Scheduled Payment]]+PaymentSchedule3[[#This Row],[Extra
Payment]]&lt;=PaymentSchedule3[[#This Row],[Beginning
Balance]],PaymentSchedule3[[#This Row],[Beginning
Balance]]-PaymentSchedule3[[#This Row],[Principal]],0),"")</f>
        <v>98185.959152938347</v>
      </c>
      <c r="K41" s="25">
        <f ca="1">IF(PaymentSchedule3[[#This Row],[Payment Number]]&lt;&gt;"",SUM(INDEX(PaymentSchedule3[Interest],1,1):PaymentSchedule3[[#This Row],[Interest]]),"")</f>
        <v>9980.7245921333106</v>
      </c>
      <c r="L41" s="49">
        <f ca="1">LoanAmount-PaymentSchedule3[[#This Row],[Ending
Balance]]</f>
        <v>3064.040847061653</v>
      </c>
      <c r="M41" s="49">
        <f t="shared" ca="1" si="0"/>
        <v>908.5318932997908</v>
      </c>
      <c r="N41" s="25">
        <f ca="1">PaymentSchedule3[[#This Row],[Payment Number]]*$M$19</f>
        <v>21804.76543919498</v>
      </c>
      <c r="P41" s="53" t="s">
        <v>66</v>
      </c>
      <c r="Q41" s="57">
        <f ca="1">(Q27/5)/E5</f>
        <v>7.8981338663581813E-2</v>
      </c>
    </row>
    <row r="42" spans="2:17" ht="15.75" x14ac:dyDescent="0.25">
      <c r="B42" s="23">
        <f ca="1">IF(LoanIsGood,IF(ROW()-ROW(PaymentSchedule3[[#Headers],[Payment Number]])&gt;ScheduledNumberOfPayments,"",ROW()-ROW(PaymentSchedule3[[#Headers],[Payment Number]])),"")</f>
        <v>25</v>
      </c>
      <c r="C42" s="24">
        <f ca="1">IF(PaymentSchedule3[[#This Row],[Payment Number]]&lt;&gt;"",EOMONTH(LoanStartDate,ROW(PaymentSchedule3[[#This Row],[Payment Number]])-ROW(PaymentSchedule3[[#Headers],[Payment Number]])-2)+DAY(LoanStartDate),"")</f>
        <v>45364</v>
      </c>
      <c r="D42" s="25">
        <f ca="1">IF(PaymentSchedule3[[#This Row],[Payment Number]]&lt;&gt;"",IF(ROW()-ROW(PaymentSchedule3[[#Headers],[Beginning
Balance]])=1,LoanAmount,INDEX(PaymentSchedule3[Ending
Balance],ROW()-ROW(PaymentSchedule3[[#Headers],[Beginning
Balance]])-1)),"")</f>
        <v>98185.959152938347</v>
      </c>
      <c r="E42" s="25">
        <f ca="1">IF(PaymentSchedule3[[#This Row],[Payment Number]]&lt;&gt;"",ScheduledPayment,"")</f>
        <v>543.5318932997908</v>
      </c>
      <c r="F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2" s="25">
        <f ca="1">IF(PaymentSchedule3[[#This Row],[Payment Number]]&lt;&gt;"",PaymentSchedule3[[#This Row],[Total
Payment]]-PaymentSchedule3[[#This Row],[Interest]],"")</f>
        <v>134.42373016254771</v>
      </c>
      <c r="I42" s="25">
        <f ca="1">IF(PaymentSchedule3[[#This Row],[Payment Number]]&lt;&gt;"",PaymentSchedule3[[#This Row],[Beginning
Balance]]*(InterestRate/PaymentsPerYear),"")</f>
        <v>409.10816313724308</v>
      </c>
      <c r="J42" s="25">
        <f ca="1">IF(PaymentSchedule3[[#This Row],[Payment Number]]&lt;&gt;"",IF(PaymentSchedule3[[#This Row],[Scheduled Payment]]+PaymentSchedule3[[#This Row],[Extra
Payment]]&lt;=PaymentSchedule3[[#This Row],[Beginning
Balance]],PaymentSchedule3[[#This Row],[Beginning
Balance]]-PaymentSchedule3[[#This Row],[Principal]],0),"")</f>
        <v>98051.535422775793</v>
      </c>
      <c r="K42" s="25">
        <f ca="1">IF(PaymentSchedule3[[#This Row],[Payment Number]]&lt;&gt;"",SUM(INDEX(PaymentSchedule3[Interest],1,1):PaymentSchedule3[[#This Row],[Interest]]),"")</f>
        <v>10389.832755270554</v>
      </c>
      <c r="L42" s="49">
        <f ca="1">LoanAmount-PaymentSchedule3[[#This Row],[Ending
Balance]]</f>
        <v>3198.4645772242075</v>
      </c>
      <c r="M42" s="49">
        <f t="shared" ca="1" si="0"/>
        <v>908.5318932997908</v>
      </c>
      <c r="N42" s="25">
        <f ca="1">PaymentSchedule3[[#This Row],[Payment Number]]*$M$19</f>
        <v>22713.297332494771</v>
      </c>
    </row>
    <row r="43" spans="2:17" ht="15.75" x14ac:dyDescent="0.25">
      <c r="B43" s="23">
        <f ca="1">IF(LoanIsGood,IF(ROW()-ROW(PaymentSchedule3[[#Headers],[Payment Number]])&gt;ScheduledNumberOfPayments,"",ROW()-ROW(PaymentSchedule3[[#Headers],[Payment Number]])),"")</f>
        <v>26</v>
      </c>
      <c r="C43" s="24">
        <f ca="1">IF(PaymentSchedule3[[#This Row],[Payment Number]]&lt;&gt;"",EOMONTH(LoanStartDate,ROW(PaymentSchedule3[[#This Row],[Payment Number]])-ROW(PaymentSchedule3[[#Headers],[Payment Number]])-2)+DAY(LoanStartDate),"")</f>
        <v>45395</v>
      </c>
      <c r="D43" s="25">
        <f ca="1">IF(PaymentSchedule3[[#This Row],[Payment Number]]&lt;&gt;"",IF(ROW()-ROW(PaymentSchedule3[[#Headers],[Beginning
Balance]])=1,LoanAmount,INDEX(PaymentSchedule3[Ending
Balance],ROW()-ROW(PaymentSchedule3[[#Headers],[Beginning
Balance]])-1)),"")</f>
        <v>98051.535422775793</v>
      </c>
      <c r="E43" s="25">
        <f ca="1">IF(PaymentSchedule3[[#This Row],[Payment Number]]&lt;&gt;"",ScheduledPayment,"")</f>
        <v>543.5318932997908</v>
      </c>
      <c r="F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3" s="25">
        <f ca="1">IF(PaymentSchedule3[[#This Row],[Payment Number]]&lt;&gt;"",PaymentSchedule3[[#This Row],[Total
Payment]]-PaymentSchedule3[[#This Row],[Interest]],"")</f>
        <v>134.983829038225</v>
      </c>
      <c r="I43" s="25">
        <f ca="1">IF(PaymentSchedule3[[#This Row],[Payment Number]]&lt;&gt;"",PaymentSchedule3[[#This Row],[Beginning
Balance]]*(InterestRate/PaymentsPerYear),"")</f>
        <v>408.5480642615658</v>
      </c>
      <c r="J43" s="25">
        <f ca="1">IF(PaymentSchedule3[[#This Row],[Payment Number]]&lt;&gt;"",IF(PaymentSchedule3[[#This Row],[Scheduled Payment]]+PaymentSchedule3[[#This Row],[Extra
Payment]]&lt;=PaymentSchedule3[[#This Row],[Beginning
Balance]],PaymentSchedule3[[#This Row],[Beginning
Balance]]-PaymentSchedule3[[#This Row],[Principal]],0),"")</f>
        <v>97916.55159373756</v>
      </c>
      <c r="K43" s="25">
        <f ca="1">IF(PaymentSchedule3[[#This Row],[Payment Number]]&lt;&gt;"",SUM(INDEX(PaymentSchedule3[Interest],1,1):PaymentSchedule3[[#This Row],[Interest]]),"")</f>
        <v>10798.38081953212</v>
      </c>
      <c r="L43" s="49">
        <f ca="1">LoanAmount-PaymentSchedule3[[#This Row],[Ending
Balance]]</f>
        <v>3333.4484062624397</v>
      </c>
      <c r="M43" s="49">
        <f t="shared" ca="1" si="0"/>
        <v>908.5318932997908</v>
      </c>
      <c r="N43" s="25">
        <f ca="1">PaymentSchedule3[[#This Row],[Payment Number]]*$M$19</f>
        <v>23621.829225794561</v>
      </c>
    </row>
    <row r="44" spans="2:17" ht="15.75" x14ac:dyDescent="0.25">
      <c r="B44" s="23">
        <f ca="1">IF(LoanIsGood,IF(ROW()-ROW(PaymentSchedule3[[#Headers],[Payment Number]])&gt;ScheduledNumberOfPayments,"",ROW()-ROW(PaymentSchedule3[[#Headers],[Payment Number]])),"")</f>
        <v>27</v>
      </c>
      <c r="C44" s="24">
        <f ca="1">IF(PaymentSchedule3[[#This Row],[Payment Number]]&lt;&gt;"",EOMONTH(LoanStartDate,ROW(PaymentSchedule3[[#This Row],[Payment Number]])-ROW(PaymentSchedule3[[#Headers],[Payment Number]])-2)+DAY(LoanStartDate),"")</f>
        <v>45425</v>
      </c>
      <c r="D44" s="25">
        <f ca="1">IF(PaymentSchedule3[[#This Row],[Payment Number]]&lt;&gt;"",IF(ROW()-ROW(PaymentSchedule3[[#Headers],[Beginning
Balance]])=1,LoanAmount,INDEX(PaymentSchedule3[Ending
Balance],ROW()-ROW(PaymentSchedule3[[#Headers],[Beginning
Balance]])-1)),"")</f>
        <v>97916.55159373756</v>
      </c>
      <c r="E44" s="25">
        <f ca="1">IF(PaymentSchedule3[[#This Row],[Payment Number]]&lt;&gt;"",ScheduledPayment,"")</f>
        <v>543.5318932997908</v>
      </c>
      <c r="F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4" s="25">
        <f ca="1">IF(PaymentSchedule3[[#This Row],[Payment Number]]&lt;&gt;"",PaymentSchedule3[[#This Row],[Total
Payment]]-PaymentSchedule3[[#This Row],[Interest]],"")</f>
        <v>135.54626165921763</v>
      </c>
      <c r="I44" s="25">
        <f ca="1">IF(PaymentSchedule3[[#This Row],[Payment Number]]&lt;&gt;"",PaymentSchedule3[[#This Row],[Beginning
Balance]]*(InterestRate/PaymentsPerYear),"")</f>
        <v>407.98563164057316</v>
      </c>
      <c r="J44" s="25">
        <f ca="1">IF(PaymentSchedule3[[#This Row],[Payment Number]]&lt;&gt;"",IF(PaymentSchedule3[[#This Row],[Scheduled Payment]]+PaymentSchedule3[[#This Row],[Extra
Payment]]&lt;=PaymentSchedule3[[#This Row],[Beginning
Balance]],PaymentSchedule3[[#This Row],[Beginning
Balance]]-PaymentSchedule3[[#This Row],[Principal]],0),"")</f>
        <v>97781.005332078348</v>
      </c>
      <c r="K44" s="25">
        <f ca="1">IF(PaymentSchedule3[[#This Row],[Payment Number]]&lt;&gt;"",SUM(INDEX(PaymentSchedule3[Interest],1,1):PaymentSchedule3[[#This Row],[Interest]]),"")</f>
        <v>11206.366451172693</v>
      </c>
      <c r="L44" s="49">
        <f ca="1">LoanAmount-PaymentSchedule3[[#This Row],[Ending
Balance]]</f>
        <v>3468.9946679216519</v>
      </c>
      <c r="M44" s="49">
        <f t="shared" ca="1" si="0"/>
        <v>908.5318932997908</v>
      </c>
      <c r="N44" s="25">
        <f ca="1">PaymentSchedule3[[#This Row],[Payment Number]]*$M$19</f>
        <v>24530.361119094352</v>
      </c>
    </row>
    <row r="45" spans="2:17" ht="15.75" x14ac:dyDescent="0.25">
      <c r="B45" s="23">
        <f ca="1">IF(LoanIsGood,IF(ROW()-ROW(PaymentSchedule3[[#Headers],[Payment Number]])&gt;ScheduledNumberOfPayments,"",ROW()-ROW(PaymentSchedule3[[#Headers],[Payment Number]])),"")</f>
        <v>28</v>
      </c>
      <c r="C45" s="24">
        <f ca="1">IF(PaymentSchedule3[[#This Row],[Payment Number]]&lt;&gt;"",EOMONTH(LoanStartDate,ROW(PaymentSchedule3[[#This Row],[Payment Number]])-ROW(PaymentSchedule3[[#Headers],[Payment Number]])-2)+DAY(LoanStartDate),"")</f>
        <v>45456</v>
      </c>
      <c r="D45" s="25">
        <f ca="1">IF(PaymentSchedule3[[#This Row],[Payment Number]]&lt;&gt;"",IF(ROW()-ROW(PaymentSchedule3[[#Headers],[Beginning
Balance]])=1,LoanAmount,INDEX(PaymentSchedule3[Ending
Balance],ROW()-ROW(PaymentSchedule3[[#Headers],[Beginning
Balance]])-1)),"")</f>
        <v>97781.005332078348</v>
      </c>
      <c r="E45" s="25">
        <f ca="1">IF(PaymentSchedule3[[#This Row],[Payment Number]]&lt;&gt;"",ScheduledPayment,"")</f>
        <v>543.5318932997908</v>
      </c>
      <c r="F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5" s="25">
        <f ca="1">IF(PaymentSchedule3[[#This Row],[Payment Number]]&lt;&gt;"",PaymentSchedule3[[#This Row],[Total
Payment]]-PaymentSchedule3[[#This Row],[Interest]],"")</f>
        <v>136.11103774946434</v>
      </c>
      <c r="I45" s="25">
        <f ca="1">IF(PaymentSchedule3[[#This Row],[Payment Number]]&lt;&gt;"",PaymentSchedule3[[#This Row],[Beginning
Balance]]*(InterestRate/PaymentsPerYear),"")</f>
        <v>407.42085555032645</v>
      </c>
      <c r="J45" s="25">
        <f ca="1">IF(PaymentSchedule3[[#This Row],[Payment Number]]&lt;&gt;"",IF(PaymentSchedule3[[#This Row],[Scheduled Payment]]+PaymentSchedule3[[#This Row],[Extra
Payment]]&lt;=PaymentSchedule3[[#This Row],[Beginning
Balance]],PaymentSchedule3[[#This Row],[Beginning
Balance]]-PaymentSchedule3[[#This Row],[Principal]],0),"")</f>
        <v>97644.894294328886</v>
      </c>
      <c r="K45" s="25">
        <f ca="1">IF(PaymentSchedule3[[#This Row],[Payment Number]]&lt;&gt;"",SUM(INDEX(PaymentSchedule3[Interest],1,1):PaymentSchedule3[[#This Row],[Interest]]),"")</f>
        <v>11613.787306723019</v>
      </c>
      <c r="L45" s="49">
        <f ca="1">LoanAmount-PaymentSchedule3[[#This Row],[Ending
Balance]]</f>
        <v>3605.1057056711143</v>
      </c>
      <c r="M45" s="49">
        <f t="shared" ca="1" si="0"/>
        <v>908.5318932997908</v>
      </c>
      <c r="N45" s="25">
        <f ca="1">PaymentSchedule3[[#This Row],[Payment Number]]*$M$19</f>
        <v>25438.893012394143</v>
      </c>
    </row>
    <row r="46" spans="2:17" ht="15.75" x14ac:dyDescent="0.25">
      <c r="B46" s="23">
        <f ca="1">IF(LoanIsGood,IF(ROW()-ROW(PaymentSchedule3[[#Headers],[Payment Number]])&gt;ScheduledNumberOfPayments,"",ROW()-ROW(PaymentSchedule3[[#Headers],[Payment Number]])),"")</f>
        <v>29</v>
      </c>
      <c r="C46" s="24">
        <f ca="1">IF(PaymentSchedule3[[#This Row],[Payment Number]]&lt;&gt;"",EOMONTH(LoanStartDate,ROW(PaymentSchedule3[[#This Row],[Payment Number]])-ROW(PaymentSchedule3[[#Headers],[Payment Number]])-2)+DAY(LoanStartDate),"")</f>
        <v>45486</v>
      </c>
      <c r="D46" s="25">
        <f ca="1">IF(PaymentSchedule3[[#This Row],[Payment Number]]&lt;&gt;"",IF(ROW()-ROW(PaymentSchedule3[[#Headers],[Beginning
Balance]])=1,LoanAmount,INDEX(PaymentSchedule3[Ending
Balance],ROW()-ROW(PaymentSchedule3[[#Headers],[Beginning
Balance]])-1)),"")</f>
        <v>97644.894294328886</v>
      </c>
      <c r="E46" s="25">
        <f ca="1">IF(PaymentSchedule3[[#This Row],[Payment Number]]&lt;&gt;"",ScheduledPayment,"")</f>
        <v>543.5318932997908</v>
      </c>
      <c r="F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6" s="25">
        <f ca="1">IF(PaymentSchedule3[[#This Row],[Payment Number]]&lt;&gt;"",PaymentSchedule3[[#This Row],[Total
Payment]]-PaymentSchedule3[[#This Row],[Interest]],"")</f>
        <v>136.67816707342047</v>
      </c>
      <c r="I46" s="25">
        <f ca="1">IF(PaymentSchedule3[[#This Row],[Payment Number]]&lt;&gt;"",PaymentSchedule3[[#This Row],[Beginning
Balance]]*(InterestRate/PaymentsPerYear),"")</f>
        <v>406.85372622637033</v>
      </c>
      <c r="J46" s="25">
        <f ca="1">IF(PaymentSchedule3[[#This Row],[Payment Number]]&lt;&gt;"",IF(PaymentSchedule3[[#This Row],[Scheduled Payment]]+PaymentSchedule3[[#This Row],[Extra
Payment]]&lt;=PaymentSchedule3[[#This Row],[Beginning
Balance]],PaymentSchedule3[[#This Row],[Beginning
Balance]]-PaymentSchedule3[[#This Row],[Principal]],0),"")</f>
        <v>97508.216127255466</v>
      </c>
      <c r="K46" s="25">
        <f ca="1">IF(PaymentSchedule3[[#This Row],[Payment Number]]&lt;&gt;"",SUM(INDEX(PaymentSchedule3[Interest],1,1):PaymentSchedule3[[#This Row],[Interest]]),"")</f>
        <v>12020.64103294939</v>
      </c>
      <c r="L46" s="49">
        <f ca="1">LoanAmount-PaymentSchedule3[[#This Row],[Ending
Balance]]</f>
        <v>3741.7838727445342</v>
      </c>
      <c r="M46" s="49">
        <f t="shared" ca="1" si="0"/>
        <v>908.5318932997908</v>
      </c>
      <c r="N46" s="25">
        <f ca="1">PaymentSchedule3[[#This Row],[Payment Number]]*$M$19</f>
        <v>26347.424905693933</v>
      </c>
    </row>
    <row r="47" spans="2:17" ht="15.75" x14ac:dyDescent="0.25">
      <c r="B47" s="23">
        <f ca="1">IF(LoanIsGood,IF(ROW()-ROW(PaymentSchedule3[[#Headers],[Payment Number]])&gt;ScheduledNumberOfPayments,"",ROW()-ROW(PaymentSchedule3[[#Headers],[Payment Number]])),"")</f>
        <v>30</v>
      </c>
      <c r="C47" s="24">
        <f ca="1">IF(PaymentSchedule3[[#This Row],[Payment Number]]&lt;&gt;"",EOMONTH(LoanStartDate,ROW(PaymentSchedule3[[#This Row],[Payment Number]])-ROW(PaymentSchedule3[[#Headers],[Payment Number]])-2)+DAY(LoanStartDate),"")</f>
        <v>45517</v>
      </c>
      <c r="D47" s="25">
        <f ca="1">IF(PaymentSchedule3[[#This Row],[Payment Number]]&lt;&gt;"",IF(ROW()-ROW(PaymentSchedule3[[#Headers],[Beginning
Balance]])=1,LoanAmount,INDEX(PaymentSchedule3[Ending
Balance],ROW()-ROW(PaymentSchedule3[[#Headers],[Beginning
Balance]])-1)),"")</f>
        <v>97508.216127255466</v>
      </c>
      <c r="E47" s="25">
        <f ca="1">IF(PaymentSchedule3[[#This Row],[Payment Number]]&lt;&gt;"",ScheduledPayment,"")</f>
        <v>543.5318932997908</v>
      </c>
      <c r="F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7" s="25">
        <f ca="1">IF(PaymentSchedule3[[#This Row],[Payment Number]]&lt;&gt;"",PaymentSchedule3[[#This Row],[Total
Payment]]-PaymentSchedule3[[#This Row],[Interest]],"")</f>
        <v>137.24765943622634</v>
      </c>
      <c r="I47" s="25">
        <f ca="1">IF(PaymentSchedule3[[#This Row],[Payment Number]]&lt;&gt;"",PaymentSchedule3[[#This Row],[Beginning
Balance]]*(InterestRate/PaymentsPerYear),"")</f>
        <v>406.28423386356445</v>
      </c>
      <c r="J47" s="25">
        <f ca="1">IF(PaymentSchedule3[[#This Row],[Payment Number]]&lt;&gt;"",IF(PaymentSchedule3[[#This Row],[Scheduled Payment]]+PaymentSchedule3[[#This Row],[Extra
Payment]]&lt;=PaymentSchedule3[[#This Row],[Beginning
Balance]],PaymentSchedule3[[#This Row],[Beginning
Balance]]-PaymentSchedule3[[#This Row],[Principal]],0),"")</f>
        <v>97370.968467819243</v>
      </c>
      <c r="K47" s="25">
        <f ca="1">IF(PaymentSchedule3[[#This Row],[Payment Number]]&lt;&gt;"",SUM(INDEX(PaymentSchedule3[Interest],1,1):PaymentSchedule3[[#This Row],[Interest]]),"")</f>
        <v>12426.925266812954</v>
      </c>
      <c r="L47" s="49">
        <f ca="1">LoanAmount-PaymentSchedule3[[#This Row],[Ending
Balance]]</f>
        <v>3879.0315321807575</v>
      </c>
      <c r="M47" s="49">
        <f t="shared" ca="1" si="0"/>
        <v>908.5318932997908</v>
      </c>
      <c r="N47" s="25">
        <f ca="1">PaymentSchedule3[[#This Row],[Payment Number]]*$M$19</f>
        <v>27255.956798993724</v>
      </c>
    </row>
    <row r="48" spans="2:17" ht="15.75" x14ac:dyDescent="0.25">
      <c r="B48" s="23">
        <f ca="1">IF(LoanIsGood,IF(ROW()-ROW(PaymentSchedule3[[#Headers],[Payment Number]])&gt;ScheduledNumberOfPayments,"",ROW()-ROW(PaymentSchedule3[[#Headers],[Payment Number]])),"")</f>
        <v>31</v>
      </c>
      <c r="C48" s="24">
        <f ca="1">IF(PaymentSchedule3[[#This Row],[Payment Number]]&lt;&gt;"",EOMONTH(LoanStartDate,ROW(PaymentSchedule3[[#This Row],[Payment Number]])-ROW(PaymentSchedule3[[#Headers],[Payment Number]])-2)+DAY(LoanStartDate),"")</f>
        <v>45548</v>
      </c>
      <c r="D48" s="25">
        <f ca="1">IF(PaymentSchedule3[[#This Row],[Payment Number]]&lt;&gt;"",IF(ROW()-ROW(PaymentSchedule3[[#Headers],[Beginning
Balance]])=1,LoanAmount,INDEX(PaymentSchedule3[Ending
Balance],ROW()-ROW(PaymentSchedule3[[#Headers],[Beginning
Balance]])-1)),"")</f>
        <v>97370.968467819243</v>
      </c>
      <c r="E48" s="25">
        <f ca="1">IF(PaymentSchedule3[[#This Row],[Payment Number]]&lt;&gt;"",ScheduledPayment,"")</f>
        <v>543.5318932997908</v>
      </c>
      <c r="F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8" s="25">
        <f ca="1">IF(PaymentSchedule3[[#This Row],[Payment Number]]&lt;&gt;"",PaymentSchedule3[[#This Row],[Total
Payment]]-PaymentSchedule3[[#This Row],[Interest]],"")</f>
        <v>137.81952468387726</v>
      </c>
      <c r="I48" s="25">
        <f ca="1">IF(PaymentSchedule3[[#This Row],[Payment Number]]&lt;&gt;"",PaymentSchedule3[[#This Row],[Beginning
Balance]]*(InterestRate/PaymentsPerYear),"")</f>
        <v>405.71236861591353</v>
      </c>
      <c r="J48" s="25">
        <f ca="1">IF(PaymentSchedule3[[#This Row],[Payment Number]]&lt;&gt;"",IF(PaymentSchedule3[[#This Row],[Scheduled Payment]]+PaymentSchedule3[[#This Row],[Extra
Payment]]&lt;=PaymentSchedule3[[#This Row],[Beginning
Balance]],PaymentSchedule3[[#This Row],[Beginning
Balance]]-PaymentSchedule3[[#This Row],[Principal]],0),"")</f>
        <v>97233.148943135369</v>
      </c>
      <c r="K48" s="25">
        <f ca="1">IF(PaymentSchedule3[[#This Row],[Payment Number]]&lt;&gt;"",SUM(INDEX(PaymentSchedule3[Interest],1,1):PaymentSchedule3[[#This Row],[Interest]]),"")</f>
        <v>12832.637635428868</v>
      </c>
      <c r="L48" s="49">
        <f ca="1">LoanAmount-PaymentSchedule3[[#This Row],[Ending
Balance]]</f>
        <v>4016.8510568646307</v>
      </c>
      <c r="M48" s="49">
        <f t="shared" ca="1" si="0"/>
        <v>908.5318932997908</v>
      </c>
      <c r="N48" s="25">
        <f ca="1">PaymentSchedule3[[#This Row],[Payment Number]]*$M$19</f>
        <v>28164.488692293515</v>
      </c>
    </row>
    <row r="49" spans="2:14" ht="15.75" x14ac:dyDescent="0.25">
      <c r="B49" s="23">
        <f ca="1">IF(LoanIsGood,IF(ROW()-ROW(PaymentSchedule3[[#Headers],[Payment Number]])&gt;ScheduledNumberOfPayments,"",ROW()-ROW(PaymentSchedule3[[#Headers],[Payment Number]])),"")</f>
        <v>32</v>
      </c>
      <c r="C49" s="24">
        <f ca="1">IF(PaymentSchedule3[[#This Row],[Payment Number]]&lt;&gt;"",EOMONTH(LoanStartDate,ROW(PaymentSchedule3[[#This Row],[Payment Number]])-ROW(PaymentSchedule3[[#Headers],[Payment Number]])-2)+DAY(LoanStartDate),"")</f>
        <v>45578</v>
      </c>
      <c r="D49" s="25">
        <f ca="1">IF(PaymentSchedule3[[#This Row],[Payment Number]]&lt;&gt;"",IF(ROW()-ROW(PaymentSchedule3[[#Headers],[Beginning
Balance]])=1,LoanAmount,INDEX(PaymentSchedule3[Ending
Balance],ROW()-ROW(PaymentSchedule3[[#Headers],[Beginning
Balance]])-1)),"")</f>
        <v>97233.148943135369</v>
      </c>
      <c r="E49" s="25">
        <f ca="1">IF(PaymentSchedule3[[#This Row],[Payment Number]]&lt;&gt;"",ScheduledPayment,"")</f>
        <v>543.5318932997908</v>
      </c>
      <c r="F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49" s="25">
        <f ca="1">IF(PaymentSchedule3[[#This Row],[Payment Number]]&lt;&gt;"",PaymentSchedule3[[#This Row],[Total
Payment]]-PaymentSchedule3[[#This Row],[Interest]],"")</f>
        <v>138.39377270339344</v>
      </c>
      <c r="I49" s="25">
        <f ca="1">IF(PaymentSchedule3[[#This Row],[Payment Number]]&lt;&gt;"",PaymentSchedule3[[#This Row],[Beginning
Balance]]*(InterestRate/PaymentsPerYear),"")</f>
        <v>405.13812059639736</v>
      </c>
      <c r="J49" s="25">
        <f ca="1">IF(PaymentSchedule3[[#This Row],[Payment Number]]&lt;&gt;"",IF(PaymentSchedule3[[#This Row],[Scheduled Payment]]+PaymentSchedule3[[#This Row],[Extra
Payment]]&lt;=PaymentSchedule3[[#This Row],[Beginning
Balance]],PaymentSchedule3[[#This Row],[Beginning
Balance]]-PaymentSchedule3[[#This Row],[Principal]],0),"")</f>
        <v>97094.755170431978</v>
      </c>
      <c r="K49" s="25">
        <f ca="1">IF(PaymentSchedule3[[#This Row],[Payment Number]]&lt;&gt;"",SUM(INDEX(PaymentSchedule3[Interest],1,1):PaymentSchedule3[[#This Row],[Interest]]),"")</f>
        <v>13237.775756025265</v>
      </c>
      <c r="L49" s="49">
        <f ca="1">LoanAmount-PaymentSchedule3[[#This Row],[Ending
Balance]]</f>
        <v>4155.2448295680224</v>
      </c>
      <c r="M49" s="49">
        <f t="shared" ca="1" si="0"/>
        <v>908.5318932997908</v>
      </c>
      <c r="N49" s="25">
        <f ca="1">PaymentSchedule3[[#This Row],[Payment Number]]*$M$19</f>
        <v>29073.020585593305</v>
      </c>
    </row>
    <row r="50" spans="2:14" ht="15.75" x14ac:dyDescent="0.25">
      <c r="B50" s="23">
        <f ca="1">IF(LoanIsGood,IF(ROW()-ROW(PaymentSchedule3[[#Headers],[Payment Number]])&gt;ScheduledNumberOfPayments,"",ROW()-ROW(PaymentSchedule3[[#Headers],[Payment Number]])),"")</f>
        <v>33</v>
      </c>
      <c r="C50" s="24">
        <f ca="1">IF(PaymentSchedule3[[#This Row],[Payment Number]]&lt;&gt;"",EOMONTH(LoanStartDate,ROW(PaymentSchedule3[[#This Row],[Payment Number]])-ROW(PaymentSchedule3[[#Headers],[Payment Number]])-2)+DAY(LoanStartDate),"")</f>
        <v>45609</v>
      </c>
      <c r="D50" s="25">
        <f ca="1">IF(PaymentSchedule3[[#This Row],[Payment Number]]&lt;&gt;"",IF(ROW()-ROW(PaymentSchedule3[[#Headers],[Beginning
Balance]])=1,LoanAmount,INDEX(PaymentSchedule3[Ending
Balance],ROW()-ROW(PaymentSchedule3[[#Headers],[Beginning
Balance]])-1)),"")</f>
        <v>97094.755170431978</v>
      </c>
      <c r="E50" s="25">
        <f ca="1">IF(PaymentSchedule3[[#This Row],[Payment Number]]&lt;&gt;"",ScheduledPayment,"")</f>
        <v>543.5318932997908</v>
      </c>
      <c r="F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0" s="25">
        <f ca="1">IF(PaymentSchedule3[[#This Row],[Payment Number]]&lt;&gt;"",PaymentSchedule3[[#This Row],[Total
Payment]]-PaymentSchedule3[[#This Row],[Interest]],"")</f>
        <v>138.97041342299087</v>
      </c>
      <c r="I50" s="25">
        <f ca="1">IF(PaymentSchedule3[[#This Row],[Payment Number]]&lt;&gt;"",PaymentSchedule3[[#This Row],[Beginning
Balance]]*(InterestRate/PaymentsPerYear),"")</f>
        <v>404.56147987679992</v>
      </c>
      <c r="J50" s="25">
        <f ca="1">IF(PaymentSchedule3[[#This Row],[Payment Number]]&lt;&gt;"",IF(PaymentSchedule3[[#This Row],[Scheduled Payment]]+PaymentSchedule3[[#This Row],[Extra
Payment]]&lt;=PaymentSchedule3[[#This Row],[Beginning
Balance]],PaymentSchedule3[[#This Row],[Beginning
Balance]]-PaymentSchedule3[[#This Row],[Principal]],0),"")</f>
        <v>96955.78475700898</v>
      </c>
      <c r="K50" s="25">
        <f ca="1">IF(PaymentSchedule3[[#This Row],[Payment Number]]&lt;&gt;"",SUM(INDEX(PaymentSchedule3[Interest],1,1):PaymentSchedule3[[#This Row],[Interest]]),"")</f>
        <v>13642.337235902065</v>
      </c>
      <c r="L50" s="49">
        <f ca="1">LoanAmount-PaymentSchedule3[[#This Row],[Ending
Balance]]</f>
        <v>4294.2152429910202</v>
      </c>
      <c r="M50" s="49">
        <f t="shared" ca="1" si="0"/>
        <v>908.5318932997908</v>
      </c>
      <c r="N50" s="25">
        <f ca="1">PaymentSchedule3[[#This Row],[Payment Number]]*$M$19</f>
        <v>29981.552478893096</v>
      </c>
    </row>
    <row r="51" spans="2:14" ht="15.75" x14ac:dyDescent="0.25">
      <c r="B51" s="23">
        <f ca="1">IF(LoanIsGood,IF(ROW()-ROW(PaymentSchedule3[[#Headers],[Payment Number]])&gt;ScheduledNumberOfPayments,"",ROW()-ROW(PaymentSchedule3[[#Headers],[Payment Number]])),"")</f>
        <v>34</v>
      </c>
      <c r="C51" s="24">
        <f ca="1">IF(PaymentSchedule3[[#This Row],[Payment Number]]&lt;&gt;"",EOMONTH(LoanStartDate,ROW(PaymentSchedule3[[#This Row],[Payment Number]])-ROW(PaymentSchedule3[[#Headers],[Payment Number]])-2)+DAY(LoanStartDate),"")</f>
        <v>45639</v>
      </c>
      <c r="D51" s="25">
        <f ca="1">IF(PaymentSchedule3[[#This Row],[Payment Number]]&lt;&gt;"",IF(ROW()-ROW(PaymentSchedule3[[#Headers],[Beginning
Balance]])=1,LoanAmount,INDEX(PaymentSchedule3[Ending
Balance],ROW()-ROW(PaymentSchedule3[[#Headers],[Beginning
Balance]])-1)),"")</f>
        <v>96955.78475700898</v>
      </c>
      <c r="E51" s="25">
        <f ca="1">IF(PaymentSchedule3[[#This Row],[Payment Number]]&lt;&gt;"",ScheduledPayment,"")</f>
        <v>543.5318932997908</v>
      </c>
      <c r="F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1" s="25">
        <f ca="1">IF(PaymentSchedule3[[#This Row],[Payment Number]]&lt;&gt;"",PaymentSchedule3[[#This Row],[Total
Payment]]-PaymentSchedule3[[#This Row],[Interest]],"")</f>
        <v>139.54945681225337</v>
      </c>
      <c r="I51" s="25">
        <f ca="1">IF(PaymentSchedule3[[#This Row],[Payment Number]]&lt;&gt;"",PaymentSchedule3[[#This Row],[Beginning
Balance]]*(InterestRate/PaymentsPerYear),"")</f>
        <v>403.98243648753743</v>
      </c>
      <c r="J51" s="25">
        <f ca="1">IF(PaymentSchedule3[[#This Row],[Payment Number]]&lt;&gt;"",IF(PaymentSchedule3[[#This Row],[Scheduled Payment]]+PaymentSchedule3[[#This Row],[Extra
Payment]]&lt;=PaymentSchedule3[[#This Row],[Beginning
Balance]],PaymentSchedule3[[#This Row],[Beginning
Balance]]-PaymentSchedule3[[#This Row],[Principal]],0),"")</f>
        <v>96816.235300196728</v>
      </c>
      <c r="K51" s="25">
        <f ca="1">IF(PaymentSchedule3[[#This Row],[Payment Number]]&lt;&gt;"",SUM(INDEX(PaymentSchedule3[Interest],1,1):PaymentSchedule3[[#This Row],[Interest]]),"")</f>
        <v>14046.319672389602</v>
      </c>
      <c r="L51" s="49">
        <f ca="1">LoanAmount-PaymentSchedule3[[#This Row],[Ending
Balance]]</f>
        <v>4433.7646998032724</v>
      </c>
      <c r="M51" s="49">
        <f t="shared" ca="1" si="0"/>
        <v>908.5318932997908</v>
      </c>
      <c r="N51" s="25">
        <f ca="1">PaymentSchedule3[[#This Row],[Payment Number]]*$M$19</f>
        <v>30890.084372192887</v>
      </c>
    </row>
    <row r="52" spans="2:14" ht="15.75" x14ac:dyDescent="0.25">
      <c r="B52" s="23">
        <f ca="1">IF(LoanIsGood,IF(ROW()-ROW(PaymentSchedule3[[#Headers],[Payment Number]])&gt;ScheduledNumberOfPayments,"",ROW()-ROW(PaymentSchedule3[[#Headers],[Payment Number]])),"")</f>
        <v>35</v>
      </c>
      <c r="C52" s="24">
        <f ca="1">IF(PaymentSchedule3[[#This Row],[Payment Number]]&lt;&gt;"",EOMONTH(LoanStartDate,ROW(PaymentSchedule3[[#This Row],[Payment Number]])-ROW(PaymentSchedule3[[#Headers],[Payment Number]])-2)+DAY(LoanStartDate),"")</f>
        <v>45670</v>
      </c>
      <c r="D52" s="25">
        <f ca="1">IF(PaymentSchedule3[[#This Row],[Payment Number]]&lt;&gt;"",IF(ROW()-ROW(PaymentSchedule3[[#Headers],[Beginning
Balance]])=1,LoanAmount,INDEX(PaymentSchedule3[Ending
Balance],ROW()-ROW(PaymentSchedule3[[#Headers],[Beginning
Balance]])-1)),"")</f>
        <v>96816.235300196728</v>
      </c>
      <c r="E52" s="25">
        <f ca="1">IF(PaymentSchedule3[[#This Row],[Payment Number]]&lt;&gt;"",ScheduledPayment,"")</f>
        <v>543.5318932997908</v>
      </c>
      <c r="F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2" s="25">
        <f ca="1">IF(PaymentSchedule3[[#This Row],[Payment Number]]&lt;&gt;"",PaymentSchedule3[[#This Row],[Total
Payment]]-PaymentSchedule3[[#This Row],[Interest]],"")</f>
        <v>140.13091288230441</v>
      </c>
      <c r="I52" s="25">
        <f ca="1">IF(PaymentSchedule3[[#This Row],[Payment Number]]&lt;&gt;"",PaymentSchedule3[[#This Row],[Beginning
Balance]]*(InterestRate/PaymentsPerYear),"")</f>
        <v>403.40098041748638</v>
      </c>
      <c r="J52" s="25">
        <f ca="1">IF(PaymentSchedule3[[#This Row],[Payment Number]]&lt;&gt;"",IF(PaymentSchedule3[[#This Row],[Scheduled Payment]]+PaymentSchedule3[[#This Row],[Extra
Payment]]&lt;=PaymentSchedule3[[#This Row],[Beginning
Balance]],PaymentSchedule3[[#This Row],[Beginning
Balance]]-PaymentSchedule3[[#This Row],[Principal]],0),"")</f>
        <v>96676.104387314423</v>
      </c>
      <c r="K52" s="25">
        <f ca="1">IF(PaymentSchedule3[[#This Row],[Payment Number]]&lt;&gt;"",SUM(INDEX(PaymentSchedule3[Interest],1,1):PaymentSchedule3[[#This Row],[Interest]]),"")</f>
        <v>14449.720652807087</v>
      </c>
      <c r="L52" s="49">
        <f ca="1">LoanAmount-PaymentSchedule3[[#This Row],[Ending
Balance]]</f>
        <v>4573.8956126855774</v>
      </c>
      <c r="M52" s="49">
        <f t="shared" ca="1" si="0"/>
        <v>908.5318932997908</v>
      </c>
      <c r="N52" s="25">
        <f ca="1">PaymentSchedule3[[#This Row],[Payment Number]]*$M$19</f>
        <v>31798.616265492677</v>
      </c>
    </row>
    <row r="53" spans="2:14" ht="15.75" x14ac:dyDescent="0.25">
      <c r="B53" s="23">
        <f ca="1">IF(LoanIsGood,IF(ROW()-ROW(PaymentSchedule3[[#Headers],[Payment Number]])&gt;ScheduledNumberOfPayments,"",ROW()-ROW(PaymentSchedule3[[#Headers],[Payment Number]])),"")</f>
        <v>36</v>
      </c>
      <c r="C53" s="24">
        <f ca="1">IF(PaymentSchedule3[[#This Row],[Payment Number]]&lt;&gt;"",EOMONTH(LoanStartDate,ROW(PaymentSchedule3[[#This Row],[Payment Number]])-ROW(PaymentSchedule3[[#Headers],[Payment Number]])-2)+DAY(LoanStartDate),"")</f>
        <v>45701</v>
      </c>
      <c r="D53" s="25">
        <f ca="1">IF(PaymentSchedule3[[#This Row],[Payment Number]]&lt;&gt;"",IF(ROW()-ROW(PaymentSchedule3[[#Headers],[Beginning
Balance]])=1,LoanAmount,INDEX(PaymentSchedule3[Ending
Balance],ROW()-ROW(PaymentSchedule3[[#Headers],[Beginning
Balance]])-1)),"")</f>
        <v>96676.104387314423</v>
      </c>
      <c r="E53" s="25">
        <f ca="1">IF(PaymentSchedule3[[#This Row],[Payment Number]]&lt;&gt;"",ScheduledPayment,"")</f>
        <v>543.5318932997908</v>
      </c>
      <c r="F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3" s="25">
        <f ca="1">IF(PaymentSchedule3[[#This Row],[Payment Number]]&lt;&gt;"",PaymentSchedule3[[#This Row],[Total
Payment]]-PaymentSchedule3[[#This Row],[Interest]],"")</f>
        <v>140.71479168598069</v>
      </c>
      <c r="I53" s="25">
        <f ca="1">IF(PaymentSchedule3[[#This Row],[Payment Number]]&lt;&gt;"",PaymentSchedule3[[#This Row],[Beginning
Balance]]*(InterestRate/PaymentsPerYear),"")</f>
        <v>402.81710161381011</v>
      </c>
      <c r="J53" s="25">
        <f ca="1">IF(PaymentSchedule3[[#This Row],[Payment Number]]&lt;&gt;"",IF(PaymentSchedule3[[#This Row],[Scheduled Payment]]+PaymentSchedule3[[#This Row],[Extra
Payment]]&lt;=PaymentSchedule3[[#This Row],[Beginning
Balance]],PaymentSchedule3[[#This Row],[Beginning
Balance]]-PaymentSchedule3[[#This Row],[Principal]],0),"")</f>
        <v>96535.38959562844</v>
      </c>
      <c r="K53" s="25">
        <f ca="1">IF(PaymentSchedule3[[#This Row],[Payment Number]]&lt;&gt;"",SUM(INDEX(PaymentSchedule3[Interest],1,1):PaymentSchedule3[[#This Row],[Interest]]),"")</f>
        <v>14852.537754420897</v>
      </c>
      <c r="L53" s="49">
        <f ca="1">LoanAmount-PaymentSchedule3[[#This Row],[Ending
Balance]]</f>
        <v>4714.6104043715604</v>
      </c>
      <c r="M53" s="49">
        <f t="shared" ca="1" si="0"/>
        <v>908.5318932997908</v>
      </c>
      <c r="N53" s="25">
        <f ca="1">PaymentSchedule3[[#This Row],[Payment Number]]*$M$19</f>
        <v>32707.148158792468</v>
      </c>
    </row>
    <row r="54" spans="2:14" ht="15.75" x14ac:dyDescent="0.25">
      <c r="B54" s="23">
        <f ca="1">IF(LoanIsGood,IF(ROW()-ROW(PaymentSchedule3[[#Headers],[Payment Number]])&gt;ScheduledNumberOfPayments,"",ROW()-ROW(PaymentSchedule3[[#Headers],[Payment Number]])),"")</f>
        <v>37</v>
      </c>
      <c r="C54" s="24">
        <f ca="1">IF(PaymentSchedule3[[#This Row],[Payment Number]]&lt;&gt;"",EOMONTH(LoanStartDate,ROW(PaymentSchedule3[[#This Row],[Payment Number]])-ROW(PaymentSchedule3[[#Headers],[Payment Number]])-2)+DAY(LoanStartDate),"")</f>
        <v>45729</v>
      </c>
      <c r="D54" s="25">
        <f ca="1">IF(PaymentSchedule3[[#This Row],[Payment Number]]&lt;&gt;"",IF(ROW()-ROW(PaymentSchedule3[[#Headers],[Beginning
Balance]])=1,LoanAmount,INDEX(PaymentSchedule3[Ending
Balance],ROW()-ROW(PaymentSchedule3[[#Headers],[Beginning
Balance]])-1)),"")</f>
        <v>96535.38959562844</v>
      </c>
      <c r="E54" s="25">
        <f ca="1">IF(PaymentSchedule3[[#This Row],[Payment Number]]&lt;&gt;"",ScheduledPayment,"")</f>
        <v>543.5318932997908</v>
      </c>
      <c r="F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4" s="25">
        <f ca="1">IF(PaymentSchedule3[[#This Row],[Payment Number]]&lt;&gt;"",PaymentSchedule3[[#This Row],[Total
Payment]]-PaymentSchedule3[[#This Row],[Interest]],"")</f>
        <v>141.30110331800563</v>
      </c>
      <c r="I54" s="25">
        <f ca="1">IF(PaymentSchedule3[[#This Row],[Payment Number]]&lt;&gt;"",PaymentSchedule3[[#This Row],[Beginning
Balance]]*(InterestRate/PaymentsPerYear),"")</f>
        <v>402.23078998178516</v>
      </c>
      <c r="J54" s="25">
        <f ca="1">IF(PaymentSchedule3[[#This Row],[Payment Number]]&lt;&gt;"",IF(PaymentSchedule3[[#This Row],[Scheduled Payment]]+PaymentSchedule3[[#This Row],[Extra
Payment]]&lt;=PaymentSchedule3[[#This Row],[Beginning
Balance]],PaymentSchedule3[[#This Row],[Beginning
Balance]]-PaymentSchedule3[[#This Row],[Principal]],0),"")</f>
        <v>96394.088492310431</v>
      </c>
      <c r="K54" s="25">
        <f ca="1">IF(PaymentSchedule3[[#This Row],[Payment Number]]&lt;&gt;"",SUM(INDEX(PaymentSchedule3[Interest],1,1):PaymentSchedule3[[#This Row],[Interest]]),"")</f>
        <v>15254.768544402683</v>
      </c>
      <c r="L54" s="49">
        <f ca="1">LoanAmount-PaymentSchedule3[[#This Row],[Ending
Balance]]</f>
        <v>4855.9115076895687</v>
      </c>
      <c r="M54" s="49">
        <f t="shared" ca="1" si="0"/>
        <v>908.5318932997908</v>
      </c>
      <c r="N54" s="25">
        <f ca="1">PaymentSchedule3[[#This Row],[Payment Number]]*$M$19</f>
        <v>33615.680052092262</v>
      </c>
    </row>
    <row r="55" spans="2:14" ht="15.75" x14ac:dyDescent="0.25">
      <c r="B55" s="23">
        <f ca="1">IF(LoanIsGood,IF(ROW()-ROW(PaymentSchedule3[[#Headers],[Payment Number]])&gt;ScheduledNumberOfPayments,"",ROW()-ROW(PaymentSchedule3[[#Headers],[Payment Number]])),"")</f>
        <v>38</v>
      </c>
      <c r="C55" s="24">
        <f ca="1">IF(PaymentSchedule3[[#This Row],[Payment Number]]&lt;&gt;"",EOMONTH(LoanStartDate,ROW(PaymentSchedule3[[#This Row],[Payment Number]])-ROW(PaymentSchedule3[[#Headers],[Payment Number]])-2)+DAY(LoanStartDate),"")</f>
        <v>45760</v>
      </c>
      <c r="D55" s="25">
        <f ca="1">IF(PaymentSchedule3[[#This Row],[Payment Number]]&lt;&gt;"",IF(ROW()-ROW(PaymentSchedule3[[#Headers],[Beginning
Balance]])=1,LoanAmount,INDEX(PaymentSchedule3[Ending
Balance],ROW()-ROW(PaymentSchedule3[[#Headers],[Beginning
Balance]])-1)),"")</f>
        <v>96394.088492310431</v>
      </c>
      <c r="E55" s="25">
        <f ca="1">IF(PaymentSchedule3[[#This Row],[Payment Number]]&lt;&gt;"",ScheduledPayment,"")</f>
        <v>543.5318932997908</v>
      </c>
      <c r="F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5" s="25">
        <f ca="1">IF(PaymentSchedule3[[#This Row],[Payment Number]]&lt;&gt;"",PaymentSchedule3[[#This Row],[Total
Payment]]-PaymentSchedule3[[#This Row],[Interest]],"")</f>
        <v>141.88985791516399</v>
      </c>
      <c r="I55" s="25">
        <f ca="1">IF(PaymentSchedule3[[#This Row],[Payment Number]]&lt;&gt;"",PaymentSchedule3[[#This Row],[Beginning
Balance]]*(InterestRate/PaymentsPerYear),"")</f>
        <v>401.64203538462681</v>
      </c>
      <c r="J55" s="25">
        <f ca="1">IF(PaymentSchedule3[[#This Row],[Payment Number]]&lt;&gt;"",IF(PaymentSchedule3[[#This Row],[Scheduled Payment]]+PaymentSchedule3[[#This Row],[Extra
Payment]]&lt;=PaymentSchedule3[[#This Row],[Beginning
Balance]],PaymentSchedule3[[#This Row],[Beginning
Balance]]-PaymentSchedule3[[#This Row],[Principal]],0),"")</f>
        <v>96252.198634395274</v>
      </c>
      <c r="K55" s="25">
        <f ca="1">IF(PaymentSchedule3[[#This Row],[Payment Number]]&lt;&gt;"",SUM(INDEX(PaymentSchedule3[Interest],1,1):PaymentSchedule3[[#This Row],[Interest]]),"")</f>
        <v>15656.410579787309</v>
      </c>
      <c r="L55" s="49">
        <f ca="1">LoanAmount-PaymentSchedule3[[#This Row],[Ending
Balance]]</f>
        <v>4997.801365604726</v>
      </c>
      <c r="M55" s="49">
        <f t="shared" ca="1" si="0"/>
        <v>908.5318932997908</v>
      </c>
      <c r="N55" s="25">
        <f ca="1">PaymentSchedule3[[#This Row],[Payment Number]]*$M$19</f>
        <v>34524.211945392053</v>
      </c>
    </row>
    <row r="56" spans="2:14" ht="15.75" x14ac:dyDescent="0.25">
      <c r="B56" s="23">
        <f ca="1">IF(LoanIsGood,IF(ROW()-ROW(PaymentSchedule3[[#Headers],[Payment Number]])&gt;ScheduledNumberOfPayments,"",ROW()-ROW(PaymentSchedule3[[#Headers],[Payment Number]])),"")</f>
        <v>39</v>
      </c>
      <c r="C56" s="24">
        <f ca="1">IF(PaymentSchedule3[[#This Row],[Payment Number]]&lt;&gt;"",EOMONTH(LoanStartDate,ROW(PaymentSchedule3[[#This Row],[Payment Number]])-ROW(PaymentSchedule3[[#Headers],[Payment Number]])-2)+DAY(LoanStartDate),"")</f>
        <v>45790</v>
      </c>
      <c r="D56" s="25">
        <f ca="1">IF(PaymentSchedule3[[#This Row],[Payment Number]]&lt;&gt;"",IF(ROW()-ROW(PaymentSchedule3[[#Headers],[Beginning
Balance]])=1,LoanAmount,INDEX(PaymentSchedule3[Ending
Balance],ROW()-ROW(PaymentSchedule3[[#Headers],[Beginning
Balance]])-1)),"")</f>
        <v>96252.198634395274</v>
      </c>
      <c r="E56" s="25">
        <f ca="1">IF(PaymentSchedule3[[#This Row],[Payment Number]]&lt;&gt;"",ScheduledPayment,"")</f>
        <v>543.5318932997908</v>
      </c>
      <c r="F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6" s="25">
        <f ca="1">IF(PaymentSchedule3[[#This Row],[Payment Number]]&lt;&gt;"",PaymentSchedule3[[#This Row],[Total
Payment]]-PaymentSchedule3[[#This Row],[Interest]],"")</f>
        <v>142.48106565647714</v>
      </c>
      <c r="I56" s="25">
        <f ca="1">IF(PaymentSchedule3[[#This Row],[Payment Number]]&lt;&gt;"",PaymentSchedule3[[#This Row],[Beginning
Balance]]*(InterestRate/PaymentsPerYear),"")</f>
        <v>401.05082764331365</v>
      </c>
      <c r="J56" s="25">
        <f ca="1">IF(PaymentSchedule3[[#This Row],[Payment Number]]&lt;&gt;"",IF(PaymentSchedule3[[#This Row],[Scheduled Payment]]+PaymentSchedule3[[#This Row],[Extra
Payment]]&lt;=PaymentSchedule3[[#This Row],[Beginning
Balance]],PaymentSchedule3[[#This Row],[Beginning
Balance]]-PaymentSchedule3[[#This Row],[Principal]],0),"")</f>
        <v>96109.717568738793</v>
      </c>
      <c r="K56" s="25">
        <f ca="1">IF(PaymentSchedule3[[#This Row],[Payment Number]]&lt;&gt;"",SUM(INDEX(PaymentSchedule3[Interest],1,1):PaymentSchedule3[[#This Row],[Interest]]),"")</f>
        <v>16057.461407430623</v>
      </c>
      <c r="L56" s="49">
        <f ca="1">LoanAmount-PaymentSchedule3[[#This Row],[Ending
Balance]]</f>
        <v>5140.2824312612065</v>
      </c>
      <c r="M56" s="49">
        <f t="shared" ca="1" si="0"/>
        <v>908.5318932997908</v>
      </c>
      <c r="N56" s="25">
        <f ca="1">PaymentSchedule3[[#This Row],[Payment Number]]*$M$19</f>
        <v>35432.743838691844</v>
      </c>
    </row>
    <row r="57" spans="2:14" ht="15.75" x14ac:dyDescent="0.25">
      <c r="B57" s="23">
        <f ca="1">IF(LoanIsGood,IF(ROW()-ROW(PaymentSchedule3[[#Headers],[Payment Number]])&gt;ScheduledNumberOfPayments,"",ROW()-ROW(PaymentSchedule3[[#Headers],[Payment Number]])),"")</f>
        <v>40</v>
      </c>
      <c r="C57" s="24">
        <f ca="1">IF(PaymentSchedule3[[#This Row],[Payment Number]]&lt;&gt;"",EOMONTH(LoanStartDate,ROW(PaymentSchedule3[[#This Row],[Payment Number]])-ROW(PaymentSchedule3[[#Headers],[Payment Number]])-2)+DAY(LoanStartDate),"")</f>
        <v>45821</v>
      </c>
      <c r="D57" s="25">
        <f ca="1">IF(PaymentSchedule3[[#This Row],[Payment Number]]&lt;&gt;"",IF(ROW()-ROW(PaymentSchedule3[[#Headers],[Beginning
Balance]])=1,LoanAmount,INDEX(PaymentSchedule3[Ending
Balance],ROW()-ROW(PaymentSchedule3[[#Headers],[Beginning
Balance]])-1)),"")</f>
        <v>96109.717568738793</v>
      </c>
      <c r="E57" s="25">
        <f ca="1">IF(PaymentSchedule3[[#This Row],[Payment Number]]&lt;&gt;"",ScheduledPayment,"")</f>
        <v>543.5318932997908</v>
      </c>
      <c r="F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7" s="25">
        <f ca="1">IF(PaymentSchedule3[[#This Row],[Payment Number]]&lt;&gt;"",PaymentSchedule3[[#This Row],[Total
Payment]]-PaymentSchedule3[[#This Row],[Interest]],"")</f>
        <v>143.07473676337918</v>
      </c>
      <c r="I57" s="25">
        <f ca="1">IF(PaymentSchedule3[[#This Row],[Payment Number]]&lt;&gt;"",PaymentSchedule3[[#This Row],[Beginning
Balance]]*(InterestRate/PaymentsPerYear),"")</f>
        <v>400.45715653641162</v>
      </c>
      <c r="J57" s="25">
        <f ca="1">IF(PaymentSchedule3[[#This Row],[Payment Number]]&lt;&gt;"",IF(PaymentSchedule3[[#This Row],[Scheduled Payment]]+PaymentSchedule3[[#This Row],[Extra
Payment]]&lt;=PaymentSchedule3[[#This Row],[Beginning
Balance]],PaymentSchedule3[[#This Row],[Beginning
Balance]]-PaymentSchedule3[[#This Row],[Principal]],0),"")</f>
        <v>95966.64283197542</v>
      </c>
      <c r="K57" s="25">
        <f ca="1">IF(PaymentSchedule3[[#This Row],[Payment Number]]&lt;&gt;"",SUM(INDEX(PaymentSchedule3[Interest],1,1):PaymentSchedule3[[#This Row],[Interest]]),"")</f>
        <v>16457.918563967036</v>
      </c>
      <c r="L57" s="49">
        <f ca="1">LoanAmount-PaymentSchedule3[[#This Row],[Ending
Balance]]</f>
        <v>5283.3571680245805</v>
      </c>
      <c r="M57" s="49">
        <f t="shared" ca="1" si="0"/>
        <v>908.5318932997908</v>
      </c>
      <c r="N57" s="25">
        <f ca="1">PaymentSchedule3[[#This Row],[Payment Number]]*$M$19</f>
        <v>36341.275731991635</v>
      </c>
    </row>
    <row r="58" spans="2:14" ht="15.75" x14ac:dyDescent="0.25">
      <c r="B58" s="23">
        <f ca="1">IF(LoanIsGood,IF(ROW()-ROW(PaymentSchedule3[[#Headers],[Payment Number]])&gt;ScheduledNumberOfPayments,"",ROW()-ROW(PaymentSchedule3[[#Headers],[Payment Number]])),"")</f>
        <v>41</v>
      </c>
      <c r="C58" s="24">
        <f ca="1">IF(PaymentSchedule3[[#This Row],[Payment Number]]&lt;&gt;"",EOMONTH(LoanStartDate,ROW(PaymentSchedule3[[#This Row],[Payment Number]])-ROW(PaymentSchedule3[[#Headers],[Payment Number]])-2)+DAY(LoanStartDate),"")</f>
        <v>45851</v>
      </c>
      <c r="D58" s="25">
        <f ca="1">IF(PaymentSchedule3[[#This Row],[Payment Number]]&lt;&gt;"",IF(ROW()-ROW(PaymentSchedule3[[#Headers],[Beginning
Balance]])=1,LoanAmount,INDEX(PaymentSchedule3[Ending
Balance],ROW()-ROW(PaymentSchedule3[[#Headers],[Beginning
Balance]])-1)),"")</f>
        <v>95966.64283197542</v>
      </c>
      <c r="E58" s="25">
        <f ca="1">IF(PaymentSchedule3[[#This Row],[Payment Number]]&lt;&gt;"",ScheduledPayment,"")</f>
        <v>543.5318932997908</v>
      </c>
      <c r="F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8" s="25">
        <f ca="1">IF(PaymentSchedule3[[#This Row],[Payment Number]]&lt;&gt;"",PaymentSchedule3[[#This Row],[Total
Payment]]-PaymentSchedule3[[#This Row],[Interest]],"")</f>
        <v>143.6708814998932</v>
      </c>
      <c r="I58" s="25">
        <f ca="1">IF(PaymentSchedule3[[#This Row],[Payment Number]]&lt;&gt;"",PaymentSchedule3[[#This Row],[Beginning
Balance]]*(InterestRate/PaymentsPerYear),"")</f>
        <v>399.8610117998976</v>
      </c>
      <c r="J58" s="25">
        <f ca="1">IF(PaymentSchedule3[[#This Row],[Payment Number]]&lt;&gt;"",IF(PaymentSchedule3[[#This Row],[Scheduled Payment]]+PaymentSchedule3[[#This Row],[Extra
Payment]]&lt;=PaymentSchedule3[[#This Row],[Beginning
Balance]],PaymentSchedule3[[#This Row],[Beginning
Balance]]-PaymentSchedule3[[#This Row],[Principal]],0),"")</f>
        <v>95822.971950475519</v>
      </c>
      <c r="K58" s="25">
        <f ca="1">IF(PaymentSchedule3[[#This Row],[Payment Number]]&lt;&gt;"",SUM(INDEX(PaymentSchedule3[Interest],1,1):PaymentSchedule3[[#This Row],[Interest]]),"")</f>
        <v>16857.779575766934</v>
      </c>
      <c r="L58" s="49">
        <f ca="1">LoanAmount-PaymentSchedule3[[#This Row],[Ending
Balance]]</f>
        <v>5427.0280495244806</v>
      </c>
      <c r="M58" s="49">
        <f t="shared" ca="1" si="0"/>
        <v>908.5318932997908</v>
      </c>
      <c r="N58" s="25">
        <f ca="1">PaymentSchedule3[[#This Row],[Payment Number]]*$M$19</f>
        <v>37249.807625291425</v>
      </c>
    </row>
    <row r="59" spans="2:14" ht="15.75" x14ac:dyDescent="0.25">
      <c r="B59" s="23">
        <f ca="1">IF(LoanIsGood,IF(ROW()-ROW(PaymentSchedule3[[#Headers],[Payment Number]])&gt;ScheduledNumberOfPayments,"",ROW()-ROW(PaymentSchedule3[[#Headers],[Payment Number]])),"")</f>
        <v>42</v>
      </c>
      <c r="C59" s="24">
        <f ca="1">IF(PaymentSchedule3[[#This Row],[Payment Number]]&lt;&gt;"",EOMONTH(LoanStartDate,ROW(PaymentSchedule3[[#This Row],[Payment Number]])-ROW(PaymentSchedule3[[#Headers],[Payment Number]])-2)+DAY(LoanStartDate),"")</f>
        <v>45882</v>
      </c>
      <c r="D59" s="25">
        <f ca="1">IF(PaymentSchedule3[[#This Row],[Payment Number]]&lt;&gt;"",IF(ROW()-ROW(PaymentSchedule3[[#Headers],[Beginning
Balance]])=1,LoanAmount,INDEX(PaymentSchedule3[Ending
Balance],ROW()-ROW(PaymentSchedule3[[#Headers],[Beginning
Balance]])-1)),"")</f>
        <v>95822.971950475519</v>
      </c>
      <c r="E59" s="25">
        <f ca="1">IF(PaymentSchedule3[[#This Row],[Payment Number]]&lt;&gt;"",ScheduledPayment,"")</f>
        <v>543.5318932997908</v>
      </c>
      <c r="F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59" s="25">
        <f ca="1">IF(PaymentSchedule3[[#This Row],[Payment Number]]&lt;&gt;"",PaymentSchedule3[[#This Row],[Total
Payment]]-PaymentSchedule3[[#This Row],[Interest]],"")</f>
        <v>144.26951017280948</v>
      </c>
      <c r="I59" s="25">
        <f ca="1">IF(PaymentSchedule3[[#This Row],[Payment Number]]&lt;&gt;"",PaymentSchedule3[[#This Row],[Beginning
Balance]]*(InterestRate/PaymentsPerYear),"")</f>
        <v>399.26238312698132</v>
      </c>
      <c r="J59" s="25">
        <f ca="1">IF(PaymentSchedule3[[#This Row],[Payment Number]]&lt;&gt;"",IF(PaymentSchedule3[[#This Row],[Scheduled Payment]]+PaymentSchedule3[[#This Row],[Extra
Payment]]&lt;=PaymentSchedule3[[#This Row],[Beginning
Balance]],PaymentSchedule3[[#This Row],[Beginning
Balance]]-PaymentSchedule3[[#This Row],[Principal]],0),"")</f>
        <v>95678.702440302717</v>
      </c>
      <c r="K59" s="25">
        <f ca="1">IF(PaymentSchedule3[[#This Row],[Payment Number]]&lt;&gt;"",SUM(INDEX(PaymentSchedule3[Interest],1,1):PaymentSchedule3[[#This Row],[Interest]]),"")</f>
        <v>17257.041958893915</v>
      </c>
      <c r="L59" s="49">
        <f ca="1">LoanAmount-PaymentSchedule3[[#This Row],[Ending
Balance]]</f>
        <v>5571.2975596972828</v>
      </c>
      <c r="M59" s="49">
        <f t="shared" ca="1" si="0"/>
        <v>908.5318932997908</v>
      </c>
      <c r="N59" s="25">
        <f ca="1">PaymentSchedule3[[#This Row],[Payment Number]]*$M$19</f>
        <v>38158.339518591216</v>
      </c>
    </row>
    <row r="60" spans="2:14" ht="15.75" x14ac:dyDescent="0.25">
      <c r="B60" s="23">
        <f ca="1">IF(LoanIsGood,IF(ROW()-ROW(PaymentSchedule3[[#Headers],[Payment Number]])&gt;ScheduledNumberOfPayments,"",ROW()-ROW(PaymentSchedule3[[#Headers],[Payment Number]])),"")</f>
        <v>43</v>
      </c>
      <c r="C60" s="24">
        <f ca="1">IF(PaymentSchedule3[[#This Row],[Payment Number]]&lt;&gt;"",EOMONTH(LoanStartDate,ROW(PaymentSchedule3[[#This Row],[Payment Number]])-ROW(PaymentSchedule3[[#Headers],[Payment Number]])-2)+DAY(LoanStartDate),"")</f>
        <v>45913</v>
      </c>
      <c r="D60" s="25">
        <f ca="1">IF(PaymentSchedule3[[#This Row],[Payment Number]]&lt;&gt;"",IF(ROW()-ROW(PaymentSchedule3[[#Headers],[Beginning
Balance]])=1,LoanAmount,INDEX(PaymentSchedule3[Ending
Balance],ROW()-ROW(PaymentSchedule3[[#Headers],[Beginning
Balance]])-1)),"")</f>
        <v>95678.702440302717</v>
      </c>
      <c r="E60" s="25">
        <f ca="1">IF(PaymentSchedule3[[#This Row],[Payment Number]]&lt;&gt;"",ScheduledPayment,"")</f>
        <v>543.5318932997908</v>
      </c>
      <c r="F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0" s="25">
        <f ca="1">IF(PaymentSchedule3[[#This Row],[Payment Number]]&lt;&gt;"",PaymentSchedule3[[#This Row],[Total
Payment]]-PaymentSchedule3[[#This Row],[Interest]],"")</f>
        <v>144.8706331318628</v>
      </c>
      <c r="I60" s="25">
        <f ca="1">IF(PaymentSchedule3[[#This Row],[Payment Number]]&lt;&gt;"",PaymentSchedule3[[#This Row],[Beginning
Balance]]*(InterestRate/PaymentsPerYear),"")</f>
        <v>398.66126016792799</v>
      </c>
      <c r="J60" s="25">
        <f ca="1">IF(PaymentSchedule3[[#This Row],[Payment Number]]&lt;&gt;"",IF(PaymentSchedule3[[#This Row],[Scheduled Payment]]+PaymentSchedule3[[#This Row],[Extra
Payment]]&lt;=PaymentSchedule3[[#This Row],[Beginning
Balance]],PaymentSchedule3[[#This Row],[Beginning
Balance]]-PaymentSchedule3[[#This Row],[Principal]],0),"")</f>
        <v>95533.831807170849</v>
      </c>
      <c r="K60" s="25">
        <f ca="1">IF(PaymentSchedule3[[#This Row],[Payment Number]]&lt;&gt;"",SUM(INDEX(PaymentSchedule3[Interest],1,1):PaymentSchedule3[[#This Row],[Interest]]),"")</f>
        <v>17655.703219061841</v>
      </c>
      <c r="L60" s="49">
        <f ca="1">LoanAmount-PaymentSchedule3[[#This Row],[Ending
Balance]]</f>
        <v>5716.1681928291509</v>
      </c>
      <c r="M60" s="49">
        <f t="shared" ca="1" si="0"/>
        <v>908.5318932997908</v>
      </c>
      <c r="N60" s="25">
        <f ca="1">PaymentSchedule3[[#This Row],[Payment Number]]*$M$19</f>
        <v>39066.871411891007</v>
      </c>
    </row>
    <row r="61" spans="2:14" ht="15.75" x14ac:dyDescent="0.25">
      <c r="B61" s="23">
        <f ca="1">IF(LoanIsGood,IF(ROW()-ROW(PaymentSchedule3[[#Headers],[Payment Number]])&gt;ScheduledNumberOfPayments,"",ROW()-ROW(PaymentSchedule3[[#Headers],[Payment Number]])),"")</f>
        <v>44</v>
      </c>
      <c r="C61" s="24">
        <f ca="1">IF(PaymentSchedule3[[#This Row],[Payment Number]]&lt;&gt;"",EOMONTH(LoanStartDate,ROW(PaymentSchedule3[[#This Row],[Payment Number]])-ROW(PaymentSchedule3[[#Headers],[Payment Number]])-2)+DAY(LoanStartDate),"")</f>
        <v>45943</v>
      </c>
      <c r="D61" s="25">
        <f ca="1">IF(PaymentSchedule3[[#This Row],[Payment Number]]&lt;&gt;"",IF(ROW()-ROW(PaymentSchedule3[[#Headers],[Beginning
Balance]])=1,LoanAmount,INDEX(PaymentSchedule3[Ending
Balance],ROW()-ROW(PaymentSchedule3[[#Headers],[Beginning
Balance]])-1)),"")</f>
        <v>95533.831807170849</v>
      </c>
      <c r="E61" s="25">
        <f ca="1">IF(PaymentSchedule3[[#This Row],[Payment Number]]&lt;&gt;"",ScheduledPayment,"")</f>
        <v>543.5318932997908</v>
      </c>
      <c r="F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1" s="25">
        <f ca="1">IF(PaymentSchedule3[[#This Row],[Payment Number]]&lt;&gt;"",PaymentSchedule3[[#This Row],[Total
Payment]]-PaymentSchedule3[[#This Row],[Interest]],"")</f>
        <v>145.47426076991223</v>
      </c>
      <c r="I61" s="25">
        <f ca="1">IF(PaymentSchedule3[[#This Row],[Payment Number]]&lt;&gt;"",PaymentSchedule3[[#This Row],[Beginning
Balance]]*(InterestRate/PaymentsPerYear),"")</f>
        <v>398.05763252987856</v>
      </c>
      <c r="J61" s="25">
        <f ca="1">IF(PaymentSchedule3[[#This Row],[Payment Number]]&lt;&gt;"",IF(PaymentSchedule3[[#This Row],[Scheduled Payment]]+PaymentSchedule3[[#This Row],[Extra
Payment]]&lt;=PaymentSchedule3[[#This Row],[Beginning
Balance]],PaymentSchedule3[[#This Row],[Beginning
Balance]]-PaymentSchedule3[[#This Row],[Principal]],0),"")</f>
        <v>95388.357546400934</v>
      </c>
      <c r="K61" s="25">
        <f ca="1">IF(PaymentSchedule3[[#This Row],[Payment Number]]&lt;&gt;"",SUM(INDEX(PaymentSchedule3[Interest],1,1):PaymentSchedule3[[#This Row],[Interest]]),"")</f>
        <v>18053.76085159172</v>
      </c>
      <c r="L61" s="49">
        <f ca="1">LoanAmount-PaymentSchedule3[[#This Row],[Ending
Balance]]</f>
        <v>5861.6424535990664</v>
      </c>
      <c r="M61" s="49">
        <f t="shared" ca="1" si="0"/>
        <v>908.5318932997908</v>
      </c>
      <c r="N61" s="25">
        <f ca="1">PaymentSchedule3[[#This Row],[Payment Number]]*$M$19</f>
        <v>39975.403305190797</v>
      </c>
    </row>
    <row r="62" spans="2:14" ht="15.75" x14ac:dyDescent="0.25">
      <c r="B62" s="23">
        <f ca="1">IF(LoanIsGood,IF(ROW()-ROW(PaymentSchedule3[[#Headers],[Payment Number]])&gt;ScheduledNumberOfPayments,"",ROW()-ROW(PaymentSchedule3[[#Headers],[Payment Number]])),"")</f>
        <v>45</v>
      </c>
      <c r="C62" s="24">
        <f ca="1">IF(PaymentSchedule3[[#This Row],[Payment Number]]&lt;&gt;"",EOMONTH(LoanStartDate,ROW(PaymentSchedule3[[#This Row],[Payment Number]])-ROW(PaymentSchedule3[[#Headers],[Payment Number]])-2)+DAY(LoanStartDate),"")</f>
        <v>45974</v>
      </c>
      <c r="D62" s="25">
        <f ca="1">IF(PaymentSchedule3[[#This Row],[Payment Number]]&lt;&gt;"",IF(ROW()-ROW(PaymentSchedule3[[#Headers],[Beginning
Balance]])=1,LoanAmount,INDEX(PaymentSchedule3[Ending
Balance],ROW()-ROW(PaymentSchedule3[[#Headers],[Beginning
Balance]])-1)),"")</f>
        <v>95388.357546400934</v>
      </c>
      <c r="E62" s="25">
        <f ca="1">IF(PaymentSchedule3[[#This Row],[Payment Number]]&lt;&gt;"",ScheduledPayment,"")</f>
        <v>543.5318932997908</v>
      </c>
      <c r="F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2" s="25">
        <f ca="1">IF(PaymentSchedule3[[#This Row],[Payment Number]]&lt;&gt;"",PaymentSchedule3[[#This Row],[Total
Payment]]-PaymentSchedule3[[#This Row],[Interest]],"")</f>
        <v>146.08040352312025</v>
      </c>
      <c r="I62" s="25">
        <f ca="1">IF(PaymentSchedule3[[#This Row],[Payment Number]]&lt;&gt;"",PaymentSchedule3[[#This Row],[Beginning
Balance]]*(InterestRate/PaymentsPerYear),"")</f>
        <v>397.45148977667054</v>
      </c>
      <c r="J62" s="25">
        <f ca="1">IF(PaymentSchedule3[[#This Row],[Payment Number]]&lt;&gt;"",IF(PaymentSchedule3[[#This Row],[Scheduled Payment]]+PaymentSchedule3[[#This Row],[Extra
Payment]]&lt;=PaymentSchedule3[[#This Row],[Beginning
Balance]],PaymentSchedule3[[#This Row],[Beginning
Balance]]-PaymentSchedule3[[#This Row],[Principal]],0),"")</f>
        <v>95242.277142877807</v>
      </c>
      <c r="K62" s="25">
        <f ca="1">IF(PaymentSchedule3[[#This Row],[Payment Number]]&lt;&gt;"",SUM(INDEX(PaymentSchedule3[Interest],1,1):PaymentSchedule3[[#This Row],[Interest]]),"")</f>
        <v>18451.212341368391</v>
      </c>
      <c r="L62" s="49">
        <f ca="1">LoanAmount-PaymentSchedule3[[#This Row],[Ending
Balance]]</f>
        <v>6007.7228571221931</v>
      </c>
      <c r="M62" s="49">
        <f t="shared" ca="1" si="0"/>
        <v>908.5318932997908</v>
      </c>
      <c r="N62" s="25">
        <f ca="1">PaymentSchedule3[[#This Row],[Payment Number]]*$M$19</f>
        <v>40883.935198490588</v>
      </c>
    </row>
    <row r="63" spans="2:14" ht="15.75" x14ac:dyDescent="0.25">
      <c r="B63" s="23">
        <f ca="1">IF(LoanIsGood,IF(ROW()-ROW(PaymentSchedule3[[#Headers],[Payment Number]])&gt;ScheduledNumberOfPayments,"",ROW()-ROW(PaymentSchedule3[[#Headers],[Payment Number]])),"")</f>
        <v>46</v>
      </c>
      <c r="C63" s="24">
        <f ca="1">IF(PaymentSchedule3[[#This Row],[Payment Number]]&lt;&gt;"",EOMONTH(LoanStartDate,ROW(PaymentSchedule3[[#This Row],[Payment Number]])-ROW(PaymentSchedule3[[#Headers],[Payment Number]])-2)+DAY(LoanStartDate),"")</f>
        <v>46004</v>
      </c>
      <c r="D63" s="25">
        <f ca="1">IF(PaymentSchedule3[[#This Row],[Payment Number]]&lt;&gt;"",IF(ROW()-ROW(PaymentSchedule3[[#Headers],[Beginning
Balance]])=1,LoanAmount,INDEX(PaymentSchedule3[Ending
Balance],ROW()-ROW(PaymentSchedule3[[#Headers],[Beginning
Balance]])-1)),"")</f>
        <v>95242.277142877807</v>
      </c>
      <c r="E63" s="25">
        <f ca="1">IF(PaymentSchedule3[[#This Row],[Payment Number]]&lt;&gt;"",ScheduledPayment,"")</f>
        <v>543.5318932997908</v>
      </c>
      <c r="F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3" s="25">
        <f ca="1">IF(PaymentSchedule3[[#This Row],[Payment Number]]&lt;&gt;"",PaymentSchedule3[[#This Row],[Total
Payment]]-PaymentSchedule3[[#This Row],[Interest]],"")</f>
        <v>146.68907187113325</v>
      </c>
      <c r="I63" s="25">
        <f ca="1">IF(PaymentSchedule3[[#This Row],[Payment Number]]&lt;&gt;"",PaymentSchedule3[[#This Row],[Beginning
Balance]]*(InterestRate/PaymentsPerYear),"")</f>
        <v>396.84282142865754</v>
      </c>
      <c r="J63" s="25">
        <f ca="1">IF(PaymentSchedule3[[#This Row],[Payment Number]]&lt;&gt;"",IF(PaymentSchedule3[[#This Row],[Scheduled Payment]]+PaymentSchedule3[[#This Row],[Extra
Payment]]&lt;=PaymentSchedule3[[#This Row],[Beginning
Balance]],PaymentSchedule3[[#This Row],[Beginning
Balance]]-PaymentSchedule3[[#This Row],[Principal]],0),"")</f>
        <v>95095.58807100667</v>
      </c>
      <c r="K63" s="25">
        <f ca="1">IF(PaymentSchedule3[[#This Row],[Payment Number]]&lt;&gt;"",SUM(INDEX(PaymentSchedule3[Interest],1,1):PaymentSchedule3[[#This Row],[Interest]]),"")</f>
        <v>18848.055162797049</v>
      </c>
      <c r="L63" s="49">
        <f ca="1">LoanAmount-PaymentSchedule3[[#This Row],[Ending
Balance]]</f>
        <v>6154.4119289933296</v>
      </c>
      <c r="M63" s="49">
        <f t="shared" ca="1" si="0"/>
        <v>908.5318932997908</v>
      </c>
      <c r="N63" s="25">
        <f ca="1">PaymentSchedule3[[#This Row],[Payment Number]]*$M$19</f>
        <v>41792.467091790379</v>
      </c>
    </row>
    <row r="64" spans="2:14" ht="15.75" x14ac:dyDescent="0.25">
      <c r="B64" s="23">
        <f ca="1">IF(LoanIsGood,IF(ROW()-ROW(PaymentSchedule3[[#Headers],[Payment Number]])&gt;ScheduledNumberOfPayments,"",ROW()-ROW(PaymentSchedule3[[#Headers],[Payment Number]])),"")</f>
        <v>47</v>
      </c>
      <c r="C64" s="24">
        <f ca="1">IF(PaymentSchedule3[[#This Row],[Payment Number]]&lt;&gt;"",EOMONTH(LoanStartDate,ROW(PaymentSchedule3[[#This Row],[Payment Number]])-ROW(PaymentSchedule3[[#Headers],[Payment Number]])-2)+DAY(LoanStartDate),"")</f>
        <v>46035</v>
      </c>
      <c r="D64" s="25">
        <f ca="1">IF(PaymentSchedule3[[#This Row],[Payment Number]]&lt;&gt;"",IF(ROW()-ROW(PaymentSchedule3[[#Headers],[Beginning
Balance]])=1,LoanAmount,INDEX(PaymentSchedule3[Ending
Balance],ROW()-ROW(PaymentSchedule3[[#Headers],[Beginning
Balance]])-1)),"")</f>
        <v>95095.58807100667</v>
      </c>
      <c r="E64" s="25">
        <f ca="1">IF(PaymentSchedule3[[#This Row],[Payment Number]]&lt;&gt;"",ScheduledPayment,"")</f>
        <v>543.5318932997908</v>
      </c>
      <c r="F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4" s="25">
        <f ca="1">IF(PaymentSchedule3[[#This Row],[Payment Number]]&lt;&gt;"",PaymentSchedule3[[#This Row],[Total
Payment]]-PaymentSchedule3[[#This Row],[Interest]],"")</f>
        <v>147.30027633726303</v>
      </c>
      <c r="I64" s="25">
        <f ca="1">IF(PaymentSchedule3[[#This Row],[Payment Number]]&lt;&gt;"",PaymentSchedule3[[#This Row],[Beginning
Balance]]*(InterestRate/PaymentsPerYear),"")</f>
        <v>396.23161696252777</v>
      </c>
      <c r="J64" s="25">
        <f ca="1">IF(PaymentSchedule3[[#This Row],[Payment Number]]&lt;&gt;"",IF(PaymentSchedule3[[#This Row],[Scheduled Payment]]+PaymentSchedule3[[#This Row],[Extra
Payment]]&lt;=PaymentSchedule3[[#This Row],[Beginning
Balance]],PaymentSchedule3[[#This Row],[Beginning
Balance]]-PaymentSchedule3[[#This Row],[Principal]],0),"")</f>
        <v>94948.287794669406</v>
      </c>
      <c r="K64" s="25">
        <f ca="1">IF(PaymentSchedule3[[#This Row],[Payment Number]]&lt;&gt;"",SUM(INDEX(PaymentSchedule3[Interest],1,1):PaymentSchedule3[[#This Row],[Interest]]),"")</f>
        <v>19244.286779759575</v>
      </c>
      <c r="L64" s="49">
        <f ca="1">LoanAmount-PaymentSchedule3[[#This Row],[Ending
Balance]]</f>
        <v>6301.7122053305939</v>
      </c>
      <c r="M64" s="49">
        <f t="shared" ca="1" si="0"/>
        <v>908.5318932997908</v>
      </c>
      <c r="N64" s="25">
        <f ca="1">PaymentSchedule3[[#This Row],[Payment Number]]*$M$19</f>
        <v>42700.998985090169</v>
      </c>
    </row>
    <row r="65" spans="2:14" ht="15.75" x14ac:dyDescent="0.25">
      <c r="B65" s="23">
        <f ca="1">IF(LoanIsGood,IF(ROW()-ROW(PaymentSchedule3[[#Headers],[Payment Number]])&gt;ScheduledNumberOfPayments,"",ROW()-ROW(PaymentSchedule3[[#Headers],[Payment Number]])),"")</f>
        <v>48</v>
      </c>
      <c r="C65" s="24">
        <f ca="1">IF(PaymentSchedule3[[#This Row],[Payment Number]]&lt;&gt;"",EOMONTH(LoanStartDate,ROW(PaymentSchedule3[[#This Row],[Payment Number]])-ROW(PaymentSchedule3[[#Headers],[Payment Number]])-2)+DAY(LoanStartDate),"")</f>
        <v>46066</v>
      </c>
      <c r="D65" s="25">
        <f ca="1">IF(PaymentSchedule3[[#This Row],[Payment Number]]&lt;&gt;"",IF(ROW()-ROW(PaymentSchedule3[[#Headers],[Beginning
Balance]])=1,LoanAmount,INDEX(PaymentSchedule3[Ending
Balance],ROW()-ROW(PaymentSchedule3[[#Headers],[Beginning
Balance]])-1)),"")</f>
        <v>94948.287794669406</v>
      </c>
      <c r="E65" s="25">
        <f ca="1">IF(PaymentSchedule3[[#This Row],[Payment Number]]&lt;&gt;"",ScheduledPayment,"")</f>
        <v>543.5318932997908</v>
      </c>
      <c r="F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5" s="25">
        <f ca="1">IF(PaymentSchedule3[[#This Row],[Payment Number]]&lt;&gt;"",PaymentSchedule3[[#This Row],[Total
Payment]]-PaymentSchedule3[[#This Row],[Interest]],"")</f>
        <v>147.9140274886683</v>
      </c>
      <c r="I65" s="25">
        <f ca="1">IF(PaymentSchedule3[[#This Row],[Payment Number]]&lt;&gt;"",PaymentSchedule3[[#This Row],[Beginning
Balance]]*(InterestRate/PaymentsPerYear),"")</f>
        <v>395.6178658111225</v>
      </c>
      <c r="J65" s="25">
        <f ca="1">IF(PaymentSchedule3[[#This Row],[Payment Number]]&lt;&gt;"",IF(PaymentSchedule3[[#This Row],[Scheduled Payment]]+PaymentSchedule3[[#This Row],[Extra
Payment]]&lt;=PaymentSchedule3[[#This Row],[Beginning
Balance]],PaymentSchedule3[[#This Row],[Beginning
Balance]]-PaymentSchedule3[[#This Row],[Principal]],0),"")</f>
        <v>94800.373767180732</v>
      </c>
      <c r="K65" s="25">
        <f ca="1">IF(PaymentSchedule3[[#This Row],[Payment Number]]&lt;&gt;"",SUM(INDEX(PaymentSchedule3[Interest],1,1):PaymentSchedule3[[#This Row],[Interest]]),"")</f>
        <v>19639.904645570699</v>
      </c>
      <c r="L65" s="49">
        <f ca="1">LoanAmount-PaymentSchedule3[[#This Row],[Ending
Balance]]</f>
        <v>6449.6262328192679</v>
      </c>
      <c r="M65" s="49">
        <f t="shared" ca="1" si="0"/>
        <v>908.5318932997908</v>
      </c>
      <c r="N65" s="25">
        <f ca="1">PaymentSchedule3[[#This Row],[Payment Number]]*$M$19</f>
        <v>43609.53087838996</v>
      </c>
    </row>
    <row r="66" spans="2:14" ht="15.75" x14ac:dyDescent="0.25">
      <c r="B66" s="23">
        <f ca="1">IF(LoanIsGood,IF(ROW()-ROW(PaymentSchedule3[[#Headers],[Payment Number]])&gt;ScheduledNumberOfPayments,"",ROW()-ROW(PaymentSchedule3[[#Headers],[Payment Number]])),"")</f>
        <v>49</v>
      </c>
      <c r="C66" s="24">
        <f ca="1">IF(PaymentSchedule3[[#This Row],[Payment Number]]&lt;&gt;"",EOMONTH(LoanStartDate,ROW(PaymentSchedule3[[#This Row],[Payment Number]])-ROW(PaymentSchedule3[[#Headers],[Payment Number]])-2)+DAY(LoanStartDate),"")</f>
        <v>46094</v>
      </c>
      <c r="D66" s="25">
        <f ca="1">IF(PaymentSchedule3[[#This Row],[Payment Number]]&lt;&gt;"",IF(ROW()-ROW(PaymentSchedule3[[#Headers],[Beginning
Balance]])=1,LoanAmount,INDEX(PaymentSchedule3[Ending
Balance],ROW()-ROW(PaymentSchedule3[[#Headers],[Beginning
Balance]])-1)),"")</f>
        <v>94800.373767180732</v>
      </c>
      <c r="E66" s="25">
        <f ca="1">IF(PaymentSchedule3[[#This Row],[Payment Number]]&lt;&gt;"",ScheduledPayment,"")</f>
        <v>543.5318932997908</v>
      </c>
      <c r="F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6" s="25">
        <f ca="1">IF(PaymentSchedule3[[#This Row],[Payment Number]]&lt;&gt;"",PaymentSchedule3[[#This Row],[Total
Payment]]-PaymentSchedule3[[#This Row],[Interest]],"")</f>
        <v>148.53033593653777</v>
      </c>
      <c r="I66" s="25">
        <f ca="1">IF(PaymentSchedule3[[#This Row],[Payment Number]]&lt;&gt;"",PaymentSchedule3[[#This Row],[Beginning
Balance]]*(InterestRate/PaymentsPerYear),"")</f>
        <v>395.00155736325303</v>
      </c>
      <c r="J66" s="25">
        <f ca="1">IF(PaymentSchedule3[[#This Row],[Payment Number]]&lt;&gt;"",IF(PaymentSchedule3[[#This Row],[Scheduled Payment]]+PaymentSchedule3[[#This Row],[Extra
Payment]]&lt;=PaymentSchedule3[[#This Row],[Beginning
Balance]],PaymentSchedule3[[#This Row],[Beginning
Balance]]-PaymentSchedule3[[#This Row],[Principal]],0),"")</f>
        <v>94651.843431244197</v>
      </c>
      <c r="K66" s="25">
        <f ca="1">IF(PaymentSchedule3[[#This Row],[Payment Number]]&lt;&gt;"",SUM(INDEX(PaymentSchedule3[Interest],1,1):PaymentSchedule3[[#This Row],[Interest]]),"")</f>
        <v>20034.906202933951</v>
      </c>
      <c r="L66" s="49">
        <f ca="1">LoanAmount-PaymentSchedule3[[#This Row],[Ending
Balance]]</f>
        <v>6598.1565687558032</v>
      </c>
      <c r="M66" s="49">
        <f t="shared" ca="1" si="0"/>
        <v>908.5318932997908</v>
      </c>
      <c r="N66" s="25">
        <f ca="1">PaymentSchedule3[[#This Row],[Payment Number]]*$M$19</f>
        <v>44518.062771689751</v>
      </c>
    </row>
    <row r="67" spans="2:14" ht="15.75" x14ac:dyDescent="0.25">
      <c r="B67" s="23">
        <f ca="1">IF(LoanIsGood,IF(ROW()-ROW(PaymentSchedule3[[#Headers],[Payment Number]])&gt;ScheduledNumberOfPayments,"",ROW()-ROW(PaymentSchedule3[[#Headers],[Payment Number]])),"")</f>
        <v>50</v>
      </c>
      <c r="C67" s="24">
        <f ca="1">IF(PaymentSchedule3[[#This Row],[Payment Number]]&lt;&gt;"",EOMONTH(LoanStartDate,ROW(PaymentSchedule3[[#This Row],[Payment Number]])-ROW(PaymentSchedule3[[#Headers],[Payment Number]])-2)+DAY(LoanStartDate),"")</f>
        <v>46125</v>
      </c>
      <c r="D67" s="25">
        <f ca="1">IF(PaymentSchedule3[[#This Row],[Payment Number]]&lt;&gt;"",IF(ROW()-ROW(PaymentSchedule3[[#Headers],[Beginning
Balance]])=1,LoanAmount,INDEX(PaymentSchedule3[Ending
Balance],ROW()-ROW(PaymentSchedule3[[#Headers],[Beginning
Balance]])-1)),"")</f>
        <v>94651.843431244197</v>
      </c>
      <c r="E67" s="25">
        <f ca="1">IF(PaymentSchedule3[[#This Row],[Payment Number]]&lt;&gt;"",ScheduledPayment,"")</f>
        <v>543.5318932997908</v>
      </c>
      <c r="F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7" s="25">
        <f ca="1">IF(PaymentSchedule3[[#This Row],[Payment Number]]&lt;&gt;"",PaymentSchedule3[[#This Row],[Total
Payment]]-PaymentSchedule3[[#This Row],[Interest]],"")</f>
        <v>149.14921233627331</v>
      </c>
      <c r="I67" s="25">
        <f ca="1">IF(PaymentSchedule3[[#This Row],[Payment Number]]&lt;&gt;"",PaymentSchedule3[[#This Row],[Beginning
Balance]]*(InterestRate/PaymentsPerYear),"")</f>
        <v>394.38268096351749</v>
      </c>
      <c r="J67" s="25">
        <f ca="1">IF(PaymentSchedule3[[#This Row],[Payment Number]]&lt;&gt;"",IF(PaymentSchedule3[[#This Row],[Scheduled Payment]]+PaymentSchedule3[[#This Row],[Extra
Payment]]&lt;=PaymentSchedule3[[#This Row],[Beginning
Balance]],PaymentSchedule3[[#This Row],[Beginning
Balance]]-PaymentSchedule3[[#This Row],[Principal]],0),"")</f>
        <v>94502.694218907927</v>
      </c>
      <c r="K67" s="25">
        <f ca="1">IF(PaymentSchedule3[[#This Row],[Payment Number]]&lt;&gt;"",SUM(INDEX(PaymentSchedule3[Interest],1,1):PaymentSchedule3[[#This Row],[Interest]]),"")</f>
        <v>20429.288883897469</v>
      </c>
      <c r="L67" s="49">
        <f ca="1">LoanAmount-PaymentSchedule3[[#This Row],[Ending
Balance]]</f>
        <v>6747.3057810920727</v>
      </c>
      <c r="M67" s="49">
        <f t="shared" ca="1" si="0"/>
        <v>908.5318932997908</v>
      </c>
      <c r="N67" s="25">
        <f ca="1">PaymentSchedule3[[#This Row],[Payment Number]]*$M$19</f>
        <v>45426.594664989541</v>
      </c>
    </row>
    <row r="68" spans="2:14" ht="15.75" x14ac:dyDescent="0.25">
      <c r="B68" s="23">
        <f ca="1">IF(LoanIsGood,IF(ROW()-ROW(PaymentSchedule3[[#Headers],[Payment Number]])&gt;ScheduledNumberOfPayments,"",ROW()-ROW(PaymentSchedule3[[#Headers],[Payment Number]])),"")</f>
        <v>51</v>
      </c>
      <c r="C68" s="24">
        <f ca="1">IF(PaymentSchedule3[[#This Row],[Payment Number]]&lt;&gt;"",EOMONTH(LoanStartDate,ROW(PaymentSchedule3[[#This Row],[Payment Number]])-ROW(PaymentSchedule3[[#Headers],[Payment Number]])-2)+DAY(LoanStartDate),"")</f>
        <v>46155</v>
      </c>
      <c r="D68" s="25">
        <f ca="1">IF(PaymentSchedule3[[#This Row],[Payment Number]]&lt;&gt;"",IF(ROW()-ROW(PaymentSchedule3[[#Headers],[Beginning
Balance]])=1,LoanAmount,INDEX(PaymentSchedule3[Ending
Balance],ROW()-ROW(PaymentSchedule3[[#Headers],[Beginning
Balance]])-1)),"")</f>
        <v>94502.694218907927</v>
      </c>
      <c r="E68" s="25">
        <f ca="1">IF(PaymentSchedule3[[#This Row],[Payment Number]]&lt;&gt;"",ScheduledPayment,"")</f>
        <v>543.5318932997908</v>
      </c>
      <c r="F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8" s="25">
        <f ca="1">IF(PaymentSchedule3[[#This Row],[Payment Number]]&lt;&gt;"",PaymentSchedule3[[#This Row],[Total
Payment]]-PaymentSchedule3[[#This Row],[Interest]],"")</f>
        <v>149.77066738767445</v>
      </c>
      <c r="I68" s="25">
        <f ca="1">IF(PaymentSchedule3[[#This Row],[Payment Number]]&lt;&gt;"",PaymentSchedule3[[#This Row],[Beginning
Balance]]*(InterestRate/PaymentsPerYear),"")</f>
        <v>393.76122591211634</v>
      </c>
      <c r="J68" s="25">
        <f ca="1">IF(PaymentSchedule3[[#This Row],[Payment Number]]&lt;&gt;"",IF(PaymentSchedule3[[#This Row],[Scheduled Payment]]+PaymentSchedule3[[#This Row],[Extra
Payment]]&lt;=PaymentSchedule3[[#This Row],[Beginning
Balance]],PaymentSchedule3[[#This Row],[Beginning
Balance]]-PaymentSchedule3[[#This Row],[Principal]],0),"")</f>
        <v>94352.92355152026</v>
      </c>
      <c r="K68" s="25">
        <f ca="1">IF(PaymentSchedule3[[#This Row],[Payment Number]]&lt;&gt;"",SUM(INDEX(PaymentSchedule3[Interest],1,1):PaymentSchedule3[[#This Row],[Interest]]),"")</f>
        <v>20823.050109809585</v>
      </c>
      <c r="L68" s="49">
        <f ca="1">LoanAmount-PaymentSchedule3[[#This Row],[Ending
Balance]]</f>
        <v>6897.0764484797401</v>
      </c>
      <c r="M68" s="49">
        <f t="shared" ca="1" si="0"/>
        <v>908.5318932997908</v>
      </c>
      <c r="N68" s="25">
        <f ca="1">PaymentSchedule3[[#This Row],[Payment Number]]*$M$19</f>
        <v>46335.126558289332</v>
      </c>
    </row>
    <row r="69" spans="2:14" ht="15.75" x14ac:dyDescent="0.25">
      <c r="B69" s="23">
        <f ca="1">IF(LoanIsGood,IF(ROW()-ROW(PaymentSchedule3[[#Headers],[Payment Number]])&gt;ScheduledNumberOfPayments,"",ROW()-ROW(PaymentSchedule3[[#Headers],[Payment Number]])),"")</f>
        <v>52</v>
      </c>
      <c r="C69" s="24">
        <f ca="1">IF(PaymentSchedule3[[#This Row],[Payment Number]]&lt;&gt;"",EOMONTH(LoanStartDate,ROW(PaymentSchedule3[[#This Row],[Payment Number]])-ROW(PaymentSchedule3[[#Headers],[Payment Number]])-2)+DAY(LoanStartDate),"")</f>
        <v>46186</v>
      </c>
      <c r="D69" s="25">
        <f ca="1">IF(PaymentSchedule3[[#This Row],[Payment Number]]&lt;&gt;"",IF(ROW()-ROW(PaymentSchedule3[[#Headers],[Beginning
Balance]])=1,LoanAmount,INDEX(PaymentSchedule3[Ending
Balance],ROW()-ROW(PaymentSchedule3[[#Headers],[Beginning
Balance]])-1)),"")</f>
        <v>94352.92355152026</v>
      </c>
      <c r="E69" s="25">
        <f ca="1">IF(PaymentSchedule3[[#This Row],[Payment Number]]&lt;&gt;"",ScheduledPayment,"")</f>
        <v>543.5318932997908</v>
      </c>
      <c r="F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69" s="25">
        <f ca="1">IF(PaymentSchedule3[[#This Row],[Payment Number]]&lt;&gt;"",PaymentSchedule3[[#This Row],[Total
Payment]]-PaymentSchedule3[[#This Row],[Interest]],"")</f>
        <v>150.39471183512308</v>
      </c>
      <c r="I69" s="25">
        <f ca="1">IF(PaymentSchedule3[[#This Row],[Payment Number]]&lt;&gt;"",PaymentSchedule3[[#This Row],[Beginning
Balance]]*(InterestRate/PaymentsPerYear),"")</f>
        <v>393.13718146466772</v>
      </c>
      <c r="J69" s="25">
        <f ca="1">IF(PaymentSchedule3[[#This Row],[Payment Number]]&lt;&gt;"",IF(PaymentSchedule3[[#This Row],[Scheduled Payment]]+PaymentSchedule3[[#This Row],[Extra
Payment]]&lt;=PaymentSchedule3[[#This Row],[Beginning
Balance]],PaymentSchedule3[[#This Row],[Beginning
Balance]]-PaymentSchedule3[[#This Row],[Principal]],0),"")</f>
        <v>94202.528839685139</v>
      </c>
      <c r="K69" s="25">
        <f ca="1">IF(PaymentSchedule3[[#This Row],[Payment Number]]&lt;&gt;"",SUM(INDEX(PaymentSchedule3[Interest],1,1):PaymentSchedule3[[#This Row],[Interest]]),"")</f>
        <v>21216.187291274251</v>
      </c>
      <c r="L69" s="49">
        <f ca="1">LoanAmount-PaymentSchedule3[[#This Row],[Ending
Balance]]</f>
        <v>7047.4711603148608</v>
      </c>
      <c r="M69" s="49">
        <f t="shared" ca="1" si="0"/>
        <v>908.5318932997908</v>
      </c>
      <c r="N69" s="25">
        <f ca="1">PaymentSchedule3[[#This Row],[Payment Number]]*$M$19</f>
        <v>47243.658451589123</v>
      </c>
    </row>
    <row r="70" spans="2:14" ht="15.75" x14ac:dyDescent="0.25">
      <c r="B70" s="23">
        <f ca="1">IF(LoanIsGood,IF(ROW()-ROW(PaymentSchedule3[[#Headers],[Payment Number]])&gt;ScheduledNumberOfPayments,"",ROW()-ROW(PaymentSchedule3[[#Headers],[Payment Number]])),"")</f>
        <v>53</v>
      </c>
      <c r="C70" s="24">
        <f ca="1">IF(PaymentSchedule3[[#This Row],[Payment Number]]&lt;&gt;"",EOMONTH(LoanStartDate,ROW(PaymentSchedule3[[#This Row],[Payment Number]])-ROW(PaymentSchedule3[[#Headers],[Payment Number]])-2)+DAY(LoanStartDate),"")</f>
        <v>46216</v>
      </c>
      <c r="D70" s="25">
        <f ca="1">IF(PaymentSchedule3[[#This Row],[Payment Number]]&lt;&gt;"",IF(ROW()-ROW(PaymentSchedule3[[#Headers],[Beginning
Balance]])=1,LoanAmount,INDEX(PaymentSchedule3[Ending
Balance],ROW()-ROW(PaymentSchedule3[[#Headers],[Beginning
Balance]])-1)),"")</f>
        <v>94202.528839685139</v>
      </c>
      <c r="E70" s="25">
        <f ca="1">IF(PaymentSchedule3[[#This Row],[Payment Number]]&lt;&gt;"",ScheduledPayment,"")</f>
        <v>543.5318932997908</v>
      </c>
      <c r="F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0" s="25">
        <f ca="1">IF(PaymentSchedule3[[#This Row],[Payment Number]]&lt;&gt;"",PaymentSchedule3[[#This Row],[Total
Payment]]-PaymentSchedule3[[#This Row],[Interest]],"")</f>
        <v>151.02135646776941</v>
      </c>
      <c r="I70" s="25">
        <f ca="1">IF(PaymentSchedule3[[#This Row],[Payment Number]]&lt;&gt;"",PaymentSchedule3[[#This Row],[Beginning
Balance]]*(InterestRate/PaymentsPerYear),"")</f>
        <v>392.51053683202139</v>
      </c>
      <c r="J70" s="25">
        <f ca="1">IF(PaymentSchedule3[[#This Row],[Payment Number]]&lt;&gt;"",IF(PaymentSchedule3[[#This Row],[Scheduled Payment]]+PaymentSchedule3[[#This Row],[Extra
Payment]]&lt;=PaymentSchedule3[[#This Row],[Beginning
Balance]],PaymentSchedule3[[#This Row],[Beginning
Balance]]-PaymentSchedule3[[#This Row],[Principal]],0),"")</f>
        <v>94051.50748321737</v>
      </c>
      <c r="K70" s="25">
        <f ca="1">IF(PaymentSchedule3[[#This Row],[Payment Number]]&lt;&gt;"",SUM(INDEX(PaymentSchedule3[Interest],1,1):PaymentSchedule3[[#This Row],[Interest]]),"")</f>
        <v>21608.697828106273</v>
      </c>
      <c r="L70" s="49">
        <f ca="1">LoanAmount-PaymentSchedule3[[#This Row],[Ending
Balance]]</f>
        <v>7198.4925167826295</v>
      </c>
      <c r="M70" s="49">
        <f t="shared" ca="1" si="0"/>
        <v>908.5318932997908</v>
      </c>
      <c r="N70" s="25">
        <f ca="1">PaymentSchedule3[[#This Row],[Payment Number]]*$M$19</f>
        <v>48152.190344888913</v>
      </c>
    </row>
    <row r="71" spans="2:14" ht="15.75" x14ac:dyDescent="0.25">
      <c r="B71" s="23">
        <f ca="1">IF(LoanIsGood,IF(ROW()-ROW(PaymentSchedule3[[#Headers],[Payment Number]])&gt;ScheduledNumberOfPayments,"",ROW()-ROW(PaymentSchedule3[[#Headers],[Payment Number]])),"")</f>
        <v>54</v>
      </c>
      <c r="C71" s="24">
        <f ca="1">IF(PaymentSchedule3[[#This Row],[Payment Number]]&lt;&gt;"",EOMONTH(LoanStartDate,ROW(PaymentSchedule3[[#This Row],[Payment Number]])-ROW(PaymentSchedule3[[#Headers],[Payment Number]])-2)+DAY(LoanStartDate),"")</f>
        <v>46247</v>
      </c>
      <c r="D71" s="25">
        <f ca="1">IF(PaymentSchedule3[[#This Row],[Payment Number]]&lt;&gt;"",IF(ROW()-ROW(PaymentSchedule3[[#Headers],[Beginning
Balance]])=1,LoanAmount,INDEX(PaymentSchedule3[Ending
Balance],ROW()-ROW(PaymentSchedule3[[#Headers],[Beginning
Balance]])-1)),"")</f>
        <v>94051.50748321737</v>
      </c>
      <c r="E71" s="25">
        <f ca="1">IF(PaymentSchedule3[[#This Row],[Payment Number]]&lt;&gt;"",ScheduledPayment,"")</f>
        <v>543.5318932997908</v>
      </c>
      <c r="F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1" s="25">
        <f ca="1">IF(PaymentSchedule3[[#This Row],[Payment Number]]&lt;&gt;"",PaymentSchedule3[[#This Row],[Total
Payment]]-PaymentSchedule3[[#This Row],[Interest]],"")</f>
        <v>151.6506121197184</v>
      </c>
      <c r="I71" s="25">
        <f ca="1">IF(PaymentSchedule3[[#This Row],[Payment Number]]&lt;&gt;"",PaymentSchedule3[[#This Row],[Beginning
Balance]]*(InterestRate/PaymentsPerYear),"")</f>
        <v>391.88128118007239</v>
      </c>
      <c r="J71" s="25">
        <f ca="1">IF(PaymentSchedule3[[#This Row],[Payment Number]]&lt;&gt;"",IF(PaymentSchedule3[[#This Row],[Scheduled Payment]]+PaymentSchedule3[[#This Row],[Extra
Payment]]&lt;=PaymentSchedule3[[#This Row],[Beginning
Balance]],PaymentSchedule3[[#This Row],[Beginning
Balance]]-PaymentSchedule3[[#This Row],[Principal]],0),"")</f>
        <v>93899.856871097654</v>
      </c>
      <c r="K71" s="25">
        <f ca="1">IF(PaymentSchedule3[[#This Row],[Payment Number]]&lt;&gt;"",SUM(INDEX(PaymentSchedule3[Interest],1,1):PaymentSchedule3[[#This Row],[Interest]]),"")</f>
        <v>22000.579109286344</v>
      </c>
      <c r="L71" s="49">
        <f ca="1">LoanAmount-PaymentSchedule3[[#This Row],[Ending
Balance]]</f>
        <v>7350.1431289023458</v>
      </c>
      <c r="M71" s="49">
        <f t="shared" ca="1" si="0"/>
        <v>908.5318932997908</v>
      </c>
      <c r="N71" s="25">
        <f ca="1">PaymentSchedule3[[#This Row],[Payment Number]]*$M$19</f>
        <v>49060.722238188704</v>
      </c>
    </row>
    <row r="72" spans="2:14" ht="15.75" x14ac:dyDescent="0.25">
      <c r="B72" s="23">
        <f ca="1">IF(LoanIsGood,IF(ROW()-ROW(PaymentSchedule3[[#Headers],[Payment Number]])&gt;ScheduledNumberOfPayments,"",ROW()-ROW(PaymentSchedule3[[#Headers],[Payment Number]])),"")</f>
        <v>55</v>
      </c>
      <c r="C72" s="24">
        <f ca="1">IF(PaymentSchedule3[[#This Row],[Payment Number]]&lt;&gt;"",EOMONTH(LoanStartDate,ROW(PaymentSchedule3[[#This Row],[Payment Number]])-ROW(PaymentSchedule3[[#Headers],[Payment Number]])-2)+DAY(LoanStartDate),"")</f>
        <v>46278</v>
      </c>
      <c r="D72" s="25">
        <f ca="1">IF(PaymentSchedule3[[#This Row],[Payment Number]]&lt;&gt;"",IF(ROW()-ROW(PaymentSchedule3[[#Headers],[Beginning
Balance]])=1,LoanAmount,INDEX(PaymentSchedule3[Ending
Balance],ROW()-ROW(PaymentSchedule3[[#Headers],[Beginning
Balance]])-1)),"")</f>
        <v>93899.856871097654</v>
      </c>
      <c r="E72" s="25">
        <f ca="1">IF(PaymentSchedule3[[#This Row],[Payment Number]]&lt;&gt;"",ScheduledPayment,"")</f>
        <v>543.5318932997908</v>
      </c>
      <c r="F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2" s="25">
        <f ca="1">IF(PaymentSchedule3[[#This Row],[Payment Number]]&lt;&gt;"",PaymentSchedule3[[#This Row],[Total
Payment]]-PaymentSchedule3[[#This Row],[Interest]],"")</f>
        <v>152.28248967021722</v>
      </c>
      <c r="I72" s="25">
        <f ca="1">IF(PaymentSchedule3[[#This Row],[Payment Number]]&lt;&gt;"",PaymentSchedule3[[#This Row],[Beginning
Balance]]*(InterestRate/PaymentsPerYear),"")</f>
        <v>391.24940362957358</v>
      </c>
      <c r="J72" s="25">
        <f ca="1">IF(PaymentSchedule3[[#This Row],[Payment Number]]&lt;&gt;"",IF(PaymentSchedule3[[#This Row],[Scheduled Payment]]+PaymentSchedule3[[#This Row],[Extra
Payment]]&lt;=PaymentSchedule3[[#This Row],[Beginning
Balance]],PaymentSchedule3[[#This Row],[Beginning
Balance]]-PaymentSchedule3[[#This Row],[Principal]],0),"")</f>
        <v>93747.574381427432</v>
      </c>
      <c r="K72" s="25">
        <f ca="1">IF(PaymentSchedule3[[#This Row],[Payment Number]]&lt;&gt;"",SUM(INDEX(PaymentSchedule3[Interest],1,1):PaymentSchedule3[[#This Row],[Interest]]),"")</f>
        <v>22391.828512915916</v>
      </c>
      <c r="L72" s="49">
        <f ca="1">LoanAmount-PaymentSchedule3[[#This Row],[Ending
Balance]]</f>
        <v>7502.4256185725681</v>
      </c>
      <c r="M72" s="49">
        <f t="shared" ca="1" si="0"/>
        <v>908.5318932997908</v>
      </c>
      <c r="N72" s="25">
        <f ca="1">PaymentSchedule3[[#This Row],[Payment Number]]*$M$19</f>
        <v>49969.254131488495</v>
      </c>
    </row>
    <row r="73" spans="2:14" ht="15.75" x14ac:dyDescent="0.25">
      <c r="B73" s="23">
        <f ca="1">IF(LoanIsGood,IF(ROW()-ROW(PaymentSchedule3[[#Headers],[Payment Number]])&gt;ScheduledNumberOfPayments,"",ROW()-ROW(PaymentSchedule3[[#Headers],[Payment Number]])),"")</f>
        <v>56</v>
      </c>
      <c r="C73" s="24">
        <f ca="1">IF(PaymentSchedule3[[#This Row],[Payment Number]]&lt;&gt;"",EOMONTH(LoanStartDate,ROW(PaymentSchedule3[[#This Row],[Payment Number]])-ROW(PaymentSchedule3[[#Headers],[Payment Number]])-2)+DAY(LoanStartDate),"")</f>
        <v>46308</v>
      </c>
      <c r="D73" s="25">
        <f ca="1">IF(PaymentSchedule3[[#This Row],[Payment Number]]&lt;&gt;"",IF(ROW()-ROW(PaymentSchedule3[[#Headers],[Beginning
Balance]])=1,LoanAmount,INDEX(PaymentSchedule3[Ending
Balance],ROW()-ROW(PaymentSchedule3[[#Headers],[Beginning
Balance]])-1)),"")</f>
        <v>93747.574381427432</v>
      </c>
      <c r="E73" s="25">
        <f ca="1">IF(PaymentSchedule3[[#This Row],[Payment Number]]&lt;&gt;"",ScheduledPayment,"")</f>
        <v>543.5318932997908</v>
      </c>
      <c r="F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3" s="25">
        <f ca="1">IF(PaymentSchedule3[[#This Row],[Payment Number]]&lt;&gt;"",PaymentSchedule3[[#This Row],[Total
Payment]]-PaymentSchedule3[[#This Row],[Interest]],"")</f>
        <v>152.91700004384319</v>
      </c>
      <c r="I73" s="25">
        <f ca="1">IF(PaymentSchedule3[[#This Row],[Payment Number]]&lt;&gt;"",PaymentSchedule3[[#This Row],[Beginning
Balance]]*(InterestRate/PaymentsPerYear),"")</f>
        <v>390.61489325594761</v>
      </c>
      <c r="J73" s="25">
        <f ca="1">IF(PaymentSchedule3[[#This Row],[Payment Number]]&lt;&gt;"",IF(PaymentSchedule3[[#This Row],[Scheduled Payment]]+PaymentSchedule3[[#This Row],[Extra
Payment]]&lt;=PaymentSchedule3[[#This Row],[Beginning
Balance]],PaymentSchedule3[[#This Row],[Beginning
Balance]]-PaymentSchedule3[[#This Row],[Principal]],0),"")</f>
        <v>93594.657381383586</v>
      </c>
      <c r="K73" s="25">
        <f ca="1">IF(PaymentSchedule3[[#This Row],[Payment Number]]&lt;&gt;"",SUM(INDEX(PaymentSchedule3[Interest],1,1):PaymentSchedule3[[#This Row],[Interest]]),"")</f>
        <v>22782.443406171864</v>
      </c>
      <c r="L73" s="49">
        <f ca="1">LoanAmount-PaymentSchedule3[[#This Row],[Ending
Balance]]</f>
        <v>7655.3426186164143</v>
      </c>
      <c r="M73" s="49">
        <f t="shared" ca="1" si="0"/>
        <v>908.5318932997908</v>
      </c>
      <c r="N73" s="25">
        <f ca="1">PaymentSchedule3[[#This Row],[Payment Number]]*$M$19</f>
        <v>50877.786024788285</v>
      </c>
    </row>
    <row r="74" spans="2:14" ht="15.75" x14ac:dyDescent="0.25">
      <c r="B74" s="23">
        <f ca="1">IF(LoanIsGood,IF(ROW()-ROW(PaymentSchedule3[[#Headers],[Payment Number]])&gt;ScheduledNumberOfPayments,"",ROW()-ROW(PaymentSchedule3[[#Headers],[Payment Number]])),"")</f>
        <v>57</v>
      </c>
      <c r="C74" s="24">
        <f ca="1">IF(PaymentSchedule3[[#This Row],[Payment Number]]&lt;&gt;"",EOMONTH(LoanStartDate,ROW(PaymentSchedule3[[#This Row],[Payment Number]])-ROW(PaymentSchedule3[[#Headers],[Payment Number]])-2)+DAY(LoanStartDate),"")</f>
        <v>46339</v>
      </c>
      <c r="D74" s="25">
        <f ca="1">IF(PaymentSchedule3[[#This Row],[Payment Number]]&lt;&gt;"",IF(ROW()-ROW(PaymentSchedule3[[#Headers],[Beginning
Balance]])=1,LoanAmount,INDEX(PaymentSchedule3[Ending
Balance],ROW()-ROW(PaymentSchedule3[[#Headers],[Beginning
Balance]])-1)),"")</f>
        <v>93594.657381383586</v>
      </c>
      <c r="E74" s="25">
        <f ca="1">IF(PaymentSchedule3[[#This Row],[Payment Number]]&lt;&gt;"",ScheduledPayment,"")</f>
        <v>543.5318932997908</v>
      </c>
      <c r="F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4" s="25">
        <f ca="1">IF(PaymentSchedule3[[#This Row],[Payment Number]]&lt;&gt;"",PaymentSchedule3[[#This Row],[Total
Payment]]-PaymentSchedule3[[#This Row],[Interest]],"")</f>
        <v>153.5541542106925</v>
      </c>
      <c r="I74" s="25">
        <f ca="1">IF(PaymentSchedule3[[#This Row],[Payment Number]]&lt;&gt;"",PaymentSchedule3[[#This Row],[Beginning
Balance]]*(InterestRate/PaymentsPerYear),"")</f>
        <v>389.97773908909829</v>
      </c>
      <c r="J74" s="25">
        <f ca="1">IF(PaymentSchedule3[[#This Row],[Payment Number]]&lt;&gt;"",IF(PaymentSchedule3[[#This Row],[Scheduled Payment]]+PaymentSchedule3[[#This Row],[Extra
Payment]]&lt;=PaymentSchedule3[[#This Row],[Beginning
Balance]],PaymentSchedule3[[#This Row],[Beginning
Balance]]-PaymentSchedule3[[#This Row],[Principal]],0),"")</f>
        <v>93441.103227172891</v>
      </c>
      <c r="K74" s="25">
        <f ca="1">IF(PaymentSchedule3[[#This Row],[Payment Number]]&lt;&gt;"",SUM(INDEX(PaymentSchedule3[Interest],1,1):PaymentSchedule3[[#This Row],[Interest]]),"")</f>
        <v>23172.421145260963</v>
      </c>
      <c r="L74" s="49">
        <f ca="1">LoanAmount-PaymentSchedule3[[#This Row],[Ending
Balance]]</f>
        <v>7808.8967728271091</v>
      </c>
      <c r="M74" s="49">
        <f t="shared" ca="1" si="0"/>
        <v>908.5318932997908</v>
      </c>
      <c r="N74" s="25">
        <f ca="1">PaymentSchedule3[[#This Row],[Payment Number]]*$M$19</f>
        <v>51786.317918088076</v>
      </c>
    </row>
    <row r="75" spans="2:14" ht="15.75" x14ac:dyDescent="0.25">
      <c r="B75" s="23">
        <f ca="1">IF(LoanIsGood,IF(ROW()-ROW(PaymentSchedule3[[#Headers],[Payment Number]])&gt;ScheduledNumberOfPayments,"",ROW()-ROW(PaymentSchedule3[[#Headers],[Payment Number]])),"")</f>
        <v>58</v>
      </c>
      <c r="C75" s="24">
        <f ca="1">IF(PaymentSchedule3[[#This Row],[Payment Number]]&lt;&gt;"",EOMONTH(LoanStartDate,ROW(PaymentSchedule3[[#This Row],[Payment Number]])-ROW(PaymentSchedule3[[#Headers],[Payment Number]])-2)+DAY(LoanStartDate),"")</f>
        <v>46369</v>
      </c>
      <c r="D75" s="25">
        <f ca="1">IF(PaymentSchedule3[[#This Row],[Payment Number]]&lt;&gt;"",IF(ROW()-ROW(PaymentSchedule3[[#Headers],[Beginning
Balance]])=1,LoanAmount,INDEX(PaymentSchedule3[Ending
Balance],ROW()-ROW(PaymentSchedule3[[#Headers],[Beginning
Balance]])-1)),"")</f>
        <v>93441.103227172891</v>
      </c>
      <c r="E75" s="25">
        <f ca="1">IF(PaymentSchedule3[[#This Row],[Payment Number]]&lt;&gt;"",ScheduledPayment,"")</f>
        <v>543.5318932997908</v>
      </c>
      <c r="F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5" s="25">
        <f ca="1">IF(PaymentSchedule3[[#This Row],[Payment Number]]&lt;&gt;"",PaymentSchedule3[[#This Row],[Total
Payment]]-PaymentSchedule3[[#This Row],[Interest]],"")</f>
        <v>154.19396318657044</v>
      </c>
      <c r="I75" s="25">
        <f ca="1">IF(PaymentSchedule3[[#This Row],[Payment Number]]&lt;&gt;"",PaymentSchedule3[[#This Row],[Beginning
Balance]]*(InterestRate/PaymentsPerYear),"")</f>
        <v>389.33793011322035</v>
      </c>
      <c r="J75" s="25">
        <f ca="1">IF(PaymentSchedule3[[#This Row],[Payment Number]]&lt;&gt;"",IF(PaymentSchedule3[[#This Row],[Scheduled Payment]]+PaymentSchedule3[[#This Row],[Extra
Payment]]&lt;=PaymentSchedule3[[#This Row],[Beginning
Balance]],PaymentSchedule3[[#This Row],[Beginning
Balance]]-PaymentSchedule3[[#This Row],[Principal]],0),"")</f>
        <v>93286.909263986323</v>
      </c>
      <c r="K75" s="25">
        <f ca="1">IF(PaymentSchedule3[[#This Row],[Payment Number]]&lt;&gt;"",SUM(INDEX(PaymentSchedule3[Interest],1,1):PaymentSchedule3[[#This Row],[Interest]]),"")</f>
        <v>23561.759075374182</v>
      </c>
      <c r="L75" s="49">
        <f ca="1">LoanAmount-PaymentSchedule3[[#This Row],[Ending
Balance]]</f>
        <v>7963.0907360136771</v>
      </c>
      <c r="M75" s="49">
        <f t="shared" ca="1" si="0"/>
        <v>908.5318932997908</v>
      </c>
      <c r="N75" s="25">
        <f ca="1">PaymentSchedule3[[#This Row],[Payment Number]]*$M$19</f>
        <v>52694.849811387867</v>
      </c>
    </row>
    <row r="76" spans="2:14" ht="15.75" x14ac:dyDescent="0.25">
      <c r="B76" s="23">
        <f ca="1">IF(LoanIsGood,IF(ROW()-ROW(PaymentSchedule3[[#Headers],[Payment Number]])&gt;ScheduledNumberOfPayments,"",ROW()-ROW(PaymentSchedule3[[#Headers],[Payment Number]])),"")</f>
        <v>59</v>
      </c>
      <c r="C76" s="24">
        <f ca="1">IF(PaymentSchedule3[[#This Row],[Payment Number]]&lt;&gt;"",EOMONTH(LoanStartDate,ROW(PaymentSchedule3[[#This Row],[Payment Number]])-ROW(PaymentSchedule3[[#Headers],[Payment Number]])-2)+DAY(LoanStartDate),"")</f>
        <v>46400</v>
      </c>
      <c r="D76" s="25">
        <f ca="1">IF(PaymentSchedule3[[#This Row],[Payment Number]]&lt;&gt;"",IF(ROW()-ROW(PaymentSchedule3[[#Headers],[Beginning
Balance]])=1,LoanAmount,INDEX(PaymentSchedule3[Ending
Balance],ROW()-ROW(PaymentSchedule3[[#Headers],[Beginning
Balance]])-1)),"")</f>
        <v>93286.909263986323</v>
      </c>
      <c r="E76" s="25">
        <f ca="1">IF(PaymentSchedule3[[#This Row],[Payment Number]]&lt;&gt;"",ScheduledPayment,"")</f>
        <v>543.5318932997908</v>
      </c>
      <c r="F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6" s="25">
        <f ca="1">IF(PaymentSchedule3[[#This Row],[Payment Number]]&lt;&gt;"",PaymentSchedule3[[#This Row],[Total
Payment]]-PaymentSchedule3[[#This Row],[Interest]],"")</f>
        <v>154.83643803318114</v>
      </c>
      <c r="I76" s="25">
        <f ca="1">IF(PaymentSchedule3[[#This Row],[Payment Number]]&lt;&gt;"",PaymentSchedule3[[#This Row],[Beginning
Balance]]*(InterestRate/PaymentsPerYear),"")</f>
        <v>388.69545526660966</v>
      </c>
      <c r="J76" s="25">
        <f ca="1">IF(PaymentSchedule3[[#This Row],[Payment Number]]&lt;&gt;"",IF(PaymentSchedule3[[#This Row],[Scheduled Payment]]+PaymentSchedule3[[#This Row],[Extra
Payment]]&lt;=PaymentSchedule3[[#This Row],[Beginning
Balance]],PaymentSchedule3[[#This Row],[Beginning
Balance]]-PaymentSchedule3[[#This Row],[Principal]],0),"")</f>
        <v>93132.072825953146</v>
      </c>
      <c r="K76" s="25">
        <f ca="1">IF(PaymentSchedule3[[#This Row],[Payment Number]]&lt;&gt;"",SUM(INDEX(PaymentSchedule3[Interest],1,1):PaymentSchedule3[[#This Row],[Interest]]),"")</f>
        <v>23950.454530640793</v>
      </c>
      <c r="L76" s="49">
        <f ca="1">LoanAmount-PaymentSchedule3[[#This Row],[Ending
Balance]]</f>
        <v>8117.9271740468539</v>
      </c>
      <c r="M76" s="49">
        <f t="shared" ca="1" si="0"/>
        <v>908.5318932997908</v>
      </c>
      <c r="N76" s="25">
        <f ca="1">PaymentSchedule3[[#This Row],[Payment Number]]*$M$19</f>
        <v>53603.381704687657</v>
      </c>
    </row>
    <row r="77" spans="2:14" ht="15.75" x14ac:dyDescent="0.25">
      <c r="B77" s="23">
        <f ca="1">IF(LoanIsGood,IF(ROW()-ROW(PaymentSchedule3[[#Headers],[Payment Number]])&gt;ScheduledNumberOfPayments,"",ROW()-ROW(PaymentSchedule3[[#Headers],[Payment Number]])),"")</f>
        <v>60</v>
      </c>
      <c r="C77" s="24">
        <f ca="1">IF(PaymentSchedule3[[#This Row],[Payment Number]]&lt;&gt;"",EOMONTH(LoanStartDate,ROW(PaymentSchedule3[[#This Row],[Payment Number]])-ROW(PaymentSchedule3[[#Headers],[Payment Number]])-2)+DAY(LoanStartDate),"")</f>
        <v>46431</v>
      </c>
      <c r="D77" s="25">
        <f ca="1">IF(PaymentSchedule3[[#This Row],[Payment Number]]&lt;&gt;"",IF(ROW()-ROW(PaymentSchedule3[[#Headers],[Beginning
Balance]])=1,LoanAmount,INDEX(PaymentSchedule3[Ending
Balance],ROW()-ROW(PaymentSchedule3[[#Headers],[Beginning
Balance]])-1)),"")</f>
        <v>93132.072825953146</v>
      </c>
      <c r="E77" s="25">
        <f ca="1">IF(PaymentSchedule3[[#This Row],[Payment Number]]&lt;&gt;"",ScheduledPayment,"")</f>
        <v>543.5318932997908</v>
      </c>
      <c r="F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7" s="25">
        <f ca="1">IF(PaymentSchedule3[[#This Row],[Payment Number]]&lt;&gt;"",PaymentSchedule3[[#This Row],[Total
Payment]]-PaymentSchedule3[[#This Row],[Interest]],"")</f>
        <v>155.48158985831935</v>
      </c>
      <c r="I77" s="25">
        <f ca="1">IF(PaymentSchedule3[[#This Row],[Payment Number]]&lt;&gt;"",PaymentSchedule3[[#This Row],[Beginning
Balance]]*(InterestRate/PaymentsPerYear),"")</f>
        <v>388.05030344147144</v>
      </c>
      <c r="J77" s="25">
        <f ca="1">IF(PaymentSchedule3[[#This Row],[Payment Number]]&lt;&gt;"",IF(PaymentSchedule3[[#This Row],[Scheduled Payment]]+PaymentSchedule3[[#This Row],[Extra
Payment]]&lt;=PaymentSchedule3[[#This Row],[Beginning
Balance]],PaymentSchedule3[[#This Row],[Beginning
Balance]]-PaymentSchedule3[[#This Row],[Principal]],0),"")</f>
        <v>92976.591236094828</v>
      </c>
      <c r="K77" s="25">
        <f ca="1">IF(PaymentSchedule3[[#This Row],[Payment Number]]&lt;&gt;"",SUM(INDEX(PaymentSchedule3[Interest],1,1):PaymentSchedule3[[#This Row],[Interest]]),"")</f>
        <v>24338.504834082265</v>
      </c>
      <c r="L77" s="49">
        <f ca="1">LoanAmount-PaymentSchedule3[[#This Row],[Ending
Balance]]</f>
        <v>8273.4087639051722</v>
      </c>
      <c r="M77" s="49">
        <f t="shared" ca="1" si="0"/>
        <v>908.5318932997908</v>
      </c>
      <c r="N77" s="25">
        <f ca="1">PaymentSchedule3[[#This Row],[Payment Number]]*$M$19</f>
        <v>54511.913597987448</v>
      </c>
    </row>
    <row r="78" spans="2:14" ht="15.75" x14ac:dyDescent="0.25">
      <c r="B78" s="23">
        <f ca="1">IF(LoanIsGood,IF(ROW()-ROW(PaymentSchedule3[[#Headers],[Payment Number]])&gt;ScheduledNumberOfPayments,"",ROW()-ROW(PaymentSchedule3[[#Headers],[Payment Number]])),"")</f>
        <v>61</v>
      </c>
      <c r="C78" s="24">
        <f ca="1">IF(PaymentSchedule3[[#This Row],[Payment Number]]&lt;&gt;"",EOMONTH(LoanStartDate,ROW(PaymentSchedule3[[#This Row],[Payment Number]])-ROW(PaymentSchedule3[[#Headers],[Payment Number]])-2)+DAY(LoanStartDate),"")</f>
        <v>46459</v>
      </c>
      <c r="D78" s="25">
        <f ca="1">IF(PaymentSchedule3[[#This Row],[Payment Number]]&lt;&gt;"",IF(ROW()-ROW(PaymentSchedule3[[#Headers],[Beginning
Balance]])=1,LoanAmount,INDEX(PaymentSchedule3[Ending
Balance],ROW()-ROW(PaymentSchedule3[[#Headers],[Beginning
Balance]])-1)),"")</f>
        <v>92976.591236094828</v>
      </c>
      <c r="E78" s="25">
        <f ca="1">IF(PaymentSchedule3[[#This Row],[Payment Number]]&lt;&gt;"",ScheduledPayment,"")</f>
        <v>543.5318932997908</v>
      </c>
      <c r="F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8" s="25">
        <f ca="1">IF(PaymentSchedule3[[#This Row],[Payment Number]]&lt;&gt;"",PaymentSchedule3[[#This Row],[Total
Payment]]-PaymentSchedule3[[#This Row],[Interest]],"")</f>
        <v>156.12942981606233</v>
      </c>
      <c r="I78" s="25">
        <f ca="1">IF(PaymentSchedule3[[#This Row],[Payment Number]]&lt;&gt;"",PaymentSchedule3[[#This Row],[Beginning
Balance]]*(InterestRate/PaymentsPerYear),"")</f>
        <v>387.40246348372847</v>
      </c>
      <c r="J78" s="25">
        <f ca="1">IF(PaymentSchedule3[[#This Row],[Payment Number]]&lt;&gt;"",IF(PaymentSchedule3[[#This Row],[Scheduled Payment]]+PaymentSchedule3[[#This Row],[Extra
Payment]]&lt;=PaymentSchedule3[[#This Row],[Beginning
Balance]],PaymentSchedule3[[#This Row],[Beginning
Balance]]-PaymentSchedule3[[#This Row],[Principal]],0),"")</f>
        <v>92820.461806278763</v>
      </c>
      <c r="K78" s="25">
        <f ca="1">IF(PaymentSchedule3[[#This Row],[Payment Number]]&lt;&gt;"",SUM(INDEX(PaymentSchedule3[Interest],1,1):PaymentSchedule3[[#This Row],[Interest]]),"")</f>
        <v>24725.907297565995</v>
      </c>
      <c r="L78" s="49">
        <f ca="1">LoanAmount-PaymentSchedule3[[#This Row],[Ending
Balance]]</f>
        <v>8429.5381937212369</v>
      </c>
      <c r="M78" s="49">
        <f t="shared" ca="1" si="0"/>
        <v>908.5318932997908</v>
      </c>
      <c r="N78" s="25">
        <f ca="1">PaymentSchedule3[[#This Row],[Payment Number]]*$M$19</f>
        <v>55420.445491287239</v>
      </c>
    </row>
    <row r="79" spans="2:14" ht="15.75" x14ac:dyDescent="0.25">
      <c r="B79" s="23">
        <f ca="1">IF(LoanIsGood,IF(ROW()-ROW(PaymentSchedule3[[#Headers],[Payment Number]])&gt;ScheduledNumberOfPayments,"",ROW()-ROW(PaymentSchedule3[[#Headers],[Payment Number]])),"")</f>
        <v>62</v>
      </c>
      <c r="C79" s="24">
        <f ca="1">IF(PaymentSchedule3[[#This Row],[Payment Number]]&lt;&gt;"",EOMONTH(LoanStartDate,ROW(PaymentSchedule3[[#This Row],[Payment Number]])-ROW(PaymentSchedule3[[#Headers],[Payment Number]])-2)+DAY(LoanStartDate),"")</f>
        <v>46490</v>
      </c>
      <c r="D79" s="25">
        <f ca="1">IF(PaymentSchedule3[[#This Row],[Payment Number]]&lt;&gt;"",IF(ROW()-ROW(PaymentSchedule3[[#Headers],[Beginning
Balance]])=1,LoanAmount,INDEX(PaymentSchedule3[Ending
Balance],ROW()-ROW(PaymentSchedule3[[#Headers],[Beginning
Balance]])-1)),"")</f>
        <v>92820.461806278763</v>
      </c>
      <c r="E79" s="25">
        <f ca="1">IF(PaymentSchedule3[[#This Row],[Payment Number]]&lt;&gt;"",ScheduledPayment,"")</f>
        <v>543.5318932997908</v>
      </c>
      <c r="F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79" s="25">
        <f ca="1">IF(PaymentSchedule3[[#This Row],[Payment Number]]&lt;&gt;"",PaymentSchedule3[[#This Row],[Total
Payment]]-PaymentSchedule3[[#This Row],[Interest]],"")</f>
        <v>156.7799691069626</v>
      </c>
      <c r="I79" s="25">
        <f ca="1">IF(PaymentSchedule3[[#This Row],[Payment Number]]&lt;&gt;"",PaymentSchedule3[[#This Row],[Beginning
Balance]]*(InterestRate/PaymentsPerYear),"")</f>
        <v>386.7519241928282</v>
      </c>
      <c r="J79" s="25">
        <f ca="1">IF(PaymentSchedule3[[#This Row],[Payment Number]]&lt;&gt;"",IF(PaymentSchedule3[[#This Row],[Scheduled Payment]]+PaymentSchedule3[[#This Row],[Extra
Payment]]&lt;=PaymentSchedule3[[#This Row],[Beginning
Balance]],PaymentSchedule3[[#This Row],[Beginning
Balance]]-PaymentSchedule3[[#This Row],[Principal]],0),"")</f>
        <v>92663.681837171796</v>
      </c>
      <c r="K79" s="25">
        <f ca="1">IF(PaymentSchedule3[[#This Row],[Payment Number]]&lt;&gt;"",SUM(INDEX(PaymentSchedule3[Interest],1,1):PaymentSchedule3[[#This Row],[Interest]]),"")</f>
        <v>25112.659221758822</v>
      </c>
      <c r="L79" s="49">
        <f ca="1">LoanAmount-PaymentSchedule3[[#This Row],[Ending
Balance]]</f>
        <v>8586.3181628282036</v>
      </c>
      <c r="M79" s="49">
        <f t="shared" ca="1" si="0"/>
        <v>908.5318932997908</v>
      </c>
      <c r="N79" s="25">
        <f ca="1">PaymentSchedule3[[#This Row],[Payment Number]]*$M$19</f>
        <v>56328.97738458703</v>
      </c>
    </row>
    <row r="80" spans="2:14" ht="15.75" x14ac:dyDescent="0.25">
      <c r="B80" s="23">
        <f ca="1">IF(LoanIsGood,IF(ROW()-ROW(PaymentSchedule3[[#Headers],[Payment Number]])&gt;ScheduledNumberOfPayments,"",ROW()-ROW(PaymentSchedule3[[#Headers],[Payment Number]])),"")</f>
        <v>63</v>
      </c>
      <c r="C80" s="24">
        <f ca="1">IF(PaymentSchedule3[[#This Row],[Payment Number]]&lt;&gt;"",EOMONTH(LoanStartDate,ROW(PaymentSchedule3[[#This Row],[Payment Number]])-ROW(PaymentSchedule3[[#Headers],[Payment Number]])-2)+DAY(LoanStartDate),"")</f>
        <v>46520</v>
      </c>
      <c r="D80" s="25">
        <f ca="1">IF(PaymentSchedule3[[#This Row],[Payment Number]]&lt;&gt;"",IF(ROW()-ROW(PaymentSchedule3[[#Headers],[Beginning
Balance]])=1,LoanAmount,INDEX(PaymentSchedule3[Ending
Balance],ROW()-ROW(PaymentSchedule3[[#Headers],[Beginning
Balance]])-1)),"")</f>
        <v>92663.681837171796</v>
      </c>
      <c r="E80" s="25">
        <f ca="1">IF(PaymentSchedule3[[#This Row],[Payment Number]]&lt;&gt;"",ScheduledPayment,"")</f>
        <v>543.5318932997908</v>
      </c>
      <c r="F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0" s="25">
        <f ca="1">IF(PaymentSchedule3[[#This Row],[Payment Number]]&lt;&gt;"",PaymentSchedule3[[#This Row],[Total
Payment]]-PaymentSchedule3[[#This Row],[Interest]],"")</f>
        <v>157.43321897824165</v>
      </c>
      <c r="I80" s="25">
        <f ca="1">IF(PaymentSchedule3[[#This Row],[Payment Number]]&lt;&gt;"",PaymentSchedule3[[#This Row],[Beginning
Balance]]*(InterestRate/PaymentsPerYear),"")</f>
        <v>386.09867432154914</v>
      </c>
      <c r="J80" s="25">
        <f ca="1">IF(PaymentSchedule3[[#This Row],[Payment Number]]&lt;&gt;"",IF(PaymentSchedule3[[#This Row],[Scheduled Payment]]+PaymentSchedule3[[#This Row],[Extra
Payment]]&lt;=PaymentSchedule3[[#This Row],[Beginning
Balance]],PaymentSchedule3[[#This Row],[Beginning
Balance]]-PaymentSchedule3[[#This Row],[Principal]],0),"")</f>
        <v>92506.248618193553</v>
      </c>
      <c r="K80" s="25">
        <f ca="1">IF(PaymentSchedule3[[#This Row],[Payment Number]]&lt;&gt;"",SUM(INDEX(PaymentSchedule3[Interest],1,1):PaymentSchedule3[[#This Row],[Interest]]),"")</f>
        <v>25498.757896080373</v>
      </c>
      <c r="L80" s="49">
        <f ca="1">LoanAmount-PaymentSchedule3[[#This Row],[Ending
Balance]]</f>
        <v>8743.7513818064472</v>
      </c>
      <c r="M80" s="49">
        <f t="shared" ca="1" si="0"/>
        <v>908.5318932997908</v>
      </c>
      <c r="N80" s="25">
        <f ca="1">PaymentSchedule3[[#This Row],[Payment Number]]*$M$19</f>
        <v>57237.50927788682</v>
      </c>
    </row>
    <row r="81" spans="2:14" ht="15.75" x14ac:dyDescent="0.25">
      <c r="B81" s="23">
        <f ca="1">IF(LoanIsGood,IF(ROW()-ROW(PaymentSchedule3[[#Headers],[Payment Number]])&gt;ScheduledNumberOfPayments,"",ROW()-ROW(PaymentSchedule3[[#Headers],[Payment Number]])),"")</f>
        <v>64</v>
      </c>
      <c r="C81" s="24">
        <f ca="1">IF(PaymentSchedule3[[#This Row],[Payment Number]]&lt;&gt;"",EOMONTH(LoanStartDate,ROW(PaymentSchedule3[[#This Row],[Payment Number]])-ROW(PaymentSchedule3[[#Headers],[Payment Number]])-2)+DAY(LoanStartDate),"")</f>
        <v>46551</v>
      </c>
      <c r="D81" s="25">
        <f ca="1">IF(PaymentSchedule3[[#This Row],[Payment Number]]&lt;&gt;"",IF(ROW()-ROW(PaymentSchedule3[[#Headers],[Beginning
Balance]])=1,LoanAmount,INDEX(PaymentSchedule3[Ending
Balance],ROW()-ROW(PaymentSchedule3[[#Headers],[Beginning
Balance]])-1)),"")</f>
        <v>92506.248618193553</v>
      </c>
      <c r="E81" s="25">
        <f ca="1">IF(PaymentSchedule3[[#This Row],[Payment Number]]&lt;&gt;"",ScheduledPayment,"")</f>
        <v>543.5318932997908</v>
      </c>
      <c r="F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1" s="25">
        <f ca="1">IF(PaymentSchedule3[[#This Row],[Payment Number]]&lt;&gt;"",PaymentSchedule3[[#This Row],[Total
Payment]]-PaymentSchedule3[[#This Row],[Interest]],"")</f>
        <v>158.0891907239843</v>
      </c>
      <c r="I81" s="25">
        <f ca="1">IF(PaymentSchedule3[[#This Row],[Payment Number]]&lt;&gt;"",PaymentSchedule3[[#This Row],[Beginning
Balance]]*(InterestRate/PaymentsPerYear),"")</f>
        <v>385.44270257580649</v>
      </c>
      <c r="J81" s="25">
        <f ca="1">IF(PaymentSchedule3[[#This Row],[Payment Number]]&lt;&gt;"",IF(PaymentSchedule3[[#This Row],[Scheduled Payment]]+PaymentSchedule3[[#This Row],[Extra
Payment]]&lt;=PaymentSchedule3[[#This Row],[Beginning
Balance]],PaymentSchedule3[[#This Row],[Beginning
Balance]]-PaymentSchedule3[[#This Row],[Principal]],0),"")</f>
        <v>92348.159427469567</v>
      </c>
      <c r="K81" s="25">
        <f ca="1">IF(PaymentSchedule3[[#This Row],[Payment Number]]&lt;&gt;"",SUM(INDEX(PaymentSchedule3[Interest],1,1):PaymentSchedule3[[#This Row],[Interest]]),"")</f>
        <v>25884.200598656178</v>
      </c>
      <c r="L81" s="49">
        <f ca="1">LoanAmount-PaymentSchedule3[[#This Row],[Ending
Balance]]</f>
        <v>8901.8405725304328</v>
      </c>
      <c r="M81" s="49">
        <f t="shared" ca="1" si="0"/>
        <v>908.5318932997908</v>
      </c>
      <c r="N81" s="25">
        <f ca="1">PaymentSchedule3[[#This Row],[Payment Number]]*$M$19</f>
        <v>58146.041171186611</v>
      </c>
    </row>
    <row r="82" spans="2:14" ht="15.75" x14ac:dyDescent="0.25">
      <c r="B82" s="23">
        <f ca="1">IF(LoanIsGood,IF(ROW()-ROW(PaymentSchedule3[[#Headers],[Payment Number]])&gt;ScheduledNumberOfPayments,"",ROW()-ROW(PaymentSchedule3[[#Headers],[Payment Number]])),"")</f>
        <v>65</v>
      </c>
      <c r="C82" s="24">
        <f ca="1">IF(PaymentSchedule3[[#This Row],[Payment Number]]&lt;&gt;"",EOMONTH(LoanStartDate,ROW(PaymentSchedule3[[#This Row],[Payment Number]])-ROW(PaymentSchedule3[[#Headers],[Payment Number]])-2)+DAY(LoanStartDate),"")</f>
        <v>46581</v>
      </c>
      <c r="D82" s="25">
        <f ca="1">IF(PaymentSchedule3[[#This Row],[Payment Number]]&lt;&gt;"",IF(ROW()-ROW(PaymentSchedule3[[#Headers],[Beginning
Balance]])=1,LoanAmount,INDEX(PaymentSchedule3[Ending
Balance],ROW()-ROW(PaymentSchedule3[[#Headers],[Beginning
Balance]])-1)),"")</f>
        <v>92348.159427469567</v>
      </c>
      <c r="E82" s="25">
        <f ca="1">IF(PaymentSchedule3[[#This Row],[Payment Number]]&lt;&gt;"",ScheduledPayment,"")</f>
        <v>543.5318932997908</v>
      </c>
      <c r="F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2" s="25">
        <f ca="1">IF(PaymentSchedule3[[#This Row],[Payment Number]]&lt;&gt;"",PaymentSchedule3[[#This Row],[Total
Payment]]-PaymentSchedule3[[#This Row],[Interest]],"")</f>
        <v>158.74789568533424</v>
      </c>
      <c r="I82" s="25">
        <f ca="1">IF(PaymentSchedule3[[#This Row],[Payment Number]]&lt;&gt;"",PaymentSchedule3[[#This Row],[Beginning
Balance]]*(InterestRate/PaymentsPerYear),"")</f>
        <v>384.78399761445655</v>
      </c>
      <c r="J82" s="25">
        <f ca="1">IF(PaymentSchedule3[[#This Row],[Payment Number]]&lt;&gt;"",IF(PaymentSchedule3[[#This Row],[Scheduled Payment]]+PaymentSchedule3[[#This Row],[Extra
Payment]]&lt;=PaymentSchedule3[[#This Row],[Beginning
Balance]],PaymentSchedule3[[#This Row],[Beginning
Balance]]-PaymentSchedule3[[#This Row],[Principal]],0),"")</f>
        <v>92189.411531784237</v>
      </c>
      <c r="K82" s="25">
        <f ca="1">IF(PaymentSchedule3[[#This Row],[Payment Number]]&lt;&gt;"",SUM(INDEX(PaymentSchedule3[Interest],1,1):PaymentSchedule3[[#This Row],[Interest]]),"")</f>
        <v>26268.984596270635</v>
      </c>
      <c r="L82" s="49">
        <f ca="1">LoanAmount-PaymentSchedule3[[#This Row],[Ending
Balance]]</f>
        <v>9060.588468215763</v>
      </c>
      <c r="M82" s="49">
        <f t="shared" ref="M82:M145" ca="1" si="1">G83+$N$7+N$8+$N$9</f>
        <v>908.5318932997908</v>
      </c>
      <c r="N82" s="25">
        <f ca="1">PaymentSchedule3[[#This Row],[Payment Number]]*$M$19</f>
        <v>59054.573064486402</v>
      </c>
    </row>
    <row r="83" spans="2:14" ht="15.75" x14ac:dyDescent="0.25">
      <c r="B83" s="23">
        <f ca="1">IF(LoanIsGood,IF(ROW()-ROW(PaymentSchedule3[[#Headers],[Payment Number]])&gt;ScheduledNumberOfPayments,"",ROW()-ROW(PaymentSchedule3[[#Headers],[Payment Number]])),"")</f>
        <v>66</v>
      </c>
      <c r="C83" s="24">
        <f ca="1">IF(PaymentSchedule3[[#This Row],[Payment Number]]&lt;&gt;"",EOMONTH(LoanStartDate,ROW(PaymentSchedule3[[#This Row],[Payment Number]])-ROW(PaymentSchedule3[[#Headers],[Payment Number]])-2)+DAY(LoanStartDate),"")</f>
        <v>46612</v>
      </c>
      <c r="D83" s="25">
        <f ca="1">IF(PaymentSchedule3[[#This Row],[Payment Number]]&lt;&gt;"",IF(ROW()-ROW(PaymentSchedule3[[#Headers],[Beginning
Balance]])=1,LoanAmount,INDEX(PaymentSchedule3[Ending
Balance],ROW()-ROW(PaymentSchedule3[[#Headers],[Beginning
Balance]])-1)),"")</f>
        <v>92189.411531784237</v>
      </c>
      <c r="E83" s="25">
        <f ca="1">IF(PaymentSchedule3[[#This Row],[Payment Number]]&lt;&gt;"",ScheduledPayment,"")</f>
        <v>543.5318932997908</v>
      </c>
      <c r="F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3" s="25">
        <f ca="1">IF(PaymentSchedule3[[#This Row],[Payment Number]]&lt;&gt;"",PaymentSchedule3[[#This Row],[Total
Payment]]-PaymentSchedule3[[#This Row],[Interest]],"")</f>
        <v>159.4093452506898</v>
      </c>
      <c r="I83" s="25">
        <f ca="1">IF(PaymentSchedule3[[#This Row],[Payment Number]]&lt;&gt;"",PaymentSchedule3[[#This Row],[Beginning
Balance]]*(InterestRate/PaymentsPerYear),"")</f>
        <v>384.122548049101</v>
      </c>
      <c r="J83" s="25">
        <f ca="1">IF(PaymentSchedule3[[#This Row],[Payment Number]]&lt;&gt;"",IF(PaymentSchedule3[[#This Row],[Scheduled Payment]]+PaymentSchedule3[[#This Row],[Extra
Payment]]&lt;=PaymentSchedule3[[#This Row],[Beginning
Balance]],PaymentSchedule3[[#This Row],[Beginning
Balance]]-PaymentSchedule3[[#This Row],[Principal]],0),"")</f>
        <v>92030.002186533544</v>
      </c>
      <c r="K83" s="25">
        <f ca="1">IF(PaymentSchedule3[[#This Row],[Payment Number]]&lt;&gt;"",SUM(INDEX(PaymentSchedule3[Interest],1,1):PaymentSchedule3[[#This Row],[Interest]]),"")</f>
        <v>26653.107144319736</v>
      </c>
      <c r="L83" s="49">
        <f ca="1">LoanAmount-PaymentSchedule3[[#This Row],[Ending
Balance]]</f>
        <v>9219.9978134664561</v>
      </c>
      <c r="M83" s="49">
        <f t="shared" ca="1" si="1"/>
        <v>908.5318932997908</v>
      </c>
      <c r="N83" s="25">
        <f ca="1">PaymentSchedule3[[#This Row],[Payment Number]]*$M$19</f>
        <v>59963.104957786192</v>
      </c>
    </row>
    <row r="84" spans="2:14" ht="15.75" x14ac:dyDescent="0.25">
      <c r="B84" s="23">
        <f ca="1">IF(LoanIsGood,IF(ROW()-ROW(PaymentSchedule3[[#Headers],[Payment Number]])&gt;ScheduledNumberOfPayments,"",ROW()-ROW(PaymentSchedule3[[#Headers],[Payment Number]])),"")</f>
        <v>67</v>
      </c>
      <c r="C84" s="24">
        <f ca="1">IF(PaymentSchedule3[[#This Row],[Payment Number]]&lt;&gt;"",EOMONTH(LoanStartDate,ROW(PaymentSchedule3[[#This Row],[Payment Number]])-ROW(PaymentSchedule3[[#Headers],[Payment Number]])-2)+DAY(LoanStartDate),"")</f>
        <v>46643</v>
      </c>
      <c r="D84" s="25">
        <f ca="1">IF(PaymentSchedule3[[#This Row],[Payment Number]]&lt;&gt;"",IF(ROW()-ROW(PaymentSchedule3[[#Headers],[Beginning
Balance]])=1,LoanAmount,INDEX(PaymentSchedule3[Ending
Balance],ROW()-ROW(PaymentSchedule3[[#Headers],[Beginning
Balance]])-1)),"")</f>
        <v>92030.002186533544</v>
      </c>
      <c r="E84" s="25">
        <f ca="1">IF(PaymentSchedule3[[#This Row],[Payment Number]]&lt;&gt;"",ScheduledPayment,"")</f>
        <v>543.5318932997908</v>
      </c>
      <c r="F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4" s="25">
        <f ca="1">IF(PaymentSchedule3[[#This Row],[Payment Number]]&lt;&gt;"",PaymentSchedule3[[#This Row],[Total
Payment]]-PaymentSchedule3[[#This Row],[Interest]],"")</f>
        <v>160.07355085590103</v>
      </c>
      <c r="I84" s="25">
        <f ca="1">IF(PaymentSchedule3[[#This Row],[Payment Number]]&lt;&gt;"",PaymentSchedule3[[#This Row],[Beginning
Balance]]*(InterestRate/PaymentsPerYear),"")</f>
        <v>383.45834244388976</v>
      </c>
      <c r="J84" s="25">
        <f ca="1">IF(PaymentSchedule3[[#This Row],[Payment Number]]&lt;&gt;"",IF(PaymentSchedule3[[#This Row],[Scheduled Payment]]+PaymentSchedule3[[#This Row],[Extra
Payment]]&lt;=PaymentSchedule3[[#This Row],[Beginning
Balance]],PaymentSchedule3[[#This Row],[Beginning
Balance]]-PaymentSchedule3[[#This Row],[Principal]],0),"")</f>
        <v>91869.928635677643</v>
      </c>
      <c r="K84" s="25">
        <f ca="1">IF(PaymentSchedule3[[#This Row],[Payment Number]]&lt;&gt;"",SUM(INDEX(PaymentSchedule3[Interest],1,1):PaymentSchedule3[[#This Row],[Interest]]),"")</f>
        <v>27036.565486763626</v>
      </c>
      <c r="L84" s="49">
        <f ca="1">LoanAmount-PaymentSchedule3[[#This Row],[Ending
Balance]]</f>
        <v>9380.0713643223571</v>
      </c>
      <c r="M84" s="49">
        <f t="shared" ca="1" si="1"/>
        <v>908.5318932997908</v>
      </c>
      <c r="N84" s="25">
        <f ca="1">PaymentSchedule3[[#This Row],[Payment Number]]*$M$19</f>
        <v>60871.636851085983</v>
      </c>
    </row>
    <row r="85" spans="2:14" ht="15.75" x14ac:dyDescent="0.25">
      <c r="B85" s="23">
        <f ca="1">IF(LoanIsGood,IF(ROW()-ROW(PaymentSchedule3[[#Headers],[Payment Number]])&gt;ScheduledNumberOfPayments,"",ROW()-ROW(PaymentSchedule3[[#Headers],[Payment Number]])),"")</f>
        <v>68</v>
      </c>
      <c r="C85" s="24">
        <f ca="1">IF(PaymentSchedule3[[#This Row],[Payment Number]]&lt;&gt;"",EOMONTH(LoanStartDate,ROW(PaymentSchedule3[[#This Row],[Payment Number]])-ROW(PaymentSchedule3[[#Headers],[Payment Number]])-2)+DAY(LoanStartDate),"")</f>
        <v>46673</v>
      </c>
      <c r="D85" s="25">
        <f ca="1">IF(PaymentSchedule3[[#This Row],[Payment Number]]&lt;&gt;"",IF(ROW()-ROW(PaymentSchedule3[[#Headers],[Beginning
Balance]])=1,LoanAmount,INDEX(PaymentSchedule3[Ending
Balance],ROW()-ROW(PaymentSchedule3[[#Headers],[Beginning
Balance]])-1)),"")</f>
        <v>91869.928635677643</v>
      </c>
      <c r="E85" s="25">
        <f ca="1">IF(PaymentSchedule3[[#This Row],[Payment Number]]&lt;&gt;"",ScheduledPayment,"")</f>
        <v>543.5318932997908</v>
      </c>
      <c r="F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5" s="25">
        <f ca="1">IF(PaymentSchedule3[[#This Row],[Payment Number]]&lt;&gt;"",PaymentSchedule3[[#This Row],[Total
Payment]]-PaymentSchedule3[[#This Row],[Interest]],"")</f>
        <v>160.7405239844673</v>
      </c>
      <c r="I85" s="25">
        <f ca="1">IF(PaymentSchedule3[[#This Row],[Payment Number]]&lt;&gt;"",PaymentSchedule3[[#This Row],[Beginning
Balance]]*(InterestRate/PaymentsPerYear),"")</f>
        <v>382.79136931532349</v>
      </c>
      <c r="J85" s="25">
        <f ca="1">IF(PaymentSchedule3[[#This Row],[Payment Number]]&lt;&gt;"",IF(PaymentSchedule3[[#This Row],[Scheduled Payment]]+PaymentSchedule3[[#This Row],[Extra
Payment]]&lt;=PaymentSchedule3[[#This Row],[Beginning
Balance]],PaymentSchedule3[[#This Row],[Beginning
Balance]]-PaymentSchedule3[[#This Row],[Principal]],0),"")</f>
        <v>91709.188111693176</v>
      </c>
      <c r="K85" s="25">
        <f ca="1">IF(PaymentSchedule3[[#This Row],[Payment Number]]&lt;&gt;"",SUM(INDEX(PaymentSchedule3[Interest],1,1):PaymentSchedule3[[#This Row],[Interest]]),"")</f>
        <v>27419.35685607895</v>
      </c>
      <c r="L85" s="49">
        <f ca="1">LoanAmount-PaymentSchedule3[[#This Row],[Ending
Balance]]</f>
        <v>9540.8118883068237</v>
      </c>
      <c r="M85" s="49">
        <f t="shared" ca="1" si="1"/>
        <v>908.5318932997908</v>
      </c>
      <c r="N85" s="25">
        <f ca="1">PaymentSchedule3[[#This Row],[Payment Number]]*$M$19</f>
        <v>61780.168744385774</v>
      </c>
    </row>
    <row r="86" spans="2:14" ht="15.75" x14ac:dyDescent="0.25">
      <c r="B86" s="23">
        <f ca="1">IF(LoanIsGood,IF(ROW()-ROW(PaymentSchedule3[[#Headers],[Payment Number]])&gt;ScheduledNumberOfPayments,"",ROW()-ROW(PaymentSchedule3[[#Headers],[Payment Number]])),"")</f>
        <v>69</v>
      </c>
      <c r="C86" s="24">
        <f ca="1">IF(PaymentSchedule3[[#This Row],[Payment Number]]&lt;&gt;"",EOMONTH(LoanStartDate,ROW(PaymentSchedule3[[#This Row],[Payment Number]])-ROW(PaymentSchedule3[[#Headers],[Payment Number]])-2)+DAY(LoanStartDate),"")</f>
        <v>46704</v>
      </c>
      <c r="D86" s="25">
        <f ca="1">IF(PaymentSchedule3[[#This Row],[Payment Number]]&lt;&gt;"",IF(ROW()-ROW(PaymentSchedule3[[#Headers],[Beginning
Balance]])=1,LoanAmount,INDEX(PaymentSchedule3[Ending
Balance],ROW()-ROW(PaymentSchedule3[[#Headers],[Beginning
Balance]])-1)),"")</f>
        <v>91709.188111693176</v>
      </c>
      <c r="E86" s="25">
        <f ca="1">IF(PaymentSchedule3[[#This Row],[Payment Number]]&lt;&gt;"",ScheduledPayment,"")</f>
        <v>543.5318932997908</v>
      </c>
      <c r="F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6" s="25">
        <f ca="1">IF(PaymentSchedule3[[#This Row],[Payment Number]]&lt;&gt;"",PaymentSchedule3[[#This Row],[Total
Payment]]-PaymentSchedule3[[#This Row],[Interest]],"")</f>
        <v>161.4102761677359</v>
      </c>
      <c r="I86" s="25">
        <f ca="1">IF(PaymentSchedule3[[#This Row],[Payment Number]]&lt;&gt;"",PaymentSchedule3[[#This Row],[Beginning
Balance]]*(InterestRate/PaymentsPerYear),"")</f>
        <v>382.12161713205489</v>
      </c>
      <c r="J86" s="25">
        <f ca="1">IF(PaymentSchedule3[[#This Row],[Payment Number]]&lt;&gt;"",IF(PaymentSchedule3[[#This Row],[Scheduled Payment]]+PaymentSchedule3[[#This Row],[Extra
Payment]]&lt;=PaymentSchedule3[[#This Row],[Beginning
Balance]],PaymentSchedule3[[#This Row],[Beginning
Balance]]-PaymentSchedule3[[#This Row],[Principal]],0),"")</f>
        <v>91547.777835525441</v>
      </c>
      <c r="K86" s="25">
        <f ca="1">IF(PaymentSchedule3[[#This Row],[Payment Number]]&lt;&gt;"",SUM(INDEX(PaymentSchedule3[Interest],1,1):PaymentSchedule3[[#This Row],[Interest]]),"")</f>
        <v>27801.478473211006</v>
      </c>
      <c r="L86" s="49">
        <f ca="1">LoanAmount-PaymentSchedule3[[#This Row],[Ending
Balance]]</f>
        <v>9702.2221644745587</v>
      </c>
      <c r="M86" s="49">
        <f t="shared" ca="1" si="1"/>
        <v>908.5318932997908</v>
      </c>
      <c r="N86" s="25">
        <f ca="1">PaymentSchedule3[[#This Row],[Payment Number]]*$M$19</f>
        <v>62688.700637685564</v>
      </c>
    </row>
    <row r="87" spans="2:14" ht="15.75" x14ac:dyDescent="0.25">
      <c r="B87" s="23">
        <f ca="1">IF(LoanIsGood,IF(ROW()-ROW(PaymentSchedule3[[#Headers],[Payment Number]])&gt;ScheduledNumberOfPayments,"",ROW()-ROW(PaymentSchedule3[[#Headers],[Payment Number]])),"")</f>
        <v>70</v>
      </c>
      <c r="C87" s="24">
        <f ca="1">IF(PaymentSchedule3[[#This Row],[Payment Number]]&lt;&gt;"",EOMONTH(LoanStartDate,ROW(PaymentSchedule3[[#This Row],[Payment Number]])-ROW(PaymentSchedule3[[#Headers],[Payment Number]])-2)+DAY(LoanStartDate),"")</f>
        <v>46734</v>
      </c>
      <c r="D87" s="25">
        <f ca="1">IF(PaymentSchedule3[[#This Row],[Payment Number]]&lt;&gt;"",IF(ROW()-ROW(PaymentSchedule3[[#Headers],[Beginning
Balance]])=1,LoanAmount,INDEX(PaymentSchedule3[Ending
Balance],ROW()-ROW(PaymentSchedule3[[#Headers],[Beginning
Balance]])-1)),"")</f>
        <v>91547.777835525441</v>
      </c>
      <c r="E87" s="25">
        <f ca="1">IF(PaymentSchedule3[[#This Row],[Payment Number]]&lt;&gt;"",ScheduledPayment,"")</f>
        <v>543.5318932997908</v>
      </c>
      <c r="F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7" s="25">
        <f ca="1">IF(PaymentSchedule3[[#This Row],[Payment Number]]&lt;&gt;"",PaymentSchedule3[[#This Row],[Total
Payment]]-PaymentSchedule3[[#This Row],[Interest]],"")</f>
        <v>162.08281898510148</v>
      </c>
      <c r="I87" s="25">
        <f ca="1">IF(PaymentSchedule3[[#This Row],[Payment Number]]&lt;&gt;"",PaymentSchedule3[[#This Row],[Beginning
Balance]]*(InterestRate/PaymentsPerYear),"")</f>
        <v>381.44907431468931</v>
      </c>
      <c r="J87" s="25">
        <f ca="1">IF(PaymentSchedule3[[#This Row],[Payment Number]]&lt;&gt;"",IF(PaymentSchedule3[[#This Row],[Scheduled Payment]]+PaymentSchedule3[[#This Row],[Extra
Payment]]&lt;=PaymentSchedule3[[#This Row],[Beginning
Balance]],PaymentSchedule3[[#This Row],[Beginning
Balance]]-PaymentSchedule3[[#This Row],[Principal]],0),"")</f>
        <v>91385.69501654034</v>
      </c>
      <c r="K87" s="25">
        <f ca="1">IF(PaymentSchedule3[[#This Row],[Payment Number]]&lt;&gt;"",SUM(INDEX(PaymentSchedule3[Interest],1,1):PaymentSchedule3[[#This Row],[Interest]]),"")</f>
        <v>28182.927547525695</v>
      </c>
      <c r="L87" s="49">
        <f ca="1">LoanAmount-PaymentSchedule3[[#This Row],[Ending
Balance]]</f>
        <v>9864.3049834596604</v>
      </c>
      <c r="M87" s="49">
        <f t="shared" ca="1" si="1"/>
        <v>908.5318932997908</v>
      </c>
      <c r="N87" s="25">
        <f ca="1">PaymentSchedule3[[#This Row],[Payment Number]]*$M$19</f>
        <v>63597.232530985355</v>
      </c>
    </row>
    <row r="88" spans="2:14" ht="15.75" x14ac:dyDescent="0.25">
      <c r="B88" s="23">
        <f ca="1">IF(LoanIsGood,IF(ROW()-ROW(PaymentSchedule3[[#Headers],[Payment Number]])&gt;ScheduledNumberOfPayments,"",ROW()-ROW(PaymentSchedule3[[#Headers],[Payment Number]])),"")</f>
        <v>71</v>
      </c>
      <c r="C88" s="24">
        <f ca="1">IF(PaymentSchedule3[[#This Row],[Payment Number]]&lt;&gt;"",EOMONTH(LoanStartDate,ROW(PaymentSchedule3[[#This Row],[Payment Number]])-ROW(PaymentSchedule3[[#Headers],[Payment Number]])-2)+DAY(LoanStartDate),"")</f>
        <v>46765</v>
      </c>
      <c r="D88" s="25">
        <f ca="1">IF(PaymentSchedule3[[#This Row],[Payment Number]]&lt;&gt;"",IF(ROW()-ROW(PaymentSchedule3[[#Headers],[Beginning
Balance]])=1,LoanAmount,INDEX(PaymentSchedule3[Ending
Balance],ROW()-ROW(PaymentSchedule3[[#Headers],[Beginning
Balance]])-1)),"")</f>
        <v>91385.69501654034</v>
      </c>
      <c r="E88" s="25">
        <f ca="1">IF(PaymentSchedule3[[#This Row],[Payment Number]]&lt;&gt;"",ScheduledPayment,"")</f>
        <v>543.5318932997908</v>
      </c>
      <c r="F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8" s="25">
        <f ca="1">IF(PaymentSchedule3[[#This Row],[Payment Number]]&lt;&gt;"",PaymentSchedule3[[#This Row],[Total
Payment]]-PaymentSchedule3[[#This Row],[Interest]],"")</f>
        <v>162.75816406420603</v>
      </c>
      <c r="I88" s="25">
        <f ca="1">IF(PaymentSchedule3[[#This Row],[Payment Number]]&lt;&gt;"",PaymentSchedule3[[#This Row],[Beginning
Balance]]*(InterestRate/PaymentsPerYear),"")</f>
        <v>380.77372923558477</v>
      </c>
      <c r="J88" s="25">
        <f ca="1">IF(PaymentSchedule3[[#This Row],[Payment Number]]&lt;&gt;"",IF(PaymentSchedule3[[#This Row],[Scheduled Payment]]+PaymentSchedule3[[#This Row],[Extra
Payment]]&lt;=PaymentSchedule3[[#This Row],[Beginning
Balance]],PaymentSchedule3[[#This Row],[Beginning
Balance]]-PaymentSchedule3[[#This Row],[Principal]],0),"")</f>
        <v>91222.936852476138</v>
      </c>
      <c r="K88" s="25">
        <f ca="1">IF(PaymentSchedule3[[#This Row],[Payment Number]]&lt;&gt;"",SUM(INDEX(PaymentSchedule3[Interest],1,1):PaymentSchedule3[[#This Row],[Interest]]),"")</f>
        <v>28563.70127676128</v>
      </c>
      <c r="L88" s="49">
        <f ca="1">LoanAmount-PaymentSchedule3[[#This Row],[Ending
Balance]]</f>
        <v>10027.063147523862</v>
      </c>
      <c r="M88" s="49">
        <f t="shared" ca="1" si="1"/>
        <v>908.5318932997908</v>
      </c>
      <c r="N88" s="25">
        <f ca="1">PaymentSchedule3[[#This Row],[Payment Number]]*$M$19</f>
        <v>64505.764424285146</v>
      </c>
    </row>
    <row r="89" spans="2:14" ht="15.75" x14ac:dyDescent="0.25">
      <c r="B89" s="23">
        <f ca="1">IF(LoanIsGood,IF(ROW()-ROW(PaymentSchedule3[[#Headers],[Payment Number]])&gt;ScheduledNumberOfPayments,"",ROW()-ROW(PaymentSchedule3[[#Headers],[Payment Number]])),"")</f>
        <v>72</v>
      </c>
      <c r="C89" s="24">
        <f ca="1">IF(PaymentSchedule3[[#This Row],[Payment Number]]&lt;&gt;"",EOMONTH(LoanStartDate,ROW(PaymentSchedule3[[#This Row],[Payment Number]])-ROW(PaymentSchedule3[[#Headers],[Payment Number]])-2)+DAY(LoanStartDate),"")</f>
        <v>46796</v>
      </c>
      <c r="D89" s="25">
        <f ca="1">IF(PaymentSchedule3[[#This Row],[Payment Number]]&lt;&gt;"",IF(ROW()-ROW(PaymentSchedule3[[#Headers],[Beginning
Balance]])=1,LoanAmount,INDEX(PaymentSchedule3[Ending
Balance],ROW()-ROW(PaymentSchedule3[[#Headers],[Beginning
Balance]])-1)),"")</f>
        <v>91222.936852476138</v>
      </c>
      <c r="E89" s="25">
        <f ca="1">IF(PaymentSchedule3[[#This Row],[Payment Number]]&lt;&gt;"",ScheduledPayment,"")</f>
        <v>543.5318932997908</v>
      </c>
      <c r="F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89" s="25">
        <f ca="1">IF(PaymentSchedule3[[#This Row],[Payment Number]]&lt;&gt;"",PaymentSchedule3[[#This Row],[Total
Payment]]-PaymentSchedule3[[#This Row],[Interest]],"")</f>
        <v>163.43632308114024</v>
      </c>
      <c r="I89" s="25">
        <f ca="1">IF(PaymentSchedule3[[#This Row],[Payment Number]]&lt;&gt;"",PaymentSchedule3[[#This Row],[Beginning
Balance]]*(InterestRate/PaymentsPerYear),"")</f>
        <v>380.09557021865055</v>
      </c>
      <c r="J89" s="25">
        <f ca="1">IF(PaymentSchedule3[[#This Row],[Payment Number]]&lt;&gt;"",IF(PaymentSchedule3[[#This Row],[Scheduled Payment]]+PaymentSchedule3[[#This Row],[Extra
Payment]]&lt;=PaymentSchedule3[[#This Row],[Beginning
Balance]],PaymentSchedule3[[#This Row],[Beginning
Balance]]-PaymentSchedule3[[#This Row],[Principal]],0),"")</f>
        <v>91059.500529394994</v>
      </c>
      <c r="K89" s="25">
        <f ca="1">IF(PaymentSchedule3[[#This Row],[Payment Number]]&lt;&gt;"",SUM(INDEX(PaymentSchedule3[Interest],1,1):PaymentSchedule3[[#This Row],[Interest]]),"")</f>
        <v>28943.796846979931</v>
      </c>
      <c r="L89" s="49">
        <f ca="1">LoanAmount-PaymentSchedule3[[#This Row],[Ending
Balance]]</f>
        <v>10190.499470605006</v>
      </c>
      <c r="M89" s="49">
        <f t="shared" ca="1" si="1"/>
        <v>908.5318932997908</v>
      </c>
      <c r="N89" s="25">
        <f ca="1">PaymentSchedule3[[#This Row],[Payment Number]]*$M$19</f>
        <v>65414.296317584936</v>
      </c>
    </row>
    <row r="90" spans="2:14" ht="15.75" x14ac:dyDescent="0.25">
      <c r="B90" s="23">
        <f ca="1">IF(LoanIsGood,IF(ROW()-ROW(PaymentSchedule3[[#Headers],[Payment Number]])&gt;ScheduledNumberOfPayments,"",ROW()-ROW(PaymentSchedule3[[#Headers],[Payment Number]])),"")</f>
        <v>73</v>
      </c>
      <c r="C90" s="24">
        <f ca="1">IF(PaymentSchedule3[[#This Row],[Payment Number]]&lt;&gt;"",EOMONTH(LoanStartDate,ROW(PaymentSchedule3[[#This Row],[Payment Number]])-ROW(PaymentSchedule3[[#Headers],[Payment Number]])-2)+DAY(LoanStartDate),"")</f>
        <v>46825</v>
      </c>
      <c r="D90" s="25">
        <f ca="1">IF(PaymentSchedule3[[#This Row],[Payment Number]]&lt;&gt;"",IF(ROW()-ROW(PaymentSchedule3[[#Headers],[Beginning
Balance]])=1,LoanAmount,INDEX(PaymentSchedule3[Ending
Balance],ROW()-ROW(PaymentSchedule3[[#Headers],[Beginning
Balance]])-1)),"")</f>
        <v>91059.500529394994</v>
      </c>
      <c r="E90" s="25">
        <f ca="1">IF(PaymentSchedule3[[#This Row],[Payment Number]]&lt;&gt;"",ScheduledPayment,"")</f>
        <v>543.5318932997908</v>
      </c>
      <c r="F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0" s="25">
        <f ca="1">IF(PaymentSchedule3[[#This Row],[Payment Number]]&lt;&gt;"",PaymentSchedule3[[#This Row],[Total
Payment]]-PaymentSchedule3[[#This Row],[Interest]],"")</f>
        <v>164.11730776064496</v>
      </c>
      <c r="I90" s="25">
        <f ca="1">IF(PaymentSchedule3[[#This Row],[Payment Number]]&lt;&gt;"",PaymentSchedule3[[#This Row],[Beginning
Balance]]*(InterestRate/PaymentsPerYear),"")</f>
        <v>379.41458553914583</v>
      </c>
      <c r="J90" s="25">
        <f ca="1">IF(PaymentSchedule3[[#This Row],[Payment Number]]&lt;&gt;"",IF(PaymentSchedule3[[#This Row],[Scheduled Payment]]+PaymentSchedule3[[#This Row],[Extra
Payment]]&lt;=PaymentSchedule3[[#This Row],[Beginning
Balance]],PaymentSchedule3[[#This Row],[Beginning
Balance]]-PaymentSchedule3[[#This Row],[Principal]],0),"")</f>
        <v>90895.383221634343</v>
      </c>
      <c r="K90" s="25">
        <f ca="1">IF(PaymentSchedule3[[#This Row],[Payment Number]]&lt;&gt;"",SUM(INDEX(PaymentSchedule3[Interest],1,1):PaymentSchedule3[[#This Row],[Interest]]),"")</f>
        <v>29323.211432519078</v>
      </c>
      <c r="L90" s="49">
        <f ca="1">LoanAmount-PaymentSchedule3[[#This Row],[Ending
Balance]]</f>
        <v>10354.616778365657</v>
      </c>
      <c r="M90" s="49">
        <f t="shared" ca="1" si="1"/>
        <v>908.5318932997908</v>
      </c>
      <c r="N90" s="25">
        <f ca="1">PaymentSchedule3[[#This Row],[Payment Number]]*$M$19</f>
        <v>66322.828210884734</v>
      </c>
    </row>
    <row r="91" spans="2:14" ht="15.75" x14ac:dyDescent="0.25">
      <c r="B91" s="23">
        <f ca="1">IF(LoanIsGood,IF(ROW()-ROW(PaymentSchedule3[[#Headers],[Payment Number]])&gt;ScheduledNumberOfPayments,"",ROW()-ROW(PaymentSchedule3[[#Headers],[Payment Number]])),"")</f>
        <v>74</v>
      </c>
      <c r="C91" s="24">
        <f ca="1">IF(PaymentSchedule3[[#This Row],[Payment Number]]&lt;&gt;"",EOMONTH(LoanStartDate,ROW(PaymentSchedule3[[#This Row],[Payment Number]])-ROW(PaymentSchedule3[[#Headers],[Payment Number]])-2)+DAY(LoanStartDate),"")</f>
        <v>46856</v>
      </c>
      <c r="D91" s="25">
        <f ca="1">IF(PaymentSchedule3[[#This Row],[Payment Number]]&lt;&gt;"",IF(ROW()-ROW(PaymentSchedule3[[#Headers],[Beginning
Balance]])=1,LoanAmount,INDEX(PaymentSchedule3[Ending
Balance],ROW()-ROW(PaymentSchedule3[[#Headers],[Beginning
Balance]])-1)),"")</f>
        <v>90895.383221634343</v>
      </c>
      <c r="E91" s="25">
        <f ca="1">IF(PaymentSchedule3[[#This Row],[Payment Number]]&lt;&gt;"",ScheduledPayment,"")</f>
        <v>543.5318932997908</v>
      </c>
      <c r="F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1" s="25">
        <f ca="1">IF(PaymentSchedule3[[#This Row],[Payment Number]]&lt;&gt;"",PaymentSchedule3[[#This Row],[Total
Payment]]-PaymentSchedule3[[#This Row],[Interest]],"")</f>
        <v>164.80112987631435</v>
      </c>
      <c r="I91" s="25">
        <f ca="1">IF(PaymentSchedule3[[#This Row],[Payment Number]]&lt;&gt;"",PaymentSchedule3[[#This Row],[Beginning
Balance]]*(InterestRate/PaymentsPerYear),"")</f>
        <v>378.73076342347645</v>
      </c>
      <c r="J91" s="25">
        <f ca="1">IF(PaymentSchedule3[[#This Row],[Payment Number]]&lt;&gt;"",IF(PaymentSchedule3[[#This Row],[Scheduled Payment]]+PaymentSchedule3[[#This Row],[Extra
Payment]]&lt;=PaymentSchedule3[[#This Row],[Beginning
Balance]],PaymentSchedule3[[#This Row],[Beginning
Balance]]-PaymentSchedule3[[#This Row],[Principal]],0),"")</f>
        <v>90730.582091758028</v>
      </c>
      <c r="K91" s="25">
        <f ca="1">IF(PaymentSchedule3[[#This Row],[Payment Number]]&lt;&gt;"",SUM(INDEX(PaymentSchedule3[Interest],1,1):PaymentSchedule3[[#This Row],[Interest]]),"")</f>
        <v>29701.942195942553</v>
      </c>
      <c r="L91" s="49">
        <f ca="1">LoanAmount-PaymentSchedule3[[#This Row],[Ending
Balance]]</f>
        <v>10519.417908241972</v>
      </c>
      <c r="M91" s="49">
        <f t="shared" ca="1" si="1"/>
        <v>908.5318932997908</v>
      </c>
      <c r="N91" s="25">
        <f ca="1">PaymentSchedule3[[#This Row],[Payment Number]]*$M$19</f>
        <v>67231.360104184525</v>
      </c>
    </row>
    <row r="92" spans="2:14" ht="15.75" x14ac:dyDescent="0.25">
      <c r="B92" s="23">
        <f ca="1">IF(LoanIsGood,IF(ROW()-ROW(PaymentSchedule3[[#Headers],[Payment Number]])&gt;ScheduledNumberOfPayments,"",ROW()-ROW(PaymentSchedule3[[#Headers],[Payment Number]])),"")</f>
        <v>75</v>
      </c>
      <c r="C92" s="24">
        <f ca="1">IF(PaymentSchedule3[[#This Row],[Payment Number]]&lt;&gt;"",EOMONTH(LoanStartDate,ROW(PaymentSchedule3[[#This Row],[Payment Number]])-ROW(PaymentSchedule3[[#Headers],[Payment Number]])-2)+DAY(LoanStartDate),"")</f>
        <v>46886</v>
      </c>
      <c r="D92" s="25">
        <f ca="1">IF(PaymentSchedule3[[#This Row],[Payment Number]]&lt;&gt;"",IF(ROW()-ROW(PaymentSchedule3[[#Headers],[Beginning
Balance]])=1,LoanAmount,INDEX(PaymentSchedule3[Ending
Balance],ROW()-ROW(PaymentSchedule3[[#Headers],[Beginning
Balance]])-1)),"")</f>
        <v>90730.582091758028</v>
      </c>
      <c r="E92" s="25">
        <f ca="1">IF(PaymentSchedule3[[#This Row],[Payment Number]]&lt;&gt;"",ScheduledPayment,"")</f>
        <v>543.5318932997908</v>
      </c>
      <c r="F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2" s="25">
        <f ca="1">IF(PaymentSchedule3[[#This Row],[Payment Number]]&lt;&gt;"",PaymentSchedule3[[#This Row],[Total
Payment]]-PaymentSchedule3[[#This Row],[Interest]],"")</f>
        <v>165.48780125079901</v>
      </c>
      <c r="I92" s="25">
        <f ca="1">IF(PaymentSchedule3[[#This Row],[Payment Number]]&lt;&gt;"",PaymentSchedule3[[#This Row],[Beginning
Balance]]*(InterestRate/PaymentsPerYear),"")</f>
        <v>378.04409204899179</v>
      </c>
      <c r="J92" s="25">
        <f ca="1">IF(PaymentSchedule3[[#This Row],[Payment Number]]&lt;&gt;"",IF(PaymentSchedule3[[#This Row],[Scheduled Payment]]+PaymentSchedule3[[#This Row],[Extra
Payment]]&lt;=PaymentSchedule3[[#This Row],[Beginning
Balance]],PaymentSchedule3[[#This Row],[Beginning
Balance]]-PaymentSchedule3[[#This Row],[Principal]],0),"")</f>
        <v>90565.09429050723</v>
      </c>
      <c r="K92" s="25">
        <f ca="1">IF(PaymentSchedule3[[#This Row],[Payment Number]]&lt;&gt;"",SUM(INDEX(PaymentSchedule3[Interest],1,1):PaymentSchedule3[[#This Row],[Interest]]),"")</f>
        <v>30079.986287991545</v>
      </c>
      <c r="L92" s="49">
        <f ca="1">LoanAmount-PaymentSchedule3[[#This Row],[Ending
Balance]]</f>
        <v>10684.90570949277</v>
      </c>
      <c r="M92" s="49">
        <f t="shared" ca="1" si="1"/>
        <v>908.5318932997908</v>
      </c>
      <c r="N92" s="25">
        <f ca="1">PaymentSchedule3[[#This Row],[Payment Number]]*$M$19</f>
        <v>68139.891997484316</v>
      </c>
    </row>
    <row r="93" spans="2:14" ht="15.75" x14ac:dyDescent="0.25">
      <c r="B93" s="23">
        <f ca="1">IF(LoanIsGood,IF(ROW()-ROW(PaymentSchedule3[[#Headers],[Payment Number]])&gt;ScheduledNumberOfPayments,"",ROW()-ROW(PaymentSchedule3[[#Headers],[Payment Number]])),"")</f>
        <v>76</v>
      </c>
      <c r="C93" s="24">
        <f ca="1">IF(PaymentSchedule3[[#This Row],[Payment Number]]&lt;&gt;"",EOMONTH(LoanStartDate,ROW(PaymentSchedule3[[#This Row],[Payment Number]])-ROW(PaymentSchedule3[[#Headers],[Payment Number]])-2)+DAY(LoanStartDate),"")</f>
        <v>46917</v>
      </c>
      <c r="D93" s="25">
        <f ca="1">IF(PaymentSchedule3[[#This Row],[Payment Number]]&lt;&gt;"",IF(ROW()-ROW(PaymentSchedule3[[#Headers],[Beginning
Balance]])=1,LoanAmount,INDEX(PaymentSchedule3[Ending
Balance],ROW()-ROW(PaymentSchedule3[[#Headers],[Beginning
Balance]])-1)),"")</f>
        <v>90565.09429050723</v>
      </c>
      <c r="E93" s="25">
        <f ca="1">IF(PaymentSchedule3[[#This Row],[Payment Number]]&lt;&gt;"",ScheduledPayment,"")</f>
        <v>543.5318932997908</v>
      </c>
      <c r="F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3" s="25">
        <f ca="1">IF(PaymentSchedule3[[#This Row],[Payment Number]]&lt;&gt;"",PaymentSchedule3[[#This Row],[Total
Payment]]-PaymentSchedule3[[#This Row],[Interest]],"")</f>
        <v>166.17733375601068</v>
      </c>
      <c r="I93" s="25">
        <f ca="1">IF(PaymentSchedule3[[#This Row],[Payment Number]]&lt;&gt;"",PaymentSchedule3[[#This Row],[Beginning
Balance]]*(InterestRate/PaymentsPerYear),"")</f>
        <v>377.35455954378011</v>
      </c>
      <c r="J93" s="25">
        <f ca="1">IF(PaymentSchedule3[[#This Row],[Payment Number]]&lt;&gt;"",IF(PaymentSchedule3[[#This Row],[Scheduled Payment]]+PaymentSchedule3[[#This Row],[Extra
Payment]]&lt;=PaymentSchedule3[[#This Row],[Beginning
Balance]],PaymentSchedule3[[#This Row],[Beginning
Balance]]-PaymentSchedule3[[#This Row],[Principal]],0),"")</f>
        <v>90398.916956751214</v>
      </c>
      <c r="K93" s="25">
        <f ca="1">IF(PaymentSchedule3[[#This Row],[Payment Number]]&lt;&gt;"",SUM(INDEX(PaymentSchedule3[Interest],1,1):PaymentSchedule3[[#This Row],[Interest]]),"")</f>
        <v>30457.340847535324</v>
      </c>
      <c r="L93" s="49">
        <f ca="1">LoanAmount-PaymentSchedule3[[#This Row],[Ending
Balance]]</f>
        <v>10851.083043248786</v>
      </c>
      <c r="M93" s="49">
        <f t="shared" ca="1" si="1"/>
        <v>908.5318932997908</v>
      </c>
      <c r="N93" s="25">
        <f ca="1">PaymentSchedule3[[#This Row],[Payment Number]]*$M$19</f>
        <v>69048.423890784106</v>
      </c>
    </row>
    <row r="94" spans="2:14" ht="15.75" x14ac:dyDescent="0.25">
      <c r="B94" s="23">
        <f ca="1">IF(LoanIsGood,IF(ROW()-ROW(PaymentSchedule3[[#Headers],[Payment Number]])&gt;ScheduledNumberOfPayments,"",ROW()-ROW(PaymentSchedule3[[#Headers],[Payment Number]])),"")</f>
        <v>77</v>
      </c>
      <c r="C94" s="24">
        <f ca="1">IF(PaymentSchedule3[[#This Row],[Payment Number]]&lt;&gt;"",EOMONTH(LoanStartDate,ROW(PaymentSchedule3[[#This Row],[Payment Number]])-ROW(PaymentSchedule3[[#Headers],[Payment Number]])-2)+DAY(LoanStartDate),"")</f>
        <v>46947</v>
      </c>
      <c r="D94" s="25">
        <f ca="1">IF(PaymentSchedule3[[#This Row],[Payment Number]]&lt;&gt;"",IF(ROW()-ROW(PaymentSchedule3[[#Headers],[Beginning
Balance]])=1,LoanAmount,INDEX(PaymentSchedule3[Ending
Balance],ROW()-ROW(PaymentSchedule3[[#Headers],[Beginning
Balance]])-1)),"")</f>
        <v>90398.916956751214</v>
      </c>
      <c r="E94" s="25">
        <f ca="1">IF(PaymentSchedule3[[#This Row],[Payment Number]]&lt;&gt;"",ScheduledPayment,"")</f>
        <v>543.5318932997908</v>
      </c>
      <c r="F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4" s="25">
        <f ca="1">IF(PaymentSchedule3[[#This Row],[Payment Number]]&lt;&gt;"",PaymentSchedule3[[#This Row],[Total
Payment]]-PaymentSchedule3[[#This Row],[Interest]],"")</f>
        <v>166.86973931332739</v>
      </c>
      <c r="I94" s="25">
        <f ca="1">IF(PaymentSchedule3[[#This Row],[Payment Number]]&lt;&gt;"",PaymentSchedule3[[#This Row],[Beginning
Balance]]*(InterestRate/PaymentsPerYear),"")</f>
        <v>376.66215398646341</v>
      </c>
      <c r="J94" s="25">
        <f ca="1">IF(PaymentSchedule3[[#This Row],[Payment Number]]&lt;&gt;"",IF(PaymentSchedule3[[#This Row],[Scheduled Payment]]+PaymentSchedule3[[#This Row],[Extra
Payment]]&lt;=PaymentSchedule3[[#This Row],[Beginning
Balance]],PaymentSchedule3[[#This Row],[Beginning
Balance]]-PaymentSchedule3[[#This Row],[Principal]],0),"")</f>
        <v>90232.047217437881</v>
      </c>
      <c r="K94" s="25">
        <f ca="1">IF(PaymentSchedule3[[#This Row],[Payment Number]]&lt;&gt;"",SUM(INDEX(PaymentSchedule3[Interest],1,1):PaymentSchedule3[[#This Row],[Interest]]),"")</f>
        <v>30834.003001521789</v>
      </c>
      <c r="L94" s="49">
        <f ca="1">LoanAmount-PaymentSchedule3[[#This Row],[Ending
Balance]]</f>
        <v>11017.952782562119</v>
      </c>
      <c r="M94" s="49">
        <f t="shared" ca="1" si="1"/>
        <v>908.5318932997908</v>
      </c>
      <c r="N94" s="25">
        <f ca="1">PaymentSchedule3[[#This Row],[Payment Number]]*$M$19</f>
        <v>69956.955784083897</v>
      </c>
    </row>
    <row r="95" spans="2:14" ht="15.75" x14ac:dyDescent="0.25">
      <c r="B95" s="23">
        <f ca="1">IF(LoanIsGood,IF(ROW()-ROW(PaymentSchedule3[[#Headers],[Payment Number]])&gt;ScheduledNumberOfPayments,"",ROW()-ROW(PaymentSchedule3[[#Headers],[Payment Number]])),"")</f>
        <v>78</v>
      </c>
      <c r="C95" s="24">
        <f ca="1">IF(PaymentSchedule3[[#This Row],[Payment Number]]&lt;&gt;"",EOMONTH(LoanStartDate,ROW(PaymentSchedule3[[#This Row],[Payment Number]])-ROW(PaymentSchedule3[[#Headers],[Payment Number]])-2)+DAY(LoanStartDate),"")</f>
        <v>46978</v>
      </c>
      <c r="D95" s="25">
        <f ca="1">IF(PaymentSchedule3[[#This Row],[Payment Number]]&lt;&gt;"",IF(ROW()-ROW(PaymentSchedule3[[#Headers],[Beginning
Balance]])=1,LoanAmount,INDEX(PaymentSchedule3[Ending
Balance],ROW()-ROW(PaymentSchedule3[[#Headers],[Beginning
Balance]])-1)),"")</f>
        <v>90232.047217437881</v>
      </c>
      <c r="E95" s="25">
        <f ca="1">IF(PaymentSchedule3[[#This Row],[Payment Number]]&lt;&gt;"",ScheduledPayment,"")</f>
        <v>543.5318932997908</v>
      </c>
      <c r="F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5" s="25">
        <f ca="1">IF(PaymentSchedule3[[#This Row],[Payment Number]]&lt;&gt;"",PaymentSchedule3[[#This Row],[Total
Payment]]-PaymentSchedule3[[#This Row],[Interest]],"")</f>
        <v>167.56502989379965</v>
      </c>
      <c r="I95" s="25">
        <f ca="1">IF(PaymentSchedule3[[#This Row],[Payment Number]]&lt;&gt;"",PaymentSchedule3[[#This Row],[Beginning
Balance]]*(InterestRate/PaymentsPerYear),"")</f>
        <v>375.96686340599115</v>
      </c>
      <c r="J95" s="25">
        <f ca="1">IF(PaymentSchedule3[[#This Row],[Payment Number]]&lt;&gt;"",IF(PaymentSchedule3[[#This Row],[Scheduled Payment]]+PaymentSchedule3[[#This Row],[Extra
Payment]]&lt;=PaymentSchedule3[[#This Row],[Beginning
Balance]],PaymentSchedule3[[#This Row],[Beginning
Balance]]-PaymentSchedule3[[#This Row],[Principal]],0),"")</f>
        <v>90064.482187544083</v>
      </c>
      <c r="K95" s="25">
        <f ca="1">IF(PaymentSchedule3[[#This Row],[Payment Number]]&lt;&gt;"",SUM(INDEX(PaymentSchedule3[Interest],1,1):PaymentSchedule3[[#This Row],[Interest]]),"")</f>
        <v>31209.969864927782</v>
      </c>
      <c r="L95" s="49">
        <f ca="1">LoanAmount-PaymentSchedule3[[#This Row],[Ending
Balance]]</f>
        <v>11185.517812455917</v>
      </c>
      <c r="M95" s="49">
        <f t="shared" ca="1" si="1"/>
        <v>908.5318932997908</v>
      </c>
      <c r="N95" s="25">
        <f ca="1">PaymentSchedule3[[#This Row],[Payment Number]]*$M$19</f>
        <v>70865.487677383688</v>
      </c>
    </row>
    <row r="96" spans="2:14" ht="15.75" x14ac:dyDescent="0.25">
      <c r="B96" s="23">
        <f ca="1">IF(LoanIsGood,IF(ROW()-ROW(PaymentSchedule3[[#Headers],[Payment Number]])&gt;ScheduledNumberOfPayments,"",ROW()-ROW(PaymentSchedule3[[#Headers],[Payment Number]])),"")</f>
        <v>79</v>
      </c>
      <c r="C96" s="24">
        <f ca="1">IF(PaymentSchedule3[[#This Row],[Payment Number]]&lt;&gt;"",EOMONTH(LoanStartDate,ROW(PaymentSchedule3[[#This Row],[Payment Number]])-ROW(PaymentSchedule3[[#Headers],[Payment Number]])-2)+DAY(LoanStartDate),"")</f>
        <v>47009</v>
      </c>
      <c r="D96" s="25">
        <f ca="1">IF(PaymentSchedule3[[#This Row],[Payment Number]]&lt;&gt;"",IF(ROW()-ROW(PaymentSchedule3[[#Headers],[Beginning
Balance]])=1,LoanAmount,INDEX(PaymentSchedule3[Ending
Balance],ROW()-ROW(PaymentSchedule3[[#Headers],[Beginning
Balance]])-1)),"")</f>
        <v>90064.482187544083</v>
      </c>
      <c r="E96" s="25">
        <f ca="1">IF(PaymentSchedule3[[#This Row],[Payment Number]]&lt;&gt;"",ScheduledPayment,"")</f>
        <v>543.5318932997908</v>
      </c>
      <c r="F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6" s="25">
        <f ca="1">IF(PaymentSchedule3[[#This Row],[Payment Number]]&lt;&gt;"",PaymentSchedule3[[#This Row],[Total
Payment]]-PaymentSchedule3[[#This Row],[Interest]],"")</f>
        <v>168.26321751835712</v>
      </c>
      <c r="I96" s="25">
        <f ca="1">IF(PaymentSchedule3[[#This Row],[Payment Number]]&lt;&gt;"",PaymentSchedule3[[#This Row],[Beginning
Balance]]*(InterestRate/PaymentsPerYear),"")</f>
        <v>375.26867578143367</v>
      </c>
      <c r="J96" s="25">
        <f ca="1">IF(PaymentSchedule3[[#This Row],[Payment Number]]&lt;&gt;"",IF(PaymentSchedule3[[#This Row],[Scheduled Payment]]+PaymentSchedule3[[#This Row],[Extra
Payment]]&lt;=PaymentSchedule3[[#This Row],[Beginning
Balance]],PaymentSchedule3[[#This Row],[Beginning
Balance]]-PaymentSchedule3[[#This Row],[Principal]],0),"")</f>
        <v>89896.21897002573</v>
      </c>
      <c r="K96" s="25">
        <f ca="1">IF(PaymentSchedule3[[#This Row],[Payment Number]]&lt;&gt;"",SUM(INDEX(PaymentSchedule3[Interest],1,1):PaymentSchedule3[[#This Row],[Interest]]),"")</f>
        <v>31585.238540709215</v>
      </c>
      <c r="L96" s="49">
        <f ca="1">LoanAmount-PaymentSchedule3[[#This Row],[Ending
Balance]]</f>
        <v>11353.78102997427</v>
      </c>
      <c r="M96" s="49">
        <f t="shared" ca="1" si="1"/>
        <v>908.5318932997908</v>
      </c>
      <c r="N96" s="25">
        <f ca="1">PaymentSchedule3[[#This Row],[Payment Number]]*$M$19</f>
        <v>71774.019570683478</v>
      </c>
    </row>
    <row r="97" spans="2:14" ht="15.75" x14ac:dyDescent="0.25">
      <c r="B97" s="23">
        <f ca="1">IF(LoanIsGood,IF(ROW()-ROW(PaymentSchedule3[[#Headers],[Payment Number]])&gt;ScheduledNumberOfPayments,"",ROW()-ROW(PaymentSchedule3[[#Headers],[Payment Number]])),"")</f>
        <v>80</v>
      </c>
      <c r="C97" s="24">
        <f ca="1">IF(PaymentSchedule3[[#This Row],[Payment Number]]&lt;&gt;"",EOMONTH(LoanStartDate,ROW(PaymentSchedule3[[#This Row],[Payment Number]])-ROW(PaymentSchedule3[[#Headers],[Payment Number]])-2)+DAY(LoanStartDate),"")</f>
        <v>47039</v>
      </c>
      <c r="D97" s="25">
        <f ca="1">IF(PaymentSchedule3[[#This Row],[Payment Number]]&lt;&gt;"",IF(ROW()-ROW(PaymentSchedule3[[#Headers],[Beginning
Balance]])=1,LoanAmount,INDEX(PaymentSchedule3[Ending
Balance],ROW()-ROW(PaymentSchedule3[[#Headers],[Beginning
Balance]])-1)),"")</f>
        <v>89896.21897002573</v>
      </c>
      <c r="E97" s="25">
        <f ca="1">IF(PaymentSchedule3[[#This Row],[Payment Number]]&lt;&gt;"",ScheduledPayment,"")</f>
        <v>543.5318932997908</v>
      </c>
      <c r="F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7" s="25">
        <f ca="1">IF(PaymentSchedule3[[#This Row],[Payment Number]]&lt;&gt;"",PaymentSchedule3[[#This Row],[Total
Payment]]-PaymentSchedule3[[#This Row],[Interest]],"")</f>
        <v>168.96431425801694</v>
      </c>
      <c r="I97" s="25">
        <f ca="1">IF(PaymentSchedule3[[#This Row],[Payment Number]]&lt;&gt;"",PaymentSchedule3[[#This Row],[Beginning
Balance]]*(InterestRate/PaymentsPerYear),"")</f>
        <v>374.56757904177385</v>
      </c>
      <c r="J97" s="25">
        <f ca="1">IF(PaymentSchedule3[[#This Row],[Payment Number]]&lt;&gt;"",IF(PaymentSchedule3[[#This Row],[Scheduled Payment]]+PaymentSchedule3[[#This Row],[Extra
Payment]]&lt;=PaymentSchedule3[[#This Row],[Beginning
Balance]],PaymentSchedule3[[#This Row],[Beginning
Balance]]-PaymentSchedule3[[#This Row],[Principal]],0),"")</f>
        <v>89727.254655767712</v>
      </c>
      <c r="K97" s="25">
        <f ca="1">IF(PaymentSchedule3[[#This Row],[Payment Number]]&lt;&gt;"",SUM(INDEX(PaymentSchedule3[Interest],1,1):PaymentSchedule3[[#This Row],[Interest]]),"")</f>
        <v>31959.806119750989</v>
      </c>
      <c r="L97" s="49">
        <f ca="1">LoanAmount-PaymentSchedule3[[#This Row],[Ending
Balance]]</f>
        <v>11522.745344232288</v>
      </c>
      <c r="M97" s="49">
        <f t="shared" ca="1" si="1"/>
        <v>908.5318932997908</v>
      </c>
      <c r="N97" s="25">
        <f ca="1">PaymentSchedule3[[#This Row],[Payment Number]]*$M$19</f>
        <v>72682.551463983269</v>
      </c>
    </row>
    <row r="98" spans="2:14" ht="15.75" x14ac:dyDescent="0.25">
      <c r="B98" s="23">
        <f ca="1">IF(LoanIsGood,IF(ROW()-ROW(PaymentSchedule3[[#Headers],[Payment Number]])&gt;ScheduledNumberOfPayments,"",ROW()-ROW(PaymentSchedule3[[#Headers],[Payment Number]])),"")</f>
        <v>81</v>
      </c>
      <c r="C98" s="24">
        <f ca="1">IF(PaymentSchedule3[[#This Row],[Payment Number]]&lt;&gt;"",EOMONTH(LoanStartDate,ROW(PaymentSchedule3[[#This Row],[Payment Number]])-ROW(PaymentSchedule3[[#Headers],[Payment Number]])-2)+DAY(LoanStartDate),"")</f>
        <v>47070</v>
      </c>
      <c r="D98" s="25">
        <f ca="1">IF(PaymentSchedule3[[#This Row],[Payment Number]]&lt;&gt;"",IF(ROW()-ROW(PaymentSchedule3[[#Headers],[Beginning
Balance]])=1,LoanAmount,INDEX(PaymentSchedule3[Ending
Balance],ROW()-ROW(PaymentSchedule3[[#Headers],[Beginning
Balance]])-1)),"")</f>
        <v>89727.254655767712</v>
      </c>
      <c r="E98" s="25">
        <f ca="1">IF(PaymentSchedule3[[#This Row],[Payment Number]]&lt;&gt;"",ScheduledPayment,"")</f>
        <v>543.5318932997908</v>
      </c>
      <c r="F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8" s="25">
        <f ca="1">IF(PaymentSchedule3[[#This Row],[Payment Number]]&lt;&gt;"",PaymentSchedule3[[#This Row],[Total
Payment]]-PaymentSchedule3[[#This Row],[Interest]],"")</f>
        <v>169.66833223409202</v>
      </c>
      <c r="I98" s="25">
        <f ca="1">IF(PaymentSchedule3[[#This Row],[Payment Number]]&lt;&gt;"",PaymentSchedule3[[#This Row],[Beginning
Balance]]*(InterestRate/PaymentsPerYear),"")</f>
        <v>373.86356106569878</v>
      </c>
      <c r="J98" s="25">
        <f ca="1">IF(PaymentSchedule3[[#This Row],[Payment Number]]&lt;&gt;"",IF(PaymentSchedule3[[#This Row],[Scheduled Payment]]+PaymentSchedule3[[#This Row],[Extra
Payment]]&lt;=PaymentSchedule3[[#This Row],[Beginning
Balance]],PaymentSchedule3[[#This Row],[Beginning
Balance]]-PaymentSchedule3[[#This Row],[Principal]],0),"")</f>
        <v>89557.586323533615</v>
      </c>
      <c r="K98" s="25">
        <f ca="1">IF(PaymentSchedule3[[#This Row],[Payment Number]]&lt;&gt;"",SUM(INDEX(PaymentSchedule3[Interest],1,1):PaymentSchedule3[[#This Row],[Interest]]),"")</f>
        <v>32333.669680816689</v>
      </c>
      <c r="L98" s="49">
        <f ca="1">LoanAmount-PaymentSchedule3[[#This Row],[Ending
Balance]]</f>
        <v>11692.413676466385</v>
      </c>
      <c r="M98" s="49">
        <f t="shared" ca="1" si="1"/>
        <v>908.5318932997908</v>
      </c>
      <c r="N98" s="25">
        <f ca="1">PaymentSchedule3[[#This Row],[Payment Number]]*$M$19</f>
        <v>73591.08335728306</v>
      </c>
    </row>
    <row r="99" spans="2:14" ht="15.75" x14ac:dyDescent="0.25">
      <c r="B99" s="23">
        <f ca="1">IF(LoanIsGood,IF(ROW()-ROW(PaymentSchedule3[[#Headers],[Payment Number]])&gt;ScheduledNumberOfPayments,"",ROW()-ROW(PaymentSchedule3[[#Headers],[Payment Number]])),"")</f>
        <v>82</v>
      </c>
      <c r="C99" s="24">
        <f ca="1">IF(PaymentSchedule3[[#This Row],[Payment Number]]&lt;&gt;"",EOMONTH(LoanStartDate,ROW(PaymentSchedule3[[#This Row],[Payment Number]])-ROW(PaymentSchedule3[[#Headers],[Payment Number]])-2)+DAY(LoanStartDate),"")</f>
        <v>47100</v>
      </c>
      <c r="D99" s="25">
        <f ca="1">IF(PaymentSchedule3[[#This Row],[Payment Number]]&lt;&gt;"",IF(ROW()-ROW(PaymentSchedule3[[#Headers],[Beginning
Balance]])=1,LoanAmount,INDEX(PaymentSchedule3[Ending
Balance],ROW()-ROW(PaymentSchedule3[[#Headers],[Beginning
Balance]])-1)),"")</f>
        <v>89557.586323533615</v>
      </c>
      <c r="E99" s="25">
        <f ca="1">IF(PaymentSchedule3[[#This Row],[Payment Number]]&lt;&gt;"",ScheduledPayment,"")</f>
        <v>543.5318932997908</v>
      </c>
      <c r="F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99" s="25">
        <f ca="1">IF(PaymentSchedule3[[#This Row],[Payment Number]]&lt;&gt;"",PaymentSchedule3[[#This Row],[Total
Payment]]-PaymentSchedule3[[#This Row],[Interest]],"")</f>
        <v>170.37528361840072</v>
      </c>
      <c r="I99" s="25">
        <f ca="1">IF(PaymentSchedule3[[#This Row],[Payment Number]]&lt;&gt;"",PaymentSchedule3[[#This Row],[Beginning
Balance]]*(InterestRate/PaymentsPerYear),"")</f>
        <v>373.15660968139008</v>
      </c>
      <c r="J99" s="25">
        <f ca="1">IF(PaymentSchedule3[[#This Row],[Payment Number]]&lt;&gt;"",IF(PaymentSchedule3[[#This Row],[Scheduled Payment]]+PaymentSchedule3[[#This Row],[Extra
Payment]]&lt;=PaymentSchedule3[[#This Row],[Beginning
Balance]],PaymentSchedule3[[#This Row],[Beginning
Balance]]-PaymentSchedule3[[#This Row],[Principal]],0),"")</f>
        <v>89387.211039915215</v>
      </c>
      <c r="K99" s="25">
        <f ca="1">IF(PaymentSchedule3[[#This Row],[Payment Number]]&lt;&gt;"",SUM(INDEX(PaymentSchedule3[Interest],1,1):PaymentSchedule3[[#This Row],[Interest]]),"")</f>
        <v>32706.82629049808</v>
      </c>
      <c r="L99" s="49">
        <f ca="1">LoanAmount-PaymentSchedule3[[#This Row],[Ending
Balance]]</f>
        <v>11862.788960084785</v>
      </c>
      <c r="M99" s="49">
        <f t="shared" ca="1" si="1"/>
        <v>908.5318932997908</v>
      </c>
      <c r="N99" s="25">
        <f ca="1">PaymentSchedule3[[#This Row],[Payment Number]]*$M$19</f>
        <v>74499.61525058285</v>
      </c>
    </row>
    <row r="100" spans="2:14" ht="15.75" x14ac:dyDescent="0.25">
      <c r="B100" s="23">
        <f ca="1">IF(LoanIsGood,IF(ROW()-ROW(PaymentSchedule3[[#Headers],[Payment Number]])&gt;ScheduledNumberOfPayments,"",ROW()-ROW(PaymentSchedule3[[#Headers],[Payment Number]])),"")</f>
        <v>83</v>
      </c>
      <c r="C100" s="24">
        <f ca="1">IF(PaymentSchedule3[[#This Row],[Payment Number]]&lt;&gt;"",EOMONTH(LoanStartDate,ROW(PaymentSchedule3[[#This Row],[Payment Number]])-ROW(PaymentSchedule3[[#Headers],[Payment Number]])-2)+DAY(LoanStartDate),"")</f>
        <v>47131</v>
      </c>
      <c r="D100" s="25">
        <f ca="1">IF(PaymentSchedule3[[#This Row],[Payment Number]]&lt;&gt;"",IF(ROW()-ROW(PaymentSchedule3[[#Headers],[Beginning
Balance]])=1,LoanAmount,INDEX(PaymentSchedule3[Ending
Balance],ROW()-ROW(PaymentSchedule3[[#Headers],[Beginning
Balance]])-1)),"")</f>
        <v>89387.211039915215</v>
      </c>
      <c r="E100" s="25">
        <f ca="1">IF(PaymentSchedule3[[#This Row],[Payment Number]]&lt;&gt;"",ScheduledPayment,"")</f>
        <v>543.5318932997908</v>
      </c>
      <c r="F1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0" s="25">
        <f ca="1">IF(PaymentSchedule3[[#This Row],[Payment Number]]&lt;&gt;"",PaymentSchedule3[[#This Row],[Total
Payment]]-PaymentSchedule3[[#This Row],[Interest]],"")</f>
        <v>171.08518063347742</v>
      </c>
      <c r="I100" s="25">
        <f ca="1">IF(PaymentSchedule3[[#This Row],[Payment Number]]&lt;&gt;"",PaymentSchedule3[[#This Row],[Beginning
Balance]]*(InterestRate/PaymentsPerYear),"")</f>
        <v>372.44671266631337</v>
      </c>
      <c r="J100" s="25">
        <f ca="1">IF(PaymentSchedule3[[#This Row],[Payment Number]]&lt;&gt;"",IF(PaymentSchedule3[[#This Row],[Scheduled Payment]]+PaymentSchedule3[[#This Row],[Extra
Payment]]&lt;=PaymentSchedule3[[#This Row],[Beginning
Balance]],PaymentSchedule3[[#This Row],[Beginning
Balance]]-PaymentSchedule3[[#This Row],[Principal]],0),"")</f>
        <v>89216.125859281732</v>
      </c>
      <c r="K100" s="25">
        <f ca="1">IF(PaymentSchedule3[[#This Row],[Payment Number]]&lt;&gt;"",SUM(INDEX(PaymentSchedule3[Interest],1,1):PaymentSchedule3[[#This Row],[Interest]]),"")</f>
        <v>33079.273003164395</v>
      </c>
      <c r="L100" s="49">
        <f ca="1">LoanAmount-PaymentSchedule3[[#This Row],[Ending
Balance]]</f>
        <v>12033.874140718268</v>
      </c>
      <c r="M100" s="49">
        <f t="shared" ca="1" si="1"/>
        <v>908.5318932997908</v>
      </c>
      <c r="N100" s="25">
        <f ca="1">PaymentSchedule3[[#This Row],[Payment Number]]*$M$19</f>
        <v>75408.147143882641</v>
      </c>
    </row>
    <row r="101" spans="2:14" ht="15.75" x14ac:dyDescent="0.25">
      <c r="B101" s="23">
        <f ca="1">IF(LoanIsGood,IF(ROW()-ROW(PaymentSchedule3[[#Headers],[Payment Number]])&gt;ScheduledNumberOfPayments,"",ROW()-ROW(PaymentSchedule3[[#Headers],[Payment Number]])),"")</f>
        <v>84</v>
      </c>
      <c r="C101" s="24">
        <f ca="1">IF(PaymentSchedule3[[#This Row],[Payment Number]]&lt;&gt;"",EOMONTH(LoanStartDate,ROW(PaymentSchedule3[[#This Row],[Payment Number]])-ROW(PaymentSchedule3[[#Headers],[Payment Number]])-2)+DAY(LoanStartDate),"")</f>
        <v>47162</v>
      </c>
      <c r="D101" s="25">
        <f ca="1">IF(PaymentSchedule3[[#This Row],[Payment Number]]&lt;&gt;"",IF(ROW()-ROW(PaymentSchedule3[[#Headers],[Beginning
Balance]])=1,LoanAmount,INDEX(PaymentSchedule3[Ending
Balance],ROW()-ROW(PaymentSchedule3[[#Headers],[Beginning
Balance]])-1)),"")</f>
        <v>89216.125859281732</v>
      </c>
      <c r="E101" s="25">
        <f ca="1">IF(PaymentSchedule3[[#This Row],[Payment Number]]&lt;&gt;"",ScheduledPayment,"")</f>
        <v>543.5318932997908</v>
      </c>
      <c r="F1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1" s="25">
        <f ca="1">IF(PaymentSchedule3[[#This Row],[Payment Number]]&lt;&gt;"",PaymentSchedule3[[#This Row],[Total
Payment]]-PaymentSchedule3[[#This Row],[Interest]],"")</f>
        <v>171.79803555278357</v>
      </c>
      <c r="I101" s="25">
        <f ca="1">IF(PaymentSchedule3[[#This Row],[Payment Number]]&lt;&gt;"",PaymentSchedule3[[#This Row],[Beginning
Balance]]*(InterestRate/PaymentsPerYear),"")</f>
        <v>371.73385774700722</v>
      </c>
      <c r="J101" s="25">
        <f ca="1">IF(PaymentSchedule3[[#This Row],[Payment Number]]&lt;&gt;"",IF(PaymentSchedule3[[#This Row],[Scheduled Payment]]+PaymentSchedule3[[#This Row],[Extra
Payment]]&lt;=PaymentSchedule3[[#This Row],[Beginning
Balance]],PaymentSchedule3[[#This Row],[Beginning
Balance]]-PaymentSchedule3[[#This Row],[Principal]],0),"")</f>
        <v>89044.327823728949</v>
      </c>
      <c r="K101" s="25">
        <f ca="1">IF(PaymentSchedule3[[#This Row],[Payment Number]]&lt;&gt;"",SUM(INDEX(PaymentSchedule3[Interest],1,1):PaymentSchedule3[[#This Row],[Interest]]),"")</f>
        <v>33451.006860911402</v>
      </c>
      <c r="L101" s="49">
        <f ca="1">LoanAmount-PaymentSchedule3[[#This Row],[Ending
Balance]]</f>
        <v>12205.672176271051</v>
      </c>
      <c r="M101" s="49">
        <f t="shared" ca="1" si="1"/>
        <v>908.5318932997908</v>
      </c>
      <c r="N101" s="25">
        <f ca="1">PaymentSchedule3[[#This Row],[Payment Number]]*$M$19</f>
        <v>76316.679037182432</v>
      </c>
    </row>
    <row r="102" spans="2:14" ht="15.75" x14ac:dyDescent="0.25">
      <c r="B102" s="23">
        <f ca="1">IF(LoanIsGood,IF(ROW()-ROW(PaymentSchedule3[[#Headers],[Payment Number]])&gt;ScheduledNumberOfPayments,"",ROW()-ROW(PaymentSchedule3[[#Headers],[Payment Number]])),"")</f>
        <v>85</v>
      </c>
      <c r="C102" s="24">
        <f ca="1">IF(PaymentSchedule3[[#This Row],[Payment Number]]&lt;&gt;"",EOMONTH(LoanStartDate,ROW(PaymentSchedule3[[#This Row],[Payment Number]])-ROW(PaymentSchedule3[[#Headers],[Payment Number]])-2)+DAY(LoanStartDate),"")</f>
        <v>47190</v>
      </c>
      <c r="D102" s="25">
        <f ca="1">IF(PaymentSchedule3[[#This Row],[Payment Number]]&lt;&gt;"",IF(ROW()-ROW(PaymentSchedule3[[#Headers],[Beginning
Balance]])=1,LoanAmount,INDEX(PaymentSchedule3[Ending
Balance],ROW()-ROW(PaymentSchedule3[[#Headers],[Beginning
Balance]])-1)),"")</f>
        <v>89044.327823728949</v>
      </c>
      <c r="E102" s="25">
        <f ca="1">IF(PaymentSchedule3[[#This Row],[Payment Number]]&lt;&gt;"",ScheduledPayment,"")</f>
        <v>543.5318932997908</v>
      </c>
      <c r="F1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2" s="25">
        <f ca="1">IF(PaymentSchedule3[[#This Row],[Payment Number]]&lt;&gt;"",PaymentSchedule3[[#This Row],[Total
Payment]]-PaymentSchedule3[[#This Row],[Interest]],"")</f>
        <v>172.51386070092019</v>
      </c>
      <c r="I102" s="25">
        <f ca="1">IF(PaymentSchedule3[[#This Row],[Payment Number]]&lt;&gt;"",PaymentSchedule3[[#This Row],[Beginning
Balance]]*(InterestRate/PaymentsPerYear),"")</f>
        <v>371.0180325988706</v>
      </c>
      <c r="J102" s="25">
        <f ca="1">IF(PaymentSchedule3[[#This Row],[Payment Number]]&lt;&gt;"",IF(PaymentSchedule3[[#This Row],[Scheduled Payment]]+PaymentSchedule3[[#This Row],[Extra
Payment]]&lt;=PaymentSchedule3[[#This Row],[Beginning
Balance]],PaymentSchedule3[[#This Row],[Beginning
Balance]]-PaymentSchedule3[[#This Row],[Principal]],0),"")</f>
        <v>88871.813963028035</v>
      </c>
      <c r="K102" s="25">
        <f ca="1">IF(PaymentSchedule3[[#This Row],[Payment Number]]&lt;&gt;"",SUM(INDEX(PaymentSchedule3[Interest],1,1):PaymentSchedule3[[#This Row],[Interest]]),"")</f>
        <v>33822.024893510272</v>
      </c>
      <c r="L102" s="49">
        <f ca="1">LoanAmount-PaymentSchedule3[[#This Row],[Ending
Balance]]</f>
        <v>12378.186036971965</v>
      </c>
      <c r="M102" s="49">
        <f t="shared" ca="1" si="1"/>
        <v>908.5318932997908</v>
      </c>
      <c r="N102" s="25">
        <f ca="1">PaymentSchedule3[[#This Row],[Payment Number]]*$M$19</f>
        <v>77225.210930482222</v>
      </c>
    </row>
    <row r="103" spans="2:14" ht="15.75" x14ac:dyDescent="0.25">
      <c r="B103" s="23">
        <f ca="1">IF(LoanIsGood,IF(ROW()-ROW(PaymentSchedule3[[#Headers],[Payment Number]])&gt;ScheduledNumberOfPayments,"",ROW()-ROW(PaymentSchedule3[[#Headers],[Payment Number]])),"")</f>
        <v>86</v>
      </c>
      <c r="C103" s="24">
        <f ca="1">IF(PaymentSchedule3[[#This Row],[Payment Number]]&lt;&gt;"",EOMONTH(LoanStartDate,ROW(PaymentSchedule3[[#This Row],[Payment Number]])-ROW(PaymentSchedule3[[#Headers],[Payment Number]])-2)+DAY(LoanStartDate),"")</f>
        <v>47221</v>
      </c>
      <c r="D103" s="25">
        <f ca="1">IF(PaymentSchedule3[[#This Row],[Payment Number]]&lt;&gt;"",IF(ROW()-ROW(PaymentSchedule3[[#Headers],[Beginning
Balance]])=1,LoanAmount,INDEX(PaymentSchedule3[Ending
Balance],ROW()-ROW(PaymentSchedule3[[#Headers],[Beginning
Balance]])-1)),"")</f>
        <v>88871.813963028035</v>
      </c>
      <c r="E103" s="25">
        <f ca="1">IF(PaymentSchedule3[[#This Row],[Payment Number]]&lt;&gt;"",ScheduledPayment,"")</f>
        <v>543.5318932997908</v>
      </c>
      <c r="F1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3" s="25">
        <f ca="1">IF(PaymentSchedule3[[#This Row],[Payment Number]]&lt;&gt;"",PaymentSchedule3[[#This Row],[Total
Payment]]-PaymentSchedule3[[#This Row],[Interest]],"")</f>
        <v>173.23266845384063</v>
      </c>
      <c r="I103" s="25">
        <f ca="1">IF(PaymentSchedule3[[#This Row],[Payment Number]]&lt;&gt;"",PaymentSchedule3[[#This Row],[Beginning
Balance]]*(InterestRate/PaymentsPerYear),"")</f>
        <v>370.29922484595016</v>
      </c>
      <c r="J103" s="25">
        <f ca="1">IF(PaymentSchedule3[[#This Row],[Payment Number]]&lt;&gt;"",IF(PaymentSchedule3[[#This Row],[Scheduled Payment]]+PaymentSchedule3[[#This Row],[Extra
Payment]]&lt;=PaymentSchedule3[[#This Row],[Beginning
Balance]],PaymentSchedule3[[#This Row],[Beginning
Balance]]-PaymentSchedule3[[#This Row],[Principal]],0),"")</f>
        <v>88698.581294574193</v>
      </c>
      <c r="K103" s="25">
        <f ca="1">IF(PaymentSchedule3[[#This Row],[Payment Number]]&lt;&gt;"",SUM(INDEX(PaymentSchedule3[Interest],1,1):PaymentSchedule3[[#This Row],[Interest]]),"")</f>
        <v>34192.32411835622</v>
      </c>
      <c r="L103" s="49">
        <f ca="1">LoanAmount-PaymentSchedule3[[#This Row],[Ending
Balance]]</f>
        <v>12551.418705425807</v>
      </c>
      <c r="M103" s="49">
        <f t="shared" ca="1" si="1"/>
        <v>908.5318932997908</v>
      </c>
      <c r="N103" s="25">
        <f ca="1">PaymentSchedule3[[#This Row],[Payment Number]]*$M$19</f>
        <v>78133.742823782013</v>
      </c>
    </row>
    <row r="104" spans="2:14" ht="15.75" x14ac:dyDescent="0.25">
      <c r="B104" s="23">
        <f ca="1">IF(LoanIsGood,IF(ROW()-ROW(PaymentSchedule3[[#Headers],[Payment Number]])&gt;ScheduledNumberOfPayments,"",ROW()-ROW(PaymentSchedule3[[#Headers],[Payment Number]])),"")</f>
        <v>87</v>
      </c>
      <c r="C104" s="24">
        <f ca="1">IF(PaymentSchedule3[[#This Row],[Payment Number]]&lt;&gt;"",EOMONTH(LoanStartDate,ROW(PaymentSchedule3[[#This Row],[Payment Number]])-ROW(PaymentSchedule3[[#Headers],[Payment Number]])-2)+DAY(LoanStartDate),"")</f>
        <v>47251</v>
      </c>
      <c r="D104" s="25">
        <f ca="1">IF(PaymentSchedule3[[#This Row],[Payment Number]]&lt;&gt;"",IF(ROW()-ROW(PaymentSchedule3[[#Headers],[Beginning
Balance]])=1,LoanAmount,INDEX(PaymentSchedule3[Ending
Balance],ROW()-ROW(PaymentSchedule3[[#Headers],[Beginning
Balance]])-1)),"")</f>
        <v>88698.581294574193</v>
      </c>
      <c r="E104" s="25">
        <f ca="1">IF(PaymentSchedule3[[#This Row],[Payment Number]]&lt;&gt;"",ScheduledPayment,"")</f>
        <v>543.5318932997908</v>
      </c>
      <c r="F1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4" s="25">
        <f ca="1">IF(PaymentSchedule3[[#This Row],[Payment Number]]&lt;&gt;"",PaymentSchedule3[[#This Row],[Total
Payment]]-PaymentSchedule3[[#This Row],[Interest]],"")</f>
        <v>173.95447123906501</v>
      </c>
      <c r="I104" s="25">
        <f ca="1">IF(PaymentSchedule3[[#This Row],[Payment Number]]&lt;&gt;"",PaymentSchedule3[[#This Row],[Beginning
Balance]]*(InterestRate/PaymentsPerYear),"")</f>
        <v>369.57742206072578</v>
      </c>
      <c r="J104" s="25">
        <f ca="1">IF(PaymentSchedule3[[#This Row],[Payment Number]]&lt;&gt;"",IF(PaymentSchedule3[[#This Row],[Scheduled Payment]]+PaymentSchedule3[[#This Row],[Extra
Payment]]&lt;=PaymentSchedule3[[#This Row],[Beginning
Balance]],PaymentSchedule3[[#This Row],[Beginning
Balance]]-PaymentSchedule3[[#This Row],[Principal]],0),"")</f>
        <v>88524.626823335129</v>
      </c>
      <c r="K104" s="25">
        <f ca="1">IF(PaymentSchedule3[[#This Row],[Payment Number]]&lt;&gt;"",SUM(INDEX(PaymentSchedule3[Interest],1,1):PaymentSchedule3[[#This Row],[Interest]]),"")</f>
        <v>34561.901540416948</v>
      </c>
      <c r="L104" s="49">
        <f ca="1">LoanAmount-PaymentSchedule3[[#This Row],[Ending
Balance]]</f>
        <v>12725.373176664871</v>
      </c>
      <c r="M104" s="49">
        <f t="shared" ca="1" si="1"/>
        <v>908.5318932997908</v>
      </c>
      <c r="N104" s="25">
        <f ca="1">PaymentSchedule3[[#This Row],[Payment Number]]*$M$19</f>
        <v>79042.274717081804</v>
      </c>
    </row>
    <row r="105" spans="2:14" ht="15.75" x14ac:dyDescent="0.25">
      <c r="B105" s="23">
        <f ca="1">IF(LoanIsGood,IF(ROW()-ROW(PaymentSchedule3[[#Headers],[Payment Number]])&gt;ScheduledNumberOfPayments,"",ROW()-ROW(PaymentSchedule3[[#Headers],[Payment Number]])),"")</f>
        <v>88</v>
      </c>
      <c r="C105" s="24">
        <f ca="1">IF(PaymentSchedule3[[#This Row],[Payment Number]]&lt;&gt;"",EOMONTH(LoanStartDate,ROW(PaymentSchedule3[[#This Row],[Payment Number]])-ROW(PaymentSchedule3[[#Headers],[Payment Number]])-2)+DAY(LoanStartDate),"")</f>
        <v>47282</v>
      </c>
      <c r="D105" s="25">
        <f ca="1">IF(PaymentSchedule3[[#This Row],[Payment Number]]&lt;&gt;"",IF(ROW()-ROW(PaymentSchedule3[[#Headers],[Beginning
Balance]])=1,LoanAmount,INDEX(PaymentSchedule3[Ending
Balance],ROW()-ROW(PaymentSchedule3[[#Headers],[Beginning
Balance]])-1)),"")</f>
        <v>88524.626823335129</v>
      </c>
      <c r="E105" s="25">
        <f ca="1">IF(PaymentSchedule3[[#This Row],[Payment Number]]&lt;&gt;"",ScheduledPayment,"")</f>
        <v>543.5318932997908</v>
      </c>
      <c r="F1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5" s="25">
        <f ca="1">IF(PaymentSchedule3[[#This Row],[Payment Number]]&lt;&gt;"",PaymentSchedule3[[#This Row],[Total
Payment]]-PaymentSchedule3[[#This Row],[Interest]],"")</f>
        <v>174.6792815358944</v>
      </c>
      <c r="I105" s="25">
        <f ca="1">IF(PaymentSchedule3[[#This Row],[Payment Number]]&lt;&gt;"",PaymentSchedule3[[#This Row],[Beginning
Balance]]*(InterestRate/PaymentsPerYear),"")</f>
        <v>368.85261176389639</v>
      </c>
      <c r="J105" s="25">
        <f ca="1">IF(PaymentSchedule3[[#This Row],[Payment Number]]&lt;&gt;"",IF(PaymentSchedule3[[#This Row],[Scheduled Payment]]+PaymentSchedule3[[#This Row],[Extra
Payment]]&lt;=PaymentSchedule3[[#This Row],[Beginning
Balance]],PaymentSchedule3[[#This Row],[Beginning
Balance]]-PaymentSchedule3[[#This Row],[Principal]],0),"")</f>
        <v>88349.947541799236</v>
      </c>
      <c r="K105" s="25">
        <f ca="1">IF(PaymentSchedule3[[#This Row],[Payment Number]]&lt;&gt;"",SUM(INDEX(PaymentSchedule3[Interest],1,1):PaymentSchedule3[[#This Row],[Interest]]),"")</f>
        <v>34930.754152180845</v>
      </c>
      <c r="L105" s="49">
        <f ca="1">LoanAmount-PaymentSchedule3[[#This Row],[Ending
Balance]]</f>
        <v>12900.052458200764</v>
      </c>
      <c r="M105" s="49">
        <f t="shared" ca="1" si="1"/>
        <v>908.5318932997908</v>
      </c>
      <c r="N105" s="25">
        <f ca="1">PaymentSchedule3[[#This Row],[Payment Number]]*$M$19</f>
        <v>79950.806610381595</v>
      </c>
    </row>
    <row r="106" spans="2:14" ht="15.75" x14ac:dyDescent="0.25">
      <c r="B106" s="23">
        <f ca="1">IF(LoanIsGood,IF(ROW()-ROW(PaymentSchedule3[[#Headers],[Payment Number]])&gt;ScheduledNumberOfPayments,"",ROW()-ROW(PaymentSchedule3[[#Headers],[Payment Number]])),"")</f>
        <v>89</v>
      </c>
      <c r="C106" s="24">
        <f ca="1">IF(PaymentSchedule3[[#This Row],[Payment Number]]&lt;&gt;"",EOMONTH(LoanStartDate,ROW(PaymentSchedule3[[#This Row],[Payment Number]])-ROW(PaymentSchedule3[[#Headers],[Payment Number]])-2)+DAY(LoanStartDate),"")</f>
        <v>47312</v>
      </c>
      <c r="D106" s="25">
        <f ca="1">IF(PaymentSchedule3[[#This Row],[Payment Number]]&lt;&gt;"",IF(ROW()-ROW(PaymentSchedule3[[#Headers],[Beginning
Balance]])=1,LoanAmount,INDEX(PaymentSchedule3[Ending
Balance],ROW()-ROW(PaymentSchedule3[[#Headers],[Beginning
Balance]])-1)),"")</f>
        <v>88349.947541799236</v>
      </c>
      <c r="E106" s="25">
        <f ca="1">IF(PaymentSchedule3[[#This Row],[Payment Number]]&lt;&gt;"",ScheduledPayment,"")</f>
        <v>543.5318932997908</v>
      </c>
      <c r="F1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6" s="25">
        <f ca="1">IF(PaymentSchedule3[[#This Row],[Payment Number]]&lt;&gt;"",PaymentSchedule3[[#This Row],[Total
Payment]]-PaymentSchedule3[[#This Row],[Interest]],"")</f>
        <v>175.40711187562732</v>
      </c>
      <c r="I106" s="25">
        <f ca="1">IF(PaymentSchedule3[[#This Row],[Payment Number]]&lt;&gt;"",PaymentSchedule3[[#This Row],[Beginning
Balance]]*(InterestRate/PaymentsPerYear),"")</f>
        <v>368.12478142416347</v>
      </c>
      <c r="J106" s="25">
        <f ca="1">IF(PaymentSchedule3[[#This Row],[Payment Number]]&lt;&gt;"",IF(PaymentSchedule3[[#This Row],[Scheduled Payment]]+PaymentSchedule3[[#This Row],[Extra
Payment]]&lt;=PaymentSchedule3[[#This Row],[Beginning
Balance]],PaymentSchedule3[[#This Row],[Beginning
Balance]]-PaymentSchedule3[[#This Row],[Principal]],0),"")</f>
        <v>88174.540429923611</v>
      </c>
      <c r="K106" s="25">
        <f ca="1">IF(PaymentSchedule3[[#This Row],[Payment Number]]&lt;&gt;"",SUM(INDEX(PaymentSchedule3[Interest],1,1):PaymentSchedule3[[#This Row],[Interest]]),"")</f>
        <v>35298.87893360501</v>
      </c>
      <c r="L106" s="49">
        <f ca="1">LoanAmount-PaymentSchedule3[[#This Row],[Ending
Balance]]</f>
        <v>13075.459570076389</v>
      </c>
      <c r="M106" s="49">
        <f t="shared" ca="1" si="1"/>
        <v>908.5318932997908</v>
      </c>
      <c r="N106" s="25">
        <f ca="1">PaymentSchedule3[[#This Row],[Payment Number]]*$M$19</f>
        <v>80859.338503681385</v>
      </c>
    </row>
    <row r="107" spans="2:14" ht="15.75" x14ac:dyDescent="0.25">
      <c r="B107" s="23">
        <f ca="1">IF(LoanIsGood,IF(ROW()-ROW(PaymentSchedule3[[#Headers],[Payment Number]])&gt;ScheduledNumberOfPayments,"",ROW()-ROW(PaymentSchedule3[[#Headers],[Payment Number]])),"")</f>
        <v>90</v>
      </c>
      <c r="C107" s="24">
        <f ca="1">IF(PaymentSchedule3[[#This Row],[Payment Number]]&lt;&gt;"",EOMONTH(LoanStartDate,ROW(PaymentSchedule3[[#This Row],[Payment Number]])-ROW(PaymentSchedule3[[#Headers],[Payment Number]])-2)+DAY(LoanStartDate),"")</f>
        <v>47343</v>
      </c>
      <c r="D107" s="25">
        <f ca="1">IF(PaymentSchedule3[[#This Row],[Payment Number]]&lt;&gt;"",IF(ROW()-ROW(PaymentSchedule3[[#Headers],[Beginning
Balance]])=1,LoanAmount,INDEX(PaymentSchedule3[Ending
Balance],ROW()-ROW(PaymentSchedule3[[#Headers],[Beginning
Balance]])-1)),"")</f>
        <v>88174.540429923611</v>
      </c>
      <c r="E107" s="25">
        <f ca="1">IF(PaymentSchedule3[[#This Row],[Payment Number]]&lt;&gt;"",ScheduledPayment,"")</f>
        <v>543.5318932997908</v>
      </c>
      <c r="F1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7" s="25">
        <f ca="1">IF(PaymentSchedule3[[#This Row],[Payment Number]]&lt;&gt;"",PaymentSchedule3[[#This Row],[Total
Payment]]-PaymentSchedule3[[#This Row],[Interest]],"")</f>
        <v>176.13797484177576</v>
      </c>
      <c r="I107" s="25">
        <f ca="1">IF(PaymentSchedule3[[#This Row],[Payment Number]]&lt;&gt;"",PaymentSchedule3[[#This Row],[Beginning
Balance]]*(InterestRate/PaymentsPerYear),"")</f>
        <v>367.39391845801504</v>
      </c>
      <c r="J107" s="25">
        <f ca="1">IF(PaymentSchedule3[[#This Row],[Payment Number]]&lt;&gt;"",IF(PaymentSchedule3[[#This Row],[Scheduled Payment]]+PaymentSchedule3[[#This Row],[Extra
Payment]]&lt;=PaymentSchedule3[[#This Row],[Beginning
Balance]],PaymentSchedule3[[#This Row],[Beginning
Balance]]-PaymentSchedule3[[#This Row],[Principal]],0),"")</f>
        <v>87998.402455081829</v>
      </c>
      <c r="K107" s="25">
        <f ca="1">IF(PaymentSchedule3[[#This Row],[Payment Number]]&lt;&gt;"",SUM(INDEX(PaymentSchedule3[Interest],1,1):PaymentSchedule3[[#This Row],[Interest]]),"")</f>
        <v>35666.272852063026</v>
      </c>
      <c r="L107" s="49">
        <f ca="1">LoanAmount-PaymentSchedule3[[#This Row],[Ending
Balance]]</f>
        <v>13251.597544918171</v>
      </c>
      <c r="M107" s="49">
        <f t="shared" ca="1" si="1"/>
        <v>908.5318932997908</v>
      </c>
      <c r="N107" s="25">
        <f ca="1">PaymentSchedule3[[#This Row],[Payment Number]]*$M$19</f>
        <v>81767.870396981176</v>
      </c>
    </row>
    <row r="108" spans="2:14" ht="15.75" x14ac:dyDescent="0.25">
      <c r="B108" s="23">
        <f ca="1">IF(LoanIsGood,IF(ROW()-ROW(PaymentSchedule3[[#Headers],[Payment Number]])&gt;ScheduledNumberOfPayments,"",ROW()-ROW(PaymentSchedule3[[#Headers],[Payment Number]])),"")</f>
        <v>91</v>
      </c>
      <c r="C108" s="24">
        <f ca="1">IF(PaymentSchedule3[[#This Row],[Payment Number]]&lt;&gt;"",EOMONTH(LoanStartDate,ROW(PaymentSchedule3[[#This Row],[Payment Number]])-ROW(PaymentSchedule3[[#Headers],[Payment Number]])-2)+DAY(LoanStartDate),"")</f>
        <v>47374</v>
      </c>
      <c r="D108" s="25">
        <f ca="1">IF(PaymentSchedule3[[#This Row],[Payment Number]]&lt;&gt;"",IF(ROW()-ROW(PaymentSchedule3[[#Headers],[Beginning
Balance]])=1,LoanAmount,INDEX(PaymentSchedule3[Ending
Balance],ROW()-ROW(PaymentSchedule3[[#Headers],[Beginning
Balance]])-1)),"")</f>
        <v>87998.402455081829</v>
      </c>
      <c r="E108" s="25">
        <f ca="1">IF(PaymentSchedule3[[#This Row],[Payment Number]]&lt;&gt;"",ScheduledPayment,"")</f>
        <v>543.5318932997908</v>
      </c>
      <c r="F1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8" s="25">
        <f ca="1">IF(PaymentSchedule3[[#This Row],[Payment Number]]&lt;&gt;"",PaymentSchedule3[[#This Row],[Total
Payment]]-PaymentSchedule3[[#This Row],[Interest]],"")</f>
        <v>176.87188307028316</v>
      </c>
      <c r="I108" s="25">
        <f ca="1">IF(PaymentSchedule3[[#This Row],[Payment Number]]&lt;&gt;"",PaymentSchedule3[[#This Row],[Beginning
Balance]]*(InterestRate/PaymentsPerYear),"")</f>
        <v>366.66001022950763</v>
      </c>
      <c r="J108" s="25">
        <f ca="1">IF(PaymentSchedule3[[#This Row],[Payment Number]]&lt;&gt;"",IF(PaymentSchedule3[[#This Row],[Scheduled Payment]]+PaymentSchedule3[[#This Row],[Extra
Payment]]&lt;=PaymentSchedule3[[#This Row],[Beginning
Balance]],PaymentSchedule3[[#This Row],[Beginning
Balance]]-PaymentSchedule3[[#This Row],[Principal]],0),"")</f>
        <v>87821.530572011543</v>
      </c>
      <c r="K108" s="25">
        <f ca="1">IF(PaymentSchedule3[[#This Row],[Payment Number]]&lt;&gt;"",SUM(INDEX(PaymentSchedule3[Interest],1,1):PaymentSchedule3[[#This Row],[Interest]]),"")</f>
        <v>36032.932862292531</v>
      </c>
      <c r="L108" s="49">
        <f ca="1">LoanAmount-PaymentSchedule3[[#This Row],[Ending
Balance]]</f>
        <v>13428.469427988457</v>
      </c>
      <c r="M108" s="49">
        <f t="shared" ca="1" si="1"/>
        <v>908.5318932997908</v>
      </c>
      <c r="N108" s="25">
        <f ca="1">PaymentSchedule3[[#This Row],[Payment Number]]*$M$19</f>
        <v>82676.402290280967</v>
      </c>
    </row>
    <row r="109" spans="2:14" ht="15.75" x14ac:dyDescent="0.25">
      <c r="B109" s="23">
        <f ca="1">IF(LoanIsGood,IF(ROW()-ROW(PaymentSchedule3[[#Headers],[Payment Number]])&gt;ScheduledNumberOfPayments,"",ROW()-ROW(PaymentSchedule3[[#Headers],[Payment Number]])),"")</f>
        <v>92</v>
      </c>
      <c r="C109" s="24">
        <f ca="1">IF(PaymentSchedule3[[#This Row],[Payment Number]]&lt;&gt;"",EOMONTH(LoanStartDate,ROW(PaymentSchedule3[[#This Row],[Payment Number]])-ROW(PaymentSchedule3[[#Headers],[Payment Number]])-2)+DAY(LoanStartDate),"")</f>
        <v>47404</v>
      </c>
      <c r="D109" s="25">
        <f ca="1">IF(PaymentSchedule3[[#This Row],[Payment Number]]&lt;&gt;"",IF(ROW()-ROW(PaymentSchedule3[[#Headers],[Beginning
Balance]])=1,LoanAmount,INDEX(PaymentSchedule3[Ending
Balance],ROW()-ROW(PaymentSchedule3[[#Headers],[Beginning
Balance]])-1)),"")</f>
        <v>87821.530572011543</v>
      </c>
      <c r="E109" s="25">
        <f ca="1">IF(PaymentSchedule3[[#This Row],[Payment Number]]&lt;&gt;"",ScheduledPayment,"")</f>
        <v>543.5318932997908</v>
      </c>
      <c r="F1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09" s="25">
        <f ca="1">IF(PaymentSchedule3[[#This Row],[Payment Number]]&lt;&gt;"",PaymentSchedule3[[#This Row],[Total
Payment]]-PaymentSchedule3[[#This Row],[Interest]],"")</f>
        <v>177.60884924974272</v>
      </c>
      <c r="I109" s="25">
        <f ca="1">IF(PaymentSchedule3[[#This Row],[Payment Number]]&lt;&gt;"",PaymentSchedule3[[#This Row],[Beginning
Balance]]*(InterestRate/PaymentsPerYear),"")</f>
        <v>365.92304405004808</v>
      </c>
      <c r="J109" s="25">
        <f ca="1">IF(PaymentSchedule3[[#This Row],[Payment Number]]&lt;&gt;"",IF(PaymentSchedule3[[#This Row],[Scheduled Payment]]+PaymentSchedule3[[#This Row],[Extra
Payment]]&lt;=PaymentSchedule3[[#This Row],[Beginning
Balance]],PaymentSchedule3[[#This Row],[Beginning
Balance]]-PaymentSchedule3[[#This Row],[Principal]],0),"")</f>
        <v>87643.921722761806</v>
      </c>
      <c r="K109" s="25">
        <f ca="1">IF(PaymentSchedule3[[#This Row],[Payment Number]]&lt;&gt;"",SUM(INDEX(PaymentSchedule3[Interest],1,1):PaymentSchedule3[[#This Row],[Interest]]),"")</f>
        <v>36398.855906342578</v>
      </c>
      <c r="L109" s="49">
        <f ca="1">LoanAmount-PaymentSchedule3[[#This Row],[Ending
Balance]]</f>
        <v>13606.078277238194</v>
      </c>
      <c r="M109" s="49">
        <f t="shared" ca="1" si="1"/>
        <v>908.5318932997908</v>
      </c>
      <c r="N109" s="25">
        <f ca="1">PaymentSchedule3[[#This Row],[Payment Number]]*$M$19</f>
        <v>83584.934183580757</v>
      </c>
    </row>
    <row r="110" spans="2:14" ht="15.75" x14ac:dyDescent="0.25">
      <c r="B110" s="23">
        <f ca="1">IF(LoanIsGood,IF(ROW()-ROW(PaymentSchedule3[[#Headers],[Payment Number]])&gt;ScheduledNumberOfPayments,"",ROW()-ROW(PaymentSchedule3[[#Headers],[Payment Number]])),"")</f>
        <v>93</v>
      </c>
      <c r="C110" s="24">
        <f ca="1">IF(PaymentSchedule3[[#This Row],[Payment Number]]&lt;&gt;"",EOMONTH(LoanStartDate,ROW(PaymentSchedule3[[#This Row],[Payment Number]])-ROW(PaymentSchedule3[[#Headers],[Payment Number]])-2)+DAY(LoanStartDate),"")</f>
        <v>47435</v>
      </c>
      <c r="D110" s="25">
        <f ca="1">IF(PaymentSchedule3[[#This Row],[Payment Number]]&lt;&gt;"",IF(ROW()-ROW(PaymentSchedule3[[#Headers],[Beginning
Balance]])=1,LoanAmount,INDEX(PaymentSchedule3[Ending
Balance],ROW()-ROW(PaymentSchedule3[[#Headers],[Beginning
Balance]])-1)),"")</f>
        <v>87643.921722761806</v>
      </c>
      <c r="E110" s="25">
        <f ca="1">IF(PaymentSchedule3[[#This Row],[Payment Number]]&lt;&gt;"",ScheduledPayment,"")</f>
        <v>543.5318932997908</v>
      </c>
      <c r="F1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0" s="25">
        <f ca="1">IF(PaymentSchedule3[[#This Row],[Payment Number]]&lt;&gt;"",PaymentSchedule3[[#This Row],[Total
Payment]]-PaymentSchedule3[[#This Row],[Interest]],"")</f>
        <v>178.3488861216166</v>
      </c>
      <c r="I110" s="25">
        <f ca="1">IF(PaymentSchedule3[[#This Row],[Payment Number]]&lt;&gt;"",PaymentSchedule3[[#This Row],[Beginning
Balance]]*(InterestRate/PaymentsPerYear),"")</f>
        <v>365.18300717817419</v>
      </c>
      <c r="J110" s="25">
        <f ca="1">IF(PaymentSchedule3[[#This Row],[Payment Number]]&lt;&gt;"",IF(PaymentSchedule3[[#This Row],[Scheduled Payment]]+PaymentSchedule3[[#This Row],[Extra
Payment]]&lt;=PaymentSchedule3[[#This Row],[Beginning
Balance]],PaymentSchedule3[[#This Row],[Beginning
Balance]]-PaymentSchedule3[[#This Row],[Principal]],0),"")</f>
        <v>87465.572836640189</v>
      </c>
      <c r="K110" s="25">
        <f ca="1">IF(PaymentSchedule3[[#This Row],[Payment Number]]&lt;&gt;"",SUM(INDEX(PaymentSchedule3[Interest],1,1):PaymentSchedule3[[#This Row],[Interest]]),"")</f>
        <v>36764.038913520752</v>
      </c>
      <c r="L110" s="49">
        <f ca="1">LoanAmount-PaymentSchedule3[[#This Row],[Ending
Balance]]</f>
        <v>13784.427163359811</v>
      </c>
      <c r="M110" s="49">
        <f t="shared" ca="1" si="1"/>
        <v>908.5318932997908</v>
      </c>
      <c r="N110" s="25">
        <f ca="1">PaymentSchedule3[[#This Row],[Payment Number]]*$M$19</f>
        <v>84493.466076880548</v>
      </c>
    </row>
    <row r="111" spans="2:14" ht="15.75" x14ac:dyDescent="0.25">
      <c r="B111" s="23">
        <f ca="1">IF(LoanIsGood,IF(ROW()-ROW(PaymentSchedule3[[#Headers],[Payment Number]])&gt;ScheduledNumberOfPayments,"",ROW()-ROW(PaymentSchedule3[[#Headers],[Payment Number]])),"")</f>
        <v>94</v>
      </c>
      <c r="C111" s="24">
        <f ca="1">IF(PaymentSchedule3[[#This Row],[Payment Number]]&lt;&gt;"",EOMONTH(LoanStartDate,ROW(PaymentSchedule3[[#This Row],[Payment Number]])-ROW(PaymentSchedule3[[#Headers],[Payment Number]])-2)+DAY(LoanStartDate),"")</f>
        <v>47465</v>
      </c>
      <c r="D111" s="25">
        <f ca="1">IF(PaymentSchedule3[[#This Row],[Payment Number]]&lt;&gt;"",IF(ROW()-ROW(PaymentSchedule3[[#Headers],[Beginning
Balance]])=1,LoanAmount,INDEX(PaymentSchedule3[Ending
Balance],ROW()-ROW(PaymentSchedule3[[#Headers],[Beginning
Balance]])-1)),"")</f>
        <v>87465.572836640189</v>
      </c>
      <c r="E111" s="25">
        <f ca="1">IF(PaymentSchedule3[[#This Row],[Payment Number]]&lt;&gt;"",ScheduledPayment,"")</f>
        <v>543.5318932997908</v>
      </c>
      <c r="F1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1" s="25">
        <f ca="1">IF(PaymentSchedule3[[#This Row],[Payment Number]]&lt;&gt;"",PaymentSchedule3[[#This Row],[Total
Payment]]-PaymentSchedule3[[#This Row],[Interest]],"")</f>
        <v>179.09200648045669</v>
      </c>
      <c r="I111" s="25">
        <f ca="1">IF(PaymentSchedule3[[#This Row],[Payment Number]]&lt;&gt;"",PaymentSchedule3[[#This Row],[Beginning
Balance]]*(InterestRate/PaymentsPerYear),"")</f>
        <v>364.43988681933411</v>
      </c>
      <c r="J111" s="25">
        <f ca="1">IF(PaymentSchedule3[[#This Row],[Payment Number]]&lt;&gt;"",IF(PaymentSchedule3[[#This Row],[Scheduled Payment]]+PaymentSchedule3[[#This Row],[Extra
Payment]]&lt;=PaymentSchedule3[[#This Row],[Beginning
Balance]],PaymentSchedule3[[#This Row],[Beginning
Balance]]-PaymentSchedule3[[#This Row],[Principal]],0),"")</f>
        <v>87286.480830159737</v>
      </c>
      <c r="K111" s="25">
        <f ca="1">IF(PaymentSchedule3[[#This Row],[Payment Number]]&lt;&gt;"",SUM(INDEX(PaymentSchedule3[Interest],1,1):PaymentSchedule3[[#This Row],[Interest]]),"")</f>
        <v>37128.478800340083</v>
      </c>
      <c r="L111" s="49">
        <f ca="1">LoanAmount-PaymentSchedule3[[#This Row],[Ending
Balance]]</f>
        <v>13963.519169840263</v>
      </c>
      <c r="M111" s="49">
        <f t="shared" ca="1" si="1"/>
        <v>908.5318932997908</v>
      </c>
      <c r="N111" s="25">
        <f ca="1">PaymentSchedule3[[#This Row],[Payment Number]]*$M$19</f>
        <v>85401.997970180339</v>
      </c>
    </row>
    <row r="112" spans="2:14" ht="15.75" x14ac:dyDescent="0.25">
      <c r="B112" s="23">
        <f ca="1">IF(LoanIsGood,IF(ROW()-ROW(PaymentSchedule3[[#Headers],[Payment Number]])&gt;ScheduledNumberOfPayments,"",ROW()-ROW(PaymentSchedule3[[#Headers],[Payment Number]])),"")</f>
        <v>95</v>
      </c>
      <c r="C112" s="24">
        <f ca="1">IF(PaymentSchedule3[[#This Row],[Payment Number]]&lt;&gt;"",EOMONTH(LoanStartDate,ROW(PaymentSchedule3[[#This Row],[Payment Number]])-ROW(PaymentSchedule3[[#Headers],[Payment Number]])-2)+DAY(LoanStartDate),"")</f>
        <v>47496</v>
      </c>
      <c r="D112" s="25">
        <f ca="1">IF(PaymentSchedule3[[#This Row],[Payment Number]]&lt;&gt;"",IF(ROW()-ROW(PaymentSchedule3[[#Headers],[Beginning
Balance]])=1,LoanAmount,INDEX(PaymentSchedule3[Ending
Balance],ROW()-ROW(PaymentSchedule3[[#Headers],[Beginning
Balance]])-1)),"")</f>
        <v>87286.480830159737</v>
      </c>
      <c r="E112" s="25">
        <f ca="1">IF(PaymentSchedule3[[#This Row],[Payment Number]]&lt;&gt;"",ScheduledPayment,"")</f>
        <v>543.5318932997908</v>
      </c>
      <c r="F1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2" s="25">
        <f ca="1">IF(PaymentSchedule3[[#This Row],[Payment Number]]&lt;&gt;"",PaymentSchedule3[[#This Row],[Total
Payment]]-PaymentSchedule3[[#This Row],[Interest]],"")</f>
        <v>179.83822317412523</v>
      </c>
      <c r="I112" s="25">
        <f ca="1">IF(PaymentSchedule3[[#This Row],[Payment Number]]&lt;&gt;"",PaymentSchedule3[[#This Row],[Beginning
Balance]]*(InterestRate/PaymentsPerYear),"")</f>
        <v>363.69367012566556</v>
      </c>
      <c r="J112" s="25">
        <f ca="1">IF(PaymentSchedule3[[#This Row],[Payment Number]]&lt;&gt;"",IF(PaymentSchedule3[[#This Row],[Scheduled Payment]]+PaymentSchedule3[[#This Row],[Extra
Payment]]&lt;=PaymentSchedule3[[#This Row],[Beginning
Balance]],PaymentSchedule3[[#This Row],[Beginning
Balance]]-PaymentSchedule3[[#This Row],[Principal]],0),"")</f>
        <v>87106.64260698561</v>
      </c>
      <c r="K112" s="25">
        <f ca="1">IF(PaymentSchedule3[[#This Row],[Payment Number]]&lt;&gt;"",SUM(INDEX(PaymentSchedule3[Interest],1,1):PaymentSchedule3[[#This Row],[Interest]]),"")</f>
        <v>37492.172470465746</v>
      </c>
      <c r="L112" s="49">
        <f ca="1">LoanAmount-PaymentSchedule3[[#This Row],[Ending
Balance]]</f>
        <v>14143.35739301439</v>
      </c>
      <c r="M112" s="49">
        <f t="shared" ca="1" si="1"/>
        <v>908.5318932997908</v>
      </c>
      <c r="N112" s="25">
        <f ca="1">PaymentSchedule3[[#This Row],[Payment Number]]*$M$19</f>
        <v>86310.529863480129</v>
      </c>
    </row>
    <row r="113" spans="2:14" ht="15.75" x14ac:dyDescent="0.25">
      <c r="B113" s="23">
        <f ca="1">IF(LoanIsGood,IF(ROW()-ROW(PaymentSchedule3[[#Headers],[Payment Number]])&gt;ScheduledNumberOfPayments,"",ROW()-ROW(PaymentSchedule3[[#Headers],[Payment Number]])),"")</f>
        <v>96</v>
      </c>
      <c r="C113" s="24">
        <f ca="1">IF(PaymentSchedule3[[#This Row],[Payment Number]]&lt;&gt;"",EOMONTH(LoanStartDate,ROW(PaymentSchedule3[[#This Row],[Payment Number]])-ROW(PaymentSchedule3[[#Headers],[Payment Number]])-2)+DAY(LoanStartDate),"")</f>
        <v>47527</v>
      </c>
      <c r="D113" s="25">
        <f ca="1">IF(PaymentSchedule3[[#This Row],[Payment Number]]&lt;&gt;"",IF(ROW()-ROW(PaymentSchedule3[[#Headers],[Beginning
Balance]])=1,LoanAmount,INDEX(PaymentSchedule3[Ending
Balance],ROW()-ROW(PaymentSchedule3[[#Headers],[Beginning
Balance]])-1)),"")</f>
        <v>87106.64260698561</v>
      </c>
      <c r="E113" s="25">
        <f ca="1">IF(PaymentSchedule3[[#This Row],[Payment Number]]&lt;&gt;"",ScheduledPayment,"")</f>
        <v>543.5318932997908</v>
      </c>
      <c r="F1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3" s="25">
        <f ca="1">IF(PaymentSchedule3[[#This Row],[Payment Number]]&lt;&gt;"",PaymentSchedule3[[#This Row],[Total
Payment]]-PaymentSchedule3[[#This Row],[Interest]],"")</f>
        <v>180.5875491040174</v>
      </c>
      <c r="I113" s="25">
        <f ca="1">IF(PaymentSchedule3[[#This Row],[Payment Number]]&lt;&gt;"",PaymentSchedule3[[#This Row],[Beginning
Balance]]*(InterestRate/PaymentsPerYear),"")</f>
        <v>362.9443441957734</v>
      </c>
      <c r="J113" s="25">
        <f ca="1">IF(PaymentSchedule3[[#This Row],[Payment Number]]&lt;&gt;"",IF(PaymentSchedule3[[#This Row],[Scheduled Payment]]+PaymentSchedule3[[#This Row],[Extra
Payment]]&lt;=PaymentSchedule3[[#This Row],[Beginning
Balance]],PaymentSchedule3[[#This Row],[Beginning
Balance]]-PaymentSchedule3[[#This Row],[Principal]],0),"")</f>
        <v>86926.055057881589</v>
      </c>
      <c r="K113" s="25">
        <f ca="1">IF(PaymentSchedule3[[#This Row],[Payment Number]]&lt;&gt;"",SUM(INDEX(PaymentSchedule3[Interest],1,1):PaymentSchedule3[[#This Row],[Interest]]),"")</f>
        <v>37855.116814661516</v>
      </c>
      <c r="L113" s="49">
        <f ca="1">LoanAmount-PaymentSchedule3[[#This Row],[Ending
Balance]]</f>
        <v>14323.944942118411</v>
      </c>
      <c r="M113" s="49">
        <f t="shared" ca="1" si="1"/>
        <v>908.5318932997908</v>
      </c>
      <c r="N113" s="25">
        <f ca="1">PaymentSchedule3[[#This Row],[Payment Number]]*$M$19</f>
        <v>87219.06175677992</v>
      </c>
    </row>
    <row r="114" spans="2:14" ht="15.75" x14ac:dyDescent="0.25">
      <c r="B114" s="23">
        <f ca="1">IF(LoanIsGood,IF(ROW()-ROW(PaymentSchedule3[[#Headers],[Payment Number]])&gt;ScheduledNumberOfPayments,"",ROW()-ROW(PaymentSchedule3[[#Headers],[Payment Number]])),"")</f>
        <v>97</v>
      </c>
      <c r="C114" s="24">
        <f ca="1">IF(PaymentSchedule3[[#This Row],[Payment Number]]&lt;&gt;"",EOMONTH(LoanStartDate,ROW(PaymentSchedule3[[#This Row],[Payment Number]])-ROW(PaymentSchedule3[[#Headers],[Payment Number]])-2)+DAY(LoanStartDate),"")</f>
        <v>47555</v>
      </c>
      <c r="D114" s="25">
        <f ca="1">IF(PaymentSchedule3[[#This Row],[Payment Number]]&lt;&gt;"",IF(ROW()-ROW(PaymentSchedule3[[#Headers],[Beginning
Balance]])=1,LoanAmount,INDEX(PaymentSchedule3[Ending
Balance],ROW()-ROW(PaymentSchedule3[[#Headers],[Beginning
Balance]])-1)),"")</f>
        <v>86926.055057881589</v>
      </c>
      <c r="E114" s="25">
        <f ca="1">IF(PaymentSchedule3[[#This Row],[Payment Number]]&lt;&gt;"",ScheduledPayment,"")</f>
        <v>543.5318932997908</v>
      </c>
      <c r="F1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4" s="25">
        <f ca="1">IF(PaymentSchedule3[[#This Row],[Payment Number]]&lt;&gt;"",PaymentSchedule3[[#This Row],[Total
Payment]]-PaymentSchedule3[[#This Row],[Interest]],"")</f>
        <v>181.33999722528415</v>
      </c>
      <c r="I114" s="25">
        <f ca="1">IF(PaymentSchedule3[[#This Row],[Payment Number]]&lt;&gt;"",PaymentSchedule3[[#This Row],[Beginning
Balance]]*(InterestRate/PaymentsPerYear),"")</f>
        <v>362.19189607450664</v>
      </c>
      <c r="J114" s="25">
        <f ca="1">IF(PaymentSchedule3[[#This Row],[Payment Number]]&lt;&gt;"",IF(PaymentSchedule3[[#This Row],[Scheduled Payment]]+PaymentSchedule3[[#This Row],[Extra
Payment]]&lt;=PaymentSchedule3[[#This Row],[Beginning
Balance]],PaymentSchedule3[[#This Row],[Beginning
Balance]]-PaymentSchedule3[[#This Row],[Principal]],0),"")</f>
        <v>86744.715060656308</v>
      </c>
      <c r="K114" s="25">
        <f ca="1">IF(PaymentSchedule3[[#This Row],[Payment Number]]&lt;&gt;"",SUM(INDEX(PaymentSchedule3[Interest],1,1):PaymentSchedule3[[#This Row],[Interest]]),"")</f>
        <v>38217.308710736026</v>
      </c>
      <c r="L114" s="49">
        <f ca="1">LoanAmount-PaymentSchedule3[[#This Row],[Ending
Balance]]</f>
        <v>14505.284939343692</v>
      </c>
      <c r="M114" s="49">
        <f t="shared" ca="1" si="1"/>
        <v>908.5318932997908</v>
      </c>
      <c r="N114" s="25">
        <f ca="1">PaymentSchedule3[[#This Row],[Payment Number]]*$M$19</f>
        <v>88127.593650079711</v>
      </c>
    </row>
    <row r="115" spans="2:14" ht="15.75" x14ac:dyDescent="0.25">
      <c r="B115" s="23">
        <f ca="1">IF(LoanIsGood,IF(ROW()-ROW(PaymentSchedule3[[#Headers],[Payment Number]])&gt;ScheduledNumberOfPayments,"",ROW()-ROW(PaymentSchedule3[[#Headers],[Payment Number]])),"")</f>
        <v>98</v>
      </c>
      <c r="C115" s="24">
        <f ca="1">IF(PaymentSchedule3[[#This Row],[Payment Number]]&lt;&gt;"",EOMONTH(LoanStartDate,ROW(PaymentSchedule3[[#This Row],[Payment Number]])-ROW(PaymentSchedule3[[#Headers],[Payment Number]])-2)+DAY(LoanStartDate),"")</f>
        <v>47586</v>
      </c>
      <c r="D115" s="25">
        <f ca="1">IF(PaymentSchedule3[[#This Row],[Payment Number]]&lt;&gt;"",IF(ROW()-ROW(PaymentSchedule3[[#Headers],[Beginning
Balance]])=1,LoanAmount,INDEX(PaymentSchedule3[Ending
Balance],ROW()-ROW(PaymentSchedule3[[#Headers],[Beginning
Balance]])-1)),"")</f>
        <v>86744.715060656308</v>
      </c>
      <c r="E115" s="25">
        <f ca="1">IF(PaymentSchedule3[[#This Row],[Payment Number]]&lt;&gt;"",ScheduledPayment,"")</f>
        <v>543.5318932997908</v>
      </c>
      <c r="F1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5" s="25">
        <f ca="1">IF(PaymentSchedule3[[#This Row],[Payment Number]]&lt;&gt;"",PaymentSchedule3[[#This Row],[Total
Payment]]-PaymentSchedule3[[#This Row],[Interest]],"")</f>
        <v>182.09558054705616</v>
      </c>
      <c r="I115" s="25">
        <f ca="1">IF(PaymentSchedule3[[#This Row],[Payment Number]]&lt;&gt;"",PaymentSchedule3[[#This Row],[Beginning
Balance]]*(InterestRate/PaymentsPerYear),"")</f>
        <v>361.43631275273464</v>
      </c>
      <c r="J115" s="25">
        <f ca="1">IF(PaymentSchedule3[[#This Row],[Payment Number]]&lt;&gt;"",IF(PaymentSchedule3[[#This Row],[Scheduled Payment]]+PaymentSchedule3[[#This Row],[Extra
Payment]]&lt;=PaymentSchedule3[[#This Row],[Beginning
Balance]],PaymentSchedule3[[#This Row],[Beginning
Balance]]-PaymentSchedule3[[#This Row],[Principal]],0),"")</f>
        <v>86562.61948010925</v>
      </c>
      <c r="K115" s="25">
        <f ca="1">IF(PaymentSchedule3[[#This Row],[Payment Number]]&lt;&gt;"",SUM(INDEX(PaymentSchedule3[Interest],1,1):PaymentSchedule3[[#This Row],[Interest]]),"")</f>
        <v>38578.745023488758</v>
      </c>
      <c r="L115" s="49">
        <f ca="1">LoanAmount-PaymentSchedule3[[#This Row],[Ending
Balance]]</f>
        <v>14687.38051989075</v>
      </c>
      <c r="M115" s="49">
        <f t="shared" ca="1" si="1"/>
        <v>908.5318932997908</v>
      </c>
      <c r="N115" s="25">
        <f ca="1">PaymentSchedule3[[#This Row],[Payment Number]]*$M$19</f>
        <v>89036.125543379501</v>
      </c>
    </row>
    <row r="116" spans="2:14" ht="15.75" x14ac:dyDescent="0.25">
      <c r="B116" s="23">
        <f ca="1">IF(LoanIsGood,IF(ROW()-ROW(PaymentSchedule3[[#Headers],[Payment Number]])&gt;ScheduledNumberOfPayments,"",ROW()-ROW(PaymentSchedule3[[#Headers],[Payment Number]])),"")</f>
        <v>99</v>
      </c>
      <c r="C116" s="24">
        <f ca="1">IF(PaymentSchedule3[[#This Row],[Payment Number]]&lt;&gt;"",EOMONTH(LoanStartDate,ROW(PaymentSchedule3[[#This Row],[Payment Number]])-ROW(PaymentSchedule3[[#Headers],[Payment Number]])-2)+DAY(LoanStartDate),"")</f>
        <v>47616</v>
      </c>
      <c r="D116" s="25">
        <f ca="1">IF(PaymentSchedule3[[#This Row],[Payment Number]]&lt;&gt;"",IF(ROW()-ROW(PaymentSchedule3[[#Headers],[Beginning
Balance]])=1,LoanAmount,INDEX(PaymentSchedule3[Ending
Balance],ROW()-ROW(PaymentSchedule3[[#Headers],[Beginning
Balance]])-1)),"")</f>
        <v>86562.61948010925</v>
      </c>
      <c r="E116" s="25">
        <f ca="1">IF(PaymentSchedule3[[#This Row],[Payment Number]]&lt;&gt;"",ScheduledPayment,"")</f>
        <v>543.5318932997908</v>
      </c>
      <c r="F1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6" s="25">
        <f ca="1">IF(PaymentSchedule3[[#This Row],[Payment Number]]&lt;&gt;"",PaymentSchedule3[[#This Row],[Total
Payment]]-PaymentSchedule3[[#This Row],[Interest]],"")</f>
        <v>182.85431213266895</v>
      </c>
      <c r="I116" s="25">
        <f ca="1">IF(PaymentSchedule3[[#This Row],[Payment Number]]&lt;&gt;"",PaymentSchedule3[[#This Row],[Beginning
Balance]]*(InterestRate/PaymentsPerYear),"")</f>
        <v>360.67758116712184</v>
      </c>
      <c r="J116" s="25">
        <f ca="1">IF(PaymentSchedule3[[#This Row],[Payment Number]]&lt;&gt;"",IF(PaymentSchedule3[[#This Row],[Scheduled Payment]]+PaymentSchedule3[[#This Row],[Extra
Payment]]&lt;=PaymentSchedule3[[#This Row],[Beginning
Balance]],PaymentSchedule3[[#This Row],[Beginning
Balance]]-PaymentSchedule3[[#This Row],[Principal]],0),"")</f>
        <v>86379.765167976584</v>
      </c>
      <c r="K116" s="25">
        <f ca="1">IF(PaymentSchedule3[[#This Row],[Payment Number]]&lt;&gt;"",SUM(INDEX(PaymentSchedule3[Interest],1,1):PaymentSchedule3[[#This Row],[Interest]]),"")</f>
        <v>38939.422604655883</v>
      </c>
      <c r="L116" s="49">
        <f ca="1">LoanAmount-PaymentSchedule3[[#This Row],[Ending
Balance]]</f>
        <v>14870.234832023416</v>
      </c>
      <c r="M116" s="49">
        <f t="shared" ca="1" si="1"/>
        <v>908.5318932997908</v>
      </c>
      <c r="N116" s="25">
        <f ca="1">PaymentSchedule3[[#This Row],[Payment Number]]*$M$19</f>
        <v>89944.657436679292</v>
      </c>
    </row>
    <row r="117" spans="2:14" ht="15.75" x14ac:dyDescent="0.25">
      <c r="B117" s="23">
        <f ca="1">IF(LoanIsGood,IF(ROW()-ROW(PaymentSchedule3[[#Headers],[Payment Number]])&gt;ScheduledNumberOfPayments,"",ROW()-ROW(PaymentSchedule3[[#Headers],[Payment Number]])),"")</f>
        <v>100</v>
      </c>
      <c r="C117" s="24">
        <f ca="1">IF(PaymentSchedule3[[#This Row],[Payment Number]]&lt;&gt;"",EOMONTH(LoanStartDate,ROW(PaymentSchedule3[[#This Row],[Payment Number]])-ROW(PaymentSchedule3[[#Headers],[Payment Number]])-2)+DAY(LoanStartDate),"")</f>
        <v>47647</v>
      </c>
      <c r="D117" s="25">
        <f ca="1">IF(PaymentSchedule3[[#This Row],[Payment Number]]&lt;&gt;"",IF(ROW()-ROW(PaymentSchedule3[[#Headers],[Beginning
Balance]])=1,LoanAmount,INDEX(PaymentSchedule3[Ending
Balance],ROW()-ROW(PaymentSchedule3[[#Headers],[Beginning
Balance]])-1)),"")</f>
        <v>86379.765167976584</v>
      </c>
      <c r="E117" s="25">
        <f ca="1">IF(PaymentSchedule3[[#This Row],[Payment Number]]&lt;&gt;"",ScheduledPayment,"")</f>
        <v>543.5318932997908</v>
      </c>
      <c r="F1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7" s="25">
        <f ca="1">IF(PaymentSchedule3[[#This Row],[Payment Number]]&lt;&gt;"",PaymentSchedule3[[#This Row],[Total
Payment]]-PaymentSchedule3[[#This Row],[Interest]],"")</f>
        <v>183.61620509988836</v>
      </c>
      <c r="I117" s="25">
        <f ca="1">IF(PaymentSchedule3[[#This Row],[Payment Number]]&lt;&gt;"",PaymentSchedule3[[#This Row],[Beginning
Balance]]*(InterestRate/PaymentsPerYear),"")</f>
        <v>359.91568819990243</v>
      </c>
      <c r="J117" s="25">
        <f ca="1">IF(PaymentSchedule3[[#This Row],[Payment Number]]&lt;&gt;"",IF(PaymentSchedule3[[#This Row],[Scheduled Payment]]+PaymentSchedule3[[#This Row],[Extra
Payment]]&lt;=PaymentSchedule3[[#This Row],[Beginning
Balance]],PaymentSchedule3[[#This Row],[Beginning
Balance]]-PaymentSchedule3[[#This Row],[Principal]],0),"")</f>
        <v>86196.148962876701</v>
      </c>
      <c r="K117" s="25">
        <f ca="1">IF(PaymentSchedule3[[#This Row],[Payment Number]]&lt;&gt;"",SUM(INDEX(PaymentSchedule3[Interest],1,1):PaymentSchedule3[[#This Row],[Interest]]),"")</f>
        <v>39299.338292855784</v>
      </c>
      <c r="L117" s="49">
        <f ca="1">LoanAmount-PaymentSchedule3[[#This Row],[Ending
Balance]]</f>
        <v>15053.851037123299</v>
      </c>
      <c r="M117" s="49">
        <f t="shared" ca="1" si="1"/>
        <v>908.5318932997908</v>
      </c>
      <c r="N117" s="25">
        <f ca="1">PaymentSchedule3[[#This Row],[Payment Number]]*$M$19</f>
        <v>90853.189329979083</v>
      </c>
    </row>
    <row r="118" spans="2:14" ht="15.75" x14ac:dyDescent="0.25">
      <c r="B118" s="23">
        <f ca="1">IF(LoanIsGood,IF(ROW()-ROW(PaymentSchedule3[[#Headers],[Payment Number]])&gt;ScheduledNumberOfPayments,"",ROW()-ROW(PaymentSchedule3[[#Headers],[Payment Number]])),"")</f>
        <v>101</v>
      </c>
      <c r="C118" s="24">
        <f ca="1">IF(PaymentSchedule3[[#This Row],[Payment Number]]&lt;&gt;"",EOMONTH(LoanStartDate,ROW(PaymentSchedule3[[#This Row],[Payment Number]])-ROW(PaymentSchedule3[[#Headers],[Payment Number]])-2)+DAY(LoanStartDate),"")</f>
        <v>47677</v>
      </c>
      <c r="D118" s="25">
        <f ca="1">IF(PaymentSchedule3[[#This Row],[Payment Number]]&lt;&gt;"",IF(ROW()-ROW(PaymentSchedule3[[#Headers],[Beginning
Balance]])=1,LoanAmount,INDEX(PaymentSchedule3[Ending
Balance],ROW()-ROW(PaymentSchedule3[[#Headers],[Beginning
Balance]])-1)),"")</f>
        <v>86196.148962876701</v>
      </c>
      <c r="E118" s="25">
        <f ca="1">IF(PaymentSchedule3[[#This Row],[Payment Number]]&lt;&gt;"",ScheduledPayment,"")</f>
        <v>543.5318932997908</v>
      </c>
      <c r="F1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8" s="25">
        <f ca="1">IF(PaymentSchedule3[[#This Row],[Payment Number]]&lt;&gt;"",PaymentSchedule3[[#This Row],[Total
Payment]]-PaymentSchedule3[[#This Row],[Interest]],"")</f>
        <v>184.3812726211379</v>
      </c>
      <c r="I118" s="25">
        <f ca="1">IF(PaymentSchedule3[[#This Row],[Payment Number]]&lt;&gt;"",PaymentSchedule3[[#This Row],[Beginning
Balance]]*(InterestRate/PaymentsPerYear),"")</f>
        <v>359.1506206786529</v>
      </c>
      <c r="J118" s="25">
        <f ca="1">IF(PaymentSchedule3[[#This Row],[Payment Number]]&lt;&gt;"",IF(PaymentSchedule3[[#This Row],[Scheduled Payment]]+PaymentSchedule3[[#This Row],[Extra
Payment]]&lt;=PaymentSchedule3[[#This Row],[Beginning
Balance]],PaymentSchedule3[[#This Row],[Beginning
Balance]]-PaymentSchedule3[[#This Row],[Principal]],0),"")</f>
        <v>86011.767690255569</v>
      </c>
      <c r="K118" s="25">
        <f ca="1">IF(PaymentSchedule3[[#This Row],[Payment Number]]&lt;&gt;"",SUM(INDEX(PaymentSchedule3[Interest],1,1):PaymentSchedule3[[#This Row],[Interest]]),"")</f>
        <v>39658.488913534435</v>
      </c>
      <c r="L118" s="49">
        <f ca="1">LoanAmount-PaymentSchedule3[[#This Row],[Ending
Balance]]</f>
        <v>15238.232309744431</v>
      </c>
      <c r="M118" s="49">
        <f t="shared" ca="1" si="1"/>
        <v>908.5318932997908</v>
      </c>
      <c r="N118" s="25">
        <f ca="1">PaymentSchedule3[[#This Row],[Payment Number]]*$M$19</f>
        <v>91761.721223278873</v>
      </c>
    </row>
    <row r="119" spans="2:14" ht="15.75" x14ac:dyDescent="0.25">
      <c r="B119" s="23">
        <f ca="1">IF(LoanIsGood,IF(ROW()-ROW(PaymentSchedule3[[#Headers],[Payment Number]])&gt;ScheduledNumberOfPayments,"",ROW()-ROW(PaymentSchedule3[[#Headers],[Payment Number]])),"")</f>
        <v>102</v>
      </c>
      <c r="C119" s="24">
        <f ca="1">IF(PaymentSchedule3[[#This Row],[Payment Number]]&lt;&gt;"",EOMONTH(LoanStartDate,ROW(PaymentSchedule3[[#This Row],[Payment Number]])-ROW(PaymentSchedule3[[#Headers],[Payment Number]])-2)+DAY(LoanStartDate),"")</f>
        <v>47708</v>
      </c>
      <c r="D119" s="25">
        <f ca="1">IF(PaymentSchedule3[[#This Row],[Payment Number]]&lt;&gt;"",IF(ROW()-ROW(PaymentSchedule3[[#Headers],[Beginning
Balance]])=1,LoanAmount,INDEX(PaymentSchedule3[Ending
Balance],ROW()-ROW(PaymentSchedule3[[#Headers],[Beginning
Balance]])-1)),"")</f>
        <v>86011.767690255569</v>
      </c>
      <c r="E119" s="25">
        <f ca="1">IF(PaymentSchedule3[[#This Row],[Payment Number]]&lt;&gt;"",ScheduledPayment,"")</f>
        <v>543.5318932997908</v>
      </c>
      <c r="F1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19" s="25">
        <f ca="1">IF(PaymentSchedule3[[#This Row],[Payment Number]]&lt;&gt;"",PaymentSchedule3[[#This Row],[Total
Payment]]-PaymentSchedule3[[#This Row],[Interest]],"")</f>
        <v>185.14952792372594</v>
      </c>
      <c r="I119" s="25">
        <f ca="1">IF(PaymentSchedule3[[#This Row],[Payment Number]]&lt;&gt;"",PaymentSchedule3[[#This Row],[Beginning
Balance]]*(InterestRate/PaymentsPerYear),"")</f>
        <v>358.38236537606485</v>
      </c>
      <c r="J119" s="25">
        <f ca="1">IF(PaymentSchedule3[[#This Row],[Payment Number]]&lt;&gt;"",IF(PaymentSchedule3[[#This Row],[Scheduled Payment]]+PaymentSchedule3[[#This Row],[Extra
Payment]]&lt;=PaymentSchedule3[[#This Row],[Beginning
Balance]],PaymentSchedule3[[#This Row],[Beginning
Balance]]-PaymentSchedule3[[#This Row],[Principal]],0),"")</f>
        <v>85826.618162331841</v>
      </c>
      <c r="K119" s="25">
        <f ca="1">IF(PaymentSchedule3[[#This Row],[Payment Number]]&lt;&gt;"",SUM(INDEX(PaymentSchedule3[Interest],1,1):PaymentSchedule3[[#This Row],[Interest]]),"")</f>
        <v>40016.871278910497</v>
      </c>
      <c r="L119" s="49">
        <f ca="1">LoanAmount-PaymentSchedule3[[#This Row],[Ending
Balance]]</f>
        <v>15423.381837668159</v>
      </c>
      <c r="M119" s="49">
        <f t="shared" ca="1" si="1"/>
        <v>908.5318932997908</v>
      </c>
      <c r="N119" s="25">
        <f ca="1">PaymentSchedule3[[#This Row],[Payment Number]]*$M$19</f>
        <v>92670.253116578664</v>
      </c>
    </row>
    <row r="120" spans="2:14" ht="15.75" x14ac:dyDescent="0.25">
      <c r="B120" s="23">
        <f ca="1">IF(LoanIsGood,IF(ROW()-ROW(PaymentSchedule3[[#Headers],[Payment Number]])&gt;ScheduledNumberOfPayments,"",ROW()-ROW(PaymentSchedule3[[#Headers],[Payment Number]])),"")</f>
        <v>103</v>
      </c>
      <c r="C120" s="24">
        <f ca="1">IF(PaymentSchedule3[[#This Row],[Payment Number]]&lt;&gt;"",EOMONTH(LoanStartDate,ROW(PaymentSchedule3[[#This Row],[Payment Number]])-ROW(PaymentSchedule3[[#Headers],[Payment Number]])-2)+DAY(LoanStartDate),"")</f>
        <v>47739</v>
      </c>
      <c r="D120" s="25">
        <f ca="1">IF(PaymentSchedule3[[#This Row],[Payment Number]]&lt;&gt;"",IF(ROW()-ROW(PaymentSchedule3[[#Headers],[Beginning
Balance]])=1,LoanAmount,INDEX(PaymentSchedule3[Ending
Balance],ROW()-ROW(PaymentSchedule3[[#Headers],[Beginning
Balance]])-1)),"")</f>
        <v>85826.618162331841</v>
      </c>
      <c r="E120" s="25">
        <f ca="1">IF(PaymentSchedule3[[#This Row],[Payment Number]]&lt;&gt;"",ScheduledPayment,"")</f>
        <v>543.5318932997908</v>
      </c>
      <c r="F1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0" s="25">
        <f ca="1">IF(PaymentSchedule3[[#This Row],[Payment Number]]&lt;&gt;"",PaymentSchedule3[[#This Row],[Total
Payment]]-PaymentSchedule3[[#This Row],[Interest]],"")</f>
        <v>185.92098429007478</v>
      </c>
      <c r="I120" s="25">
        <f ca="1">IF(PaymentSchedule3[[#This Row],[Payment Number]]&lt;&gt;"",PaymentSchedule3[[#This Row],[Beginning
Balance]]*(InterestRate/PaymentsPerYear),"")</f>
        <v>357.61090900971601</v>
      </c>
      <c r="J120" s="25">
        <f ca="1">IF(PaymentSchedule3[[#This Row],[Payment Number]]&lt;&gt;"",IF(PaymentSchedule3[[#This Row],[Scheduled Payment]]+PaymentSchedule3[[#This Row],[Extra
Payment]]&lt;=PaymentSchedule3[[#This Row],[Beginning
Balance]],PaymentSchedule3[[#This Row],[Beginning
Balance]]-PaymentSchedule3[[#This Row],[Principal]],0),"")</f>
        <v>85640.697178041766</v>
      </c>
      <c r="K120" s="25">
        <f ca="1">IF(PaymentSchedule3[[#This Row],[Payment Number]]&lt;&gt;"",SUM(INDEX(PaymentSchedule3[Interest],1,1):PaymentSchedule3[[#This Row],[Interest]]),"")</f>
        <v>40374.482187920214</v>
      </c>
      <c r="L120" s="49">
        <f ca="1">LoanAmount-PaymentSchedule3[[#This Row],[Ending
Balance]]</f>
        <v>15609.302821958234</v>
      </c>
      <c r="M120" s="49">
        <f t="shared" ca="1" si="1"/>
        <v>908.5318932997908</v>
      </c>
      <c r="N120" s="25">
        <f ca="1">PaymentSchedule3[[#This Row],[Payment Number]]*$M$19</f>
        <v>93578.785009878455</v>
      </c>
    </row>
    <row r="121" spans="2:14" ht="15.75" x14ac:dyDescent="0.25">
      <c r="B121" s="23">
        <f ca="1">IF(LoanIsGood,IF(ROW()-ROW(PaymentSchedule3[[#Headers],[Payment Number]])&gt;ScheduledNumberOfPayments,"",ROW()-ROW(PaymentSchedule3[[#Headers],[Payment Number]])),"")</f>
        <v>104</v>
      </c>
      <c r="C121" s="24">
        <f ca="1">IF(PaymentSchedule3[[#This Row],[Payment Number]]&lt;&gt;"",EOMONTH(LoanStartDate,ROW(PaymentSchedule3[[#This Row],[Payment Number]])-ROW(PaymentSchedule3[[#Headers],[Payment Number]])-2)+DAY(LoanStartDate),"")</f>
        <v>47769</v>
      </c>
      <c r="D121" s="25">
        <f ca="1">IF(PaymentSchedule3[[#This Row],[Payment Number]]&lt;&gt;"",IF(ROW()-ROW(PaymentSchedule3[[#Headers],[Beginning
Balance]])=1,LoanAmount,INDEX(PaymentSchedule3[Ending
Balance],ROW()-ROW(PaymentSchedule3[[#Headers],[Beginning
Balance]])-1)),"")</f>
        <v>85640.697178041766</v>
      </c>
      <c r="E121" s="25">
        <f ca="1">IF(PaymentSchedule3[[#This Row],[Payment Number]]&lt;&gt;"",ScheduledPayment,"")</f>
        <v>543.5318932997908</v>
      </c>
      <c r="F1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1" s="25">
        <f ca="1">IF(PaymentSchedule3[[#This Row],[Payment Number]]&lt;&gt;"",PaymentSchedule3[[#This Row],[Total
Payment]]-PaymentSchedule3[[#This Row],[Interest]],"")</f>
        <v>186.69565505795009</v>
      </c>
      <c r="I121" s="25">
        <f ca="1">IF(PaymentSchedule3[[#This Row],[Payment Number]]&lt;&gt;"",PaymentSchedule3[[#This Row],[Beginning
Balance]]*(InterestRate/PaymentsPerYear),"")</f>
        <v>356.8362382418407</v>
      </c>
      <c r="J121" s="25">
        <f ca="1">IF(PaymentSchedule3[[#This Row],[Payment Number]]&lt;&gt;"",IF(PaymentSchedule3[[#This Row],[Scheduled Payment]]+PaymentSchedule3[[#This Row],[Extra
Payment]]&lt;=PaymentSchedule3[[#This Row],[Beginning
Balance]],PaymentSchedule3[[#This Row],[Beginning
Balance]]-PaymentSchedule3[[#This Row],[Principal]],0),"")</f>
        <v>85454.001522983817</v>
      </c>
      <c r="K121" s="25">
        <f ca="1">IF(PaymentSchedule3[[#This Row],[Payment Number]]&lt;&gt;"",SUM(INDEX(PaymentSchedule3[Interest],1,1):PaymentSchedule3[[#This Row],[Interest]]),"")</f>
        <v>40731.318426162055</v>
      </c>
      <c r="L121" s="49">
        <f ca="1">LoanAmount-PaymentSchedule3[[#This Row],[Ending
Balance]]</f>
        <v>15795.998477016183</v>
      </c>
      <c r="M121" s="49">
        <f t="shared" ca="1" si="1"/>
        <v>908.5318932997908</v>
      </c>
      <c r="N121" s="25">
        <f ca="1">PaymentSchedule3[[#This Row],[Payment Number]]*$M$19</f>
        <v>94487.316903178245</v>
      </c>
    </row>
    <row r="122" spans="2:14" ht="15.75" x14ac:dyDescent="0.25">
      <c r="B122" s="23">
        <f ca="1">IF(LoanIsGood,IF(ROW()-ROW(PaymentSchedule3[[#Headers],[Payment Number]])&gt;ScheduledNumberOfPayments,"",ROW()-ROW(PaymentSchedule3[[#Headers],[Payment Number]])),"")</f>
        <v>105</v>
      </c>
      <c r="C122" s="24">
        <f ca="1">IF(PaymentSchedule3[[#This Row],[Payment Number]]&lt;&gt;"",EOMONTH(LoanStartDate,ROW(PaymentSchedule3[[#This Row],[Payment Number]])-ROW(PaymentSchedule3[[#Headers],[Payment Number]])-2)+DAY(LoanStartDate),"")</f>
        <v>47800</v>
      </c>
      <c r="D122" s="25">
        <f ca="1">IF(PaymentSchedule3[[#This Row],[Payment Number]]&lt;&gt;"",IF(ROW()-ROW(PaymentSchedule3[[#Headers],[Beginning
Balance]])=1,LoanAmount,INDEX(PaymentSchedule3[Ending
Balance],ROW()-ROW(PaymentSchedule3[[#Headers],[Beginning
Balance]])-1)),"")</f>
        <v>85454.001522983817</v>
      </c>
      <c r="E122" s="25">
        <f ca="1">IF(PaymentSchedule3[[#This Row],[Payment Number]]&lt;&gt;"",ScheduledPayment,"")</f>
        <v>543.5318932997908</v>
      </c>
      <c r="F1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2" s="25">
        <f ca="1">IF(PaymentSchedule3[[#This Row],[Payment Number]]&lt;&gt;"",PaymentSchedule3[[#This Row],[Total
Payment]]-PaymentSchedule3[[#This Row],[Interest]],"")</f>
        <v>187.47355362069158</v>
      </c>
      <c r="I122" s="25">
        <f ca="1">IF(PaymentSchedule3[[#This Row],[Payment Number]]&lt;&gt;"",PaymentSchedule3[[#This Row],[Beginning
Balance]]*(InterestRate/PaymentsPerYear),"")</f>
        <v>356.05833967909922</v>
      </c>
      <c r="J122" s="25">
        <f ca="1">IF(PaymentSchedule3[[#This Row],[Payment Number]]&lt;&gt;"",IF(PaymentSchedule3[[#This Row],[Scheduled Payment]]+PaymentSchedule3[[#This Row],[Extra
Payment]]&lt;=PaymentSchedule3[[#This Row],[Beginning
Balance]],PaymentSchedule3[[#This Row],[Beginning
Balance]]-PaymentSchedule3[[#This Row],[Principal]],0),"")</f>
        <v>85266.527969363131</v>
      </c>
      <c r="K122" s="25">
        <f ca="1">IF(PaymentSchedule3[[#This Row],[Payment Number]]&lt;&gt;"",SUM(INDEX(PaymentSchedule3[Interest],1,1):PaymentSchedule3[[#This Row],[Interest]]),"")</f>
        <v>41087.376765841153</v>
      </c>
      <c r="L122" s="49">
        <f ca="1">LoanAmount-PaymentSchedule3[[#This Row],[Ending
Balance]]</f>
        <v>15983.472030636869</v>
      </c>
      <c r="M122" s="49">
        <f t="shared" ca="1" si="1"/>
        <v>908.5318932997908</v>
      </c>
      <c r="N122" s="25">
        <f ca="1">PaymentSchedule3[[#This Row],[Payment Number]]*$M$19</f>
        <v>95395.848796478036</v>
      </c>
    </row>
    <row r="123" spans="2:14" ht="15.75" x14ac:dyDescent="0.25">
      <c r="B123" s="23">
        <f ca="1">IF(LoanIsGood,IF(ROW()-ROW(PaymentSchedule3[[#Headers],[Payment Number]])&gt;ScheduledNumberOfPayments,"",ROW()-ROW(PaymentSchedule3[[#Headers],[Payment Number]])),"")</f>
        <v>106</v>
      </c>
      <c r="C123" s="24">
        <f ca="1">IF(PaymentSchedule3[[#This Row],[Payment Number]]&lt;&gt;"",EOMONTH(LoanStartDate,ROW(PaymentSchedule3[[#This Row],[Payment Number]])-ROW(PaymentSchedule3[[#Headers],[Payment Number]])-2)+DAY(LoanStartDate),"")</f>
        <v>47830</v>
      </c>
      <c r="D123" s="25">
        <f ca="1">IF(PaymentSchedule3[[#This Row],[Payment Number]]&lt;&gt;"",IF(ROW()-ROW(PaymentSchedule3[[#Headers],[Beginning
Balance]])=1,LoanAmount,INDEX(PaymentSchedule3[Ending
Balance],ROW()-ROW(PaymentSchedule3[[#Headers],[Beginning
Balance]])-1)),"")</f>
        <v>85266.527969363131</v>
      </c>
      <c r="E123" s="25">
        <f ca="1">IF(PaymentSchedule3[[#This Row],[Payment Number]]&lt;&gt;"",ScheduledPayment,"")</f>
        <v>543.5318932997908</v>
      </c>
      <c r="F1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3" s="25">
        <f ca="1">IF(PaymentSchedule3[[#This Row],[Payment Number]]&lt;&gt;"",PaymentSchedule3[[#This Row],[Total
Payment]]-PaymentSchedule3[[#This Row],[Interest]],"")</f>
        <v>188.25469342744441</v>
      </c>
      <c r="I123" s="25">
        <f ca="1">IF(PaymentSchedule3[[#This Row],[Payment Number]]&lt;&gt;"",PaymentSchedule3[[#This Row],[Beginning
Balance]]*(InterestRate/PaymentsPerYear),"")</f>
        <v>355.27719987234639</v>
      </c>
      <c r="J123" s="25">
        <f ca="1">IF(PaymentSchedule3[[#This Row],[Payment Number]]&lt;&gt;"",IF(PaymentSchedule3[[#This Row],[Scheduled Payment]]+PaymentSchedule3[[#This Row],[Extra
Payment]]&lt;=PaymentSchedule3[[#This Row],[Beginning
Balance]],PaymentSchedule3[[#This Row],[Beginning
Balance]]-PaymentSchedule3[[#This Row],[Principal]],0),"")</f>
        <v>85078.273275935688</v>
      </c>
      <c r="K123" s="25">
        <f ca="1">IF(PaymentSchedule3[[#This Row],[Payment Number]]&lt;&gt;"",SUM(INDEX(PaymentSchedule3[Interest],1,1):PaymentSchedule3[[#This Row],[Interest]]),"")</f>
        <v>41442.6539657135</v>
      </c>
      <c r="L123" s="49">
        <f ca="1">LoanAmount-PaymentSchedule3[[#This Row],[Ending
Balance]]</f>
        <v>16171.726724064312</v>
      </c>
      <c r="M123" s="49">
        <f t="shared" ca="1" si="1"/>
        <v>908.5318932997908</v>
      </c>
      <c r="N123" s="25">
        <f ca="1">PaymentSchedule3[[#This Row],[Payment Number]]*$M$19</f>
        <v>96304.380689777827</v>
      </c>
    </row>
    <row r="124" spans="2:14" ht="15.75" x14ac:dyDescent="0.25">
      <c r="B124" s="23">
        <f ca="1">IF(LoanIsGood,IF(ROW()-ROW(PaymentSchedule3[[#Headers],[Payment Number]])&gt;ScheduledNumberOfPayments,"",ROW()-ROW(PaymentSchedule3[[#Headers],[Payment Number]])),"")</f>
        <v>107</v>
      </c>
      <c r="C124" s="24">
        <f ca="1">IF(PaymentSchedule3[[#This Row],[Payment Number]]&lt;&gt;"",EOMONTH(LoanStartDate,ROW(PaymentSchedule3[[#This Row],[Payment Number]])-ROW(PaymentSchedule3[[#Headers],[Payment Number]])-2)+DAY(LoanStartDate),"")</f>
        <v>47861</v>
      </c>
      <c r="D124" s="25">
        <f ca="1">IF(PaymentSchedule3[[#This Row],[Payment Number]]&lt;&gt;"",IF(ROW()-ROW(PaymentSchedule3[[#Headers],[Beginning
Balance]])=1,LoanAmount,INDEX(PaymentSchedule3[Ending
Balance],ROW()-ROW(PaymentSchedule3[[#Headers],[Beginning
Balance]])-1)),"")</f>
        <v>85078.273275935688</v>
      </c>
      <c r="E124" s="25">
        <f ca="1">IF(PaymentSchedule3[[#This Row],[Payment Number]]&lt;&gt;"",ScheduledPayment,"")</f>
        <v>543.5318932997908</v>
      </c>
      <c r="F1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4" s="25">
        <f ca="1">IF(PaymentSchedule3[[#This Row],[Payment Number]]&lt;&gt;"",PaymentSchedule3[[#This Row],[Total
Payment]]-PaymentSchedule3[[#This Row],[Interest]],"")</f>
        <v>189.03908798339211</v>
      </c>
      <c r="I124" s="25">
        <f ca="1">IF(PaymentSchedule3[[#This Row],[Payment Number]]&lt;&gt;"",PaymentSchedule3[[#This Row],[Beginning
Balance]]*(InterestRate/PaymentsPerYear),"")</f>
        <v>354.49280531639869</v>
      </c>
      <c r="J124" s="25">
        <f ca="1">IF(PaymentSchedule3[[#This Row],[Payment Number]]&lt;&gt;"",IF(PaymentSchedule3[[#This Row],[Scheduled Payment]]+PaymentSchedule3[[#This Row],[Extra
Payment]]&lt;=PaymentSchedule3[[#This Row],[Beginning
Balance]],PaymentSchedule3[[#This Row],[Beginning
Balance]]-PaymentSchedule3[[#This Row],[Principal]],0),"")</f>
        <v>84889.234187952301</v>
      </c>
      <c r="K124" s="25">
        <f ca="1">IF(PaymentSchedule3[[#This Row],[Payment Number]]&lt;&gt;"",SUM(INDEX(PaymentSchedule3[Interest],1,1):PaymentSchedule3[[#This Row],[Interest]]),"")</f>
        <v>41797.146771029897</v>
      </c>
      <c r="L124" s="49">
        <f ca="1">LoanAmount-PaymentSchedule3[[#This Row],[Ending
Balance]]</f>
        <v>16360.765812047699</v>
      </c>
      <c r="M124" s="49">
        <f t="shared" ca="1" si="1"/>
        <v>908.5318932997908</v>
      </c>
      <c r="N124" s="25">
        <f ca="1">PaymentSchedule3[[#This Row],[Payment Number]]*$M$19</f>
        <v>97212.912583077617</v>
      </c>
    </row>
    <row r="125" spans="2:14" ht="15.75" x14ac:dyDescent="0.25">
      <c r="B125" s="23">
        <f ca="1">IF(LoanIsGood,IF(ROW()-ROW(PaymentSchedule3[[#Headers],[Payment Number]])&gt;ScheduledNumberOfPayments,"",ROW()-ROW(PaymentSchedule3[[#Headers],[Payment Number]])),"")</f>
        <v>108</v>
      </c>
      <c r="C125" s="24">
        <f ca="1">IF(PaymentSchedule3[[#This Row],[Payment Number]]&lt;&gt;"",EOMONTH(LoanStartDate,ROW(PaymentSchedule3[[#This Row],[Payment Number]])-ROW(PaymentSchedule3[[#Headers],[Payment Number]])-2)+DAY(LoanStartDate),"")</f>
        <v>47892</v>
      </c>
      <c r="D125" s="25">
        <f ca="1">IF(PaymentSchedule3[[#This Row],[Payment Number]]&lt;&gt;"",IF(ROW()-ROW(PaymentSchedule3[[#Headers],[Beginning
Balance]])=1,LoanAmount,INDEX(PaymentSchedule3[Ending
Balance],ROW()-ROW(PaymentSchedule3[[#Headers],[Beginning
Balance]])-1)),"")</f>
        <v>84889.234187952301</v>
      </c>
      <c r="E125" s="25">
        <f ca="1">IF(PaymentSchedule3[[#This Row],[Payment Number]]&lt;&gt;"",ScheduledPayment,"")</f>
        <v>543.5318932997908</v>
      </c>
      <c r="F1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5" s="25">
        <f ca="1">IF(PaymentSchedule3[[#This Row],[Payment Number]]&lt;&gt;"",PaymentSchedule3[[#This Row],[Total
Payment]]-PaymentSchedule3[[#This Row],[Interest]],"")</f>
        <v>189.82675084998954</v>
      </c>
      <c r="I125" s="25">
        <f ca="1">IF(PaymentSchedule3[[#This Row],[Payment Number]]&lt;&gt;"",PaymentSchedule3[[#This Row],[Beginning
Balance]]*(InterestRate/PaymentsPerYear),"")</f>
        <v>353.70514244980126</v>
      </c>
      <c r="J125" s="25">
        <f ca="1">IF(PaymentSchedule3[[#This Row],[Payment Number]]&lt;&gt;"",IF(PaymentSchedule3[[#This Row],[Scheduled Payment]]+PaymentSchedule3[[#This Row],[Extra
Payment]]&lt;=PaymentSchedule3[[#This Row],[Beginning
Balance]],PaymentSchedule3[[#This Row],[Beginning
Balance]]-PaymentSchedule3[[#This Row],[Principal]],0),"")</f>
        <v>84699.407437102316</v>
      </c>
      <c r="K125" s="25">
        <f ca="1">IF(PaymentSchedule3[[#This Row],[Payment Number]]&lt;&gt;"",SUM(INDEX(PaymentSchedule3[Interest],1,1):PaymentSchedule3[[#This Row],[Interest]]),"")</f>
        <v>42150.851913479695</v>
      </c>
      <c r="L125" s="49">
        <f ca="1">LoanAmount-PaymentSchedule3[[#This Row],[Ending
Balance]]</f>
        <v>16550.592562897684</v>
      </c>
      <c r="M125" s="49">
        <f t="shared" ca="1" si="1"/>
        <v>908.5318932997908</v>
      </c>
      <c r="N125" s="25">
        <f ca="1">PaymentSchedule3[[#This Row],[Payment Number]]*$M$19</f>
        <v>98121.444476377408</v>
      </c>
    </row>
    <row r="126" spans="2:14" ht="15.75" x14ac:dyDescent="0.25">
      <c r="B126" s="23">
        <f ca="1">IF(LoanIsGood,IF(ROW()-ROW(PaymentSchedule3[[#Headers],[Payment Number]])&gt;ScheduledNumberOfPayments,"",ROW()-ROW(PaymentSchedule3[[#Headers],[Payment Number]])),"")</f>
        <v>109</v>
      </c>
      <c r="C126" s="24">
        <f ca="1">IF(PaymentSchedule3[[#This Row],[Payment Number]]&lt;&gt;"",EOMONTH(LoanStartDate,ROW(PaymentSchedule3[[#This Row],[Payment Number]])-ROW(PaymentSchedule3[[#Headers],[Payment Number]])-2)+DAY(LoanStartDate),"")</f>
        <v>47920</v>
      </c>
      <c r="D126" s="25">
        <f ca="1">IF(PaymentSchedule3[[#This Row],[Payment Number]]&lt;&gt;"",IF(ROW()-ROW(PaymentSchedule3[[#Headers],[Beginning
Balance]])=1,LoanAmount,INDEX(PaymentSchedule3[Ending
Balance],ROW()-ROW(PaymentSchedule3[[#Headers],[Beginning
Balance]])-1)),"")</f>
        <v>84699.407437102316</v>
      </c>
      <c r="E126" s="25">
        <f ca="1">IF(PaymentSchedule3[[#This Row],[Payment Number]]&lt;&gt;"",ScheduledPayment,"")</f>
        <v>543.5318932997908</v>
      </c>
      <c r="F1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6" s="25">
        <f ca="1">IF(PaymentSchedule3[[#This Row],[Payment Number]]&lt;&gt;"",PaymentSchedule3[[#This Row],[Total
Payment]]-PaymentSchedule3[[#This Row],[Interest]],"")</f>
        <v>190.61769564519784</v>
      </c>
      <c r="I126" s="25">
        <f ca="1">IF(PaymentSchedule3[[#This Row],[Payment Number]]&lt;&gt;"",PaymentSchedule3[[#This Row],[Beginning
Balance]]*(InterestRate/PaymentsPerYear),"")</f>
        <v>352.91419765459295</v>
      </c>
      <c r="J126" s="25">
        <f ca="1">IF(PaymentSchedule3[[#This Row],[Payment Number]]&lt;&gt;"",IF(PaymentSchedule3[[#This Row],[Scheduled Payment]]+PaymentSchedule3[[#This Row],[Extra
Payment]]&lt;=PaymentSchedule3[[#This Row],[Beginning
Balance]],PaymentSchedule3[[#This Row],[Beginning
Balance]]-PaymentSchedule3[[#This Row],[Principal]],0),"")</f>
        <v>84508.78974145712</v>
      </c>
      <c r="K126" s="25">
        <f ca="1">IF(PaymentSchedule3[[#This Row],[Payment Number]]&lt;&gt;"",SUM(INDEX(PaymentSchedule3[Interest],1,1):PaymentSchedule3[[#This Row],[Interest]]),"")</f>
        <v>42503.76611113429</v>
      </c>
      <c r="L126" s="49">
        <f ca="1">LoanAmount-PaymentSchedule3[[#This Row],[Ending
Balance]]</f>
        <v>16741.21025854288</v>
      </c>
      <c r="M126" s="49">
        <f t="shared" ca="1" si="1"/>
        <v>908.5318932997908</v>
      </c>
      <c r="N126" s="25">
        <f ca="1">PaymentSchedule3[[#This Row],[Payment Number]]*$M$19</f>
        <v>99029.976369677199</v>
      </c>
    </row>
    <row r="127" spans="2:14" ht="15.75" x14ac:dyDescent="0.25">
      <c r="B127" s="23">
        <f ca="1">IF(LoanIsGood,IF(ROW()-ROW(PaymentSchedule3[[#Headers],[Payment Number]])&gt;ScheduledNumberOfPayments,"",ROW()-ROW(PaymentSchedule3[[#Headers],[Payment Number]])),"")</f>
        <v>110</v>
      </c>
      <c r="C127" s="24">
        <f ca="1">IF(PaymentSchedule3[[#This Row],[Payment Number]]&lt;&gt;"",EOMONTH(LoanStartDate,ROW(PaymentSchedule3[[#This Row],[Payment Number]])-ROW(PaymentSchedule3[[#Headers],[Payment Number]])-2)+DAY(LoanStartDate),"")</f>
        <v>47951</v>
      </c>
      <c r="D127" s="25">
        <f ca="1">IF(PaymentSchedule3[[#This Row],[Payment Number]]&lt;&gt;"",IF(ROW()-ROW(PaymentSchedule3[[#Headers],[Beginning
Balance]])=1,LoanAmount,INDEX(PaymentSchedule3[Ending
Balance],ROW()-ROW(PaymentSchedule3[[#Headers],[Beginning
Balance]])-1)),"")</f>
        <v>84508.78974145712</v>
      </c>
      <c r="E127" s="25">
        <f ca="1">IF(PaymentSchedule3[[#This Row],[Payment Number]]&lt;&gt;"",ScheduledPayment,"")</f>
        <v>543.5318932997908</v>
      </c>
      <c r="F1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7" s="25">
        <f ca="1">IF(PaymentSchedule3[[#This Row],[Payment Number]]&lt;&gt;"",PaymentSchedule3[[#This Row],[Total
Payment]]-PaymentSchedule3[[#This Row],[Interest]],"")</f>
        <v>191.41193604371949</v>
      </c>
      <c r="I127" s="25">
        <f ca="1">IF(PaymentSchedule3[[#This Row],[Payment Number]]&lt;&gt;"",PaymentSchedule3[[#This Row],[Beginning
Balance]]*(InterestRate/PaymentsPerYear),"")</f>
        <v>352.1199572560713</v>
      </c>
      <c r="J127" s="25">
        <f ca="1">IF(PaymentSchedule3[[#This Row],[Payment Number]]&lt;&gt;"",IF(PaymentSchedule3[[#This Row],[Scheduled Payment]]+PaymentSchedule3[[#This Row],[Extra
Payment]]&lt;=PaymentSchedule3[[#This Row],[Beginning
Balance]],PaymentSchedule3[[#This Row],[Beginning
Balance]]-PaymentSchedule3[[#This Row],[Principal]],0),"")</f>
        <v>84317.377805413402</v>
      </c>
      <c r="K127" s="25">
        <f ca="1">IF(PaymentSchedule3[[#This Row],[Payment Number]]&lt;&gt;"",SUM(INDEX(PaymentSchedule3[Interest],1,1):PaymentSchedule3[[#This Row],[Interest]]),"")</f>
        <v>42855.886068390362</v>
      </c>
      <c r="L127" s="49">
        <f ca="1">LoanAmount-PaymentSchedule3[[#This Row],[Ending
Balance]]</f>
        <v>16932.622194586598</v>
      </c>
      <c r="M127" s="49">
        <f t="shared" ca="1" si="1"/>
        <v>908.5318932997908</v>
      </c>
      <c r="N127" s="25">
        <f ca="1">PaymentSchedule3[[#This Row],[Payment Number]]*$M$19</f>
        <v>99938.508262976989</v>
      </c>
    </row>
    <row r="128" spans="2:14" ht="15.75" x14ac:dyDescent="0.25">
      <c r="B128" s="23">
        <f ca="1">IF(LoanIsGood,IF(ROW()-ROW(PaymentSchedule3[[#Headers],[Payment Number]])&gt;ScheduledNumberOfPayments,"",ROW()-ROW(PaymentSchedule3[[#Headers],[Payment Number]])),"")</f>
        <v>111</v>
      </c>
      <c r="C128" s="24">
        <f ca="1">IF(PaymentSchedule3[[#This Row],[Payment Number]]&lt;&gt;"",EOMONTH(LoanStartDate,ROW(PaymentSchedule3[[#This Row],[Payment Number]])-ROW(PaymentSchedule3[[#Headers],[Payment Number]])-2)+DAY(LoanStartDate),"")</f>
        <v>47981</v>
      </c>
      <c r="D128" s="25">
        <f ca="1">IF(PaymentSchedule3[[#This Row],[Payment Number]]&lt;&gt;"",IF(ROW()-ROW(PaymentSchedule3[[#Headers],[Beginning
Balance]])=1,LoanAmount,INDEX(PaymentSchedule3[Ending
Balance],ROW()-ROW(PaymentSchedule3[[#Headers],[Beginning
Balance]])-1)),"")</f>
        <v>84317.377805413402</v>
      </c>
      <c r="E128" s="25">
        <f ca="1">IF(PaymentSchedule3[[#This Row],[Payment Number]]&lt;&gt;"",ScheduledPayment,"")</f>
        <v>543.5318932997908</v>
      </c>
      <c r="F1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8" s="25">
        <f ca="1">IF(PaymentSchedule3[[#This Row],[Payment Number]]&lt;&gt;"",PaymentSchedule3[[#This Row],[Total
Payment]]-PaymentSchedule3[[#This Row],[Interest]],"")</f>
        <v>192.20948577723493</v>
      </c>
      <c r="I128" s="25">
        <f ca="1">IF(PaymentSchedule3[[#This Row],[Payment Number]]&lt;&gt;"",PaymentSchedule3[[#This Row],[Beginning
Balance]]*(InterestRate/PaymentsPerYear),"")</f>
        <v>351.32240752255586</v>
      </c>
      <c r="J128" s="25">
        <f ca="1">IF(PaymentSchedule3[[#This Row],[Payment Number]]&lt;&gt;"",IF(PaymentSchedule3[[#This Row],[Scheduled Payment]]+PaymentSchedule3[[#This Row],[Extra
Payment]]&lt;=PaymentSchedule3[[#This Row],[Beginning
Balance]],PaymentSchedule3[[#This Row],[Beginning
Balance]]-PaymentSchedule3[[#This Row],[Principal]],0),"")</f>
        <v>84125.16831963617</v>
      </c>
      <c r="K128" s="25">
        <f ca="1">IF(PaymentSchedule3[[#This Row],[Payment Number]]&lt;&gt;"",SUM(INDEX(PaymentSchedule3[Interest],1,1):PaymentSchedule3[[#This Row],[Interest]]),"")</f>
        <v>43207.208475912921</v>
      </c>
      <c r="L128" s="49">
        <f ca="1">LoanAmount-PaymentSchedule3[[#This Row],[Ending
Balance]]</f>
        <v>17124.83168036383</v>
      </c>
      <c r="M128" s="49">
        <f t="shared" ca="1" si="1"/>
        <v>908.5318932997908</v>
      </c>
      <c r="N128" s="25">
        <f ca="1">PaymentSchedule3[[#This Row],[Payment Number]]*$M$19</f>
        <v>100847.04015627678</v>
      </c>
    </row>
    <row r="129" spans="2:14" ht="15.75" x14ac:dyDescent="0.25">
      <c r="B129" s="23">
        <f ca="1">IF(LoanIsGood,IF(ROW()-ROW(PaymentSchedule3[[#Headers],[Payment Number]])&gt;ScheduledNumberOfPayments,"",ROW()-ROW(PaymentSchedule3[[#Headers],[Payment Number]])),"")</f>
        <v>112</v>
      </c>
      <c r="C129" s="24">
        <f ca="1">IF(PaymentSchedule3[[#This Row],[Payment Number]]&lt;&gt;"",EOMONTH(LoanStartDate,ROW(PaymentSchedule3[[#This Row],[Payment Number]])-ROW(PaymentSchedule3[[#Headers],[Payment Number]])-2)+DAY(LoanStartDate),"")</f>
        <v>48012</v>
      </c>
      <c r="D129" s="25">
        <f ca="1">IF(PaymentSchedule3[[#This Row],[Payment Number]]&lt;&gt;"",IF(ROW()-ROW(PaymentSchedule3[[#Headers],[Beginning
Balance]])=1,LoanAmount,INDEX(PaymentSchedule3[Ending
Balance],ROW()-ROW(PaymentSchedule3[[#Headers],[Beginning
Balance]])-1)),"")</f>
        <v>84125.16831963617</v>
      </c>
      <c r="E129" s="25">
        <f ca="1">IF(PaymentSchedule3[[#This Row],[Payment Number]]&lt;&gt;"",ScheduledPayment,"")</f>
        <v>543.5318932997908</v>
      </c>
      <c r="F1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29" s="25">
        <f ca="1">IF(PaymentSchedule3[[#This Row],[Payment Number]]&lt;&gt;"",PaymentSchedule3[[#This Row],[Total
Payment]]-PaymentSchedule3[[#This Row],[Interest]],"")</f>
        <v>193.01035863464011</v>
      </c>
      <c r="I129" s="25">
        <f ca="1">IF(PaymentSchedule3[[#This Row],[Payment Number]]&lt;&gt;"",PaymentSchedule3[[#This Row],[Beginning
Balance]]*(InterestRate/PaymentsPerYear),"")</f>
        <v>350.52153466515068</v>
      </c>
      <c r="J129" s="25">
        <f ca="1">IF(PaymentSchedule3[[#This Row],[Payment Number]]&lt;&gt;"",IF(PaymentSchedule3[[#This Row],[Scheduled Payment]]+PaymentSchedule3[[#This Row],[Extra
Payment]]&lt;=PaymentSchedule3[[#This Row],[Beginning
Balance]],PaymentSchedule3[[#This Row],[Beginning
Balance]]-PaymentSchedule3[[#This Row],[Principal]],0),"")</f>
        <v>83932.157961001532</v>
      </c>
      <c r="K129" s="25">
        <f ca="1">IF(PaymentSchedule3[[#This Row],[Payment Number]]&lt;&gt;"",SUM(INDEX(PaymentSchedule3[Interest],1,1):PaymentSchedule3[[#This Row],[Interest]]),"")</f>
        <v>43557.730010578074</v>
      </c>
      <c r="L129" s="49">
        <f ca="1">LoanAmount-PaymentSchedule3[[#This Row],[Ending
Balance]]</f>
        <v>17317.842038998468</v>
      </c>
      <c r="M129" s="49">
        <f t="shared" ca="1" si="1"/>
        <v>908.5318932997908</v>
      </c>
      <c r="N129" s="25">
        <f ca="1">PaymentSchedule3[[#This Row],[Payment Number]]*$M$19</f>
        <v>101755.57204957657</v>
      </c>
    </row>
    <row r="130" spans="2:14" ht="15.75" x14ac:dyDescent="0.25">
      <c r="B130" s="23">
        <f ca="1">IF(LoanIsGood,IF(ROW()-ROW(PaymentSchedule3[[#Headers],[Payment Number]])&gt;ScheduledNumberOfPayments,"",ROW()-ROW(PaymentSchedule3[[#Headers],[Payment Number]])),"")</f>
        <v>113</v>
      </c>
      <c r="C130" s="24">
        <f ca="1">IF(PaymentSchedule3[[#This Row],[Payment Number]]&lt;&gt;"",EOMONTH(LoanStartDate,ROW(PaymentSchedule3[[#This Row],[Payment Number]])-ROW(PaymentSchedule3[[#Headers],[Payment Number]])-2)+DAY(LoanStartDate),"")</f>
        <v>48042</v>
      </c>
      <c r="D130" s="25">
        <f ca="1">IF(PaymentSchedule3[[#This Row],[Payment Number]]&lt;&gt;"",IF(ROW()-ROW(PaymentSchedule3[[#Headers],[Beginning
Balance]])=1,LoanAmount,INDEX(PaymentSchedule3[Ending
Balance],ROW()-ROW(PaymentSchedule3[[#Headers],[Beginning
Balance]])-1)),"")</f>
        <v>83932.157961001532</v>
      </c>
      <c r="E130" s="25">
        <f ca="1">IF(PaymentSchedule3[[#This Row],[Payment Number]]&lt;&gt;"",ScheduledPayment,"")</f>
        <v>543.5318932997908</v>
      </c>
      <c r="F1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0" s="25">
        <f ca="1">IF(PaymentSchedule3[[#This Row],[Payment Number]]&lt;&gt;"",PaymentSchedule3[[#This Row],[Total
Payment]]-PaymentSchedule3[[#This Row],[Interest]],"")</f>
        <v>193.8145684622844</v>
      </c>
      <c r="I130" s="25">
        <f ca="1">IF(PaymentSchedule3[[#This Row],[Payment Number]]&lt;&gt;"",PaymentSchedule3[[#This Row],[Beginning
Balance]]*(InterestRate/PaymentsPerYear),"")</f>
        <v>349.7173248375064</v>
      </c>
      <c r="J130" s="25">
        <f ca="1">IF(PaymentSchedule3[[#This Row],[Payment Number]]&lt;&gt;"",IF(PaymentSchedule3[[#This Row],[Scheduled Payment]]+PaymentSchedule3[[#This Row],[Extra
Payment]]&lt;=PaymentSchedule3[[#This Row],[Beginning
Balance]],PaymentSchedule3[[#This Row],[Beginning
Balance]]-PaymentSchedule3[[#This Row],[Principal]],0),"")</f>
        <v>83738.343392539246</v>
      </c>
      <c r="K130" s="25">
        <f ca="1">IF(PaymentSchedule3[[#This Row],[Payment Number]]&lt;&gt;"",SUM(INDEX(PaymentSchedule3[Interest],1,1):PaymentSchedule3[[#This Row],[Interest]]),"")</f>
        <v>43907.447335415578</v>
      </c>
      <c r="L130" s="49">
        <f ca="1">LoanAmount-PaymentSchedule3[[#This Row],[Ending
Balance]]</f>
        <v>17511.656607460754</v>
      </c>
      <c r="M130" s="49">
        <f t="shared" ca="1" si="1"/>
        <v>908.5318932997908</v>
      </c>
      <c r="N130" s="25">
        <f ca="1">PaymentSchedule3[[#This Row],[Payment Number]]*$M$19</f>
        <v>102664.10394287636</v>
      </c>
    </row>
    <row r="131" spans="2:14" ht="15.75" x14ac:dyDescent="0.25">
      <c r="B131" s="23">
        <f ca="1">IF(LoanIsGood,IF(ROW()-ROW(PaymentSchedule3[[#Headers],[Payment Number]])&gt;ScheduledNumberOfPayments,"",ROW()-ROW(PaymentSchedule3[[#Headers],[Payment Number]])),"")</f>
        <v>114</v>
      </c>
      <c r="C131" s="24">
        <f ca="1">IF(PaymentSchedule3[[#This Row],[Payment Number]]&lt;&gt;"",EOMONTH(LoanStartDate,ROW(PaymentSchedule3[[#This Row],[Payment Number]])-ROW(PaymentSchedule3[[#Headers],[Payment Number]])-2)+DAY(LoanStartDate),"")</f>
        <v>48073</v>
      </c>
      <c r="D131" s="25">
        <f ca="1">IF(PaymentSchedule3[[#This Row],[Payment Number]]&lt;&gt;"",IF(ROW()-ROW(PaymentSchedule3[[#Headers],[Beginning
Balance]])=1,LoanAmount,INDEX(PaymentSchedule3[Ending
Balance],ROW()-ROW(PaymentSchedule3[[#Headers],[Beginning
Balance]])-1)),"")</f>
        <v>83738.343392539246</v>
      </c>
      <c r="E131" s="25">
        <f ca="1">IF(PaymentSchedule3[[#This Row],[Payment Number]]&lt;&gt;"",ScheduledPayment,"")</f>
        <v>543.5318932997908</v>
      </c>
      <c r="F1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1" s="25">
        <f ca="1">IF(PaymentSchedule3[[#This Row],[Payment Number]]&lt;&gt;"",PaymentSchedule3[[#This Row],[Total
Payment]]-PaymentSchedule3[[#This Row],[Interest]],"")</f>
        <v>194.62212916421061</v>
      </c>
      <c r="I131" s="25">
        <f ca="1">IF(PaymentSchedule3[[#This Row],[Payment Number]]&lt;&gt;"",PaymentSchedule3[[#This Row],[Beginning
Balance]]*(InterestRate/PaymentsPerYear),"")</f>
        <v>348.90976413558019</v>
      </c>
      <c r="J131" s="25">
        <f ca="1">IF(PaymentSchedule3[[#This Row],[Payment Number]]&lt;&gt;"",IF(PaymentSchedule3[[#This Row],[Scheduled Payment]]+PaymentSchedule3[[#This Row],[Extra
Payment]]&lt;=PaymentSchedule3[[#This Row],[Beginning
Balance]],PaymentSchedule3[[#This Row],[Beginning
Balance]]-PaymentSchedule3[[#This Row],[Principal]],0),"")</f>
        <v>83543.721263375031</v>
      </c>
      <c r="K131" s="25">
        <f ca="1">IF(PaymentSchedule3[[#This Row],[Payment Number]]&lt;&gt;"",SUM(INDEX(PaymentSchedule3[Interest],1,1):PaymentSchedule3[[#This Row],[Interest]]),"")</f>
        <v>44256.357099551155</v>
      </c>
      <c r="L131" s="49">
        <f ca="1">LoanAmount-PaymentSchedule3[[#This Row],[Ending
Balance]]</f>
        <v>17706.278736624969</v>
      </c>
      <c r="M131" s="49">
        <f t="shared" ca="1" si="1"/>
        <v>908.5318932997908</v>
      </c>
      <c r="N131" s="25">
        <f ca="1">PaymentSchedule3[[#This Row],[Payment Number]]*$M$19</f>
        <v>103572.63583617615</v>
      </c>
    </row>
    <row r="132" spans="2:14" ht="15.75" x14ac:dyDescent="0.25">
      <c r="B132" s="23">
        <f ca="1">IF(LoanIsGood,IF(ROW()-ROW(PaymentSchedule3[[#Headers],[Payment Number]])&gt;ScheduledNumberOfPayments,"",ROW()-ROW(PaymentSchedule3[[#Headers],[Payment Number]])),"")</f>
        <v>115</v>
      </c>
      <c r="C132" s="24">
        <f ca="1">IF(PaymentSchedule3[[#This Row],[Payment Number]]&lt;&gt;"",EOMONTH(LoanStartDate,ROW(PaymentSchedule3[[#This Row],[Payment Number]])-ROW(PaymentSchedule3[[#Headers],[Payment Number]])-2)+DAY(LoanStartDate),"")</f>
        <v>48104</v>
      </c>
      <c r="D132" s="25">
        <f ca="1">IF(PaymentSchedule3[[#This Row],[Payment Number]]&lt;&gt;"",IF(ROW()-ROW(PaymentSchedule3[[#Headers],[Beginning
Balance]])=1,LoanAmount,INDEX(PaymentSchedule3[Ending
Balance],ROW()-ROW(PaymentSchedule3[[#Headers],[Beginning
Balance]])-1)),"")</f>
        <v>83543.721263375031</v>
      </c>
      <c r="E132" s="25">
        <f ca="1">IF(PaymentSchedule3[[#This Row],[Payment Number]]&lt;&gt;"",ScheduledPayment,"")</f>
        <v>543.5318932997908</v>
      </c>
      <c r="F1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2" s="25">
        <f ca="1">IF(PaymentSchedule3[[#This Row],[Payment Number]]&lt;&gt;"",PaymentSchedule3[[#This Row],[Total
Payment]]-PaymentSchedule3[[#This Row],[Interest]],"")</f>
        <v>195.43305470239483</v>
      </c>
      <c r="I132" s="25">
        <f ca="1">IF(PaymentSchedule3[[#This Row],[Payment Number]]&lt;&gt;"",PaymentSchedule3[[#This Row],[Beginning
Balance]]*(InterestRate/PaymentsPerYear),"")</f>
        <v>348.09883859739597</v>
      </c>
      <c r="J132" s="25">
        <f ca="1">IF(PaymentSchedule3[[#This Row],[Payment Number]]&lt;&gt;"",IF(PaymentSchedule3[[#This Row],[Scheduled Payment]]+PaymentSchedule3[[#This Row],[Extra
Payment]]&lt;=PaymentSchedule3[[#This Row],[Beginning
Balance]],PaymentSchedule3[[#This Row],[Beginning
Balance]]-PaymentSchedule3[[#This Row],[Principal]],0),"")</f>
        <v>83348.288208672631</v>
      </c>
      <c r="K132" s="25">
        <f ca="1">IF(PaymentSchedule3[[#This Row],[Payment Number]]&lt;&gt;"",SUM(INDEX(PaymentSchedule3[Interest],1,1):PaymentSchedule3[[#This Row],[Interest]]),"")</f>
        <v>44604.455938148552</v>
      </c>
      <c r="L132" s="49">
        <f ca="1">LoanAmount-PaymentSchedule3[[#This Row],[Ending
Balance]]</f>
        <v>17901.711791327369</v>
      </c>
      <c r="M132" s="49">
        <f t="shared" ca="1" si="1"/>
        <v>908.5318932997908</v>
      </c>
      <c r="N132" s="25">
        <f ca="1">PaymentSchedule3[[#This Row],[Payment Number]]*$M$19</f>
        <v>104481.16772947594</v>
      </c>
    </row>
    <row r="133" spans="2:14" ht="15.75" x14ac:dyDescent="0.25">
      <c r="B133" s="23">
        <f ca="1">IF(LoanIsGood,IF(ROW()-ROW(PaymentSchedule3[[#Headers],[Payment Number]])&gt;ScheduledNumberOfPayments,"",ROW()-ROW(PaymentSchedule3[[#Headers],[Payment Number]])),"")</f>
        <v>116</v>
      </c>
      <c r="C133" s="24">
        <f ca="1">IF(PaymentSchedule3[[#This Row],[Payment Number]]&lt;&gt;"",EOMONTH(LoanStartDate,ROW(PaymentSchedule3[[#This Row],[Payment Number]])-ROW(PaymentSchedule3[[#Headers],[Payment Number]])-2)+DAY(LoanStartDate),"")</f>
        <v>48134</v>
      </c>
      <c r="D133" s="25">
        <f ca="1">IF(PaymentSchedule3[[#This Row],[Payment Number]]&lt;&gt;"",IF(ROW()-ROW(PaymentSchedule3[[#Headers],[Beginning
Balance]])=1,LoanAmount,INDEX(PaymentSchedule3[Ending
Balance],ROW()-ROW(PaymentSchedule3[[#Headers],[Beginning
Balance]])-1)),"")</f>
        <v>83348.288208672631</v>
      </c>
      <c r="E133" s="25">
        <f ca="1">IF(PaymentSchedule3[[#This Row],[Payment Number]]&lt;&gt;"",ScheduledPayment,"")</f>
        <v>543.5318932997908</v>
      </c>
      <c r="F1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3" s="25">
        <f ca="1">IF(PaymentSchedule3[[#This Row],[Payment Number]]&lt;&gt;"",PaymentSchedule3[[#This Row],[Total
Payment]]-PaymentSchedule3[[#This Row],[Interest]],"")</f>
        <v>196.24735909698819</v>
      </c>
      <c r="I133" s="25">
        <f ca="1">IF(PaymentSchedule3[[#This Row],[Payment Number]]&lt;&gt;"",PaymentSchedule3[[#This Row],[Beginning
Balance]]*(InterestRate/PaymentsPerYear),"")</f>
        <v>347.2845342028026</v>
      </c>
      <c r="J133" s="25">
        <f ca="1">IF(PaymentSchedule3[[#This Row],[Payment Number]]&lt;&gt;"",IF(PaymentSchedule3[[#This Row],[Scheduled Payment]]+PaymentSchedule3[[#This Row],[Extra
Payment]]&lt;=PaymentSchedule3[[#This Row],[Beginning
Balance]],PaymentSchedule3[[#This Row],[Beginning
Balance]]-PaymentSchedule3[[#This Row],[Principal]],0),"")</f>
        <v>83152.040849575642</v>
      </c>
      <c r="K133" s="25">
        <f ca="1">IF(PaymentSchedule3[[#This Row],[Payment Number]]&lt;&gt;"",SUM(INDEX(PaymentSchedule3[Interest],1,1):PaymentSchedule3[[#This Row],[Interest]]),"")</f>
        <v>44951.740472351354</v>
      </c>
      <c r="L133" s="49">
        <f ca="1">LoanAmount-PaymentSchedule3[[#This Row],[Ending
Balance]]</f>
        <v>18097.959150424358</v>
      </c>
      <c r="M133" s="49">
        <f t="shared" ca="1" si="1"/>
        <v>908.5318932997908</v>
      </c>
      <c r="N133" s="25">
        <f ca="1">PaymentSchedule3[[#This Row],[Payment Number]]*$M$19</f>
        <v>105389.69962277573</v>
      </c>
    </row>
    <row r="134" spans="2:14" ht="15.75" x14ac:dyDescent="0.25">
      <c r="B134" s="23">
        <f ca="1">IF(LoanIsGood,IF(ROW()-ROW(PaymentSchedule3[[#Headers],[Payment Number]])&gt;ScheduledNumberOfPayments,"",ROW()-ROW(PaymentSchedule3[[#Headers],[Payment Number]])),"")</f>
        <v>117</v>
      </c>
      <c r="C134" s="24">
        <f ca="1">IF(PaymentSchedule3[[#This Row],[Payment Number]]&lt;&gt;"",EOMONTH(LoanStartDate,ROW(PaymentSchedule3[[#This Row],[Payment Number]])-ROW(PaymentSchedule3[[#Headers],[Payment Number]])-2)+DAY(LoanStartDate),"")</f>
        <v>48165</v>
      </c>
      <c r="D134" s="25">
        <f ca="1">IF(PaymentSchedule3[[#This Row],[Payment Number]]&lt;&gt;"",IF(ROW()-ROW(PaymentSchedule3[[#Headers],[Beginning
Balance]])=1,LoanAmount,INDEX(PaymentSchedule3[Ending
Balance],ROW()-ROW(PaymentSchedule3[[#Headers],[Beginning
Balance]])-1)),"")</f>
        <v>83152.040849575642</v>
      </c>
      <c r="E134" s="25">
        <f ca="1">IF(PaymentSchedule3[[#This Row],[Payment Number]]&lt;&gt;"",ScheduledPayment,"")</f>
        <v>543.5318932997908</v>
      </c>
      <c r="F1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4" s="25">
        <f ca="1">IF(PaymentSchedule3[[#This Row],[Payment Number]]&lt;&gt;"",PaymentSchedule3[[#This Row],[Total
Payment]]-PaymentSchedule3[[#This Row],[Interest]],"")</f>
        <v>197.06505642655895</v>
      </c>
      <c r="I134" s="25">
        <f ca="1">IF(PaymentSchedule3[[#This Row],[Payment Number]]&lt;&gt;"",PaymentSchedule3[[#This Row],[Beginning
Balance]]*(InterestRate/PaymentsPerYear),"")</f>
        <v>346.46683687323184</v>
      </c>
      <c r="J134" s="25">
        <f ca="1">IF(PaymentSchedule3[[#This Row],[Payment Number]]&lt;&gt;"",IF(PaymentSchedule3[[#This Row],[Scheduled Payment]]+PaymentSchedule3[[#This Row],[Extra
Payment]]&lt;=PaymentSchedule3[[#This Row],[Beginning
Balance]],PaymentSchedule3[[#This Row],[Beginning
Balance]]-PaymentSchedule3[[#This Row],[Principal]],0),"")</f>
        <v>82954.975793149089</v>
      </c>
      <c r="K134" s="25">
        <f ca="1">IF(PaymentSchedule3[[#This Row],[Payment Number]]&lt;&gt;"",SUM(INDEX(PaymentSchedule3[Interest],1,1):PaymentSchedule3[[#This Row],[Interest]]),"")</f>
        <v>45298.207309224585</v>
      </c>
      <c r="L134" s="49">
        <f ca="1">LoanAmount-PaymentSchedule3[[#This Row],[Ending
Balance]]</f>
        <v>18295.024206850911</v>
      </c>
      <c r="M134" s="49">
        <f t="shared" ca="1" si="1"/>
        <v>908.5318932997908</v>
      </c>
      <c r="N134" s="25">
        <f ca="1">PaymentSchedule3[[#This Row],[Payment Number]]*$M$19</f>
        <v>106298.23151607552</v>
      </c>
    </row>
    <row r="135" spans="2:14" ht="15.75" x14ac:dyDescent="0.25">
      <c r="B135" s="23">
        <f ca="1">IF(LoanIsGood,IF(ROW()-ROW(PaymentSchedule3[[#Headers],[Payment Number]])&gt;ScheduledNumberOfPayments,"",ROW()-ROW(PaymentSchedule3[[#Headers],[Payment Number]])),"")</f>
        <v>118</v>
      </c>
      <c r="C135" s="24">
        <f ca="1">IF(PaymentSchedule3[[#This Row],[Payment Number]]&lt;&gt;"",EOMONTH(LoanStartDate,ROW(PaymentSchedule3[[#This Row],[Payment Number]])-ROW(PaymentSchedule3[[#Headers],[Payment Number]])-2)+DAY(LoanStartDate),"")</f>
        <v>48195</v>
      </c>
      <c r="D135" s="25">
        <f ca="1">IF(PaymentSchedule3[[#This Row],[Payment Number]]&lt;&gt;"",IF(ROW()-ROW(PaymentSchedule3[[#Headers],[Beginning
Balance]])=1,LoanAmount,INDEX(PaymentSchedule3[Ending
Balance],ROW()-ROW(PaymentSchedule3[[#Headers],[Beginning
Balance]])-1)),"")</f>
        <v>82954.975793149089</v>
      </c>
      <c r="E135" s="25">
        <f ca="1">IF(PaymentSchedule3[[#This Row],[Payment Number]]&lt;&gt;"",ScheduledPayment,"")</f>
        <v>543.5318932997908</v>
      </c>
      <c r="F1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5" s="25">
        <f ca="1">IF(PaymentSchedule3[[#This Row],[Payment Number]]&lt;&gt;"",PaymentSchedule3[[#This Row],[Total
Payment]]-PaymentSchedule3[[#This Row],[Interest]],"")</f>
        <v>197.88616082833624</v>
      </c>
      <c r="I135" s="25">
        <f ca="1">IF(PaymentSchedule3[[#This Row],[Payment Number]]&lt;&gt;"",PaymentSchedule3[[#This Row],[Beginning
Balance]]*(InterestRate/PaymentsPerYear),"")</f>
        <v>345.64573247145455</v>
      </c>
      <c r="J135" s="25">
        <f ca="1">IF(PaymentSchedule3[[#This Row],[Payment Number]]&lt;&gt;"",IF(PaymentSchedule3[[#This Row],[Scheduled Payment]]+PaymentSchedule3[[#This Row],[Extra
Payment]]&lt;=PaymentSchedule3[[#This Row],[Beginning
Balance]],PaymentSchedule3[[#This Row],[Beginning
Balance]]-PaymentSchedule3[[#This Row],[Principal]],0),"")</f>
        <v>82757.089632320756</v>
      </c>
      <c r="K135" s="25">
        <f ca="1">IF(PaymentSchedule3[[#This Row],[Payment Number]]&lt;&gt;"",SUM(INDEX(PaymentSchedule3[Interest],1,1):PaymentSchedule3[[#This Row],[Interest]]),"")</f>
        <v>45643.853041696042</v>
      </c>
      <c r="L135" s="49">
        <f ca="1">LoanAmount-PaymentSchedule3[[#This Row],[Ending
Balance]]</f>
        <v>18492.910367679244</v>
      </c>
      <c r="M135" s="49">
        <f t="shared" ca="1" si="1"/>
        <v>908.5318932997908</v>
      </c>
      <c r="N135" s="25">
        <f ca="1">PaymentSchedule3[[#This Row],[Payment Number]]*$M$19</f>
        <v>107206.76340937531</v>
      </c>
    </row>
    <row r="136" spans="2:14" ht="15.75" x14ac:dyDescent="0.25">
      <c r="B136" s="23">
        <f ca="1">IF(LoanIsGood,IF(ROW()-ROW(PaymentSchedule3[[#Headers],[Payment Number]])&gt;ScheduledNumberOfPayments,"",ROW()-ROW(PaymentSchedule3[[#Headers],[Payment Number]])),"")</f>
        <v>119</v>
      </c>
      <c r="C136" s="24">
        <f ca="1">IF(PaymentSchedule3[[#This Row],[Payment Number]]&lt;&gt;"",EOMONTH(LoanStartDate,ROW(PaymentSchedule3[[#This Row],[Payment Number]])-ROW(PaymentSchedule3[[#Headers],[Payment Number]])-2)+DAY(LoanStartDate),"")</f>
        <v>48226</v>
      </c>
      <c r="D136" s="25">
        <f ca="1">IF(PaymentSchedule3[[#This Row],[Payment Number]]&lt;&gt;"",IF(ROW()-ROW(PaymentSchedule3[[#Headers],[Beginning
Balance]])=1,LoanAmount,INDEX(PaymentSchedule3[Ending
Balance],ROW()-ROW(PaymentSchedule3[[#Headers],[Beginning
Balance]])-1)),"")</f>
        <v>82757.089632320756</v>
      </c>
      <c r="E136" s="25">
        <f ca="1">IF(PaymentSchedule3[[#This Row],[Payment Number]]&lt;&gt;"",ScheduledPayment,"")</f>
        <v>543.5318932997908</v>
      </c>
      <c r="F1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6" s="25">
        <f ca="1">IF(PaymentSchedule3[[#This Row],[Payment Number]]&lt;&gt;"",PaymentSchedule3[[#This Row],[Total
Payment]]-PaymentSchedule3[[#This Row],[Interest]],"")</f>
        <v>198.71068649845432</v>
      </c>
      <c r="I136" s="25">
        <f ca="1">IF(PaymentSchedule3[[#This Row],[Payment Number]]&lt;&gt;"",PaymentSchedule3[[#This Row],[Beginning
Balance]]*(InterestRate/PaymentsPerYear),"")</f>
        <v>344.82120680133647</v>
      </c>
      <c r="J136" s="25">
        <f ca="1">IF(PaymentSchedule3[[#This Row],[Payment Number]]&lt;&gt;"",IF(PaymentSchedule3[[#This Row],[Scheduled Payment]]+PaymentSchedule3[[#This Row],[Extra
Payment]]&lt;=PaymentSchedule3[[#This Row],[Beginning
Balance]],PaymentSchedule3[[#This Row],[Beginning
Balance]]-PaymentSchedule3[[#This Row],[Principal]],0),"")</f>
        <v>82558.378945822304</v>
      </c>
      <c r="K136" s="25">
        <f ca="1">IF(PaymentSchedule3[[#This Row],[Payment Number]]&lt;&gt;"",SUM(INDEX(PaymentSchedule3[Interest],1,1):PaymentSchedule3[[#This Row],[Interest]]),"")</f>
        <v>45988.67424849738</v>
      </c>
      <c r="L136" s="49">
        <f ca="1">LoanAmount-PaymentSchedule3[[#This Row],[Ending
Balance]]</f>
        <v>18691.621054177696</v>
      </c>
      <c r="M136" s="49">
        <f t="shared" ca="1" si="1"/>
        <v>908.5318932997908</v>
      </c>
      <c r="N136" s="25">
        <f ca="1">PaymentSchedule3[[#This Row],[Payment Number]]*$M$19</f>
        <v>108115.29530267511</v>
      </c>
    </row>
    <row r="137" spans="2:14" ht="15.75" x14ac:dyDescent="0.25">
      <c r="B137" s="23">
        <f ca="1">IF(LoanIsGood,IF(ROW()-ROW(PaymentSchedule3[[#Headers],[Payment Number]])&gt;ScheduledNumberOfPayments,"",ROW()-ROW(PaymentSchedule3[[#Headers],[Payment Number]])),"")</f>
        <v>120</v>
      </c>
      <c r="C137" s="24">
        <f ca="1">IF(PaymentSchedule3[[#This Row],[Payment Number]]&lt;&gt;"",EOMONTH(LoanStartDate,ROW(PaymentSchedule3[[#This Row],[Payment Number]])-ROW(PaymentSchedule3[[#Headers],[Payment Number]])-2)+DAY(LoanStartDate),"")</f>
        <v>48257</v>
      </c>
      <c r="D137" s="25">
        <f ca="1">IF(PaymentSchedule3[[#This Row],[Payment Number]]&lt;&gt;"",IF(ROW()-ROW(PaymentSchedule3[[#Headers],[Beginning
Balance]])=1,LoanAmount,INDEX(PaymentSchedule3[Ending
Balance],ROW()-ROW(PaymentSchedule3[[#Headers],[Beginning
Balance]])-1)),"")</f>
        <v>82558.378945822304</v>
      </c>
      <c r="E137" s="25">
        <f ca="1">IF(PaymentSchedule3[[#This Row],[Payment Number]]&lt;&gt;"",ScheduledPayment,"")</f>
        <v>543.5318932997908</v>
      </c>
      <c r="F1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7" s="25">
        <f ca="1">IF(PaymentSchedule3[[#This Row],[Payment Number]]&lt;&gt;"",PaymentSchedule3[[#This Row],[Total
Payment]]-PaymentSchedule3[[#This Row],[Interest]],"")</f>
        <v>199.53864769219786</v>
      </c>
      <c r="I137" s="25">
        <f ca="1">IF(PaymentSchedule3[[#This Row],[Payment Number]]&lt;&gt;"",PaymentSchedule3[[#This Row],[Beginning
Balance]]*(InterestRate/PaymentsPerYear),"")</f>
        <v>343.99324560759294</v>
      </c>
      <c r="J137" s="25">
        <f ca="1">IF(PaymentSchedule3[[#This Row],[Payment Number]]&lt;&gt;"",IF(PaymentSchedule3[[#This Row],[Scheduled Payment]]+PaymentSchedule3[[#This Row],[Extra
Payment]]&lt;=PaymentSchedule3[[#This Row],[Beginning
Balance]],PaymentSchedule3[[#This Row],[Beginning
Balance]]-PaymentSchedule3[[#This Row],[Principal]],0),"")</f>
        <v>82358.840298130104</v>
      </c>
      <c r="K137" s="25">
        <f ca="1">IF(PaymentSchedule3[[#This Row],[Payment Number]]&lt;&gt;"",SUM(INDEX(PaymentSchedule3[Interest],1,1):PaymentSchedule3[[#This Row],[Interest]]),"")</f>
        <v>46332.667494104971</v>
      </c>
      <c r="L137" s="49">
        <f ca="1">LoanAmount-PaymentSchedule3[[#This Row],[Ending
Balance]]</f>
        <v>18891.159701869896</v>
      </c>
      <c r="M137" s="49">
        <f t="shared" ca="1" si="1"/>
        <v>908.5318932997908</v>
      </c>
      <c r="N137" s="25">
        <f ca="1">PaymentSchedule3[[#This Row],[Payment Number]]*$M$19</f>
        <v>109023.8271959749</v>
      </c>
    </row>
    <row r="138" spans="2:14" ht="15.75" x14ac:dyDescent="0.25">
      <c r="B138" s="23">
        <f ca="1">IF(LoanIsGood,IF(ROW()-ROW(PaymentSchedule3[[#Headers],[Payment Number]])&gt;ScheduledNumberOfPayments,"",ROW()-ROW(PaymentSchedule3[[#Headers],[Payment Number]])),"")</f>
        <v>121</v>
      </c>
      <c r="C138" s="24">
        <f ca="1">IF(PaymentSchedule3[[#This Row],[Payment Number]]&lt;&gt;"",EOMONTH(LoanStartDate,ROW(PaymentSchedule3[[#This Row],[Payment Number]])-ROW(PaymentSchedule3[[#Headers],[Payment Number]])-2)+DAY(LoanStartDate),"")</f>
        <v>48286</v>
      </c>
      <c r="D138" s="25">
        <f ca="1">IF(PaymentSchedule3[[#This Row],[Payment Number]]&lt;&gt;"",IF(ROW()-ROW(PaymentSchedule3[[#Headers],[Beginning
Balance]])=1,LoanAmount,INDEX(PaymentSchedule3[Ending
Balance],ROW()-ROW(PaymentSchedule3[[#Headers],[Beginning
Balance]])-1)),"")</f>
        <v>82358.840298130104</v>
      </c>
      <c r="E138" s="25">
        <f ca="1">IF(PaymentSchedule3[[#This Row],[Payment Number]]&lt;&gt;"",ScheduledPayment,"")</f>
        <v>543.5318932997908</v>
      </c>
      <c r="F1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8" s="25">
        <f ca="1">IF(PaymentSchedule3[[#This Row],[Payment Number]]&lt;&gt;"",PaymentSchedule3[[#This Row],[Total
Payment]]-PaymentSchedule3[[#This Row],[Interest]],"")</f>
        <v>200.37005872424868</v>
      </c>
      <c r="I138" s="25">
        <f ca="1">IF(PaymentSchedule3[[#This Row],[Payment Number]]&lt;&gt;"",PaymentSchedule3[[#This Row],[Beginning
Balance]]*(InterestRate/PaymentsPerYear),"")</f>
        <v>343.16183457554212</v>
      </c>
      <c r="J138" s="25">
        <f ca="1">IF(PaymentSchedule3[[#This Row],[Payment Number]]&lt;&gt;"",IF(PaymentSchedule3[[#This Row],[Scheduled Payment]]+PaymentSchedule3[[#This Row],[Extra
Payment]]&lt;=PaymentSchedule3[[#This Row],[Beginning
Balance]],PaymentSchedule3[[#This Row],[Beginning
Balance]]-PaymentSchedule3[[#This Row],[Principal]],0),"")</f>
        <v>82158.470239405855</v>
      </c>
      <c r="K138" s="25">
        <f ca="1">IF(PaymentSchedule3[[#This Row],[Payment Number]]&lt;&gt;"",SUM(INDEX(PaymentSchedule3[Interest],1,1):PaymentSchedule3[[#This Row],[Interest]]),"")</f>
        <v>46675.829328680513</v>
      </c>
      <c r="L138" s="49">
        <f ca="1">LoanAmount-PaymentSchedule3[[#This Row],[Ending
Balance]]</f>
        <v>19091.529760594145</v>
      </c>
      <c r="M138" s="49">
        <f t="shared" ca="1" si="1"/>
        <v>908.5318932997908</v>
      </c>
      <c r="N138" s="25">
        <f ca="1">PaymentSchedule3[[#This Row],[Payment Number]]*$M$19</f>
        <v>109932.35908927469</v>
      </c>
    </row>
    <row r="139" spans="2:14" ht="15.75" x14ac:dyDescent="0.25">
      <c r="B139" s="23">
        <f ca="1">IF(LoanIsGood,IF(ROW()-ROW(PaymentSchedule3[[#Headers],[Payment Number]])&gt;ScheduledNumberOfPayments,"",ROW()-ROW(PaymentSchedule3[[#Headers],[Payment Number]])),"")</f>
        <v>122</v>
      </c>
      <c r="C139" s="24">
        <f ca="1">IF(PaymentSchedule3[[#This Row],[Payment Number]]&lt;&gt;"",EOMONTH(LoanStartDate,ROW(PaymentSchedule3[[#This Row],[Payment Number]])-ROW(PaymentSchedule3[[#Headers],[Payment Number]])-2)+DAY(LoanStartDate),"")</f>
        <v>48317</v>
      </c>
      <c r="D139" s="25">
        <f ca="1">IF(PaymentSchedule3[[#This Row],[Payment Number]]&lt;&gt;"",IF(ROW()-ROW(PaymentSchedule3[[#Headers],[Beginning
Balance]])=1,LoanAmount,INDEX(PaymentSchedule3[Ending
Balance],ROW()-ROW(PaymentSchedule3[[#Headers],[Beginning
Balance]])-1)),"")</f>
        <v>82158.470239405855</v>
      </c>
      <c r="E139" s="25">
        <f ca="1">IF(PaymentSchedule3[[#This Row],[Payment Number]]&lt;&gt;"",ScheduledPayment,"")</f>
        <v>543.5318932997908</v>
      </c>
      <c r="F1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39" s="25">
        <f ca="1">IF(PaymentSchedule3[[#This Row],[Payment Number]]&lt;&gt;"",PaymentSchedule3[[#This Row],[Total
Payment]]-PaymentSchedule3[[#This Row],[Interest]],"")</f>
        <v>201.20493396893306</v>
      </c>
      <c r="I139" s="25">
        <f ca="1">IF(PaymentSchedule3[[#This Row],[Payment Number]]&lt;&gt;"",PaymentSchedule3[[#This Row],[Beginning
Balance]]*(InterestRate/PaymentsPerYear),"")</f>
        <v>342.32695933085773</v>
      </c>
      <c r="J139" s="25">
        <f ca="1">IF(PaymentSchedule3[[#This Row],[Payment Number]]&lt;&gt;"",IF(PaymentSchedule3[[#This Row],[Scheduled Payment]]+PaymentSchedule3[[#This Row],[Extra
Payment]]&lt;=PaymentSchedule3[[#This Row],[Beginning
Balance]],PaymentSchedule3[[#This Row],[Beginning
Balance]]-PaymentSchedule3[[#This Row],[Principal]],0),"")</f>
        <v>81957.265305436915</v>
      </c>
      <c r="K139" s="25">
        <f ca="1">IF(PaymentSchedule3[[#This Row],[Payment Number]]&lt;&gt;"",SUM(INDEX(PaymentSchedule3[Interest],1,1):PaymentSchedule3[[#This Row],[Interest]]),"")</f>
        <v>47018.156288011371</v>
      </c>
      <c r="L139" s="49">
        <f ca="1">LoanAmount-PaymentSchedule3[[#This Row],[Ending
Balance]]</f>
        <v>19292.734694563085</v>
      </c>
      <c r="M139" s="49">
        <f t="shared" ca="1" si="1"/>
        <v>908.5318932997908</v>
      </c>
      <c r="N139" s="25">
        <f ca="1">PaymentSchedule3[[#This Row],[Payment Number]]*$M$19</f>
        <v>110840.89098257448</v>
      </c>
    </row>
    <row r="140" spans="2:14" ht="15.75" x14ac:dyDescent="0.25">
      <c r="B140" s="23">
        <f ca="1">IF(LoanIsGood,IF(ROW()-ROW(PaymentSchedule3[[#Headers],[Payment Number]])&gt;ScheduledNumberOfPayments,"",ROW()-ROW(PaymentSchedule3[[#Headers],[Payment Number]])),"")</f>
        <v>123</v>
      </c>
      <c r="C140" s="24">
        <f ca="1">IF(PaymentSchedule3[[#This Row],[Payment Number]]&lt;&gt;"",EOMONTH(LoanStartDate,ROW(PaymentSchedule3[[#This Row],[Payment Number]])-ROW(PaymentSchedule3[[#Headers],[Payment Number]])-2)+DAY(LoanStartDate),"")</f>
        <v>48347</v>
      </c>
      <c r="D140" s="25">
        <f ca="1">IF(PaymentSchedule3[[#This Row],[Payment Number]]&lt;&gt;"",IF(ROW()-ROW(PaymentSchedule3[[#Headers],[Beginning
Balance]])=1,LoanAmount,INDEX(PaymentSchedule3[Ending
Balance],ROW()-ROW(PaymentSchedule3[[#Headers],[Beginning
Balance]])-1)),"")</f>
        <v>81957.265305436915</v>
      </c>
      <c r="E140" s="25">
        <f ca="1">IF(PaymentSchedule3[[#This Row],[Payment Number]]&lt;&gt;"",ScheduledPayment,"")</f>
        <v>543.5318932997908</v>
      </c>
      <c r="F1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0" s="25">
        <f ca="1">IF(PaymentSchedule3[[#This Row],[Payment Number]]&lt;&gt;"",PaymentSchedule3[[#This Row],[Total
Payment]]-PaymentSchedule3[[#This Row],[Interest]],"")</f>
        <v>202.04328786047034</v>
      </c>
      <c r="I140" s="25">
        <f ca="1">IF(PaymentSchedule3[[#This Row],[Payment Number]]&lt;&gt;"",PaymentSchedule3[[#This Row],[Beginning
Balance]]*(InterestRate/PaymentsPerYear),"")</f>
        <v>341.48860543932045</v>
      </c>
      <c r="J140" s="25">
        <f ca="1">IF(PaymentSchedule3[[#This Row],[Payment Number]]&lt;&gt;"",IF(PaymentSchedule3[[#This Row],[Scheduled Payment]]+PaymentSchedule3[[#This Row],[Extra
Payment]]&lt;=PaymentSchedule3[[#This Row],[Beginning
Balance]],PaymentSchedule3[[#This Row],[Beginning
Balance]]-PaymentSchedule3[[#This Row],[Principal]],0),"")</f>
        <v>81755.222017576438</v>
      </c>
      <c r="K140" s="25">
        <f ca="1">IF(PaymentSchedule3[[#This Row],[Payment Number]]&lt;&gt;"",SUM(INDEX(PaymentSchedule3[Interest],1,1):PaymentSchedule3[[#This Row],[Interest]]),"")</f>
        <v>47359.644893450692</v>
      </c>
      <c r="L140" s="49">
        <f ca="1">LoanAmount-PaymentSchedule3[[#This Row],[Ending
Balance]]</f>
        <v>19494.777982423562</v>
      </c>
      <c r="M140" s="49">
        <f t="shared" ca="1" si="1"/>
        <v>908.5318932997908</v>
      </c>
      <c r="N140" s="25">
        <f ca="1">PaymentSchedule3[[#This Row],[Payment Number]]*$M$19</f>
        <v>111749.42287587427</v>
      </c>
    </row>
    <row r="141" spans="2:14" ht="15.75" x14ac:dyDescent="0.25">
      <c r="B141" s="23">
        <f ca="1">IF(LoanIsGood,IF(ROW()-ROW(PaymentSchedule3[[#Headers],[Payment Number]])&gt;ScheduledNumberOfPayments,"",ROW()-ROW(PaymentSchedule3[[#Headers],[Payment Number]])),"")</f>
        <v>124</v>
      </c>
      <c r="C141" s="24">
        <f ca="1">IF(PaymentSchedule3[[#This Row],[Payment Number]]&lt;&gt;"",EOMONTH(LoanStartDate,ROW(PaymentSchedule3[[#This Row],[Payment Number]])-ROW(PaymentSchedule3[[#Headers],[Payment Number]])-2)+DAY(LoanStartDate),"")</f>
        <v>48378</v>
      </c>
      <c r="D141" s="25">
        <f ca="1">IF(PaymentSchedule3[[#This Row],[Payment Number]]&lt;&gt;"",IF(ROW()-ROW(PaymentSchedule3[[#Headers],[Beginning
Balance]])=1,LoanAmount,INDEX(PaymentSchedule3[Ending
Balance],ROW()-ROW(PaymentSchedule3[[#Headers],[Beginning
Balance]])-1)),"")</f>
        <v>81755.222017576438</v>
      </c>
      <c r="E141" s="25">
        <f ca="1">IF(PaymentSchedule3[[#This Row],[Payment Number]]&lt;&gt;"",ScheduledPayment,"")</f>
        <v>543.5318932997908</v>
      </c>
      <c r="F1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1" s="25">
        <f ca="1">IF(PaymentSchedule3[[#This Row],[Payment Number]]&lt;&gt;"",PaymentSchedule3[[#This Row],[Total
Payment]]-PaymentSchedule3[[#This Row],[Interest]],"")</f>
        <v>202.8851348932223</v>
      </c>
      <c r="I141" s="25">
        <f ca="1">IF(PaymentSchedule3[[#This Row],[Payment Number]]&lt;&gt;"",PaymentSchedule3[[#This Row],[Beginning
Balance]]*(InterestRate/PaymentsPerYear),"")</f>
        <v>340.64675840656849</v>
      </c>
      <c r="J141" s="25">
        <f ca="1">IF(PaymentSchedule3[[#This Row],[Payment Number]]&lt;&gt;"",IF(PaymentSchedule3[[#This Row],[Scheduled Payment]]+PaymentSchedule3[[#This Row],[Extra
Payment]]&lt;=PaymentSchedule3[[#This Row],[Beginning
Balance]],PaymentSchedule3[[#This Row],[Beginning
Balance]]-PaymentSchedule3[[#This Row],[Principal]],0),"")</f>
        <v>81552.336882683216</v>
      </c>
      <c r="K141" s="25">
        <f ca="1">IF(PaymentSchedule3[[#This Row],[Payment Number]]&lt;&gt;"",SUM(INDEX(PaymentSchedule3[Interest],1,1):PaymentSchedule3[[#This Row],[Interest]]),"")</f>
        <v>47700.29165185726</v>
      </c>
      <c r="L141" s="49">
        <f ca="1">LoanAmount-PaymentSchedule3[[#This Row],[Ending
Balance]]</f>
        <v>19697.663117316784</v>
      </c>
      <c r="M141" s="49">
        <f t="shared" ca="1" si="1"/>
        <v>908.5318932997908</v>
      </c>
      <c r="N141" s="25">
        <f ca="1">PaymentSchedule3[[#This Row],[Payment Number]]*$M$19</f>
        <v>112657.95476917406</v>
      </c>
    </row>
    <row r="142" spans="2:14" ht="15.75" x14ac:dyDescent="0.25">
      <c r="B142" s="23">
        <f ca="1">IF(LoanIsGood,IF(ROW()-ROW(PaymentSchedule3[[#Headers],[Payment Number]])&gt;ScheduledNumberOfPayments,"",ROW()-ROW(PaymentSchedule3[[#Headers],[Payment Number]])),"")</f>
        <v>125</v>
      </c>
      <c r="C142" s="24">
        <f ca="1">IF(PaymentSchedule3[[#This Row],[Payment Number]]&lt;&gt;"",EOMONTH(LoanStartDate,ROW(PaymentSchedule3[[#This Row],[Payment Number]])-ROW(PaymentSchedule3[[#Headers],[Payment Number]])-2)+DAY(LoanStartDate),"")</f>
        <v>48408</v>
      </c>
      <c r="D142" s="25">
        <f ca="1">IF(PaymentSchedule3[[#This Row],[Payment Number]]&lt;&gt;"",IF(ROW()-ROW(PaymentSchedule3[[#Headers],[Beginning
Balance]])=1,LoanAmount,INDEX(PaymentSchedule3[Ending
Balance],ROW()-ROW(PaymentSchedule3[[#Headers],[Beginning
Balance]])-1)),"")</f>
        <v>81552.336882683216</v>
      </c>
      <c r="E142" s="25">
        <f ca="1">IF(PaymentSchedule3[[#This Row],[Payment Number]]&lt;&gt;"",ScheduledPayment,"")</f>
        <v>543.5318932997908</v>
      </c>
      <c r="F1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2" s="25">
        <f ca="1">IF(PaymentSchedule3[[#This Row],[Payment Number]]&lt;&gt;"",PaymentSchedule3[[#This Row],[Total
Payment]]-PaymentSchedule3[[#This Row],[Interest]],"")</f>
        <v>203.73048962194406</v>
      </c>
      <c r="I142" s="25">
        <f ca="1">IF(PaymentSchedule3[[#This Row],[Payment Number]]&lt;&gt;"",PaymentSchedule3[[#This Row],[Beginning
Balance]]*(InterestRate/PaymentsPerYear),"")</f>
        <v>339.80140367784674</v>
      </c>
      <c r="J142" s="25">
        <f ca="1">IF(PaymentSchedule3[[#This Row],[Payment Number]]&lt;&gt;"",IF(PaymentSchedule3[[#This Row],[Scheduled Payment]]+PaymentSchedule3[[#This Row],[Extra
Payment]]&lt;=PaymentSchedule3[[#This Row],[Beginning
Balance]],PaymentSchedule3[[#This Row],[Beginning
Balance]]-PaymentSchedule3[[#This Row],[Principal]],0),"")</f>
        <v>81348.606393061273</v>
      </c>
      <c r="K142" s="25">
        <f ca="1">IF(PaymentSchedule3[[#This Row],[Payment Number]]&lt;&gt;"",SUM(INDEX(PaymentSchedule3[Interest],1,1):PaymentSchedule3[[#This Row],[Interest]]),"")</f>
        <v>48040.093055535108</v>
      </c>
      <c r="L142" s="49">
        <f ca="1">LoanAmount-PaymentSchedule3[[#This Row],[Ending
Balance]]</f>
        <v>19901.393606938727</v>
      </c>
      <c r="M142" s="49">
        <f t="shared" ca="1" si="1"/>
        <v>908.5318932997908</v>
      </c>
      <c r="N142" s="25">
        <f ca="1">PaymentSchedule3[[#This Row],[Payment Number]]*$M$19</f>
        <v>113566.48666247385</v>
      </c>
    </row>
    <row r="143" spans="2:14" ht="15.75" x14ac:dyDescent="0.25">
      <c r="B143" s="23">
        <f ca="1">IF(LoanIsGood,IF(ROW()-ROW(PaymentSchedule3[[#Headers],[Payment Number]])&gt;ScheduledNumberOfPayments,"",ROW()-ROW(PaymentSchedule3[[#Headers],[Payment Number]])),"")</f>
        <v>126</v>
      </c>
      <c r="C143" s="24">
        <f ca="1">IF(PaymentSchedule3[[#This Row],[Payment Number]]&lt;&gt;"",EOMONTH(LoanStartDate,ROW(PaymentSchedule3[[#This Row],[Payment Number]])-ROW(PaymentSchedule3[[#Headers],[Payment Number]])-2)+DAY(LoanStartDate),"")</f>
        <v>48439</v>
      </c>
      <c r="D143" s="25">
        <f ca="1">IF(PaymentSchedule3[[#This Row],[Payment Number]]&lt;&gt;"",IF(ROW()-ROW(PaymentSchedule3[[#Headers],[Beginning
Balance]])=1,LoanAmount,INDEX(PaymentSchedule3[Ending
Balance],ROW()-ROW(PaymentSchedule3[[#Headers],[Beginning
Balance]])-1)),"")</f>
        <v>81348.606393061273</v>
      </c>
      <c r="E143" s="25">
        <f ca="1">IF(PaymentSchedule3[[#This Row],[Payment Number]]&lt;&gt;"",ScheduledPayment,"")</f>
        <v>543.5318932997908</v>
      </c>
      <c r="F1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3" s="25">
        <f ca="1">IF(PaymentSchedule3[[#This Row],[Payment Number]]&lt;&gt;"",PaymentSchedule3[[#This Row],[Total
Payment]]-PaymentSchedule3[[#This Row],[Interest]],"")</f>
        <v>204.57936666203551</v>
      </c>
      <c r="I143" s="25">
        <f ca="1">IF(PaymentSchedule3[[#This Row],[Payment Number]]&lt;&gt;"",PaymentSchedule3[[#This Row],[Beginning
Balance]]*(InterestRate/PaymentsPerYear),"")</f>
        <v>338.95252663775528</v>
      </c>
      <c r="J143" s="25">
        <f ca="1">IF(PaymentSchedule3[[#This Row],[Payment Number]]&lt;&gt;"",IF(PaymentSchedule3[[#This Row],[Scheduled Payment]]+PaymentSchedule3[[#This Row],[Extra
Payment]]&lt;=PaymentSchedule3[[#This Row],[Beginning
Balance]],PaymentSchedule3[[#This Row],[Beginning
Balance]]-PaymentSchedule3[[#This Row],[Principal]],0),"")</f>
        <v>81144.027026399242</v>
      </c>
      <c r="K143" s="25">
        <f ca="1">IF(PaymentSchedule3[[#This Row],[Payment Number]]&lt;&gt;"",SUM(INDEX(PaymentSchedule3[Interest],1,1):PaymentSchedule3[[#This Row],[Interest]]),"")</f>
        <v>48379.045582172861</v>
      </c>
      <c r="L143" s="49">
        <f ca="1">LoanAmount-PaymentSchedule3[[#This Row],[Ending
Balance]]</f>
        <v>20105.972973600758</v>
      </c>
      <c r="M143" s="49">
        <f t="shared" ca="1" si="1"/>
        <v>908.5318932997908</v>
      </c>
      <c r="N143" s="25">
        <f ca="1">PaymentSchedule3[[#This Row],[Payment Number]]*$M$19</f>
        <v>114475.01855577364</v>
      </c>
    </row>
    <row r="144" spans="2:14" ht="15.75" x14ac:dyDescent="0.25">
      <c r="B144" s="23">
        <f ca="1">IF(LoanIsGood,IF(ROW()-ROW(PaymentSchedule3[[#Headers],[Payment Number]])&gt;ScheduledNumberOfPayments,"",ROW()-ROW(PaymentSchedule3[[#Headers],[Payment Number]])),"")</f>
        <v>127</v>
      </c>
      <c r="C144" s="24">
        <f ca="1">IF(PaymentSchedule3[[#This Row],[Payment Number]]&lt;&gt;"",EOMONTH(LoanStartDate,ROW(PaymentSchedule3[[#This Row],[Payment Number]])-ROW(PaymentSchedule3[[#Headers],[Payment Number]])-2)+DAY(LoanStartDate),"")</f>
        <v>48470</v>
      </c>
      <c r="D144" s="25">
        <f ca="1">IF(PaymentSchedule3[[#This Row],[Payment Number]]&lt;&gt;"",IF(ROW()-ROW(PaymentSchedule3[[#Headers],[Beginning
Balance]])=1,LoanAmount,INDEX(PaymentSchedule3[Ending
Balance],ROW()-ROW(PaymentSchedule3[[#Headers],[Beginning
Balance]])-1)),"")</f>
        <v>81144.027026399242</v>
      </c>
      <c r="E144" s="25">
        <f ca="1">IF(PaymentSchedule3[[#This Row],[Payment Number]]&lt;&gt;"",ScheduledPayment,"")</f>
        <v>543.5318932997908</v>
      </c>
      <c r="F1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4" s="25">
        <f ca="1">IF(PaymentSchedule3[[#This Row],[Payment Number]]&lt;&gt;"",PaymentSchedule3[[#This Row],[Total
Payment]]-PaymentSchedule3[[#This Row],[Interest]],"")</f>
        <v>205.43178068979398</v>
      </c>
      <c r="I144" s="25">
        <f ca="1">IF(PaymentSchedule3[[#This Row],[Payment Number]]&lt;&gt;"",PaymentSchedule3[[#This Row],[Beginning
Balance]]*(InterestRate/PaymentsPerYear),"")</f>
        <v>338.10011260999681</v>
      </c>
      <c r="J144" s="25">
        <f ca="1">IF(PaymentSchedule3[[#This Row],[Payment Number]]&lt;&gt;"",IF(PaymentSchedule3[[#This Row],[Scheduled Payment]]+PaymentSchedule3[[#This Row],[Extra
Payment]]&lt;=PaymentSchedule3[[#This Row],[Beginning
Balance]],PaymentSchedule3[[#This Row],[Beginning
Balance]]-PaymentSchedule3[[#This Row],[Principal]],0),"")</f>
        <v>80938.595245709454</v>
      </c>
      <c r="K144" s="25">
        <f ca="1">IF(PaymentSchedule3[[#This Row],[Payment Number]]&lt;&gt;"",SUM(INDEX(PaymentSchedule3[Interest],1,1):PaymentSchedule3[[#This Row],[Interest]]),"")</f>
        <v>48717.145694782856</v>
      </c>
      <c r="L144" s="49">
        <f ca="1">LoanAmount-PaymentSchedule3[[#This Row],[Ending
Balance]]</f>
        <v>20311.404754290546</v>
      </c>
      <c r="M144" s="49">
        <f t="shared" ca="1" si="1"/>
        <v>908.5318932997908</v>
      </c>
      <c r="N144" s="25">
        <f ca="1">PaymentSchedule3[[#This Row],[Payment Number]]*$M$19</f>
        <v>115383.55044907343</v>
      </c>
    </row>
    <row r="145" spans="2:14" ht="15.75" x14ac:dyDescent="0.25">
      <c r="B145" s="23">
        <f ca="1">IF(LoanIsGood,IF(ROW()-ROW(PaymentSchedule3[[#Headers],[Payment Number]])&gt;ScheduledNumberOfPayments,"",ROW()-ROW(PaymentSchedule3[[#Headers],[Payment Number]])),"")</f>
        <v>128</v>
      </c>
      <c r="C145" s="24">
        <f ca="1">IF(PaymentSchedule3[[#This Row],[Payment Number]]&lt;&gt;"",EOMONTH(LoanStartDate,ROW(PaymentSchedule3[[#This Row],[Payment Number]])-ROW(PaymentSchedule3[[#Headers],[Payment Number]])-2)+DAY(LoanStartDate),"")</f>
        <v>48500</v>
      </c>
      <c r="D145" s="25">
        <f ca="1">IF(PaymentSchedule3[[#This Row],[Payment Number]]&lt;&gt;"",IF(ROW()-ROW(PaymentSchedule3[[#Headers],[Beginning
Balance]])=1,LoanAmount,INDEX(PaymentSchedule3[Ending
Balance],ROW()-ROW(PaymentSchedule3[[#Headers],[Beginning
Balance]])-1)),"")</f>
        <v>80938.595245709454</v>
      </c>
      <c r="E145" s="25">
        <f ca="1">IF(PaymentSchedule3[[#This Row],[Payment Number]]&lt;&gt;"",ScheduledPayment,"")</f>
        <v>543.5318932997908</v>
      </c>
      <c r="F1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5" s="25">
        <f ca="1">IF(PaymentSchedule3[[#This Row],[Payment Number]]&lt;&gt;"",PaymentSchedule3[[#This Row],[Total
Payment]]-PaymentSchedule3[[#This Row],[Interest]],"")</f>
        <v>206.28774644266809</v>
      </c>
      <c r="I145" s="25">
        <f ca="1">IF(PaymentSchedule3[[#This Row],[Payment Number]]&lt;&gt;"",PaymentSchedule3[[#This Row],[Beginning
Balance]]*(InterestRate/PaymentsPerYear),"")</f>
        <v>337.2441468571227</v>
      </c>
      <c r="J145" s="25">
        <f ca="1">IF(PaymentSchedule3[[#This Row],[Payment Number]]&lt;&gt;"",IF(PaymentSchedule3[[#This Row],[Scheduled Payment]]+PaymentSchedule3[[#This Row],[Extra
Payment]]&lt;=PaymentSchedule3[[#This Row],[Beginning
Balance]],PaymentSchedule3[[#This Row],[Beginning
Balance]]-PaymentSchedule3[[#This Row],[Principal]],0),"")</f>
        <v>80732.307499266783</v>
      </c>
      <c r="K145" s="25">
        <f ca="1">IF(PaymentSchedule3[[#This Row],[Payment Number]]&lt;&gt;"",SUM(INDEX(PaymentSchedule3[Interest],1,1):PaymentSchedule3[[#This Row],[Interest]]),"")</f>
        <v>49054.389841639975</v>
      </c>
      <c r="L145" s="49">
        <f ca="1">LoanAmount-PaymentSchedule3[[#This Row],[Ending
Balance]]</f>
        <v>20517.692500733217</v>
      </c>
      <c r="M145" s="49">
        <f t="shared" ca="1" si="1"/>
        <v>908.5318932997908</v>
      </c>
      <c r="N145" s="25">
        <f ca="1">PaymentSchedule3[[#This Row],[Payment Number]]*$M$19</f>
        <v>116292.08234237322</v>
      </c>
    </row>
    <row r="146" spans="2:14" ht="15.75" x14ac:dyDescent="0.25">
      <c r="B146" s="23">
        <f ca="1">IF(LoanIsGood,IF(ROW()-ROW(PaymentSchedule3[[#Headers],[Payment Number]])&gt;ScheduledNumberOfPayments,"",ROW()-ROW(PaymentSchedule3[[#Headers],[Payment Number]])),"")</f>
        <v>129</v>
      </c>
      <c r="C146" s="24">
        <f ca="1">IF(PaymentSchedule3[[#This Row],[Payment Number]]&lt;&gt;"",EOMONTH(LoanStartDate,ROW(PaymentSchedule3[[#This Row],[Payment Number]])-ROW(PaymentSchedule3[[#Headers],[Payment Number]])-2)+DAY(LoanStartDate),"")</f>
        <v>48531</v>
      </c>
      <c r="D146" s="25">
        <f ca="1">IF(PaymentSchedule3[[#This Row],[Payment Number]]&lt;&gt;"",IF(ROW()-ROW(PaymentSchedule3[[#Headers],[Beginning
Balance]])=1,LoanAmount,INDEX(PaymentSchedule3[Ending
Balance],ROW()-ROW(PaymentSchedule3[[#Headers],[Beginning
Balance]])-1)),"")</f>
        <v>80732.307499266783</v>
      </c>
      <c r="E146" s="25">
        <f ca="1">IF(PaymentSchedule3[[#This Row],[Payment Number]]&lt;&gt;"",ScheduledPayment,"")</f>
        <v>543.5318932997908</v>
      </c>
      <c r="F1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6" s="25">
        <f ca="1">IF(PaymentSchedule3[[#This Row],[Payment Number]]&lt;&gt;"",PaymentSchedule3[[#This Row],[Total
Payment]]-PaymentSchedule3[[#This Row],[Interest]],"")</f>
        <v>207.14727871951254</v>
      </c>
      <c r="I146" s="25">
        <f ca="1">IF(PaymentSchedule3[[#This Row],[Payment Number]]&lt;&gt;"",PaymentSchedule3[[#This Row],[Beginning
Balance]]*(InterestRate/PaymentsPerYear),"")</f>
        <v>336.38461458027825</v>
      </c>
      <c r="J146" s="25">
        <f ca="1">IF(PaymentSchedule3[[#This Row],[Payment Number]]&lt;&gt;"",IF(PaymentSchedule3[[#This Row],[Scheduled Payment]]+PaymentSchedule3[[#This Row],[Extra
Payment]]&lt;=PaymentSchedule3[[#This Row],[Beginning
Balance]],PaymentSchedule3[[#This Row],[Beginning
Balance]]-PaymentSchedule3[[#This Row],[Principal]],0),"")</f>
        <v>80525.160220547274</v>
      </c>
      <c r="K146" s="25">
        <f ca="1">IF(PaymentSchedule3[[#This Row],[Payment Number]]&lt;&gt;"",SUM(INDEX(PaymentSchedule3[Interest],1,1):PaymentSchedule3[[#This Row],[Interest]]),"")</f>
        <v>49390.774456220257</v>
      </c>
      <c r="L146" s="49">
        <f ca="1">LoanAmount-PaymentSchedule3[[#This Row],[Ending
Balance]]</f>
        <v>20724.839779452726</v>
      </c>
      <c r="M146" s="49">
        <f t="shared" ref="M146:M209" ca="1" si="2">G147+$N$7+N$8+$N$9</f>
        <v>908.5318932997908</v>
      </c>
      <c r="N146" s="25">
        <f ca="1">PaymentSchedule3[[#This Row],[Payment Number]]*$M$19</f>
        <v>117200.61423567301</v>
      </c>
    </row>
    <row r="147" spans="2:14" ht="15.75" x14ac:dyDescent="0.25">
      <c r="B147" s="23">
        <f ca="1">IF(LoanIsGood,IF(ROW()-ROW(PaymentSchedule3[[#Headers],[Payment Number]])&gt;ScheduledNumberOfPayments,"",ROW()-ROW(PaymentSchedule3[[#Headers],[Payment Number]])),"")</f>
        <v>130</v>
      </c>
      <c r="C147" s="24">
        <f ca="1">IF(PaymentSchedule3[[#This Row],[Payment Number]]&lt;&gt;"",EOMONTH(LoanStartDate,ROW(PaymentSchedule3[[#This Row],[Payment Number]])-ROW(PaymentSchedule3[[#Headers],[Payment Number]])-2)+DAY(LoanStartDate),"")</f>
        <v>48561</v>
      </c>
      <c r="D147" s="25">
        <f ca="1">IF(PaymentSchedule3[[#This Row],[Payment Number]]&lt;&gt;"",IF(ROW()-ROW(PaymentSchedule3[[#Headers],[Beginning
Balance]])=1,LoanAmount,INDEX(PaymentSchedule3[Ending
Balance],ROW()-ROW(PaymentSchedule3[[#Headers],[Beginning
Balance]])-1)),"")</f>
        <v>80525.160220547274</v>
      </c>
      <c r="E147" s="25">
        <f ca="1">IF(PaymentSchedule3[[#This Row],[Payment Number]]&lt;&gt;"",ScheduledPayment,"")</f>
        <v>543.5318932997908</v>
      </c>
      <c r="F1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7" s="25">
        <f ca="1">IF(PaymentSchedule3[[#This Row],[Payment Number]]&lt;&gt;"",PaymentSchedule3[[#This Row],[Total
Payment]]-PaymentSchedule3[[#This Row],[Interest]],"")</f>
        <v>208.01039238084383</v>
      </c>
      <c r="I147" s="25">
        <f ca="1">IF(PaymentSchedule3[[#This Row],[Payment Number]]&lt;&gt;"",PaymentSchedule3[[#This Row],[Beginning
Balance]]*(InterestRate/PaymentsPerYear),"")</f>
        <v>335.52150091894697</v>
      </c>
      <c r="J147" s="25">
        <f ca="1">IF(PaymentSchedule3[[#This Row],[Payment Number]]&lt;&gt;"",IF(PaymentSchedule3[[#This Row],[Scheduled Payment]]+PaymentSchedule3[[#This Row],[Extra
Payment]]&lt;=PaymentSchedule3[[#This Row],[Beginning
Balance]],PaymentSchedule3[[#This Row],[Beginning
Balance]]-PaymentSchedule3[[#This Row],[Principal]],0),"")</f>
        <v>80317.149828166424</v>
      </c>
      <c r="K147" s="25">
        <f ca="1">IF(PaymentSchedule3[[#This Row],[Payment Number]]&lt;&gt;"",SUM(INDEX(PaymentSchedule3[Interest],1,1):PaymentSchedule3[[#This Row],[Interest]]),"")</f>
        <v>49726.295957139206</v>
      </c>
      <c r="L147" s="49">
        <f ca="1">LoanAmount-PaymentSchedule3[[#This Row],[Ending
Balance]]</f>
        <v>20932.850171833576</v>
      </c>
      <c r="M147" s="49">
        <f t="shared" ca="1" si="2"/>
        <v>908.5318932997908</v>
      </c>
      <c r="N147" s="25">
        <f ca="1">PaymentSchedule3[[#This Row],[Payment Number]]*$M$19</f>
        <v>118109.1461289728</v>
      </c>
    </row>
    <row r="148" spans="2:14" ht="15.75" x14ac:dyDescent="0.25">
      <c r="B148" s="23">
        <f ca="1">IF(LoanIsGood,IF(ROW()-ROW(PaymentSchedule3[[#Headers],[Payment Number]])&gt;ScheduledNumberOfPayments,"",ROW()-ROW(PaymentSchedule3[[#Headers],[Payment Number]])),"")</f>
        <v>131</v>
      </c>
      <c r="C148" s="24">
        <f ca="1">IF(PaymentSchedule3[[#This Row],[Payment Number]]&lt;&gt;"",EOMONTH(LoanStartDate,ROW(PaymentSchedule3[[#This Row],[Payment Number]])-ROW(PaymentSchedule3[[#Headers],[Payment Number]])-2)+DAY(LoanStartDate),"")</f>
        <v>48592</v>
      </c>
      <c r="D148" s="25">
        <f ca="1">IF(PaymentSchedule3[[#This Row],[Payment Number]]&lt;&gt;"",IF(ROW()-ROW(PaymentSchedule3[[#Headers],[Beginning
Balance]])=1,LoanAmount,INDEX(PaymentSchedule3[Ending
Balance],ROW()-ROW(PaymentSchedule3[[#Headers],[Beginning
Balance]])-1)),"")</f>
        <v>80317.149828166424</v>
      </c>
      <c r="E148" s="25">
        <f ca="1">IF(PaymentSchedule3[[#This Row],[Payment Number]]&lt;&gt;"",ScheduledPayment,"")</f>
        <v>543.5318932997908</v>
      </c>
      <c r="F1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8" s="25">
        <f ca="1">IF(PaymentSchedule3[[#This Row],[Payment Number]]&lt;&gt;"",PaymentSchedule3[[#This Row],[Total
Payment]]-PaymentSchedule3[[#This Row],[Interest]],"")</f>
        <v>208.87710234909736</v>
      </c>
      <c r="I148" s="25">
        <f ca="1">IF(PaymentSchedule3[[#This Row],[Payment Number]]&lt;&gt;"",PaymentSchedule3[[#This Row],[Beginning
Balance]]*(InterestRate/PaymentsPerYear),"")</f>
        <v>334.65479095069344</v>
      </c>
      <c r="J148" s="25">
        <f ca="1">IF(PaymentSchedule3[[#This Row],[Payment Number]]&lt;&gt;"",IF(PaymentSchedule3[[#This Row],[Scheduled Payment]]+PaymentSchedule3[[#This Row],[Extra
Payment]]&lt;=PaymentSchedule3[[#This Row],[Beginning
Balance]],PaymentSchedule3[[#This Row],[Beginning
Balance]]-PaymentSchedule3[[#This Row],[Principal]],0),"")</f>
        <v>80108.272725817325</v>
      </c>
      <c r="K148" s="25">
        <f ca="1">IF(PaymentSchedule3[[#This Row],[Payment Number]]&lt;&gt;"",SUM(INDEX(PaymentSchedule3[Interest],1,1):PaymentSchedule3[[#This Row],[Interest]]),"")</f>
        <v>50060.950748089897</v>
      </c>
      <c r="L148" s="49">
        <f ca="1">LoanAmount-PaymentSchedule3[[#This Row],[Ending
Balance]]</f>
        <v>21141.727274182675</v>
      </c>
      <c r="M148" s="49">
        <f t="shared" ca="1" si="2"/>
        <v>908.5318932997908</v>
      </c>
      <c r="N148" s="25">
        <f ca="1">PaymentSchedule3[[#This Row],[Payment Number]]*$M$19</f>
        <v>119017.67802227259</v>
      </c>
    </row>
    <row r="149" spans="2:14" ht="15.75" x14ac:dyDescent="0.25">
      <c r="B149" s="23">
        <f ca="1">IF(LoanIsGood,IF(ROW()-ROW(PaymentSchedule3[[#Headers],[Payment Number]])&gt;ScheduledNumberOfPayments,"",ROW()-ROW(PaymentSchedule3[[#Headers],[Payment Number]])),"")</f>
        <v>132</v>
      </c>
      <c r="C149" s="24">
        <f ca="1">IF(PaymentSchedule3[[#This Row],[Payment Number]]&lt;&gt;"",EOMONTH(LoanStartDate,ROW(PaymentSchedule3[[#This Row],[Payment Number]])-ROW(PaymentSchedule3[[#Headers],[Payment Number]])-2)+DAY(LoanStartDate),"")</f>
        <v>48623</v>
      </c>
      <c r="D149" s="25">
        <f ca="1">IF(PaymentSchedule3[[#This Row],[Payment Number]]&lt;&gt;"",IF(ROW()-ROW(PaymentSchedule3[[#Headers],[Beginning
Balance]])=1,LoanAmount,INDEX(PaymentSchedule3[Ending
Balance],ROW()-ROW(PaymentSchedule3[[#Headers],[Beginning
Balance]])-1)),"")</f>
        <v>80108.272725817325</v>
      </c>
      <c r="E149" s="25">
        <f ca="1">IF(PaymentSchedule3[[#This Row],[Payment Number]]&lt;&gt;"",ScheduledPayment,"")</f>
        <v>543.5318932997908</v>
      </c>
      <c r="F1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49" s="25">
        <f ca="1">IF(PaymentSchedule3[[#This Row],[Payment Number]]&lt;&gt;"",PaymentSchedule3[[#This Row],[Total
Payment]]-PaymentSchedule3[[#This Row],[Interest]],"")</f>
        <v>209.7474236088853</v>
      </c>
      <c r="I149" s="25">
        <f ca="1">IF(PaymentSchedule3[[#This Row],[Payment Number]]&lt;&gt;"",PaymentSchedule3[[#This Row],[Beginning
Balance]]*(InterestRate/PaymentsPerYear),"")</f>
        <v>333.7844696909055</v>
      </c>
      <c r="J149" s="25">
        <f ca="1">IF(PaymentSchedule3[[#This Row],[Payment Number]]&lt;&gt;"",IF(PaymentSchedule3[[#This Row],[Scheduled Payment]]+PaymentSchedule3[[#This Row],[Extra
Payment]]&lt;=PaymentSchedule3[[#This Row],[Beginning
Balance]],PaymentSchedule3[[#This Row],[Beginning
Balance]]-PaymentSchedule3[[#This Row],[Principal]],0),"")</f>
        <v>79898.525302208436</v>
      </c>
      <c r="K149" s="25">
        <f ca="1">IF(PaymentSchedule3[[#This Row],[Payment Number]]&lt;&gt;"",SUM(INDEX(PaymentSchedule3[Interest],1,1):PaymentSchedule3[[#This Row],[Interest]]),"")</f>
        <v>50394.735217780806</v>
      </c>
      <c r="L149" s="49">
        <f ca="1">LoanAmount-PaymentSchedule3[[#This Row],[Ending
Balance]]</f>
        <v>21351.474697791564</v>
      </c>
      <c r="M149" s="49">
        <f t="shared" ca="1" si="2"/>
        <v>908.5318932997908</v>
      </c>
      <c r="N149" s="25">
        <f ca="1">PaymentSchedule3[[#This Row],[Payment Number]]*$M$19</f>
        <v>119926.20991557238</v>
      </c>
    </row>
    <row r="150" spans="2:14" ht="15.75" x14ac:dyDescent="0.25">
      <c r="B150" s="23">
        <f ca="1">IF(LoanIsGood,IF(ROW()-ROW(PaymentSchedule3[[#Headers],[Payment Number]])&gt;ScheduledNumberOfPayments,"",ROW()-ROW(PaymentSchedule3[[#Headers],[Payment Number]])),"")</f>
        <v>133</v>
      </c>
      <c r="C150" s="24">
        <f ca="1">IF(PaymentSchedule3[[#This Row],[Payment Number]]&lt;&gt;"",EOMONTH(LoanStartDate,ROW(PaymentSchedule3[[#This Row],[Payment Number]])-ROW(PaymentSchedule3[[#Headers],[Payment Number]])-2)+DAY(LoanStartDate),"")</f>
        <v>48651</v>
      </c>
      <c r="D150" s="25">
        <f ca="1">IF(PaymentSchedule3[[#This Row],[Payment Number]]&lt;&gt;"",IF(ROW()-ROW(PaymentSchedule3[[#Headers],[Beginning
Balance]])=1,LoanAmount,INDEX(PaymentSchedule3[Ending
Balance],ROW()-ROW(PaymentSchedule3[[#Headers],[Beginning
Balance]])-1)),"")</f>
        <v>79898.525302208436</v>
      </c>
      <c r="E150" s="25">
        <f ca="1">IF(PaymentSchedule3[[#This Row],[Payment Number]]&lt;&gt;"",ScheduledPayment,"")</f>
        <v>543.5318932997908</v>
      </c>
      <c r="F1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0" s="25">
        <f ca="1">IF(PaymentSchedule3[[#This Row],[Payment Number]]&lt;&gt;"",PaymentSchedule3[[#This Row],[Total
Payment]]-PaymentSchedule3[[#This Row],[Interest]],"")</f>
        <v>210.62137120725566</v>
      </c>
      <c r="I150" s="25">
        <f ca="1">IF(PaymentSchedule3[[#This Row],[Payment Number]]&lt;&gt;"",PaymentSchedule3[[#This Row],[Beginning
Balance]]*(InterestRate/PaymentsPerYear),"")</f>
        <v>332.91052209253513</v>
      </c>
      <c r="J150" s="25">
        <f ca="1">IF(PaymentSchedule3[[#This Row],[Payment Number]]&lt;&gt;"",IF(PaymentSchedule3[[#This Row],[Scheduled Payment]]+PaymentSchedule3[[#This Row],[Extra
Payment]]&lt;=PaymentSchedule3[[#This Row],[Beginning
Balance]],PaymentSchedule3[[#This Row],[Beginning
Balance]]-PaymentSchedule3[[#This Row],[Principal]],0),"")</f>
        <v>79687.903931001187</v>
      </c>
      <c r="K150" s="25">
        <f ca="1">IF(PaymentSchedule3[[#This Row],[Payment Number]]&lt;&gt;"",SUM(INDEX(PaymentSchedule3[Interest],1,1):PaymentSchedule3[[#This Row],[Interest]]),"")</f>
        <v>50727.64573987334</v>
      </c>
      <c r="L150" s="49">
        <f ca="1">LoanAmount-PaymentSchedule3[[#This Row],[Ending
Balance]]</f>
        <v>21562.096068998813</v>
      </c>
      <c r="M150" s="49">
        <f t="shared" ca="1" si="2"/>
        <v>908.5318932997908</v>
      </c>
      <c r="N150" s="25">
        <f ca="1">PaymentSchedule3[[#This Row],[Payment Number]]*$M$19</f>
        <v>120834.74180887218</v>
      </c>
    </row>
    <row r="151" spans="2:14" ht="15.75" x14ac:dyDescent="0.25">
      <c r="B151" s="23">
        <f ca="1">IF(LoanIsGood,IF(ROW()-ROW(PaymentSchedule3[[#Headers],[Payment Number]])&gt;ScheduledNumberOfPayments,"",ROW()-ROW(PaymentSchedule3[[#Headers],[Payment Number]])),"")</f>
        <v>134</v>
      </c>
      <c r="C151" s="24">
        <f ca="1">IF(PaymentSchedule3[[#This Row],[Payment Number]]&lt;&gt;"",EOMONTH(LoanStartDate,ROW(PaymentSchedule3[[#This Row],[Payment Number]])-ROW(PaymentSchedule3[[#Headers],[Payment Number]])-2)+DAY(LoanStartDate),"")</f>
        <v>48682</v>
      </c>
      <c r="D151" s="25">
        <f ca="1">IF(PaymentSchedule3[[#This Row],[Payment Number]]&lt;&gt;"",IF(ROW()-ROW(PaymentSchedule3[[#Headers],[Beginning
Balance]])=1,LoanAmount,INDEX(PaymentSchedule3[Ending
Balance],ROW()-ROW(PaymentSchedule3[[#Headers],[Beginning
Balance]])-1)),"")</f>
        <v>79687.903931001187</v>
      </c>
      <c r="E151" s="25">
        <f ca="1">IF(PaymentSchedule3[[#This Row],[Payment Number]]&lt;&gt;"",ScheduledPayment,"")</f>
        <v>543.5318932997908</v>
      </c>
      <c r="F1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1" s="25">
        <f ca="1">IF(PaymentSchedule3[[#This Row],[Payment Number]]&lt;&gt;"",PaymentSchedule3[[#This Row],[Total
Payment]]-PaymentSchedule3[[#This Row],[Interest]],"")</f>
        <v>211.49896025395253</v>
      </c>
      <c r="I151" s="25">
        <f ca="1">IF(PaymentSchedule3[[#This Row],[Payment Number]]&lt;&gt;"",PaymentSchedule3[[#This Row],[Beginning
Balance]]*(InterestRate/PaymentsPerYear),"")</f>
        <v>332.03293304583826</v>
      </c>
      <c r="J151" s="25">
        <f ca="1">IF(PaymentSchedule3[[#This Row],[Payment Number]]&lt;&gt;"",IF(PaymentSchedule3[[#This Row],[Scheduled Payment]]+PaymentSchedule3[[#This Row],[Extra
Payment]]&lt;=PaymentSchedule3[[#This Row],[Beginning
Balance]],PaymentSchedule3[[#This Row],[Beginning
Balance]]-PaymentSchedule3[[#This Row],[Principal]],0),"")</f>
        <v>79476.40497074723</v>
      </c>
      <c r="K151" s="25">
        <f ca="1">IF(PaymentSchedule3[[#This Row],[Payment Number]]&lt;&gt;"",SUM(INDEX(PaymentSchedule3[Interest],1,1):PaymentSchedule3[[#This Row],[Interest]]),"")</f>
        <v>51059.678672919181</v>
      </c>
      <c r="L151" s="49">
        <f ca="1">LoanAmount-PaymentSchedule3[[#This Row],[Ending
Balance]]</f>
        <v>21773.59502925277</v>
      </c>
      <c r="M151" s="49">
        <f t="shared" ca="1" si="2"/>
        <v>908.5318932997908</v>
      </c>
      <c r="N151" s="25">
        <f ca="1">PaymentSchedule3[[#This Row],[Payment Number]]*$M$19</f>
        <v>121743.27370217197</v>
      </c>
    </row>
    <row r="152" spans="2:14" ht="15.75" x14ac:dyDescent="0.25">
      <c r="B152" s="23">
        <f ca="1">IF(LoanIsGood,IF(ROW()-ROW(PaymentSchedule3[[#Headers],[Payment Number]])&gt;ScheduledNumberOfPayments,"",ROW()-ROW(PaymentSchedule3[[#Headers],[Payment Number]])),"")</f>
        <v>135</v>
      </c>
      <c r="C152" s="24">
        <f ca="1">IF(PaymentSchedule3[[#This Row],[Payment Number]]&lt;&gt;"",EOMONTH(LoanStartDate,ROW(PaymentSchedule3[[#This Row],[Payment Number]])-ROW(PaymentSchedule3[[#Headers],[Payment Number]])-2)+DAY(LoanStartDate),"")</f>
        <v>48712</v>
      </c>
      <c r="D152" s="25">
        <f ca="1">IF(PaymentSchedule3[[#This Row],[Payment Number]]&lt;&gt;"",IF(ROW()-ROW(PaymentSchedule3[[#Headers],[Beginning
Balance]])=1,LoanAmount,INDEX(PaymentSchedule3[Ending
Balance],ROW()-ROW(PaymentSchedule3[[#Headers],[Beginning
Balance]])-1)),"")</f>
        <v>79476.40497074723</v>
      </c>
      <c r="E152" s="25">
        <f ca="1">IF(PaymentSchedule3[[#This Row],[Payment Number]]&lt;&gt;"",ScheduledPayment,"")</f>
        <v>543.5318932997908</v>
      </c>
      <c r="F1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2" s="25">
        <f ca="1">IF(PaymentSchedule3[[#This Row],[Payment Number]]&lt;&gt;"",PaymentSchedule3[[#This Row],[Total
Payment]]-PaymentSchedule3[[#This Row],[Interest]],"")</f>
        <v>212.38020592167732</v>
      </c>
      <c r="I152" s="25">
        <f ca="1">IF(PaymentSchedule3[[#This Row],[Payment Number]]&lt;&gt;"",PaymentSchedule3[[#This Row],[Beginning
Balance]]*(InterestRate/PaymentsPerYear),"")</f>
        <v>331.15168737811348</v>
      </c>
      <c r="J152" s="25">
        <f ca="1">IF(PaymentSchedule3[[#This Row],[Payment Number]]&lt;&gt;"",IF(PaymentSchedule3[[#This Row],[Scheduled Payment]]+PaymentSchedule3[[#This Row],[Extra
Payment]]&lt;=PaymentSchedule3[[#This Row],[Beginning
Balance]],PaymentSchedule3[[#This Row],[Beginning
Balance]]-PaymentSchedule3[[#This Row],[Principal]],0),"")</f>
        <v>79264.024764825546</v>
      </c>
      <c r="K152" s="25">
        <f ca="1">IF(PaymentSchedule3[[#This Row],[Payment Number]]&lt;&gt;"",SUM(INDEX(PaymentSchedule3[Interest],1,1):PaymentSchedule3[[#This Row],[Interest]]),"")</f>
        <v>51390.830360297296</v>
      </c>
      <c r="L152" s="49">
        <f ca="1">LoanAmount-PaymentSchedule3[[#This Row],[Ending
Balance]]</f>
        <v>21985.975235174454</v>
      </c>
      <c r="M152" s="49">
        <f t="shared" ca="1" si="2"/>
        <v>908.5318932997908</v>
      </c>
      <c r="N152" s="25">
        <f ca="1">PaymentSchedule3[[#This Row],[Payment Number]]*$M$19</f>
        <v>122651.80559547176</v>
      </c>
    </row>
    <row r="153" spans="2:14" ht="15.75" x14ac:dyDescent="0.25">
      <c r="B153" s="23">
        <f ca="1">IF(LoanIsGood,IF(ROW()-ROW(PaymentSchedule3[[#Headers],[Payment Number]])&gt;ScheduledNumberOfPayments,"",ROW()-ROW(PaymentSchedule3[[#Headers],[Payment Number]])),"")</f>
        <v>136</v>
      </c>
      <c r="C153" s="24">
        <f ca="1">IF(PaymentSchedule3[[#This Row],[Payment Number]]&lt;&gt;"",EOMONTH(LoanStartDate,ROW(PaymentSchedule3[[#This Row],[Payment Number]])-ROW(PaymentSchedule3[[#Headers],[Payment Number]])-2)+DAY(LoanStartDate),"")</f>
        <v>48743</v>
      </c>
      <c r="D153" s="25">
        <f ca="1">IF(PaymentSchedule3[[#This Row],[Payment Number]]&lt;&gt;"",IF(ROW()-ROW(PaymentSchedule3[[#Headers],[Beginning
Balance]])=1,LoanAmount,INDEX(PaymentSchedule3[Ending
Balance],ROW()-ROW(PaymentSchedule3[[#Headers],[Beginning
Balance]])-1)),"")</f>
        <v>79264.024764825546</v>
      </c>
      <c r="E153" s="25">
        <f ca="1">IF(PaymentSchedule3[[#This Row],[Payment Number]]&lt;&gt;"",ScheduledPayment,"")</f>
        <v>543.5318932997908</v>
      </c>
      <c r="F1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3" s="25">
        <f ca="1">IF(PaymentSchedule3[[#This Row],[Payment Number]]&lt;&gt;"",PaymentSchedule3[[#This Row],[Total
Payment]]-PaymentSchedule3[[#This Row],[Interest]],"")</f>
        <v>213.26512344635103</v>
      </c>
      <c r="I153" s="25">
        <f ca="1">IF(PaymentSchedule3[[#This Row],[Payment Number]]&lt;&gt;"",PaymentSchedule3[[#This Row],[Beginning
Balance]]*(InterestRate/PaymentsPerYear),"")</f>
        <v>330.26676985343977</v>
      </c>
      <c r="J153" s="25">
        <f ca="1">IF(PaymentSchedule3[[#This Row],[Payment Number]]&lt;&gt;"",IF(PaymentSchedule3[[#This Row],[Scheduled Payment]]+PaymentSchedule3[[#This Row],[Extra
Payment]]&lt;=PaymentSchedule3[[#This Row],[Beginning
Balance]],PaymentSchedule3[[#This Row],[Beginning
Balance]]-PaymentSchedule3[[#This Row],[Principal]],0),"")</f>
        <v>79050.759641379191</v>
      </c>
      <c r="K153" s="25">
        <f ca="1">IF(PaymentSchedule3[[#This Row],[Payment Number]]&lt;&gt;"",SUM(INDEX(PaymentSchedule3[Interest],1,1):PaymentSchedule3[[#This Row],[Interest]]),"")</f>
        <v>51721.097130150738</v>
      </c>
      <c r="L153" s="49">
        <f ca="1">LoanAmount-PaymentSchedule3[[#This Row],[Ending
Balance]]</f>
        <v>22199.240358620809</v>
      </c>
      <c r="M153" s="49">
        <f t="shared" ca="1" si="2"/>
        <v>908.5318932997908</v>
      </c>
      <c r="N153" s="25">
        <f ca="1">PaymentSchedule3[[#This Row],[Payment Number]]*$M$19</f>
        <v>123560.33748877155</v>
      </c>
    </row>
    <row r="154" spans="2:14" ht="15.75" x14ac:dyDescent="0.25">
      <c r="B154" s="23">
        <f ca="1">IF(LoanIsGood,IF(ROW()-ROW(PaymentSchedule3[[#Headers],[Payment Number]])&gt;ScheduledNumberOfPayments,"",ROW()-ROW(PaymentSchedule3[[#Headers],[Payment Number]])),"")</f>
        <v>137</v>
      </c>
      <c r="C154" s="24">
        <f ca="1">IF(PaymentSchedule3[[#This Row],[Payment Number]]&lt;&gt;"",EOMONTH(LoanStartDate,ROW(PaymentSchedule3[[#This Row],[Payment Number]])-ROW(PaymentSchedule3[[#Headers],[Payment Number]])-2)+DAY(LoanStartDate),"")</f>
        <v>48773</v>
      </c>
      <c r="D154" s="25">
        <f ca="1">IF(PaymentSchedule3[[#This Row],[Payment Number]]&lt;&gt;"",IF(ROW()-ROW(PaymentSchedule3[[#Headers],[Beginning
Balance]])=1,LoanAmount,INDEX(PaymentSchedule3[Ending
Balance],ROW()-ROW(PaymentSchedule3[[#Headers],[Beginning
Balance]])-1)),"")</f>
        <v>79050.759641379191</v>
      </c>
      <c r="E154" s="25">
        <f ca="1">IF(PaymentSchedule3[[#This Row],[Payment Number]]&lt;&gt;"",ScheduledPayment,"")</f>
        <v>543.5318932997908</v>
      </c>
      <c r="F1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4" s="25">
        <f ca="1">IF(PaymentSchedule3[[#This Row],[Payment Number]]&lt;&gt;"",PaymentSchedule3[[#This Row],[Total
Payment]]-PaymentSchedule3[[#This Row],[Interest]],"")</f>
        <v>214.15372812737752</v>
      </c>
      <c r="I154" s="25">
        <f ca="1">IF(PaymentSchedule3[[#This Row],[Payment Number]]&lt;&gt;"",PaymentSchedule3[[#This Row],[Beginning
Balance]]*(InterestRate/PaymentsPerYear),"")</f>
        <v>329.37816517241328</v>
      </c>
      <c r="J154" s="25">
        <f ca="1">IF(PaymentSchedule3[[#This Row],[Payment Number]]&lt;&gt;"",IF(PaymentSchedule3[[#This Row],[Scheduled Payment]]+PaymentSchedule3[[#This Row],[Extra
Payment]]&lt;=PaymentSchedule3[[#This Row],[Beginning
Balance]],PaymentSchedule3[[#This Row],[Beginning
Balance]]-PaymentSchedule3[[#This Row],[Principal]],0),"")</f>
        <v>78836.605913251813</v>
      </c>
      <c r="K154" s="25">
        <f ca="1">IF(PaymentSchedule3[[#This Row],[Payment Number]]&lt;&gt;"",SUM(INDEX(PaymentSchedule3[Interest],1,1):PaymentSchedule3[[#This Row],[Interest]]),"")</f>
        <v>52050.475295323151</v>
      </c>
      <c r="L154" s="49">
        <f ca="1">LoanAmount-PaymentSchedule3[[#This Row],[Ending
Balance]]</f>
        <v>22413.394086748187</v>
      </c>
      <c r="M154" s="49">
        <f t="shared" ca="1" si="2"/>
        <v>908.5318932997908</v>
      </c>
      <c r="N154" s="25">
        <f ca="1">PaymentSchedule3[[#This Row],[Payment Number]]*$M$19</f>
        <v>124468.86938207134</v>
      </c>
    </row>
    <row r="155" spans="2:14" ht="15.75" x14ac:dyDescent="0.25">
      <c r="B155" s="23">
        <f ca="1">IF(LoanIsGood,IF(ROW()-ROW(PaymentSchedule3[[#Headers],[Payment Number]])&gt;ScheduledNumberOfPayments,"",ROW()-ROW(PaymentSchedule3[[#Headers],[Payment Number]])),"")</f>
        <v>138</v>
      </c>
      <c r="C155" s="24">
        <f ca="1">IF(PaymentSchedule3[[#This Row],[Payment Number]]&lt;&gt;"",EOMONTH(LoanStartDate,ROW(PaymentSchedule3[[#This Row],[Payment Number]])-ROW(PaymentSchedule3[[#Headers],[Payment Number]])-2)+DAY(LoanStartDate),"")</f>
        <v>48804</v>
      </c>
      <c r="D155" s="25">
        <f ca="1">IF(PaymentSchedule3[[#This Row],[Payment Number]]&lt;&gt;"",IF(ROW()-ROW(PaymentSchedule3[[#Headers],[Beginning
Balance]])=1,LoanAmount,INDEX(PaymentSchedule3[Ending
Balance],ROW()-ROW(PaymentSchedule3[[#Headers],[Beginning
Balance]])-1)),"")</f>
        <v>78836.605913251813</v>
      </c>
      <c r="E155" s="25">
        <f ca="1">IF(PaymentSchedule3[[#This Row],[Payment Number]]&lt;&gt;"",ScheduledPayment,"")</f>
        <v>543.5318932997908</v>
      </c>
      <c r="F1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5" s="25">
        <f ca="1">IF(PaymentSchedule3[[#This Row],[Payment Number]]&lt;&gt;"",PaymentSchedule3[[#This Row],[Total
Payment]]-PaymentSchedule3[[#This Row],[Interest]],"")</f>
        <v>215.04603532790827</v>
      </c>
      <c r="I155" s="25">
        <f ca="1">IF(PaymentSchedule3[[#This Row],[Payment Number]]&lt;&gt;"",PaymentSchedule3[[#This Row],[Beginning
Balance]]*(InterestRate/PaymentsPerYear),"")</f>
        <v>328.48585797188252</v>
      </c>
      <c r="J155" s="25">
        <f ca="1">IF(PaymentSchedule3[[#This Row],[Payment Number]]&lt;&gt;"",IF(PaymentSchedule3[[#This Row],[Scheduled Payment]]+PaymentSchedule3[[#This Row],[Extra
Payment]]&lt;=PaymentSchedule3[[#This Row],[Beginning
Balance]],PaymentSchedule3[[#This Row],[Beginning
Balance]]-PaymentSchedule3[[#This Row],[Principal]],0),"")</f>
        <v>78621.559877923908</v>
      </c>
      <c r="K155" s="25">
        <f ca="1">IF(PaymentSchedule3[[#This Row],[Payment Number]]&lt;&gt;"",SUM(INDEX(PaymentSchedule3[Interest],1,1):PaymentSchedule3[[#This Row],[Interest]]),"")</f>
        <v>52378.961153295037</v>
      </c>
      <c r="L155" s="49">
        <f ca="1">LoanAmount-PaymentSchedule3[[#This Row],[Ending
Balance]]</f>
        <v>22628.440122076092</v>
      </c>
      <c r="M155" s="49">
        <f t="shared" ca="1" si="2"/>
        <v>908.5318932997908</v>
      </c>
      <c r="N155" s="25">
        <f ca="1">PaymentSchedule3[[#This Row],[Payment Number]]*$M$19</f>
        <v>125377.40127537113</v>
      </c>
    </row>
    <row r="156" spans="2:14" ht="15.75" x14ac:dyDescent="0.25">
      <c r="B156" s="23">
        <f ca="1">IF(LoanIsGood,IF(ROW()-ROW(PaymentSchedule3[[#Headers],[Payment Number]])&gt;ScheduledNumberOfPayments,"",ROW()-ROW(PaymentSchedule3[[#Headers],[Payment Number]])),"")</f>
        <v>139</v>
      </c>
      <c r="C156" s="24">
        <f ca="1">IF(PaymentSchedule3[[#This Row],[Payment Number]]&lt;&gt;"",EOMONTH(LoanStartDate,ROW(PaymentSchedule3[[#This Row],[Payment Number]])-ROW(PaymentSchedule3[[#Headers],[Payment Number]])-2)+DAY(LoanStartDate),"")</f>
        <v>48835</v>
      </c>
      <c r="D156" s="25">
        <f ca="1">IF(PaymentSchedule3[[#This Row],[Payment Number]]&lt;&gt;"",IF(ROW()-ROW(PaymentSchedule3[[#Headers],[Beginning
Balance]])=1,LoanAmount,INDEX(PaymentSchedule3[Ending
Balance],ROW()-ROW(PaymentSchedule3[[#Headers],[Beginning
Balance]])-1)),"")</f>
        <v>78621.559877923908</v>
      </c>
      <c r="E156" s="25">
        <f ca="1">IF(PaymentSchedule3[[#This Row],[Payment Number]]&lt;&gt;"",ScheduledPayment,"")</f>
        <v>543.5318932997908</v>
      </c>
      <c r="F1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6" s="25">
        <f ca="1">IF(PaymentSchedule3[[#This Row],[Payment Number]]&lt;&gt;"",PaymentSchedule3[[#This Row],[Total
Payment]]-PaymentSchedule3[[#This Row],[Interest]],"")</f>
        <v>215.94206047510784</v>
      </c>
      <c r="I156" s="25">
        <f ca="1">IF(PaymentSchedule3[[#This Row],[Payment Number]]&lt;&gt;"",PaymentSchedule3[[#This Row],[Beginning
Balance]]*(InterestRate/PaymentsPerYear),"")</f>
        <v>327.58983282468296</v>
      </c>
      <c r="J156" s="25">
        <f ca="1">IF(PaymentSchedule3[[#This Row],[Payment Number]]&lt;&gt;"",IF(PaymentSchedule3[[#This Row],[Scheduled Payment]]+PaymentSchedule3[[#This Row],[Extra
Payment]]&lt;=PaymentSchedule3[[#This Row],[Beginning
Balance]],PaymentSchedule3[[#This Row],[Beginning
Balance]]-PaymentSchedule3[[#This Row],[Principal]],0),"")</f>
        <v>78405.617817448801</v>
      </c>
      <c r="K156" s="25">
        <f ca="1">IF(PaymentSchedule3[[#This Row],[Payment Number]]&lt;&gt;"",SUM(INDEX(PaymentSchedule3[Interest],1,1):PaymentSchedule3[[#This Row],[Interest]]),"")</f>
        <v>52706.550986119721</v>
      </c>
      <c r="L156" s="49">
        <f ca="1">LoanAmount-PaymentSchedule3[[#This Row],[Ending
Balance]]</f>
        <v>22844.382182551199</v>
      </c>
      <c r="M156" s="49">
        <f t="shared" ca="1" si="2"/>
        <v>908.5318932997908</v>
      </c>
      <c r="N156" s="25">
        <f ca="1">PaymentSchedule3[[#This Row],[Payment Number]]*$M$19</f>
        <v>126285.93316867092</v>
      </c>
    </row>
    <row r="157" spans="2:14" ht="15.75" x14ac:dyDescent="0.25">
      <c r="B157" s="23">
        <f ca="1">IF(LoanIsGood,IF(ROW()-ROW(PaymentSchedule3[[#Headers],[Payment Number]])&gt;ScheduledNumberOfPayments,"",ROW()-ROW(PaymentSchedule3[[#Headers],[Payment Number]])),"")</f>
        <v>140</v>
      </c>
      <c r="C157" s="24">
        <f ca="1">IF(PaymentSchedule3[[#This Row],[Payment Number]]&lt;&gt;"",EOMONTH(LoanStartDate,ROW(PaymentSchedule3[[#This Row],[Payment Number]])-ROW(PaymentSchedule3[[#Headers],[Payment Number]])-2)+DAY(LoanStartDate),"")</f>
        <v>48865</v>
      </c>
      <c r="D157" s="25">
        <f ca="1">IF(PaymentSchedule3[[#This Row],[Payment Number]]&lt;&gt;"",IF(ROW()-ROW(PaymentSchedule3[[#Headers],[Beginning
Balance]])=1,LoanAmount,INDEX(PaymentSchedule3[Ending
Balance],ROW()-ROW(PaymentSchedule3[[#Headers],[Beginning
Balance]])-1)),"")</f>
        <v>78405.617817448801</v>
      </c>
      <c r="E157" s="25">
        <f ca="1">IF(PaymentSchedule3[[#This Row],[Payment Number]]&lt;&gt;"",ScheduledPayment,"")</f>
        <v>543.5318932997908</v>
      </c>
      <c r="F1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7" s="25">
        <f ca="1">IF(PaymentSchedule3[[#This Row],[Payment Number]]&lt;&gt;"",PaymentSchedule3[[#This Row],[Total
Payment]]-PaymentSchedule3[[#This Row],[Interest]],"")</f>
        <v>216.84181906042079</v>
      </c>
      <c r="I157" s="25">
        <f ca="1">IF(PaymentSchedule3[[#This Row],[Payment Number]]&lt;&gt;"",PaymentSchedule3[[#This Row],[Beginning
Balance]]*(InterestRate/PaymentsPerYear),"")</f>
        <v>326.69007423937001</v>
      </c>
      <c r="J157" s="25">
        <f ca="1">IF(PaymentSchedule3[[#This Row],[Payment Number]]&lt;&gt;"",IF(PaymentSchedule3[[#This Row],[Scheduled Payment]]+PaymentSchedule3[[#This Row],[Extra
Payment]]&lt;=PaymentSchedule3[[#This Row],[Beginning
Balance]],PaymentSchedule3[[#This Row],[Beginning
Balance]]-PaymentSchedule3[[#This Row],[Principal]],0),"")</f>
        <v>78188.775998388373</v>
      </c>
      <c r="K157" s="25">
        <f ca="1">IF(PaymentSchedule3[[#This Row],[Payment Number]]&lt;&gt;"",SUM(INDEX(PaymentSchedule3[Interest],1,1):PaymentSchedule3[[#This Row],[Interest]]),"")</f>
        <v>53033.241060359091</v>
      </c>
      <c r="L157" s="49">
        <f ca="1">LoanAmount-PaymentSchedule3[[#This Row],[Ending
Balance]]</f>
        <v>23061.224001611627</v>
      </c>
      <c r="M157" s="49">
        <f t="shared" ca="1" si="2"/>
        <v>908.5318932997908</v>
      </c>
      <c r="N157" s="25">
        <f ca="1">PaymentSchedule3[[#This Row],[Payment Number]]*$M$19</f>
        <v>127194.46506197071</v>
      </c>
    </row>
    <row r="158" spans="2:14" ht="15.75" x14ac:dyDescent="0.25">
      <c r="B158" s="23">
        <f ca="1">IF(LoanIsGood,IF(ROW()-ROW(PaymentSchedule3[[#Headers],[Payment Number]])&gt;ScheduledNumberOfPayments,"",ROW()-ROW(PaymentSchedule3[[#Headers],[Payment Number]])),"")</f>
        <v>141</v>
      </c>
      <c r="C158" s="24">
        <f ca="1">IF(PaymentSchedule3[[#This Row],[Payment Number]]&lt;&gt;"",EOMONTH(LoanStartDate,ROW(PaymentSchedule3[[#This Row],[Payment Number]])-ROW(PaymentSchedule3[[#Headers],[Payment Number]])-2)+DAY(LoanStartDate),"")</f>
        <v>48896</v>
      </c>
      <c r="D158" s="25">
        <f ca="1">IF(PaymentSchedule3[[#This Row],[Payment Number]]&lt;&gt;"",IF(ROW()-ROW(PaymentSchedule3[[#Headers],[Beginning
Balance]])=1,LoanAmount,INDEX(PaymentSchedule3[Ending
Balance],ROW()-ROW(PaymentSchedule3[[#Headers],[Beginning
Balance]])-1)),"")</f>
        <v>78188.775998388373</v>
      </c>
      <c r="E158" s="25">
        <f ca="1">IF(PaymentSchedule3[[#This Row],[Payment Number]]&lt;&gt;"",ScheduledPayment,"")</f>
        <v>543.5318932997908</v>
      </c>
      <c r="F1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8" s="25">
        <f ca="1">IF(PaymentSchedule3[[#This Row],[Payment Number]]&lt;&gt;"",PaymentSchedule3[[#This Row],[Total
Payment]]-PaymentSchedule3[[#This Row],[Interest]],"")</f>
        <v>217.74532663983922</v>
      </c>
      <c r="I158" s="25">
        <f ca="1">IF(PaymentSchedule3[[#This Row],[Payment Number]]&lt;&gt;"",PaymentSchedule3[[#This Row],[Beginning
Balance]]*(InterestRate/PaymentsPerYear),"")</f>
        <v>325.78656665995157</v>
      </c>
      <c r="J158" s="25">
        <f ca="1">IF(PaymentSchedule3[[#This Row],[Payment Number]]&lt;&gt;"",IF(PaymentSchedule3[[#This Row],[Scheduled Payment]]+PaymentSchedule3[[#This Row],[Extra
Payment]]&lt;=PaymentSchedule3[[#This Row],[Beginning
Balance]],PaymentSchedule3[[#This Row],[Beginning
Balance]]-PaymentSchedule3[[#This Row],[Principal]],0),"")</f>
        <v>77971.030671748536</v>
      </c>
      <c r="K158" s="25">
        <f ca="1">IF(PaymentSchedule3[[#This Row],[Payment Number]]&lt;&gt;"",SUM(INDEX(PaymentSchedule3[Interest],1,1):PaymentSchedule3[[#This Row],[Interest]]),"")</f>
        <v>53359.027627019044</v>
      </c>
      <c r="L158" s="49">
        <f ca="1">LoanAmount-PaymentSchedule3[[#This Row],[Ending
Balance]]</f>
        <v>23278.969328251464</v>
      </c>
      <c r="M158" s="49">
        <f t="shared" ca="1" si="2"/>
        <v>908.5318932997908</v>
      </c>
      <c r="N158" s="25">
        <f ca="1">PaymentSchedule3[[#This Row],[Payment Number]]*$M$19</f>
        <v>128102.9969552705</v>
      </c>
    </row>
    <row r="159" spans="2:14" ht="15.75" x14ac:dyDescent="0.25">
      <c r="B159" s="23">
        <f ca="1">IF(LoanIsGood,IF(ROW()-ROW(PaymentSchedule3[[#Headers],[Payment Number]])&gt;ScheduledNumberOfPayments,"",ROW()-ROW(PaymentSchedule3[[#Headers],[Payment Number]])),"")</f>
        <v>142</v>
      </c>
      <c r="C159" s="24">
        <f ca="1">IF(PaymentSchedule3[[#This Row],[Payment Number]]&lt;&gt;"",EOMONTH(LoanStartDate,ROW(PaymentSchedule3[[#This Row],[Payment Number]])-ROW(PaymentSchedule3[[#Headers],[Payment Number]])-2)+DAY(LoanStartDate),"")</f>
        <v>48926</v>
      </c>
      <c r="D159" s="25">
        <f ca="1">IF(PaymentSchedule3[[#This Row],[Payment Number]]&lt;&gt;"",IF(ROW()-ROW(PaymentSchedule3[[#Headers],[Beginning
Balance]])=1,LoanAmount,INDEX(PaymentSchedule3[Ending
Balance],ROW()-ROW(PaymentSchedule3[[#Headers],[Beginning
Balance]])-1)),"")</f>
        <v>77971.030671748536</v>
      </c>
      <c r="E159" s="25">
        <f ca="1">IF(PaymentSchedule3[[#This Row],[Payment Number]]&lt;&gt;"",ScheduledPayment,"")</f>
        <v>543.5318932997908</v>
      </c>
      <c r="F1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59" s="25">
        <f ca="1">IF(PaymentSchedule3[[#This Row],[Payment Number]]&lt;&gt;"",PaymentSchedule3[[#This Row],[Total
Payment]]-PaymentSchedule3[[#This Row],[Interest]],"")</f>
        <v>218.6525988341719</v>
      </c>
      <c r="I159" s="25">
        <f ca="1">IF(PaymentSchedule3[[#This Row],[Payment Number]]&lt;&gt;"",PaymentSchedule3[[#This Row],[Beginning
Balance]]*(InterestRate/PaymentsPerYear),"")</f>
        <v>324.8792944656189</v>
      </c>
      <c r="J159" s="25">
        <f ca="1">IF(PaymentSchedule3[[#This Row],[Payment Number]]&lt;&gt;"",IF(PaymentSchedule3[[#This Row],[Scheduled Payment]]+PaymentSchedule3[[#This Row],[Extra
Payment]]&lt;=PaymentSchedule3[[#This Row],[Beginning
Balance]],PaymentSchedule3[[#This Row],[Beginning
Balance]]-PaymentSchedule3[[#This Row],[Principal]],0),"")</f>
        <v>77752.378072914362</v>
      </c>
      <c r="K159" s="25">
        <f ca="1">IF(PaymentSchedule3[[#This Row],[Payment Number]]&lt;&gt;"",SUM(INDEX(PaymentSchedule3[Interest],1,1):PaymentSchedule3[[#This Row],[Interest]]),"")</f>
        <v>53683.90692148466</v>
      </c>
      <c r="L159" s="49">
        <f ca="1">LoanAmount-PaymentSchedule3[[#This Row],[Ending
Balance]]</f>
        <v>23497.621927085638</v>
      </c>
      <c r="M159" s="49">
        <f t="shared" ca="1" si="2"/>
        <v>908.5318932997908</v>
      </c>
      <c r="N159" s="25">
        <f ca="1">PaymentSchedule3[[#This Row],[Payment Number]]*$M$19</f>
        <v>129011.52884857029</v>
      </c>
    </row>
    <row r="160" spans="2:14" ht="15.75" x14ac:dyDescent="0.25">
      <c r="B160" s="23">
        <f ca="1">IF(LoanIsGood,IF(ROW()-ROW(PaymentSchedule3[[#Headers],[Payment Number]])&gt;ScheduledNumberOfPayments,"",ROW()-ROW(PaymentSchedule3[[#Headers],[Payment Number]])),"")</f>
        <v>143</v>
      </c>
      <c r="C160" s="24">
        <f ca="1">IF(PaymentSchedule3[[#This Row],[Payment Number]]&lt;&gt;"",EOMONTH(LoanStartDate,ROW(PaymentSchedule3[[#This Row],[Payment Number]])-ROW(PaymentSchedule3[[#Headers],[Payment Number]])-2)+DAY(LoanStartDate),"")</f>
        <v>48957</v>
      </c>
      <c r="D160" s="25">
        <f ca="1">IF(PaymentSchedule3[[#This Row],[Payment Number]]&lt;&gt;"",IF(ROW()-ROW(PaymentSchedule3[[#Headers],[Beginning
Balance]])=1,LoanAmount,INDEX(PaymentSchedule3[Ending
Balance],ROW()-ROW(PaymentSchedule3[[#Headers],[Beginning
Balance]])-1)),"")</f>
        <v>77752.378072914362</v>
      </c>
      <c r="E160" s="25">
        <f ca="1">IF(PaymentSchedule3[[#This Row],[Payment Number]]&lt;&gt;"",ScheduledPayment,"")</f>
        <v>543.5318932997908</v>
      </c>
      <c r="F1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0" s="25">
        <f ca="1">IF(PaymentSchedule3[[#This Row],[Payment Number]]&lt;&gt;"",PaymentSchedule3[[#This Row],[Total
Payment]]-PaymentSchedule3[[#This Row],[Interest]],"")</f>
        <v>219.56365132931427</v>
      </c>
      <c r="I160" s="25">
        <f ca="1">IF(PaymentSchedule3[[#This Row],[Payment Number]]&lt;&gt;"",PaymentSchedule3[[#This Row],[Beginning
Balance]]*(InterestRate/PaymentsPerYear),"")</f>
        <v>323.96824197047653</v>
      </c>
      <c r="J160" s="25">
        <f ca="1">IF(PaymentSchedule3[[#This Row],[Payment Number]]&lt;&gt;"",IF(PaymentSchedule3[[#This Row],[Scheduled Payment]]+PaymentSchedule3[[#This Row],[Extra
Payment]]&lt;=PaymentSchedule3[[#This Row],[Beginning
Balance]],PaymentSchedule3[[#This Row],[Beginning
Balance]]-PaymentSchedule3[[#This Row],[Principal]],0),"")</f>
        <v>77532.814421585048</v>
      </c>
      <c r="K160" s="25">
        <f ca="1">IF(PaymentSchedule3[[#This Row],[Payment Number]]&lt;&gt;"",SUM(INDEX(PaymentSchedule3[Interest],1,1):PaymentSchedule3[[#This Row],[Interest]]),"")</f>
        <v>54007.875163455137</v>
      </c>
      <c r="L160" s="49">
        <f ca="1">LoanAmount-PaymentSchedule3[[#This Row],[Ending
Balance]]</f>
        <v>23717.185578414952</v>
      </c>
      <c r="M160" s="49">
        <f t="shared" ca="1" si="2"/>
        <v>908.5318932997908</v>
      </c>
      <c r="N160" s="25">
        <f ca="1">PaymentSchedule3[[#This Row],[Payment Number]]*$M$19</f>
        <v>129920.06074187008</v>
      </c>
    </row>
    <row r="161" spans="2:14" ht="15.75" x14ac:dyDescent="0.25">
      <c r="B161" s="23">
        <f ca="1">IF(LoanIsGood,IF(ROW()-ROW(PaymentSchedule3[[#Headers],[Payment Number]])&gt;ScheduledNumberOfPayments,"",ROW()-ROW(PaymentSchedule3[[#Headers],[Payment Number]])),"")</f>
        <v>144</v>
      </c>
      <c r="C161" s="24">
        <f ca="1">IF(PaymentSchedule3[[#This Row],[Payment Number]]&lt;&gt;"",EOMONTH(LoanStartDate,ROW(PaymentSchedule3[[#This Row],[Payment Number]])-ROW(PaymentSchedule3[[#Headers],[Payment Number]])-2)+DAY(LoanStartDate),"")</f>
        <v>48988</v>
      </c>
      <c r="D161" s="25">
        <f ca="1">IF(PaymentSchedule3[[#This Row],[Payment Number]]&lt;&gt;"",IF(ROW()-ROW(PaymentSchedule3[[#Headers],[Beginning
Balance]])=1,LoanAmount,INDEX(PaymentSchedule3[Ending
Balance],ROW()-ROW(PaymentSchedule3[[#Headers],[Beginning
Balance]])-1)),"")</f>
        <v>77532.814421585048</v>
      </c>
      <c r="E161" s="25">
        <f ca="1">IF(PaymentSchedule3[[#This Row],[Payment Number]]&lt;&gt;"",ScheduledPayment,"")</f>
        <v>543.5318932997908</v>
      </c>
      <c r="F1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1" s="25">
        <f ca="1">IF(PaymentSchedule3[[#This Row],[Payment Number]]&lt;&gt;"",PaymentSchedule3[[#This Row],[Total
Payment]]-PaymentSchedule3[[#This Row],[Interest]],"")</f>
        <v>220.47849987651978</v>
      </c>
      <c r="I161" s="25">
        <f ca="1">IF(PaymentSchedule3[[#This Row],[Payment Number]]&lt;&gt;"",PaymentSchedule3[[#This Row],[Beginning
Balance]]*(InterestRate/PaymentsPerYear),"")</f>
        <v>323.05339342327102</v>
      </c>
      <c r="J161" s="25">
        <f ca="1">IF(PaymentSchedule3[[#This Row],[Payment Number]]&lt;&gt;"",IF(PaymentSchedule3[[#This Row],[Scheduled Payment]]+PaymentSchedule3[[#This Row],[Extra
Payment]]&lt;=PaymentSchedule3[[#This Row],[Beginning
Balance]],PaymentSchedule3[[#This Row],[Beginning
Balance]]-PaymentSchedule3[[#This Row],[Principal]],0),"")</f>
        <v>77312.335921708524</v>
      </c>
      <c r="K161" s="25">
        <f ca="1">IF(PaymentSchedule3[[#This Row],[Payment Number]]&lt;&gt;"",SUM(INDEX(PaymentSchedule3[Interest],1,1):PaymentSchedule3[[#This Row],[Interest]]),"")</f>
        <v>54330.928556878411</v>
      </c>
      <c r="L161" s="49">
        <f ca="1">LoanAmount-PaymentSchedule3[[#This Row],[Ending
Balance]]</f>
        <v>23937.664078291476</v>
      </c>
      <c r="M161" s="49">
        <f t="shared" ca="1" si="2"/>
        <v>908.5318932997908</v>
      </c>
      <c r="N161" s="25">
        <f ca="1">PaymentSchedule3[[#This Row],[Payment Number]]*$M$19</f>
        <v>130828.59263516987</v>
      </c>
    </row>
    <row r="162" spans="2:14" ht="15.75" x14ac:dyDescent="0.25">
      <c r="B162" s="23">
        <f ca="1">IF(LoanIsGood,IF(ROW()-ROW(PaymentSchedule3[[#Headers],[Payment Number]])&gt;ScheduledNumberOfPayments,"",ROW()-ROW(PaymentSchedule3[[#Headers],[Payment Number]])),"")</f>
        <v>145</v>
      </c>
      <c r="C162" s="24">
        <f ca="1">IF(PaymentSchedule3[[#This Row],[Payment Number]]&lt;&gt;"",EOMONTH(LoanStartDate,ROW(PaymentSchedule3[[#This Row],[Payment Number]])-ROW(PaymentSchedule3[[#Headers],[Payment Number]])-2)+DAY(LoanStartDate),"")</f>
        <v>49016</v>
      </c>
      <c r="D162" s="25">
        <f ca="1">IF(PaymentSchedule3[[#This Row],[Payment Number]]&lt;&gt;"",IF(ROW()-ROW(PaymentSchedule3[[#Headers],[Beginning
Balance]])=1,LoanAmount,INDEX(PaymentSchedule3[Ending
Balance],ROW()-ROW(PaymentSchedule3[[#Headers],[Beginning
Balance]])-1)),"")</f>
        <v>77312.335921708524</v>
      </c>
      <c r="E162" s="25">
        <f ca="1">IF(PaymentSchedule3[[#This Row],[Payment Number]]&lt;&gt;"",ScheduledPayment,"")</f>
        <v>543.5318932997908</v>
      </c>
      <c r="F1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2" s="25">
        <f ca="1">IF(PaymentSchedule3[[#This Row],[Payment Number]]&lt;&gt;"",PaymentSchedule3[[#This Row],[Total
Payment]]-PaymentSchedule3[[#This Row],[Interest]],"")</f>
        <v>221.39716029267197</v>
      </c>
      <c r="I162" s="25">
        <f ca="1">IF(PaymentSchedule3[[#This Row],[Payment Number]]&lt;&gt;"",PaymentSchedule3[[#This Row],[Beginning
Balance]]*(InterestRate/PaymentsPerYear),"")</f>
        <v>322.13473300711883</v>
      </c>
      <c r="J162" s="25">
        <f ca="1">IF(PaymentSchedule3[[#This Row],[Payment Number]]&lt;&gt;"",IF(PaymentSchedule3[[#This Row],[Scheduled Payment]]+PaymentSchedule3[[#This Row],[Extra
Payment]]&lt;=PaymentSchedule3[[#This Row],[Beginning
Balance]],PaymentSchedule3[[#This Row],[Beginning
Balance]]-PaymentSchedule3[[#This Row],[Principal]],0),"")</f>
        <v>77090.938761415848</v>
      </c>
      <c r="K162" s="25">
        <f ca="1">IF(PaymentSchedule3[[#This Row],[Payment Number]]&lt;&gt;"",SUM(INDEX(PaymentSchedule3[Interest],1,1):PaymentSchedule3[[#This Row],[Interest]]),"")</f>
        <v>54653.063289885533</v>
      </c>
      <c r="L162" s="49">
        <f ca="1">LoanAmount-PaymentSchedule3[[#This Row],[Ending
Balance]]</f>
        <v>24159.061238584152</v>
      </c>
      <c r="M162" s="49">
        <f t="shared" ca="1" si="2"/>
        <v>908.5318932997908</v>
      </c>
      <c r="N162" s="25">
        <f ca="1">PaymentSchedule3[[#This Row],[Payment Number]]*$M$19</f>
        <v>131737.12452846966</v>
      </c>
    </row>
    <row r="163" spans="2:14" ht="15.75" x14ac:dyDescent="0.25">
      <c r="B163" s="23">
        <f ca="1">IF(LoanIsGood,IF(ROW()-ROW(PaymentSchedule3[[#Headers],[Payment Number]])&gt;ScheduledNumberOfPayments,"",ROW()-ROW(PaymentSchedule3[[#Headers],[Payment Number]])),"")</f>
        <v>146</v>
      </c>
      <c r="C163" s="24">
        <f ca="1">IF(PaymentSchedule3[[#This Row],[Payment Number]]&lt;&gt;"",EOMONTH(LoanStartDate,ROW(PaymentSchedule3[[#This Row],[Payment Number]])-ROW(PaymentSchedule3[[#Headers],[Payment Number]])-2)+DAY(LoanStartDate),"")</f>
        <v>49047</v>
      </c>
      <c r="D163" s="25">
        <f ca="1">IF(PaymentSchedule3[[#This Row],[Payment Number]]&lt;&gt;"",IF(ROW()-ROW(PaymentSchedule3[[#Headers],[Beginning
Balance]])=1,LoanAmount,INDEX(PaymentSchedule3[Ending
Balance],ROW()-ROW(PaymentSchedule3[[#Headers],[Beginning
Balance]])-1)),"")</f>
        <v>77090.938761415848</v>
      </c>
      <c r="E163" s="25">
        <f ca="1">IF(PaymentSchedule3[[#This Row],[Payment Number]]&lt;&gt;"",ScheduledPayment,"")</f>
        <v>543.5318932997908</v>
      </c>
      <c r="F1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3" s="25">
        <f ca="1">IF(PaymentSchedule3[[#This Row],[Payment Number]]&lt;&gt;"",PaymentSchedule3[[#This Row],[Total
Payment]]-PaymentSchedule3[[#This Row],[Interest]],"")</f>
        <v>222.31964846055808</v>
      </c>
      <c r="I163" s="25">
        <f ca="1">IF(PaymentSchedule3[[#This Row],[Payment Number]]&lt;&gt;"",PaymentSchedule3[[#This Row],[Beginning
Balance]]*(InterestRate/PaymentsPerYear),"")</f>
        <v>321.21224483923271</v>
      </c>
      <c r="J163" s="25">
        <f ca="1">IF(PaymentSchedule3[[#This Row],[Payment Number]]&lt;&gt;"",IF(PaymentSchedule3[[#This Row],[Scheduled Payment]]+PaymentSchedule3[[#This Row],[Extra
Payment]]&lt;=PaymentSchedule3[[#This Row],[Beginning
Balance]],PaymentSchedule3[[#This Row],[Beginning
Balance]]-PaymentSchedule3[[#This Row],[Principal]],0),"")</f>
        <v>76868.61911295529</v>
      </c>
      <c r="K163" s="25">
        <f ca="1">IF(PaymentSchedule3[[#This Row],[Payment Number]]&lt;&gt;"",SUM(INDEX(PaymentSchedule3[Interest],1,1):PaymentSchedule3[[#This Row],[Interest]]),"")</f>
        <v>54974.275534724766</v>
      </c>
      <c r="L163" s="49">
        <f ca="1">LoanAmount-PaymentSchedule3[[#This Row],[Ending
Balance]]</f>
        <v>24381.38088704471</v>
      </c>
      <c r="M163" s="49">
        <f t="shared" ca="1" si="2"/>
        <v>908.5318932997908</v>
      </c>
      <c r="N163" s="25">
        <f ca="1">PaymentSchedule3[[#This Row],[Payment Number]]*$M$19</f>
        <v>132645.65642176947</v>
      </c>
    </row>
    <row r="164" spans="2:14" ht="15.75" x14ac:dyDescent="0.25">
      <c r="B164" s="23">
        <f ca="1">IF(LoanIsGood,IF(ROW()-ROW(PaymentSchedule3[[#Headers],[Payment Number]])&gt;ScheduledNumberOfPayments,"",ROW()-ROW(PaymentSchedule3[[#Headers],[Payment Number]])),"")</f>
        <v>147</v>
      </c>
      <c r="C164" s="24">
        <f ca="1">IF(PaymentSchedule3[[#This Row],[Payment Number]]&lt;&gt;"",EOMONTH(LoanStartDate,ROW(PaymentSchedule3[[#This Row],[Payment Number]])-ROW(PaymentSchedule3[[#Headers],[Payment Number]])-2)+DAY(LoanStartDate),"")</f>
        <v>49077</v>
      </c>
      <c r="D164" s="25">
        <f ca="1">IF(PaymentSchedule3[[#This Row],[Payment Number]]&lt;&gt;"",IF(ROW()-ROW(PaymentSchedule3[[#Headers],[Beginning
Balance]])=1,LoanAmount,INDEX(PaymentSchedule3[Ending
Balance],ROW()-ROW(PaymentSchedule3[[#Headers],[Beginning
Balance]])-1)),"")</f>
        <v>76868.61911295529</v>
      </c>
      <c r="E164" s="25">
        <f ca="1">IF(PaymentSchedule3[[#This Row],[Payment Number]]&lt;&gt;"",ScheduledPayment,"")</f>
        <v>543.5318932997908</v>
      </c>
      <c r="F1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4" s="25">
        <f ca="1">IF(PaymentSchedule3[[#This Row],[Payment Number]]&lt;&gt;"",PaymentSchedule3[[#This Row],[Total
Payment]]-PaymentSchedule3[[#This Row],[Interest]],"")</f>
        <v>223.24598032914378</v>
      </c>
      <c r="I164" s="25">
        <f ca="1">IF(PaymentSchedule3[[#This Row],[Payment Number]]&lt;&gt;"",PaymentSchedule3[[#This Row],[Beginning
Balance]]*(InterestRate/PaymentsPerYear),"")</f>
        <v>320.28591297064702</v>
      </c>
      <c r="J164" s="25">
        <f ca="1">IF(PaymentSchedule3[[#This Row],[Payment Number]]&lt;&gt;"",IF(PaymentSchedule3[[#This Row],[Scheduled Payment]]+PaymentSchedule3[[#This Row],[Extra
Payment]]&lt;=PaymentSchedule3[[#This Row],[Beginning
Balance]],PaymentSchedule3[[#This Row],[Beginning
Balance]]-PaymentSchedule3[[#This Row],[Principal]],0),"")</f>
        <v>76645.373132626148</v>
      </c>
      <c r="K164" s="25">
        <f ca="1">IF(PaymentSchedule3[[#This Row],[Payment Number]]&lt;&gt;"",SUM(INDEX(PaymentSchedule3[Interest],1,1):PaymentSchedule3[[#This Row],[Interest]]),"")</f>
        <v>55294.561447695414</v>
      </c>
      <c r="L164" s="49">
        <f ca="1">LoanAmount-PaymentSchedule3[[#This Row],[Ending
Balance]]</f>
        <v>24604.626867373852</v>
      </c>
      <c r="M164" s="49">
        <f t="shared" ca="1" si="2"/>
        <v>908.5318932997908</v>
      </c>
      <c r="N164" s="25">
        <f ca="1">PaymentSchedule3[[#This Row],[Payment Number]]*$M$19</f>
        <v>133554.18831506924</v>
      </c>
    </row>
    <row r="165" spans="2:14" ht="15.75" x14ac:dyDescent="0.25">
      <c r="B165" s="23">
        <f ca="1">IF(LoanIsGood,IF(ROW()-ROW(PaymentSchedule3[[#Headers],[Payment Number]])&gt;ScheduledNumberOfPayments,"",ROW()-ROW(PaymentSchedule3[[#Headers],[Payment Number]])),"")</f>
        <v>148</v>
      </c>
      <c r="C165" s="24">
        <f ca="1">IF(PaymentSchedule3[[#This Row],[Payment Number]]&lt;&gt;"",EOMONTH(LoanStartDate,ROW(PaymentSchedule3[[#This Row],[Payment Number]])-ROW(PaymentSchedule3[[#Headers],[Payment Number]])-2)+DAY(LoanStartDate),"")</f>
        <v>49108</v>
      </c>
      <c r="D165" s="25">
        <f ca="1">IF(PaymentSchedule3[[#This Row],[Payment Number]]&lt;&gt;"",IF(ROW()-ROW(PaymentSchedule3[[#Headers],[Beginning
Balance]])=1,LoanAmount,INDEX(PaymentSchedule3[Ending
Balance],ROW()-ROW(PaymentSchedule3[[#Headers],[Beginning
Balance]])-1)),"")</f>
        <v>76645.373132626148</v>
      </c>
      <c r="E165" s="25">
        <f ca="1">IF(PaymentSchedule3[[#This Row],[Payment Number]]&lt;&gt;"",ScheduledPayment,"")</f>
        <v>543.5318932997908</v>
      </c>
      <c r="F1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5" s="25">
        <f ca="1">IF(PaymentSchedule3[[#This Row],[Payment Number]]&lt;&gt;"",PaymentSchedule3[[#This Row],[Total
Payment]]-PaymentSchedule3[[#This Row],[Interest]],"")</f>
        <v>224.17617191384852</v>
      </c>
      <c r="I165" s="25">
        <f ca="1">IF(PaymentSchedule3[[#This Row],[Payment Number]]&lt;&gt;"",PaymentSchedule3[[#This Row],[Beginning
Balance]]*(InterestRate/PaymentsPerYear),"")</f>
        <v>319.35572138594227</v>
      </c>
      <c r="J165" s="25">
        <f ca="1">IF(PaymentSchedule3[[#This Row],[Payment Number]]&lt;&gt;"",IF(PaymentSchedule3[[#This Row],[Scheduled Payment]]+PaymentSchedule3[[#This Row],[Extra
Payment]]&lt;=PaymentSchedule3[[#This Row],[Beginning
Balance]],PaymentSchedule3[[#This Row],[Beginning
Balance]]-PaymentSchedule3[[#This Row],[Principal]],0),"")</f>
        <v>76421.196960712303</v>
      </c>
      <c r="K165" s="25">
        <f ca="1">IF(PaymentSchedule3[[#This Row],[Payment Number]]&lt;&gt;"",SUM(INDEX(PaymentSchedule3[Interest],1,1):PaymentSchedule3[[#This Row],[Interest]]),"")</f>
        <v>55613.91716908136</v>
      </c>
      <c r="L165" s="49">
        <f ca="1">LoanAmount-PaymentSchedule3[[#This Row],[Ending
Balance]]</f>
        <v>24828.803039287697</v>
      </c>
      <c r="M165" s="49">
        <f t="shared" ca="1" si="2"/>
        <v>908.5318932997908</v>
      </c>
      <c r="N165" s="25">
        <f ca="1">PaymentSchedule3[[#This Row],[Payment Number]]*$M$19</f>
        <v>134462.72020836905</v>
      </c>
    </row>
    <row r="166" spans="2:14" ht="15.75" x14ac:dyDescent="0.25">
      <c r="B166" s="23">
        <f ca="1">IF(LoanIsGood,IF(ROW()-ROW(PaymentSchedule3[[#Headers],[Payment Number]])&gt;ScheduledNumberOfPayments,"",ROW()-ROW(PaymentSchedule3[[#Headers],[Payment Number]])),"")</f>
        <v>149</v>
      </c>
      <c r="C166" s="24">
        <f ca="1">IF(PaymentSchedule3[[#This Row],[Payment Number]]&lt;&gt;"",EOMONTH(LoanStartDate,ROW(PaymentSchedule3[[#This Row],[Payment Number]])-ROW(PaymentSchedule3[[#Headers],[Payment Number]])-2)+DAY(LoanStartDate),"")</f>
        <v>49138</v>
      </c>
      <c r="D166" s="25">
        <f ca="1">IF(PaymentSchedule3[[#This Row],[Payment Number]]&lt;&gt;"",IF(ROW()-ROW(PaymentSchedule3[[#Headers],[Beginning
Balance]])=1,LoanAmount,INDEX(PaymentSchedule3[Ending
Balance],ROW()-ROW(PaymentSchedule3[[#Headers],[Beginning
Balance]])-1)),"")</f>
        <v>76421.196960712303</v>
      </c>
      <c r="E166" s="25">
        <f ca="1">IF(PaymentSchedule3[[#This Row],[Payment Number]]&lt;&gt;"",ScheduledPayment,"")</f>
        <v>543.5318932997908</v>
      </c>
      <c r="F1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6" s="25">
        <f ca="1">IF(PaymentSchedule3[[#This Row],[Payment Number]]&lt;&gt;"",PaymentSchedule3[[#This Row],[Total
Payment]]-PaymentSchedule3[[#This Row],[Interest]],"")</f>
        <v>225.1102392968229</v>
      </c>
      <c r="I166" s="25">
        <f ca="1">IF(PaymentSchedule3[[#This Row],[Payment Number]]&lt;&gt;"",PaymentSchedule3[[#This Row],[Beginning
Balance]]*(InterestRate/PaymentsPerYear),"")</f>
        <v>318.4216540029679</v>
      </c>
      <c r="J166" s="25">
        <f ca="1">IF(PaymentSchedule3[[#This Row],[Payment Number]]&lt;&gt;"",IF(PaymentSchedule3[[#This Row],[Scheduled Payment]]+PaymentSchedule3[[#This Row],[Extra
Payment]]&lt;=PaymentSchedule3[[#This Row],[Beginning
Balance]],PaymentSchedule3[[#This Row],[Beginning
Balance]]-PaymentSchedule3[[#This Row],[Principal]],0),"")</f>
        <v>76196.086721415486</v>
      </c>
      <c r="K166" s="25">
        <f ca="1">IF(PaymentSchedule3[[#This Row],[Payment Number]]&lt;&gt;"",SUM(INDEX(PaymentSchedule3[Interest],1,1):PaymentSchedule3[[#This Row],[Interest]]),"")</f>
        <v>55932.338823084327</v>
      </c>
      <c r="L166" s="49">
        <f ca="1">LoanAmount-PaymentSchedule3[[#This Row],[Ending
Balance]]</f>
        <v>25053.913278584514</v>
      </c>
      <c r="M166" s="49">
        <f t="shared" ca="1" si="2"/>
        <v>908.5318932997908</v>
      </c>
      <c r="N166" s="25">
        <f ca="1">PaymentSchedule3[[#This Row],[Payment Number]]*$M$19</f>
        <v>135371.25210166883</v>
      </c>
    </row>
    <row r="167" spans="2:14" ht="15.75" x14ac:dyDescent="0.25">
      <c r="B167" s="23">
        <f ca="1">IF(LoanIsGood,IF(ROW()-ROW(PaymentSchedule3[[#Headers],[Payment Number]])&gt;ScheduledNumberOfPayments,"",ROW()-ROW(PaymentSchedule3[[#Headers],[Payment Number]])),"")</f>
        <v>150</v>
      </c>
      <c r="C167" s="24">
        <f ca="1">IF(PaymentSchedule3[[#This Row],[Payment Number]]&lt;&gt;"",EOMONTH(LoanStartDate,ROW(PaymentSchedule3[[#This Row],[Payment Number]])-ROW(PaymentSchedule3[[#Headers],[Payment Number]])-2)+DAY(LoanStartDate),"")</f>
        <v>49169</v>
      </c>
      <c r="D167" s="25">
        <f ca="1">IF(PaymentSchedule3[[#This Row],[Payment Number]]&lt;&gt;"",IF(ROW()-ROW(PaymentSchedule3[[#Headers],[Beginning
Balance]])=1,LoanAmount,INDEX(PaymentSchedule3[Ending
Balance],ROW()-ROW(PaymentSchedule3[[#Headers],[Beginning
Balance]])-1)),"")</f>
        <v>76196.086721415486</v>
      </c>
      <c r="E167" s="25">
        <f ca="1">IF(PaymentSchedule3[[#This Row],[Payment Number]]&lt;&gt;"",ScheduledPayment,"")</f>
        <v>543.5318932997908</v>
      </c>
      <c r="F1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7" s="25">
        <f ca="1">IF(PaymentSchedule3[[#This Row],[Payment Number]]&lt;&gt;"",PaymentSchedule3[[#This Row],[Total
Payment]]-PaymentSchedule3[[#This Row],[Interest]],"")</f>
        <v>226.04819862722627</v>
      </c>
      <c r="I167" s="25">
        <f ca="1">IF(PaymentSchedule3[[#This Row],[Payment Number]]&lt;&gt;"",PaymentSchedule3[[#This Row],[Beginning
Balance]]*(InterestRate/PaymentsPerYear),"")</f>
        <v>317.48369467256452</v>
      </c>
      <c r="J167" s="25">
        <f ca="1">IF(PaymentSchedule3[[#This Row],[Payment Number]]&lt;&gt;"",IF(PaymentSchedule3[[#This Row],[Scheduled Payment]]+PaymentSchedule3[[#This Row],[Extra
Payment]]&lt;=PaymentSchedule3[[#This Row],[Beginning
Balance]],PaymentSchedule3[[#This Row],[Beginning
Balance]]-PaymentSchedule3[[#This Row],[Principal]],0),"")</f>
        <v>75970.038522788265</v>
      </c>
      <c r="K167" s="25">
        <f ca="1">IF(PaymentSchedule3[[#This Row],[Payment Number]]&lt;&gt;"",SUM(INDEX(PaymentSchedule3[Interest],1,1):PaymentSchedule3[[#This Row],[Interest]]),"")</f>
        <v>56249.822517756889</v>
      </c>
      <c r="L167" s="49">
        <f ca="1">LoanAmount-PaymentSchedule3[[#This Row],[Ending
Balance]]</f>
        <v>25279.961477211735</v>
      </c>
      <c r="M167" s="49">
        <f t="shared" ca="1" si="2"/>
        <v>908.5318932997908</v>
      </c>
      <c r="N167" s="25">
        <f ca="1">PaymentSchedule3[[#This Row],[Payment Number]]*$M$19</f>
        <v>136279.78399496863</v>
      </c>
    </row>
    <row r="168" spans="2:14" ht="15.75" x14ac:dyDescent="0.25">
      <c r="B168" s="23">
        <f ca="1">IF(LoanIsGood,IF(ROW()-ROW(PaymentSchedule3[[#Headers],[Payment Number]])&gt;ScheduledNumberOfPayments,"",ROW()-ROW(PaymentSchedule3[[#Headers],[Payment Number]])),"")</f>
        <v>151</v>
      </c>
      <c r="C168" s="24">
        <f ca="1">IF(PaymentSchedule3[[#This Row],[Payment Number]]&lt;&gt;"",EOMONTH(LoanStartDate,ROW(PaymentSchedule3[[#This Row],[Payment Number]])-ROW(PaymentSchedule3[[#Headers],[Payment Number]])-2)+DAY(LoanStartDate),"")</f>
        <v>49200</v>
      </c>
      <c r="D168" s="25">
        <f ca="1">IF(PaymentSchedule3[[#This Row],[Payment Number]]&lt;&gt;"",IF(ROW()-ROW(PaymentSchedule3[[#Headers],[Beginning
Balance]])=1,LoanAmount,INDEX(PaymentSchedule3[Ending
Balance],ROW()-ROW(PaymentSchedule3[[#Headers],[Beginning
Balance]])-1)),"")</f>
        <v>75970.038522788265</v>
      </c>
      <c r="E168" s="25">
        <f ca="1">IF(PaymentSchedule3[[#This Row],[Payment Number]]&lt;&gt;"",ScheduledPayment,"")</f>
        <v>543.5318932997908</v>
      </c>
      <c r="F1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8" s="25">
        <f ca="1">IF(PaymentSchedule3[[#This Row],[Payment Number]]&lt;&gt;"",PaymentSchedule3[[#This Row],[Total
Payment]]-PaymentSchedule3[[#This Row],[Interest]],"")</f>
        <v>226.99006612150635</v>
      </c>
      <c r="I168" s="25">
        <f ca="1">IF(PaymentSchedule3[[#This Row],[Payment Number]]&lt;&gt;"",PaymentSchedule3[[#This Row],[Beginning
Balance]]*(InterestRate/PaymentsPerYear),"")</f>
        <v>316.54182717828445</v>
      </c>
      <c r="J168" s="25">
        <f ca="1">IF(PaymentSchedule3[[#This Row],[Payment Number]]&lt;&gt;"",IF(PaymentSchedule3[[#This Row],[Scheduled Payment]]+PaymentSchedule3[[#This Row],[Extra
Payment]]&lt;=PaymentSchedule3[[#This Row],[Beginning
Balance]],PaymentSchedule3[[#This Row],[Beginning
Balance]]-PaymentSchedule3[[#This Row],[Principal]],0),"")</f>
        <v>75743.048456666758</v>
      </c>
      <c r="K168" s="25">
        <f ca="1">IF(PaymentSchedule3[[#This Row],[Payment Number]]&lt;&gt;"",SUM(INDEX(PaymentSchedule3[Interest],1,1):PaymentSchedule3[[#This Row],[Interest]]),"")</f>
        <v>56566.364344935173</v>
      </c>
      <c r="L168" s="49">
        <f ca="1">LoanAmount-PaymentSchedule3[[#This Row],[Ending
Balance]]</f>
        <v>25506.951543333242</v>
      </c>
      <c r="M168" s="49">
        <f t="shared" ca="1" si="2"/>
        <v>908.5318932997908</v>
      </c>
      <c r="N168" s="25">
        <f ca="1">PaymentSchedule3[[#This Row],[Payment Number]]*$M$19</f>
        <v>137188.31588826841</v>
      </c>
    </row>
    <row r="169" spans="2:14" ht="15.75" x14ac:dyDescent="0.25">
      <c r="B169" s="23">
        <f ca="1">IF(LoanIsGood,IF(ROW()-ROW(PaymentSchedule3[[#Headers],[Payment Number]])&gt;ScheduledNumberOfPayments,"",ROW()-ROW(PaymentSchedule3[[#Headers],[Payment Number]])),"")</f>
        <v>152</v>
      </c>
      <c r="C169" s="24">
        <f ca="1">IF(PaymentSchedule3[[#This Row],[Payment Number]]&lt;&gt;"",EOMONTH(LoanStartDate,ROW(PaymentSchedule3[[#This Row],[Payment Number]])-ROW(PaymentSchedule3[[#Headers],[Payment Number]])-2)+DAY(LoanStartDate),"")</f>
        <v>49230</v>
      </c>
      <c r="D169" s="25">
        <f ca="1">IF(PaymentSchedule3[[#This Row],[Payment Number]]&lt;&gt;"",IF(ROW()-ROW(PaymentSchedule3[[#Headers],[Beginning
Balance]])=1,LoanAmount,INDEX(PaymentSchedule3[Ending
Balance],ROW()-ROW(PaymentSchedule3[[#Headers],[Beginning
Balance]])-1)),"")</f>
        <v>75743.048456666758</v>
      </c>
      <c r="E169" s="25">
        <f ca="1">IF(PaymentSchedule3[[#This Row],[Payment Number]]&lt;&gt;"",ScheduledPayment,"")</f>
        <v>543.5318932997908</v>
      </c>
      <c r="F1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69" s="25">
        <f ca="1">IF(PaymentSchedule3[[#This Row],[Payment Number]]&lt;&gt;"",PaymentSchedule3[[#This Row],[Total
Payment]]-PaymentSchedule3[[#This Row],[Interest]],"")</f>
        <v>227.93585806367929</v>
      </c>
      <c r="I169" s="25">
        <f ca="1">IF(PaymentSchedule3[[#This Row],[Payment Number]]&lt;&gt;"",PaymentSchedule3[[#This Row],[Beginning
Balance]]*(InterestRate/PaymentsPerYear),"")</f>
        <v>315.5960352361115</v>
      </c>
      <c r="J169" s="25">
        <f ca="1">IF(PaymentSchedule3[[#This Row],[Payment Number]]&lt;&gt;"",IF(PaymentSchedule3[[#This Row],[Scheduled Payment]]+PaymentSchedule3[[#This Row],[Extra
Payment]]&lt;=PaymentSchedule3[[#This Row],[Beginning
Balance]],PaymentSchedule3[[#This Row],[Beginning
Balance]]-PaymentSchedule3[[#This Row],[Principal]],0),"")</f>
        <v>75515.112598603082</v>
      </c>
      <c r="K169" s="25">
        <f ca="1">IF(PaymentSchedule3[[#This Row],[Payment Number]]&lt;&gt;"",SUM(INDEX(PaymentSchedule3[Interest],1,1):PaymentSchedule3[[#This Row],[Interest]]),"")</f>
        <v>56881.960380171287</v>
      </c>
      <c r="L169" s="49">
        <f ca="1">LoanAmount-PaymentSchedule3[[#This Row],[Ending
Balance]]</f>
        <v>25734.887401396918</v>
      </c>
      <c r="M169" s="49">
        <f t="shared" ca="1" si="2"/>
        <v>908.5318932997908</v>
      </c>
      <c r="N169" s="25">
        <f ca="1">PaymentSchedule3[[#This Row],[Payment Number]]*$M$19</f>
        <v>138096.84778156821</v>
      </c>
    </row>
    <row r="170" spans="2:14" ht="15.75" x14ac:dyDescent="0.25">
      <c r="B170" s="23">
        <f ca="1">IF(LoanIsGood,IF(ROW()-ROW(PaymentSchedule3[[#Headers],[Payment Number]])&gt;ScheduledNumberOfPayments,"",ROW()-ROW(PaymentSchedule3[[#Headers],[Payment Number]])),"")</f>
        <v>153</v>
      </c>
      <c r="C170" s="24">
        <f ca="1">IF(PaymentSchedule3[[#This Row],[Payment Number]]&lt;&gt;"",EOMONTH(LoanStartDate,ROW(PaymentSchedule3[[#This Row],[Payment Number]])-ROW(PaymentSchedule3[[#Headers],[Payment Number]])-2)+DAY(LoanStartDate),"")</f>
        <v>49261</v>
      </c>
      <c r="D170" s="25">
        <f ca="1">IF(PaymentSchedule3[[#This Row],[Payment Number]]&lt;&gt;"",IF(ROW()-ROW(PaymentSchedule3[[#Headers],[Beginning
Balance]])=1,LoanAmount,INDEX(PaymentSchedule3[Ending
Balance],ROW()-ROW(PaymentSchedule3[[#Headers],[Beginning
Balance]])-1)),"")</f>
        <v>75515.112598603082</v>
      </c>
      <c r="E170" s="25">
        <f ca="1">IF(PaymentSchedule3[[#This Row],[Payment Number]]&lt;&gt;"",ScheduledPayment,"")</f>
        <v>543.5318932997908</v>
      </c>
      <c r="F1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0" s="25">
        <f ca="1">IF(PaymentSchedule3[[#This Row],[Payment Number]]&lt;&gt;"",PaymentSchedule3[[#This Row],[Total
Payment]]-PaymentSchedule3[[#This Row],[Interest]],"")</f>
        <v>228.88559080561129</v>
      </c>
      <c r="I170" s="25">
        <f ca="1">IF(PaymentSchedule3[[#This Row],[Payment Number]]&lt;&gt;"",PaymentSchedule3[[#This Row],[Beginning
Balance]]*(InterestRate/PaymentsPerYear),"")</f>
        <v>314.64630249417951</v>
      </c>
      <c r="J170" s="25">
        <f ca="1">IF(PaymentSchedule3[[#This Row],[Payment Number]]&lt;&gt;"",IF(PaymentSchedule3[[#This Row],[Scheduled Payment]]+PaymentSchedule3[[#This Row],[Extra
Payment]]&lt;=PaymentSchedule3[[#This Row],[Beginning
Balance]],PaymentSchedule3[[#This Row],[Beginning
Balance]]-PaymentSchedule3[[#This Row],[Principal]],0),"")</f>
        <v>75286.227007797468</v>
      </c>
      <c r="K170" s="25">
        <f ca="1">IF(PaymentSchedule3[[#This Row],[Payment Number]]&lt;&gt;"",SUM(INDEX(PaymentSchedule3[Interest],1,1):PaymentSchedule3[[#This Row],[Interest]]),"")</f>
        <v>57196.606682665464</v>
      </c>
      <c r="L170" s="49">
        <f ca="1">LoanAmount-PaymentSchedule3[[#This Row],[Ending
Balance]]</f>
        <v>25963.772992202532</v>
      </c>
      <c r="M170" s="49">
        <f t="shared" ca="1" si="2"/>
        <v>908.5318932997908</v>
      </c>
      <c r="N170" s="25">
        <f ca="1">PaymentSchedule3[[#This Row],[Payment Number]]*$M$19</f>
        <v>139005.37967486799</v>
      </c>
    </row>
    <row r="171" spans="2:14" ht="15.75" x14ac:dyDescent="0.25">
      <c r="B171" s="23">
        <f ca="1">IF(LoanIsGood,IF(ROW()-ROW(PaymentSchedule3[[#Headers],[Payment Number]])&gt;ScheduledNumberOfPayments,"",ROW()-ROW(PaymentSchedule3[[#Headers],[Payment Number]])),"")</f>
        <v>154</v>
      </c>
      <c r="C171" s="24">
        <f ca="1">IF(PaymentSchedule3[[#This Row],[Payment Number]]&lt;&gt;"",EOMONTH(LoanStartDate,ROW(PaymentSchedule3[[#This Row],[Payment Number]])-ROW(PaymentSchedule3[[#Headers],[Payment Number]])-2)+DAY(LoanStartDate),"")</f>
        <v>49291</v>
      </c>
      <c r="D171" s="25">
        <f ca="1">IF(PaymentSchedule3[[#This Row],[Payment Number]]&lt;&gt;"",IF(ROW()-ROW(PaymentSchedule3[[#Headers],[Beginning
Balance]])=1,LoanAmount,INDEX(PaymentSchedule3[Ending
Balance],ROW()-ROW(PaymentSchedule3[[#Headers],[Beginning
Balance]])-1)),"")</f>
        <v>75286.227007797468</v>
      </c>
      <c r="E171" s="25">
        <f ca="1">IF(PaymentSchedule3[[#This Row],[Payment Number]]&lt;&gt;"",ScheduledPayment,"")</f>
        <v>543.5318932997908</v>
      </c>
      <c r="F1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1" s="25">
        <f ca="1">IF(PaymentSchedule3[[#This Row],[Payment Number]]&lt;&gt;"",PaymentSchedule3[[#This Row],[Total
Payment]]-PaymentSchedule3[[#This Row],[Interest]],"")</f>
        <v>229.83928076730137</v>
      </c>
      <c r="I171" s="25">
        <f ca="1">IF(PaymentSchedule3[[#This Row],[Payment Number]]&lt;&gt;"",PaymentSchedule3[[#This Row],[Beginning
Balance]]*(InterestRate/PaymentsPerYear),"")</f>
        <v>313.69261253248942</v>
      </c>
      <c r="J171" s="25">
        <f ca="1">IF(PaymentSchedule3[[#This Row],[Payment Number]]&lt;&gt;"",IF(PaymentSchedule3[[#This Row],[Scheduled Payment]]+PaymentSchedule3[[#This Row],[Extra
Payment]]&lt;=PaymentSchedule3[[#This Row],[Beginning
Balance]],PaymentSchedule3[[#This Row],[Beginning
Balance]]-PaymentSchedule3[[#This Row],[Principal]],0),"")</f>
        <v>75056.38772703016</v>
      </c>
      <c r="K171" s="25">
        <f ca="1">IF(PaymentSchedule3[[#This Row],[Payment Number]]&lt;&gt;"",SUM(INDEX(PaymentSchedule3[Interest],1,1):PaymentSchedule3[[#This Row],[Interest]]),"")</f>
        <v>57510.299295197954</v>
      </c>
      <c r="L171" s="49">
        <f ca="1">LoanAmount-PaymentSchedule3[[#This Row],[Ending
Balance]]</f>
        <v>26193.61227296984</v>
      </c>
      <c r="M171" s="49">
        <f t="shared" ca="1" si="2"/>
        <v>908.5318932997908</v>
      </c>
      <c r="N171" s="25">
        <f ca="1">PaymentSchedule3[[#This Row],[Payment Number]]*$M$19</f>
        <v>139913.91156816779</v>
      </c>
    </row>
    <row r="172" spans="2:14" ht="15.75" x14ac:dyDescent="0.25">
      <c r="B172" s="23">
        <f ca="1">IF(LoanIsGood,IF(ROW()-ROW(PaymentSchedule3[[#Headers],[Payment Number]])&gt;ScheduledNumberOfPayments,"",ROW()-ROW(PaymentSchedule3[[#Headers],[Payment Number]])),"")</f>
        <v>155</v>
      </c>
      <c r="C172" s="24">
        <f ca="1">IF(PaymentSchedule3[[#This Row],[Payment Number]]&lt;&gt;"",EOMONTH(LoanStartDate,ROW(PaymentSchedule3[[#This Row],[Payment Number]])-ROW(PaymentSchedule3[[#Headers],[Payment Number]])-2)+DAY(LoanStartDate),"")</f>
        <v>49322</v>
      </c>
      <c r="D172" s="25">
        <f ca="1">IF(PaymentSchedule3[[#This Row],[Payment Number]]&lt;&gt;"",IF(ROW()-ROW(PaymentSchedule3[[#Headers],[Beginning
Balance]])=1,LoanAmount,INDEX(PaymentSchedule3[Ending
Balance],ROW()-ROW(PaymentSchedule3[[#Headers],[Beginning
Balance]])-1)),"")</f>
        <v>75056.38772703016</v>
      </c>
      <c r="E172" s="25">
        <f ca="1">IF(PaymentSchedule3[[#This Row],[Payment Number]]&lt;&gt;"",ScheduledPayment,"")</f>
        <v>543.5318932997908</v>
      </c>
      <c r="F1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2" s="25">
        <f ca="1">IF(PaymentSchedule3[[#This Row],[Payment Number]]&lt;&gt;"",PaymentSchedule3[[#This Row],[Total
Payment]]-PaymentSchedule3[[#This Row],[Interest]],"")</f>
        <v>230.79694443716511</v>
      </c>
      <c r="I172" s="25">
        <f ca="1">IF(PaymentSchedule3[[#This Row],[Payment Number]]&lt;&gt;"",PaymentSchedule3[[#This Row],[Beginning
Balance]]*(InterestRate/PaymentsPerYear),"")</f>
        <v>312.73494886262569</v>
      </c>
      <c r="J172" s="25">
        <f ca="1">IF(PaymentSchedule3[[#This Row],[Payment Number]]&lt;&gt;"",IF(PaymentSchedule3[[#This Row],[Scheduled Payment]]+PaymentSchedule3[[#This Row],[Extra
Payment]]&lt;=PaymentSchedule3[[#This Row],[Beginning
Balance]],PaymentSchedule3[[#This Row],[Beginning
Balance]]-PaymentSchedule3[[#This Row],[Principal]],0),"")</f>
        <v>74825.59078259299</v>
      </c>
      <c r="K172" s="25">
        <f ca="1">IF(PaymentSchedule3[[#This Row],[Payment Number]]&lt;&gt;"",SUM(INDEX(PaymentSchedule3[Interest],1,1):PaymentSchedule3[[#This Row],[Interest]]),"")</f>
        <v>57823.034244060582</v>
      </c>
      <c r="L172" s="49">
        <f ca="1">LoanAmount-PaymentSchedule3[[#This Row],[Ending
Balance]]</f>
        <v>26424.40921740701</v>
      </c>
      <c r="M172" s="49">
        <f t="shared" ca="1" si="2"/>
        <v>908.5318932997908</v>
      </c>
      <c r="N172" s="25">
        <f ca="1">PaymentSchedule3[[#This Row],[Payment Number]]*$M$19</f>
        <v>140822.44346146757</v>
      </c>
    </row>
    <row r="173" spans="2:14" ht="15.75" x14ac:dyDescent="0.25">
      <c r="B173" s="23">
        <f ca="1">IF(LoanIsGood,IF(ROW()-ROW(PaymentSchedule3[[#Headers],[Payment Number]])&gt;ScheduledNumberOfPayments,"",ROW()-ROW(PaymentSchedule3[[#Headers],[Payment Number]])),"")</f>
        <v>156</v>
      </c>
      <c r="C173" s="24">
        <f ca="1">IF(PaymentSchedule3[[#This Row],[Payment Number]]&lt;&gt;"",EOMONTH(LoanStartDate,ROW(PaymentSchedule3[[#This Row],[Payment Number]])-ROW(PaymentSchedule3[[#Headers],[Payment Number]])-2)+DAY(LoanStartDate),"")</f>
        <v>49353</v>
      </c>
      <c r="D173" s="25">
        <f ca="1">IF(PaymentSchedule3[[#This Row],[Payment Number]]&lt;&gt;"",IF(ROW()-ROW(PaymentSchedule3[[#Headers],[Beginning
Balance]])=1,LoanAmount,INDEX(PaymentSchedule3[Ending
Balance],ROW()-ROW(PaymentSchedule3[[#Headers],[Beginning
Balance]])-1)),"")</f>
        <v>74825.59078259299</v>
      </c>
      <c r="E173" s="25">
        <f ca="1">IF(PaymentSchedule3[[#This Row],[Payment Number]]&lt;&gt;"",ScheduledPayment,"")</f>
        <v>543.5318932997908</v>
      </c>
      <c r="F1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3" s="25">
        <f ca="1">IF(PaymentSchedule3[[#This Row],[Payment Number]]&lt;&gt;"",PaymentSchedule3[[#This Row],[Total
Payment]]-PaymentSchedule3[[#This Row],[Interest]],"")</f>
        <v>231.75859837232002</v>
      </c>
      <c r="I173" s="25">
        <f ca="1">IF(PaymentSchedule3[[#This Row],[Payment Number]]&lt;&gt;"",PaymentSchedule3[[#This Row],[Beginning
Balance]]*(InterestRate/PaymentsPerYear),"")</f>
        <v>311.77329492747077</v>
      </c>
      <c r="J173" s="25">
        <f ca="1">IF(PaymentSchedule3[[#This Row],[Payment Number]]&lt;&gt;"",IF(PaymentSchedule3[[#This Row],[Scheduled Payment]]+PaymentSchedule3[[#This Row],[Extra
Payment]]&lt;=PaymentSchedule3[[#This Row],[Beginning
Balance]],PaymentSchedule3[[#This Row],[Beginning
Balance]]-PaymentSchedule3[[#This Row],[Principal]],0),"")</f>
        <v>74593.832184220664</v>
      </c>
      <c r="K173" s="25">
        <f ca="1">IF(PaymentSchedule3[[#This Row],[Payment Number]]&lt;&gt;"",SUM(INDEX(PaymentSchedule3[Interest],1,1):PaymentSchedule3[[#This Row],[Interest]]),"")</f>
        <v>58134.807538988054</v>
      </c>
      <c r="L173" s="49">
        <f ca="1">LoanAmount-PaymentSchedule3[[#This Row],[Ending
Balance]]</f>
        <v>26656.167815779336</v>
      </c>
      <c r="M173" s="49">
        <f t="shared" ca="1" si="2"/>
        <v>908.5318932997908</v>
      </c>
      <c r="N173" s="25">
        <f ca="1">PaymentSchedule3[[#This Row],[Payment Number]]*$M$19</f>
        <v>141730.97535476738</v>
      </c>
    </row>
    <row r="174" spans="2:14" ht="15.75" x14ac:dyDescent="0.25">
      <c r="B174" s="23">
        <f ca="1">IF(LoanIsGood,IF(ROW()-ROW(PaymentSchedule3[[#Headers],[Payment Number]])&gt;ScheduledNumberOfPayments,"",ROW()-ROW(PaymentSchedule3[[#Headers],[Payment Number]])),"")</f>
        <v>157</v>
      </c>
      <c r="C174" s="24">
        <f ca="1">IF(PaymentSchedule3[[#This Row],[Payment Number]]&lt;&gt;"",EOMONTH(LoanStartDate,ROW(PaymentSchedule3[[#This Row],[Payment Number]])-ROW(PaymentSchedule3[[#Headers],[Payment Number]])-2)+DAY(LoanStartDate),"")</f>
        <v>49381</v>
      </c>
      <c r="D174" s="25">
        <f ca="1">IF(PaymentSchedule3[[#This Row],[Payment Number]]&lt;&gt;"",IF(ROW()-ROW(PaymentSchedule3[[#Headers],[Beginning
Balance]])=1,LoanAmount,INDEX(PaymentSchedule3[Ending
Balance],ROW()-ROW(PaymentSchedule3[[#Headers],[Beginning
Balance]])-1)),"")</f>
        <v>74593.832184220664</v>
      </c>
      <c r="E174" s="25">
        <f ca="1">IF(PaymentSchedule3[[#This Row],[Payment Number]]&lt;&gt;"",ScheduledPayment,"")</f>
        <v>543.5318932997908</v>
      </c>
      <c r="F1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4" s="25">
        <f ca="1">IF(PaymentSchedule3[[#This Row],[Payment Number]]&lt;&gt;"",PaymentSchedule3[[#This Row],[Total
Payment]]-PaymentSchedule3[[#This Row],[Interest]],"")</f>
        <v>232.72425919887138</v>
      </c>
      <c r="I174" s="25">
        <f ca="1">IF(PaymentSchedule3[[#This Row],[Payment Number]]&lt;&gt;"",PaymentSchedule3[[#This Row],[Beginning
Balance]]*(InterestRate/PaymentsPerYear),"")</f>
        <v>310.80763410091942</v>
      </c>
      <c r="J174" s="25">
        <f ca="1">IF(PaymentSchedule3[[#This Row],[Payment Number]]&lt;&gt;"",IF(PaymentSchedule3[[#This Row],[Scheduled Payment]]+PaymentSchedule3[[#This Row],[Extra
Payment]]&lt;=PaymentSchedule3[[#This Row],[Beginning
Balance]],PaymentSchedule3[[#This Row],[Beginning
Balance]]-PaymentSchedule3[[#This Row],[Principal]],0),"")</f>
        <v>74361.107925021788</v>
      </c>
      <c r="K174" s="25">
        <f ca="1">IF(PaymentSchedule3[[#This Row],[Payment Number]]&lt;&gt;"",SUM(INDEX(PaymentSchedule3[Interest],1,1):PaymentSchedule3[[#This Row],[Interest]]),"")</f>
        <v>58445.615173088976</v>
      </c>
      <c r="L174" s="49">
        <f ca="1">LoanAmount-PaymentSchedule3[[#This Row],[Ending
Balance]]</f>
        <v>26888.892074978212</v>
      </c>
      <c r="M174" s="49">
        <f t="shared" ca="1" si="2"/>
        <v>908.5318932997908</v>
      </c>
      <c r="N174" s="25">
        <f ca="1">PaymentSchedule3[[#This Row],[Payment Number]]*$M$19</f>
        <v>142639.50724806715</v>
      </c>
    </row>
    <row r="175" spans="2:14" ht="15.75" x14ac:dyDescent="0.25">
      <c r="B175" s="23">
        <f ca="1">IF(LoanIsGood,IF(ROW()-ROW(PaymentSchedule3[[#Headers],[Payment Number]])&gt;ScheduledNumberOfPayments,"",ROW()-ROW(PaymentSchedule3[[#Headers],[Payment Number]])),"")</f>
        <v>158</v>
      </c>
      <c r="C175" s="24">
        <f ca="1">IF(PaymentSchedule3[[#This Row],[Payment Number]]&lt;&gt;"",EOMONTH(LoanStartDate,ROW(PaymentSchedule3[[#This Row],[Payment Number]])-ROW(PaymentSchedule3[[#Headers],[Payment Number]])-2)+DAY(LoanStartDate),"")</f>
        <v>49412</v>
      </c>
      <c r="D175" s="25">
        <f ca="1">IF(PaymentSchedule3[[#This Row],[Payment Number]]&lt;&gt;"",IF(ROW()-ROW(PaymentSchedule3[[#Headers],[Beginning
Balance]])=1,LoanAmount,INDEX(PaymentSchedule3[Ending
Balance],ROW()-ROW(PaymentSchedule3[[#Headers],[Beginning
Balance]])-1)),"")</f>
        <v>74361.107925021788</v>
      </c>
      <c r="E175" s="25">
        <f ca="1">IF(PaymentSchedule3[[#This Row],[Payment Number]]&lt;&gt;"",ScheduledPayment,"")</f>
        <v>543.5318932997908</v>
      </c>
      <c r="F1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5" s="25">
        <f ca="1">IF(PaymentSchedule3[[#This Row],[Payment Number]]&lt;&gt;"",PaymentSchedule3[[#This Row],[Total
Payment]]-PaymentSchedule3[[#This Row],[Interest]],"")</f>
        <v>233.69394361220003</v>
      </c>
      <c r="I175" s="25">
        <f ca="1">IF(PaymentSchedule3[[#This Row],[Payment Number]]&lt;&gt;"",PaymentSchedule3[[#This Row],[Beginning
Balance]]*(InterestRate/PaymentsPerYear),"")</f>
        <v>309.83794968759076</v>
      </c>
      <c r="J175" s="25">
        <f ca="1">IF(PaymentSchedule3[[#This Row],[Payment Number]]&lt;&gt;"",IF(PaymentSchedule3[[#This Row],[Scheduled Payment]]+PaymentSchedule3[[#This Row],[Extra
Payment]]&lt;=PaymentSchedule3[[#This Row],[Beginning
Balance]],PaymentSchedule3[[#This Row],[Beginning
Balance]]-PaymentSchedule3[[#This Row],[Principal]],0),"")</f>
        <v>74127.413981409583</v>
      </c>
      <c r="K175" s="25">
        <f ca="1">IF(PaymentSchedule3[[#This Row],[Payment Number]]&lt;&gt;"",SUM(INDEX(PaymentSchedule3[Interest],1,1):PaymentSchedule3[[#This Row],[Interest]]),"")</f>
        <v>58755.453122776569</v>
      </c>
      <c r="L175" s="49">
        <f ca="1">LoanAmount-PaymentSchedule3[[#This Row],[Ending
Balance]]</f>
        <v>27122.586018590417</v>
      </c>
      <c r="M175" s="49">
        <f t="shared" ca="1" si="2"/>
        <v>908.5318932997908</v>
      </c>
      <c r="N175" s="25">
        <f ca="1">PaymentSchedule3[[#This Row],[Payment Number]]*$M$19</f>
        <v>143548.03914136696</v>
      </c>
    </row>
    <row r="176" spans="2:14" ht="15.75" x14ac:dyDescent="0.25">
      <c r="B176" s="23">
        <f ca="1">IF(LoanIsGood,IF(ROW()-ROW(PaymentSchedule3[[#Headers],[Payment Number]])&gt;ScheduledNumberOfPayments,"",ROW()-ROW(PaymentSchedule3[[#Headers],[Payment Number]])),"")</f>
        <v>159</v>
      </c>
      <c r="C176" s="24">
        <f ca="1">IF(PaymentSchedule3[[#This Row],[Payment Number]]&lt;&gt;"",EOMONTH(LoanStartDate,ROW(PaymentSchedule3[[#This Row],[Payment Number]])-ROW(PaymentSchedule3[[#Headers],[Payment Number]])-2)+DAY(LoanStartDate),"")</f>
        <v>49442</v>
      </c>
      <c r="D176" s="25">
        <f ca="1">IF(PaymentSchedule3[[#This Row],[Payment Number]]&lt;&gt;"",IF(ROW()-ROW(PaymentSchedule3[[#Headers],[Beginning
Balance]])=1,LoanAmount,INDEX(PaymentSchedule3[Ending
Balance],ROW()-ROW(PaymentSchedule3[[#Headers],[Beginning
Balance]])-1)),"")</f>
        <v>74127.413981409583</v>
      </c>
      <c r="E176" s="25">
        <f ca="1">IF(PaymentSchedule3[[#This Row],[Payment Number]]&lt;&gt;"",ScheduledPayment,"")</f>
        <v>543.5318932997908</v>
      </c>
      <c r="F1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6" s="25">
        <f ca="1">IF(PaymentSchedule3[[#This Row],[Payment Number]]&lt;&gt;"",PaymentSchedule3[[#This Row],[Total
Payment]]-PaymentSchedule3[[#This Row],[Interest]],"")</f>
        <v>234.66766837725089</v>
      </c>
      <c r="I176" s="25">
        <f ca="1">IF(PaymentSchedule3[[#This Row],[Payment Number]]&lt;&gt;"",PaymentSchedule3[[#This Row],[Beginning
Balance]]*(InterestRate/PaymentsPerYear),"")</f>
        <v>308.8642249225399</v>
      </c>
      <c r="J176" s="25">
        <f ca="1">IF(PaymentSchedule3[[#This Row],[Payment Number]]&lt;&gt;"",IF(PaymentSchedule3[[#This Row],[Scheduled Payment]]+PaymentSchedule3[[#This Row],[Extra
Payment]]&lt;=PaymentSchedule3[[#This Row],[Beginning
Balance]],PaymentSchedule3[[#This Row],[Beginning
Balance]]-PaymentSchedule3[[#This Row],[Principal]],0),"")</f>
        <v>73892.74631303233</v>
      </c>
      <c r="K176" s="25">
        <f ca="1">IF(PaymentSchedule3[[#This Row],[Payment Number]]&lt;&gt;"",SUM(INDEX(PaymentSchedule3[Interest],1,1):PaymentSchedule3[[#This Row],[Interest]]),"")</f>
        <v>59064.317347699107</v>
      </c>
      <c r="L176" s="49">
        <f ca="1">LoanAmount-PaymentSchedule3[[#This Row],[Ending
Balance]]</f>
        <v>27357.25368696767</v>
      </c>
      <c r="M176" s="49">
        <f t="shared" ca="1" si="2"/>
        <v>908.5318932997908</v>
      </c>
      <c r="N176" s="25">
        <f ca="1">PaymentSchedule3[[#This Row],[Payment Number]]*$M$19</f>
        <v>144456.57103466673</v>
      </c>
    </row>
    <row r="177" spans="2:14" ht="15.75" x14ac:dyDescent="0.25">
      <c r="B177" s="23">
        <f ca="1">IF(LoanIsGood,IF(ROW()-ROW(PaymentSchedule3[[#Headers],[Payment Number]])&gt;ScheduledNumberOfPayments,"",ROW()-ROW(PaymentSchedule3[[#Headers],[Payment Number]])),"")</f>
        <v>160</v>
      </c>
      <c r="C177" s="24">
        <f ca="1">IF(PaymentSchedule3[[#This Row],[Payment Number]]&lt;&gt;"",EOMONTH(LoanStartDate,ROW(PaymentSchedule3[[#This Row],[Payment Number]])-ROW(PaymentSchedule3[[#Headers],[Payment Number]])-2)+DAY(LoanStartDate),"")</f>
        <v>49473</v>
      </c>
      <c r="D177" s="25">
        <f ca="1">IF(PaymentSchedule3[[#This Row],[Payment Number]]&lt;&gt;"",IF(ROW()-ROW(PaymentSchedule3[[#Headers],[Beginning
Balance]])=1,LoanAmount,INDEX(PaymentSchedule3[Ending
Balance],ROW()-ROW(PaymentSchedule3[[#Headers],[Beginning
Balance]])-1)),"")</f>
        <v>73892.74631303233</v>
      </c>
      <c r="E177" s="25">
        <f ca="1">IF(PaymentSchedule3[[#This Row],[Payment Number]]&lt;&gt;"",ScheduledPayment,"")</f>
        <v>543.5318932997908</v>
      </c>
      <c r="F1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7" s="25">
        <f ca="1">IF(PaymentSchedule3[[#This Row],[Payment Number]]&lt;&gt;"",PaymentSchedule3[[#This Row],[Total
Payment]]-PaymentSchedule3[[#This Row],[Interest]],"")</f>
        <v>235.64545032882273</v>
      </c>
      <c r="I177" s="25">
        <f ca="1">IF(PaymentSchedule3[[#This Row],[Payment Number]]&lt;&gt;"",PaymentSchedule3[[#This Row],[Beginning
Balance]]*(InterestRate/PaymentsPerYear),"")</f>
        <v>307.88644297096806</v>
      </c>
      <c r="J177" s="25">
        <f ca="1">IF(PaymentSchedule3[[#This Row],[Payment Number]]&lt;&gt;"",IF(PaymentSchedule3[[#This Row],[Scheduled Payment]]+PaymentSchedule3[[#This Row],[Extra
Payment]]&lt;=PaymentSchedule3[[#This Row],[Beginning
Balance]],PaymentSchedule3[[#This Row],[Beginning
Balance]]-PaymentSchedule3[[#This Row],[Principal]],0),"")</f>
        <v>73657.100862703504</v>
      </c>
      <c r="K177" s="25">
        <f ca="1">IF(PaymentSchedule3[[#This Row],[Payment Number]]&lt;&gt;"",SUM(INDEX(PaymentSchedule3[Interest],1,1):PaymentSchedule3[[#This Row],[Interest]]),"")</f>
        <v>59372.203790670072</v>
      </c>
      <c r="L177" s="49">
        <f ca="1">LoanAmount-PaymentSchedule3[[#This Row],[Ending
Balance]]</f>
        <v>27592.899137296496</v>
      </c>
      <c r="M177" s="49">
        <f t="shared" ca="1" si="2"/>
        <v>908.5318932997908</v>
      </c>
      <c r="N177" s="25">
        <f ca="1">PaymentSchedule3[[#This Row],[Payment Number]]*$M$19</f>
        <v>145365.10292796654</v>
      </c>
    </row>
    <row r="178" spans="2:14" ht="15.75" x14ac:dyDescent="0.25">
      <c r="B178" s="23">
        <f ca="1">IF(LoanIsGood,IF(ROW()-ROW(PaymentSchedule3[[#Headers],[Payment Number]])&gt;ScheduledNumberOfPayments,"",ROW()-ROW(PaymentSchedule3[[#Headers],[Payment Number]])),"")</f>
        <v>161</v>
      </c>
      <c r="C178" s="24">
        <f ca="1">IF(PaymentSchedule3[[#This Row],[Payment Number]]&lt;&gt;"",EOMONTH(LoanStartDate,ROW(PaymentSchedule3[[#This Row],[Payment Number]])-ROW(PaymentSchedule3[[#Headers],[Payment Number]])-2)+DAY(LoanStartDate),"")</f>
        <v>49503</v>
      </c>
      <c r="D178" s="25">
        <f ca="1">IF(PaymentSchedule3[[#This Row],[Payment Number]]&lt;&gt;"",IF(ROW()-ROW(PaymentSchedule3[[#Headers],[Beginning
Balance]])=1,LoanAmount,INDEX(PaymentSchedule3[Ending
Balance],ROW()-ROW(PaymentSchedule3[[#Headers],[Beginning
Balance]])-1)),"")</f>
        <v>73657.100862703504</v>
      </c>
      <c r="E178" s="25">
        <f ca="1">IF(PaymentSchedule3[[#This Row],[Payment Number]]&lt;&gt;"",ScheduledPayment,"")</f>
        <v>543.5318932997908</v>
      </c>
      <c r="F1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8" s="25">
        <f ca="1">IF(PaymentSchedule3[[#This Row],[Payment Number]]&lt;&gt;"",PaymentSchedule3[[#This Row],[Total
Payment]]-PaymentSchedule3[[#This Row],[Interest]],"")</f>
        <v>236.6273063718595</v>
      </c>
      <c r="I178" s="25">
        <f ca="1">IF(PaymentSchedule3[[#This Row],[Payment Number]]&lt;&gt;"",PaymentSchedule3[[#This Row],[Beginning
Balance]]*(InterestRate/PaymentsPerYear),"")</f>
        <v>306.90458692793129</v>
      </c>
      <c r="J178" s="25">
        <f ca="1">IF(PaymentSchedule3[[#This Row],[Payment Number]]&lt;&gt;"",IF(PaymentSchedule3[[#This Row],[Scheduled Payment]]+PaymentSchedule3[[#This Row],[Extra
Payment]]&lt;=PaymentSchedule3[[#This Row],[Beginning
Balance]],PaymentSchedule3[[#This Row],[Beginning
Balance]]-PaymentSchedule3[[#This Row],[Principal]],0),"")</f>
        <v>73420.47355633165</v>
      </c>
      <c r="K178" s="25">
        <f ca="1">IF(PaymentSchedule3[[#This Row],[Payment Number]]&lt;&gt;"",SUM(INDEX(PaymentSchedule3[Interest],1,1):PaymentSchedule3[[#This Row],[Interest]]),"")</f>
        <v>59679.108377598001</v>
      </c>
      <c r="L178" s="49">
        <f ca="1">LoanAmount-PaymentSchedule3[[#This Row],[Ending
Balance]]</f>
        <v>27829.52644366835</v>
      </c>
      <c r="M178" s="49">
        <f t="shared" ca="1" si="2"/>
        <v>908.5318932997908</v>
      </c>
      <c r="N178" s="25">
        <f ca="1">PaymentSchedule3[[#This Row],[Payment Number]]*$M$19</f>
        <v>146273.63482126631</v>
      </c>
    </row>
    <row r="179" spans="2:14" ht="15.75" x14ac:dyDescent="0.25">
      <c r="B179" s="23">
        <f ca="1">IF(LoanIsGood,IF(ROW()-ROW(PaymentSchedule3[[#Headers],[Payment Number]])&gt;ScheduledNumberOfPayments,"",ROW()-ROW(PaymentSchedule3[[#Headers],[Payment Number]])),"")</f>
        <v>162</v>
      </c>
      <c r="C179" s="24">
        <f ca="1">IF(PaymentSchedule3[[#This Row],[Payment Number]]&lt;&gt;"",EOMONTH(LoanStartDate,ROW(PaymentSchedule3[[#This Row],[Payment Number]])-ROW(PaymentSchedule3[[#Headers],[Payment Number]])-2)+DAY(LoanStartDate),"")</f>
        <v>49534</v>
      </c>
      <c r="D179" s="25">
        <f ca="1">IF(PaymentSchedule3[[#This Row],[Payment Number]]&lt;&gt;"",IF(ROW()-ROW(PaymentSchedule3[[#Headers],[Beginning
Balance]])=1,LoanAmount,INDEX(PaymentSchedule3[Ending
Balance],ROW()-ROW(PaymentSchedule3[[#Headers],[Beginning
Balance]])-1)),"")</f>
        <v>73420.47355633165</v>
      </c>
      <c r="E179" s="25">
        <f ca="1">IF(PaymentSchedule3[[#This Row],[Payment Number]]&lt;&gt;"",ScheduledPayment,"")</f>
        <v>543.5318932997908</v>
      </c>
      <c r="F1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79" s="25">
        <f ca="1">IF(PaymentSchedule3[[#This Row],[Payment Number]]&lt;&gt;"",PaymentSchedule3[[#This Row],[Total
Payment]]-PaymentSchedule3[[#This Row],[Interest]],"")</f>
        <v>237.61325348174228</v>
      </c>
      <c r="I179" s="25">
        <f ca="1">IF(PaymentSchedule3[[#This Row],[Payment Number]]&lt;&gt;"",PaymentSchedule3[[#This Row],[Beginning
Balance]]*(InterestRate/PaymentsPerYear),"")</f>
        <v>305.91863981804852</v>
      </c>
      <c r="J179" s="25">
        <f ca="1">IF(PaymentSchedule3[[#This Row],[Payment Number]]&lt;&gt;"",IF(PaymentSchedule3[[#This Row],[Scheduled Payment]]+PaymentSchedule3[[#This Row],[Extra
Payment]]&lt;=PaymentSchedule3[[#This Row],[Beginning
Balance]],PaymentSchedule3[[#This Row],[Beginning
Balance]]-PaymentSchedule3[[#This Row],[Principal]],0),"")</f>
        <v>73182.860302849906</v>
      </c>
      <c r="K179" s="25">
        <f ca="1">IF(PaymentSchedule3[[#This Row],[Payment Number]]&lt;&gt;"",SUM(INDEX(PaymentSchedule3[Interest],1,1):PaymentSchedule3[[#This Row],[Interest]]),"")</f>
        <v>59985.027017416047</v>
      </c>
      <c r="L179" s="49">
        <f ca="1">LoanAmount-PaymentSchedule3[[#This Row],[Ending
Balance]]</f>
        <v>28067.139697150094</v>
      </c>
      <c r="M179" s="49">
        <f t="shared" ca="1" si="2"/>
        <v>908.5318932997908</v>
      </c>
      <c r="N179" s="25">
        <f ca="1">PaymentSchedule3[[#This Row],[Payment Number]]*$M$19</f>
        <v>147182.16671456612</v>
      </c>
    </row>
    <row r="180" spans="2:14" ht="15.75" x14ac:dyDescent="0.25">
      <c r="B180" s="23">
        <f ca="1">IF(LoanIsGood,IF(ROW()-ROW(PaymentSchedule3[[#Headers],[Payment Number]])&gt;ScheduledNumberOfPayments,"",ROW()-ROW(PaymentSchedule3[[#Headers],[Payment Number]])),"")</f>
        <v>163</v>
      </c>
      <c r="C180" s="24">
        <f ca="1">IF(PaymentSchedule3[[#This Row],[Payment Number]]&lt;&gt;"",EOMONTH(LoanStartDate,ROW(PaymentSchedule3[[#This Row],[Payment Number]])-ROW(PaymentSchedule3[[#Headers],[Payment Number]])-2)+DAY(LoanStartDate),"")</f>
        <v>49565</v>
      </c>
      <c r="D180" s="25">
        <f ca="1">IF(PaymentSchedule3[[#This Row],[Payment Number]]&lt;&gt;"",IF(ROW()-ROW(PaymentSchedule3[[#Headers],[Beginning
Balance]])=1,LoanAmount,INDEX(PaymentSchedule3[Ending
Balance],ROW()-ROW(PaymentSchedule3[[#Headers],[Beginning
Balance]])-1)),"")</f>
        <v>73182.860302849906</v>
      </c>
      <c r="E180" s="25">
        <f ca="1">IF(PaymentSchedule3[[#This Row],[Payment Number]]&lt;&gt;"",ScheduledPayment,"")</f>
        <v>543.5318932997908</v>
      </c>
      <c r="F1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0" s="25">
        <f ca="1">IF(PaymentSchedule3[[#This Row],[Payment Number]]&lt;&gt;"",PaymentSchedule3[[#This Row],[Total
Payment]]-PaymentSchedule3[[#This Row],[Interest]],"")</f>
        <v>238.60330870458284</v>
      </c>
      <c r="I180" s="25">
        <f ca="1">IF(PaymentSchedule3[[#This Row],[Payment Number]]&lt;&gt;"",PaymentSchedule3[[#This Row],[Beginning
Balance]]*(InterestRate/PaymentsPerYear),"")</f>
        <v>304.92858459520795</v>
      </c>
      <c r="J180" s="25">
        <f ca="1">IF(PaymentSchedule3[[#This Row],[Payment Number]]&lt;&gt;"",IF(PaymentSchedule3[[#This Row],[Scheduled Payment]]+PaymentSchedule3[[#This Row],[Extra
Payment]]&lt;=PaymentSchedule3[[#This Row],[Beginning
Balance]],PaymentSchedule3[[#This Row],[Beginning
Balance]]-PaymentSchedule3[[#This Row],[Principal]],0),"")</f>
        <v>72944.256994145326</v>
      </c>
      <c r="K180" s="25">
        <f ca="1">IF(PaymentSchedule3[[#This Row],[Payment Number]]&lt;&gt;"",SUM(INDEX(PaymentSchedule3[Interest],1,1):PaymentSchedule3[[#This Row],[Interest]]),"")</f>
        <v>60289.955602011258</v>
      </c>
      <c r="L180" s="49">
        <f ca="1">LoanAmount-PaymentSchedule3[[#This Row],[Ending
Balance]]</f>
        <v>28305.743005854674</v>
      </c>
      <c r="M180" s="49">
        <f t="shared" ca="1" si="2"/>
        <v>908.5318932997908</v>
      </c>
      <c r="N180" s="25">
        <f ca="1">PaymentSchedule3[[#This Row],[Payment Number]]*$M$19</f>
        <v>148090.6986078659</v>
      </c>
    </row>
    <row r="181" spans="2:14" ht="15.75" x14ac:dyDescent="0.25">
      <c r="B181" s="23">
        <f ca="1">IF(LoanIsGood,IF(ROW()-ROW(PaymentSchedule3[[#Headers],[Payment Number]])&gt;ScheduledNumberOfPayments,"",ROW()-ROW(PaymentSchedule3[[#Headers],[Payment Number]])),"")</f>
        <v>164</v>
      </c>
      <c r="C181" s="24">
        <f ca="1">IF(PaymentSchedule3[[#This Row],[Payment Number]]&lt;&gt;"",EOMONTH(LoanStartDate,ROW(PaymentSchedule3[[#This Row],[Payment Number]])-ROW(PaymentSchedule3[[#Headers],[Payment Number]])-2)+DAY(LoanStartDate),"")</f>
        <v>49595</v>
      </c>
      <c r="D181" s="25">
        <f ca="1">IF(PaymentSchedule3[[#This Row],[Payment Number]]&lt;&gt;"",IF(ROW()-ROW(PaymentSchedule3[[#Headers],[Beginning
Balance]])=1,LoanAmount,INDEX(PaymentSchedule3[Ending
Balance],ROW()-ROW(PaymentSchedule3[[#Headers],[Beginning
Balance]])-1)),"")</f>
        <v>72944.256994145326</v>
      </c>
      <c r="E181" s="25">
        <f ca="1">IF(PaymentSchedule3[[#This Row],[Payment Number]]&lt;&gt;"",ScheduledPayment,"")</f>
        <v>543.5318932997908</v>
      </c>
      <c r="F1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1" s="25">
        <f ca="1">IF(PaymentSchedule3[[#This Row],[Payment Number]]&lt;&gt;"",PaymentSchedule3[[#This Row],[Total
Payment]]-PaymentSchedule3[[#This Row],[Interest]],"")</f>
        <v>239.59748915751862</v>
      </c>
      <c r="I181" s="25">
        <f ca="1">IF(PaymentSchedule3[[#This Row],[Payment Number]]&lt;&gt;"",PaymentSchedule3[[#This Row],[Beginning
Balance]]*(InterestRate/PaymentsPerYear),"")</f>
        <v>303.93440414227217</v>
      </c>
      <c r="J181" s="25">
        <f ca="1">IF(PaymentSchedule3[[#This Row],[Payment Number]]&lt;&gt;"",IF(PaymentSchedule3[[#This Row],[Scheduled Payment]]+PaymentSchedule3[[#This Row],[Extra
Payment]]&lt;=PaymentSchedule3[[#This Row],[Beginning
Balance]],PaymentSchedule3[[#This Row],[Beginning
Balance]]-PaymentSchedule3[[#This Row],[Principal]],0),"")</f>
        <v>72704.659504987809</v>
      </c>
      <c r="K181" s="25">
        <f ca="1">IF(PaymentSchedule3[[#This Row],[Payment Number]]&lt;&gt;"",SUM(INDEX(PaymentSchedule3[Interest],1,1):PaymentSchedule3[[#This Row],[Interest]]),"")</f>
        <v>60593.890006153531</v>
      </c>
      <c r="L181" s="49">
        <f ca="1">LoanAmount-PaymentSchedule3[[#This Row],[Ending
Balance]]</f>
        <v>28545.340495012191</v>
      </c>
      <c r="M181" s="49">
        <f t="shared" ca="1" si="2"/>
        <v>908.5318932997908</v>
      </c>
      <c r="N181" s="25">
        <f ca="1">PaymentSchedule3[[#This Row],[Payment Number]]*$M$19</f>
        <v>148999.2305011657</v>
      </c>
    </row>
    <row r="182" spans="2:14" ht="15.75" x14ac:dyDescent="0.25">
      <c r="B182" s="23">
        <f ca="1">IF(LoanIsGood,IF(ROW()-ROW(PaymentSchedule3[[#Headers],[Payment Number]])&gt;ScheduledNumberOfPayments,"",ROW()-ROW(PaymentSchedule3[[#Headers],[Payment Number]])),"")</f>
        <v>165</v>
      </c>
      <c r="C182" s="24">
        <f ca="1">IF(PaymentSchedule3[[#This Row],[Payment Number]]&lt;&gt;"",EOMONTH(LoanStartDate,ROW(PaymentSchedule3[[#This Row],[Payment Number]])-ROW(PaymentSchedule3[[#Headers],[Payment Number]])-2)+DAY(LoanStartDate),"")</f>
        <v>49626</v>
      </c>
      <c r="D182" s="25">
        <f ca="1">IF(PaymentSchedule3[[#This Row],[Payment Number]]&lt;&gt;"",IF(ROW()-ROW(PaymentSchedule3[[#Headers],[Beginning
Balance]])=1,LoanAmount,INDEX(PaymentSchedule3[Ending
Balance],ROW()-ROW(PaymentSchedule3[[#Headers],[Beginning
Balance]])-1)),"")</f>
        <v>72704.659504987809</v>
      </c>
      <c r="E182" s="25">
        <f ca="1">IF(PaymentSchedule3[[#This Row],[Payment Number]]&lt;&gt;"",ScheduledPayment,"")</f>
        <v>543.5318932997908</v>
      </c>
      <c r="F1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2" s="25">
        <f ca="1">IF(PaymentSchedule3[[#This Row],[Payment Number]]&lt;&gt;"",PaymentSchedule3[[#This Row],[Total
Payment]]-PaymentSchedule3[[#This Row],[Interest]],"")</f>
        <v>240.59581202900824</v>
      </c>
      <c r="I182" s="25">
        <f ca="1">IF(PaymentSchedule3[[#This Row],[Payment Number]]&lt;&gt;"",PaymentSchedule3[[#This Row],[Beginning
Balance]]*(InterestRate/PaymentsPerYear),"")</f>
        <v>302.93608127078255</v>
      </c>
      <c r="J182" s="25">
        <f ca="1">IF(PaymentSchedule3[[#This Row],[Payment Number]]&lt;&gt;"",IF(PaymentSchedule3[[#This Row],[Scheduled Payment]]+PaymentSchedule3[[#This Row],[Extra
Payment]]&lt;=PaymentSchedule3[[#This Row],[Beginning
Balance]],PaymentSchedule3[[#This Row],[Beginning
Balance]]-PaymentSchedule3[[#This Row],[Principal]],0),"")</f>
        <v>72464.063692958807</v>
      </c>
      <c r="K182" s="25">
        <f ca="1">IF(PaymentSchedule3[[#This Row],[Payment Number]]&lt;&gt;"",SUM(INDEX(PaymentSchedule3[Interest],1,1):PaymentSchedule3[[#This Row],[Interest]]),"")</f>
        <v>60896.826087424313</v>
      </c>
      <c r="L182" s="49">
        <f ca="1">LoanAmount-PaymentSchedule3[[#This Row],[Ending
Balance]]</f>
        <v>28785.936307041193</v>
      </c>
      <c r="M182" s="49">
        <f t="shared" ca="1" si="2"/>
        <v>908.5318932997908</v>
      </c>
      <c r="N182" s="25">
        <f ca="1">PaymentSchedule3[[#This Row],[Payment Number]]*$M$19</f>
        <v>149907.76239446548</v>
      </c>
    </row>
    <row r="183" spans="2:14" ht="15.75" x14ac:dyDescent="0.25">
      <c r="B183" s="23">
        <f ca="1">IF(LoanIsGood,IF(ROW()-ROW(PaymentSchedule3[[#Headers],[Payment Number]])&gt;ScheduledNumberOfPayments,"",ROW()-ROW(PaymentSchedule3[[#Headers],[Payment Number]])),"")</f>
        <v>166</v>
      </c>
      <c r="C183" s="24">
        <f ca="1">IF(PaymentSchedule3[[#This Row],[Payment Number]]&lt;&gt;"",EOMONTH(LoanStartDate,ROW(PaymentSchedule3[[#This Row],[Payment Number]])-ROW(PaymentSchedule3[[#Headers],[Payment Number]])-2)+DAY(LoanStartDate),"")</f>
        <v>49656</v>
      </c>
      <c r="D183" s="25">
        <f ca="1">IF(PaymentSchedule3[[#This Row],[Payment Number]]&lt;&gt;"",IF(ROW()-ROW(PaymentSchedule3[[#Headers],[Beginning
Balance]])=1,LoanAmount,INDEX(PaymentSchedule3[Ending
Balance],ROW()-ROW(PaymentSchedule3[[#Headers],[Beginning
Balance]])-1)),"")</f>
        <v>72464.063692958807</v>
      </c>
      <c r="E183" s="25">
        <f ca="1">IF(PaymentSchedule3[[#This Row],[Payment Number]]&lt;&gt;"",ScheduledPayment,"")</f>
        <v>543.5318932997908</v>
      </c>
      <c r="F1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3" s="25">
        <f ca="1">IF(PaymentSchedule3[[#This Row],[Payment Number]]&lt;&gt;"",PaymentSchedule3[[#This Row],[Total
Payment]]-PaymentSchedule3[[#This Row],[Interest]],"")</f>
        <v>241.59829457912912</v>
      </c>
      <c r="I183" s="25">
        <f ca="1">IF(PaymentSchedule3[[#This Row],[Payment Number]]&lt;&gt;"",PaymentSchedule3[[#This Row],[Beginning
Balance]]*(InterestRate/PaymentsPerYear),"")</f>
        <v>301.93359872066168</v>
      </c>
      <c r="J183" s="25">
        <f ca="1">IF(PaymentSchedule3[[#This Row],[Payment Number]]&lt;&gt;"",IF(PaymentSchedule3[[#This Row],[Scheduled Payment]]+PaymentSchedule3[[#This Row],[Extra
Payment]]&lt;=PaymentSchedule3[[#This Row],[Beginning
Balance]],PaymentSchedule3[[#This Row],[Beginning
Balance]]-PaymentSchedule3[[#This Row],[Principal]],0),"")</f>
        <v>72222.465398379674</v>
      </c>
      <c r="K183" s="25">
        <f ca="1">IF(PaymentSchedule3[[#This Row],[Payment Number]]&lt;&gt;"",SUM(INDEX(PaymentSchedule3[Interest],1,1):PaymentSchedule3[[#This Row],[Interest]]),"")</f>
        <v>61198.759686144978</v>
      </c>
      <c r="L183" s="49">
        <f ca="1">LoanAmount-PaymentSchedule3[[#This Row],[Ending
Balance]]</f>
        <v>29027.534601620326</v>
      </c>
      <c r="M183" s="49">
        <f t="shared" ca="1" si="2"/>
        <v>908.5318932997908</v>
      </c>
      <c r="N183" s="25">
        <f ca="1">PaymentSchedule3[[#This Row],[Payment Number]]*$M$19</f>
        <v>150816.29428776528</v>
      </c>
    </row>
    <row r="184" spans="2:14" ht="15.75" x14ac:dyDescent="0.25">
      <c r="B184" s="23">
        <f ca="1">IF(LoanIsGood,IF(ROW()-ROW(PaymentSchedule3[[#Headers],[Payment Number]])&gt;ScheduledNumberOfPayments,"",ROW()-ROW(PaymentSchedule3[[#Headers],[Payment Number]])),"")</f>
        <v>167</v>
      </c>
      <c r="C184" s="24">
        <f ca="1">IF(PaymentSchedule3[[#This Row],[Payment Number]]&lt;&gt;"",EOMONTH(LoanStartDate,ROW(PaymentSchedule3[[#This Row],[Payment Number]])-ROW(PaymentSchedule3[[#Headers],[Payment Number]])-2)+DAY(LoanStartDate),"")</f>
        <v>49687</v>
      </c>
      <c r="D184" s="25">
        <f ca="1">IF(PaymentSchedule3[[#This Row],[Payment Number]]&lt;&gt;"",IF(ROW()-ROW(PaymentSchedule3[[#Headers],[Beginning
Balance]])=1,LoanAmount,INDEX(PaymentSchedule3[Ending
Balance],ROW()-ROW(PaymentSchedule3[[#Headers],[Beginning
Balance]])-1)),"")</f>
        <v>72222.465398379674</v>
      </c>
      <c r="E184" s="25">
        <f ca="1">IF(PaymentSchedule3[[#This Row],[Payment Number]]&lt;&gt;"",ScheduledPayment,"")</f>
        <v>543.5318932997908</v>
      </c>
      <c r="F1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4" s="25">
        <f ca="1">IF(PaymentSchedule3[[#This Row],[Payment Number]]&lt;&gt;"",PaymentSchedule3[[#This Row],[Total
Payment]]-PaymentSchedule3[[#This Row],[Interest]],"")</f>
        <v>242.60495413987547</v>
      </c>
      <c r="I184" s="25">
        <f ca="1">IF(PaymentSchedule3[[#This Row],[Payment Number]]&lt;&gt;"",PaymentSchedule3[[#This Row],[Beginning
Balance]]*(InterestRate/PaymentsPerYear),"")</f>
        <v>300.92693915991532</v>
      </c>
      <c r="J184" s="25">
        <f ca="1">IF(PaymentSchedule3[[#This Row],[Payment Number]]&lt;&gt;"",IF(PaymentSchedule3[[#This Row],[Scheduled Payment]]+PaymentSchedule3[[#This Row],[Extra
Payment]]&lt;=PaymentSchedule3[[#This Row],[Beginning
Balance]],PaymentSchedule3[[#This Row],[Beginning
Balance]]-PaymentSchedule3[[#This Row],[Principal]],0),"")</f>
        <v>71979.860444239792</v>
      </c>
      <c r="K184" s="25">
        <f ca="1">IF(PaymentSchedule3[[#This Row],[Payment Number]]&lt;&gt;"",SUM(INDEX(PaymentSchedule3[Interest],1,1):PaymentSchedule3[[#This Row],[Interest]]),"")</f>
        <v>61499.686625304894</v>
      </c>
      <c r="L184" s="49">
        <f ca="1">LoanAmount-PaymentSchedule3[[#This Row],[Ending
Balance]]</f>
        <v>29270.139555760208</v>
      </c>
      <c r="M184" s="49">
        <f t="shared" ca="1" si="2"/>
        <v>908.5318932997908</v>
      </c>
      <c r="N184" s="25">
        <f ca="1">PaymentSchedule3[[#This Row],[Payment Number]]*$M$19</f>
        <v>151724.82618106506</v>
      </c>
    </row>
    <row r="185" spans="2:14" ht="15.75" x14ac:dyDescent="0.25">
      <c r="B185" s="23">
        <f ca="1">IF(LoanIsGood,IF(ROW()-ROW(PaymentSchedule3[[#Headers],[Payment Number]])&gt;ScheduledNumberOfPayments,"",ROW()-ROW(PaymentSchedule3[[#Headers],[Payment Number]])),"")</f>
        <v>168</v>
      </c>
      <c r="C185" s="24">
        <f ca="1">IF(PaymentSchedule3[[#This Row],[Payment Number]]&lt;&gt;"",EOMONTH(LoanStartDate,ROW(PaymentSchedule3[[#This Row],[Payment Number]])-ROW(PaymentSchedule3[[#Headers],[Payment Number]])-2)+DAY(LoanStartDate),"")</f>
        <v>49718</v>
      </c>
      <c r="D185" s="25">
        <f ca="1">IF(PaymentSchedule3[[#This Row],[Payment Number]]&lt;&gt;"",IF(ROW()-ROW(PaymentSchedule3[[#Headers],[Beginning
Balance]])=1,LoanAmount,INDEX(PaymentSchedule3[Ending
Balance],ROW()-ROW(PaymentSchedule3[[#Headers],[Beginning
Balance]])-1)),"")</f>
        <v>71979.860444239792</v>
      </c>
      <c r="E185" s="25">
        <f ca="1">IF(PaymentSchedule3[[#This Row],[Payment Number]]&lt;&gt;"",ScheduledPayment,"")</f>
        <v>543.5318932997908</v>
      </c>
      <c r="F1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5" s="25">
        <f ca="1">IF(PaymentSchedule3[[#This Row],[Payment Number]]&lt;&gt;"",PaymentSchedule3[[#This Row],[Total
Payment]]-PaymentSchedule3[[#This Row],[Interest]],"")</f>
        <v>243.61580811545832</v>
      </c>
      <c r="I185" s="25">
        <f ca="1">IF(PaymentSchedule3[[#This Row],[Payment Number]]&lt;&gt;"",PaymentSchedule3[[#This Row],[Beginning
Balance]]*(InterestRate/PaymentsPerYear),"")</f>
        <v>299.91608518433247</v>
      </c>
      <c r="J185" s="25">
        <f ca="1">IF(PaymentSchedule3[[#This Row],[Payment Number]]&lt;&gt;"",IF(PaymentSchedule3[[#This Row],[Scheduled Payment]]+PaymentSchedule3[[#This Row],[Extra
Payment]]&lt;=PaymentSchedule3[[#This Row],[Beginning
Balance]],PaymentSchedule3[[#This Row],[Beginning
Balance]]-PaymentSchedule3[[#This Row],[Principal]],0),"")</f>
        <v>71736.244636124335</v>
      </c>
      <c r="K185" s="25">
        <f ca="1">IF(PaymentSchedule3[[#This Row],[Payment Number]]&lt;&gt;"",SUM(INDEX(PaymentSchedule3[Interest],1,1):PaymentSchedule3[[#This Row],[Interest]]),"")</f>
        <v>61799.602710489227</v>
      </c>
      <c r="L185" s="49">
        <f ca="1">LoanAmount-PaymentSchedule3[[#This Row],[Ending
Balance]]</f>
        <v>29513.755363875665</v>
      </c>
      <c r="M185" s="49">
        <f t="shared" ca="1" si="2"/>
        <v>908.5318932997908</v>
      </c>
      <c r="N185" s="25">
        <f ca="1">PaymentSchedule3[[#This Row],[Payment Number]]*$M$19</f>
        <v>152633.35807436486</v>
      </c>
    </row>
    <row r="186" spans="2:14" ht="15.75" x14ac:dyDescent="0.25">
      <c r="B186" s="23">
        <f ca="1">IF(LoanIsGood,IF(ROW()-ROW(PaymentSchedule3[[#Headers],[Payment Number]])&gt;ScheduledNumberOfPayments,"",ROW()-ROW(PaymentSchedule3[[#Headers],[Payment Number]])),"")</f>
        <v>169</v>
      </c>
      <c r="C186" s="24">
        <f ca="1">IF(PaymentSchedule3[[#This Row],[Payment Number]]&lt;&gt;"",EOMONTH(LoanStartDate,ROW(PaymentSchedule3[[#This Row],[Payment Number]])-ROW(PaymentSchedule3[[#Headers],[Payment Number]])-2)+DAY(LoanStartDate),"")</f>
        <v>49747</v>
      </c>
      <c r="D186" s="25">
        <f ca="1">IF(PaymentSchedule3[[#This Row],[Payment Number]]&lt;&gt;"",IF(ROW()-ROW(PaymentSchedule3[[#Headers],[Beginning
Balance]])=1,LoanAmount,INDEX(PaymentSchedule3[Ending
Balance],ROW()-ROW(PaymentSchedule3[[#Headers],[Beginning
Balance]])-1)),"")</f>
        <v>71736.244636124335</v>
      </c>
      <c r="E186" s="25">
        <f ca="1">IF(PaymentSchedule3[[#This Row],[Payment Number]]&lt;&gt;"",ScheduledPayment,"")</f>
        <v>543.5318932997908</v>
      </c>
      <c r="F1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6" s="25">
        <f ca="1">IF(PaymentSchedule3[[#This Row],[Payment Number]]&lt;&gt;"",PaymentSchedule3[[#This Row],[Total
Payment]]-PaymentSchedule3[[#This Row],[Interest]],"")</f>
        <v>244.63087398260609</v>
      </c>
      <c r="I186" s="25">
        <f ca="1">IF(PaymentSchedule3[[#This Row],[Payment Number]]&lt;&gt;"",PaymentSchedule3[[#This Row],[Beginning
Balance]]*(InterestRate/PaymentsPerYear),"")</f>
        <v>298.9010193171847</v>
      </c>
      <c r="J186" s="25">
        <f ca="1">IF(PaymentSchedule3[[#This Row],[Payment Number]]&lt;&gt;"",IF(PaymentSchedule3[[#This Row],[Scheduled Payment]]+PaymentSchedule3[[#This Row],[Extra
Payment]]&lt;=PaymentSchedule3[[#This Row],[Beginning
Balance]],PaymentSchedule3[[#This Row],[Beginning
Balance]]-PaymentSchedule3[[#This Row],[Principal]],0),"")</f>
        <v>71491.613762141729</v>
      </c>
      <c r="K186" s="25">
        <f ca="1">IF(PaymentSchedule3[[#This Row],[Payment Number]]&lt;&gt;"",SUM(INDEX(PaymentSchedule3[Interest],1,1):PaymentSchedule3[[#This Row],[Interest]]),"")</f>
        <v>62098.503729806413</v>
      </c>
      <c r="L186" s="49">
        <f ca="1">LoanAmount-PaymentSchedule3[[#This Row],[Ending
Balance]]</f>
        <v>29758.386237858271</v>
      </c>
      <c r="M186" s="49">
        <f t="shared" ca="1" si="2"/>
        <v>908.5318932997908</v>
      </c>
      <c r="N186" s="25">
        <f ca="1">PaymentSchedule3[[#This Row],[Payment Number]]*$M$19</f>
        <v>153541.88996766464</v>
      </c>
    </row>
    <row r="187" spans="2:14" ht="15.75" x14ac:dyDescent="0.25">
      <c r="B187" s="23">
        <f ca="1">IF(LoanIsGood,IF(ROW()-ROW(PaymentSchedule3[[#Headers],[Payment Number]])&gt;ScheduledNumberOfPayments,"",ROW()-ROW(PaymentSchedule3[[#Headers],[Payment Number]])),"")</f>
        <v>170</v>
      </c>
      <c r="C187" s="24">
        <f ca="1">IF(PaymentSchedule3[[#This Row],[Payment Number]]&lt;&gt;"",EOMONTH(LoanStartDate,ROW(PaymentSchedule3[[#This Row],[Payment Number]])-ROW(PaymentSchedule3[[#Headers],[Payment Number]])-2)+DAY(LoanStartDate),"")</f>
        <v>49778</v>
      </c>
      <c r="D187" s="25">
        <f ca="1">IF(PaymentSchedule3[[#This Row],[Payment Number]]&lt;&gt;"",IF(ROW()-ROW(PaymentSchedule3[[#Headers],[Beginning
Balance]])=1,LoanAmount,INDEX(PaymentSchedule3[Ending
Balance],ROW()-ROW(PaymentSchedule3[[#Headers],[Beginning
Balance]])-1)),"")</f>
        <v>71491.613762141729</v>
      </c>
      <c r="E187" s="25">
        <f ca="1">IF(PaymentSchedule3[[#This Row],[Payment Number]]&lt;&gt;"",ScheduledPayment,"")</f>
        <v>543.5318932997908</v>
      </c>
      <c r="F1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7" s="25">
        <f ca="1">IF(PaymentSchedule3[[#This Row],[Payment Number]]&lt;&gt;"",PaymentSchedule3[[#This Row],[Total
Payment]]-PaymentSchedule3[[#This Row],[Interest]],"")</f>
        <v>245.65016929086693</v>
      </c>
      <c r="I187" s="25">
        <f ca="1">IF(PaymentSchedule3[[#This Row],[Payment Number]]&lt;&gt;"",PaymentSchedule3[[#This Row],[Beginning
Balance]]*(InterestRate/PaymentsPerYear),"")</f>
        <v>297.88172400892387</v>
      </c>
      <c r="J187" s="25">
        <f ca="1">IF(PaymentSchedule3[[#This Row],[Payment Number]]&lt;&gt;"",IF(PaymentSchedule3[[#This Row],[Scheduled Payment]]+PaymentSchedule3[[#This Row],[Extra
Payment]]&lt;=PaymentSchedule3[[#This Row],[Beginning
Balance]],PaymentSchedule3[[#This Row],[Beginning
Balance]]-PaymentSchedule3[[#This Row],[Principal]],0),"")</f>
        <v>71245.963592850865</v>
      </c>
      <c r="K187" s="25">
        <f ca="1">IF(PaymentSchedule3[[#This Row],[Payment Number]]&lt;&gt;"",SUM(INDEX(PaymentSchedule3[Interest],1,1):PaymentSchedule3[[#This Row],[Interest]]),"")</f>
        <v>62396.385453815339</v>
      </c>
      <c r="L187" s="49">
        <f ca="1">LoanAmount-PaymentSchedule3[[#This Row],[Ending
Balance]]</f>
        <v>30004.036407149135</v>
      </c>
      <c r="M187" s="49">
        <f t="shared" ca="1" si="2"/>
        <v>908.5318932997908</v>
      </c>
      <c r="N187" s="25">
        <f ca="1">PaymentSchedule3[[#This Row],[Payment Number]]*$M$19</f>
        <v>154450.42186096444</v>
      </c>
    </row>
    <row r="188" spans="2:14" ht="15.75" x14ac:dyDescent="0.25">
      <c r="B188" s="23">
        <f ca="1">IF(LoanIsGood,IF(ROW()-ROW(PaymentSchedule3[[#Headers],[Payment Number]])&gt;ScheduledNumberOfPayments,"",ROW()-ROW(PaymentSchedule3[[#Headers],[Payment Number]])),"")</f>
        <v>171</v>
      </c>
      <c r="C188" s="24">
        <f ca="1">IF(PaymentSchedule3[[#This Row],[Payment Number]]&lt;&gt;"",EOMONTH(LoanStartDate,ROW(PaymentSchedule3[[#This Row],[Payment Number]])-ROW(PaymentSchedule3[[#Headers],[Payment Number]])-2)+DAY(LoanStartDate),"")</f>
        <v>49808</v>
      </c>
      <c r="D188" s="25">
        <f ca="1">IF(PaymentSchedule3[[#This Row],[Payment Number]]&lt;&gt;"",IF(ROW()-ROW(PaymentSchedule3[[#Headers],[Beginning
Balance]])=1,LoanAmount,INDEX(PaymentSchedule3[Ending
Balance],ROW()-ROW(PaymentSchedule3[[#Headers],[Beginning
Balance]])-1)),"")</f>
        <v>71245.963592850865</v>
      </c>
      <c r="E188" s="25">
        <f ca="1">IF(PaymentSchedule3[[#This Row],[Payment Number]]&lt;&gt;"",ScheduledPayment,"")</f>
        <v>543.5318932997908</v>
      </c>
      <c r="F1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8" s="25">
        <f ca="1">IF(PaymentSchedule3[[#This Row],[Payment Number]]&lt;&gt;"",PaymentSchedule3[[#This Row],[Total
Payment]]-PaymentSchedule3[[#This Row],[Interest]],"")</f>
        <v>246.67371166291218</v>
      </c>
      <c r="I188" s="25">
        <f ca="1">IF(PaymentSchedule3[[#This Row],[Payment Number]]&lt;&gt;"",PaymentSchedule3[[#This Row],[Beginning
Balance]]*(InterestRate/PaymentsPerYear),"")</f>
        <v>296.85818163687861</v>
      </c>
      <c r="J188" s="25">
        <f ca="1">IF(PaymentSchedule3[[#This Row],[Payment Number]]&lt;&gt;"",IF(PaymentSchedule3[[#This Row],[Scheduled Payment]]+PaymentSchedule3[[#This Row],[Extra
Payment]]&lt;=PaymentSchedule3[[#This Row],[Beginning
Balance]],PaymentSchedule3[[#This Row],[Beginning
Balance]]-PaymentSchedule3[[#This Row],[Principal]],0),"")</f>
        <v>70999.289881187957</v>
      </c>
      <c r="K188" s="25">
        <f ca="1">IF(PaymentSchedule3[[#This Row],[Payment Number]]&lt;&gt;"",SUM(INDEX(PaymentSchedule3[Interest],1,1):PaymentSchedule3[[#This Row],[Interest]]),"")</f>
        <v>62693.243635452214</v>
      </c>
      <c r="L188" s="49">
        <f ca="1">LoanAmount-PaymentSchedule3[[#This Row],[Ending
Balance]]</f>
        <v>30250.710118812043</v>
      </c>
      <c r="M188" s="49">
        <f t="shared" ca="1" si="2"/>
        <v>908.5318932997908</v>
      </c>
      <c r="N188" s="25">
        <f ca="1">PaymentSchedule3[[#This Row],[Payment Number]]*$M$19</f>
        <v>155358.95375426422</v>
      </c>
    </row>
    <row r="189" spans="2:14" ht="15.75" x14ac:dyDescent="0.25">
      <c r="B189" s="23">
        <f ca="1">IF(LoanIsGood,IF(ROW()-ROW(PaymentSchedule3[[#Headers],[Payment Number]])&gt;ScheduledNumberOfPayments,"",ROW()-ROW(PaymentSchedule3[[#Headers],[Payment Number]])),"")</f>
        <v>172</v>
      </c>
      <c r="C189" s="24">
        <f ca="1">IF(PaymentSchedule3[[#This Row],[Payment Number]]&lt;&gt;"",EOMONTH(LoanStartDate,ROW(PaymentSchedule3[[#This Row],[Payment Number]])-ROW(PaymentSchedule3[[#Headers],[Payment Number]])-2)+DAY(LoanStartDate),"")</f>
        <v>49839</v>
      </c>
      <c r="D189" s="25">
        <f ca="1">IF(PaymentSchedule3[[#This Row],[Payment Number]]&lt;&gt;"",IF(ROW()-ROW(PaymentSchedule3[[#Headers],[Beginning
Balance]])=1,LoanAmount,INDEX(PaymentSchedule3[Ending
Balance],ROW()-ROW(PaymentSchedule3[[#Headers],[Beginning
Balance]])-1)),"")</f>
        <v>70999.289881187957</v>
      </c>
      <c r="E189" s="25">
        <f ca="1">IF(PaymentSchedule3[[#This Row],[Payment Number]]&lt;&gt;"",ScheduledPayment,"")</f>
        <v>543.5318932997908</v>
      </c>
      <c r="F1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89" s="25">
        <f ca="1">IF(PaymentSchedule3[[#This Row],[Payment Number]]&lt;&gt;"",PaymentSchedule3[[#This Row],[Total
Payment]]-PaymentSchedule3[[#This Row],[Interest]],"")</f>
        <v>247.70151879484098</v>
      </c>
      <c r="I189" s="25">
        <f ca="1">IF(PaymentSchedule3[[#This Row],[Payment Number]]&lt;&gt;"",PaymentSchedule3[[#This Row],[Beginning
Balance]]*(InterestRate/PaymentsPerYear),"")</f>
        <v>295.83037450494982</v>
      </c>
      <c r="J189" s="25">
        <f ca="1">IF(PaymentSchedule3[[#This Row],[Payment Number]]&lt;&gt;"",IF(PaymentSchedule3[[#This Row],[Scheduled Payment]]+PaymentSchedule3[[#This Row],[Extra
Payment]]&lt;=PaymentSchedule3[[#This Row],[Beginning
Balance]],PaymentSchedule3[[#This Row],[Beginning
Balance]]-PaymentSchedule3[[#This Row],[Principal]],0),"")</f>
        <v>70751.588362393115</v>
      </c>
      <c r="K189" s="25">
        <f ca="1">IF(PaymentSchedule3[[#This Row],[Payment Number]]&lt;&gt;"",SUM(INDEX(PaymentSchedule3[Interest],1,1):PaymentSchedule3[[#This Row],[Interest]]),"")</f>
        <v>62989.074009957163</v>
      </c>
      <c r="L189" s="49">
        <f ca="1">LoanAmount-PaymentSchedule3[[#This Row],[Ending
Balance]]</f>
        <v>30498.411637606885</v>
      </c>
      <c r="M189" s="49">
        <f t="shared" ca="1" si="2"/>
        <v>908.5318932997908</v>
      </c>
      <c r="N189" s="25">
        <f ca="1">PaymentSchedule3[[#This Row],[Payment Number]]*$M$19</f>
        <v>156267.48564756403</v>
      </c>
    </row>
    <row r="190" spans="2:14" ht="15.75" x14ac:dyDescent="0.25">
      <c r="B190" s="23">
        <f ca="1">IF(LoanIsGood,IF(ROW()-ROW(PaymentSchedule3[[#Headers],[Payment Number]])&gt;ScheduledNumberOfPayments,"",ROW()-ROW(PaymentSchedule3[[#Headers],[Payment Number]])),"")</f>
        <v>173</v>
      </c>
      <c r="C190" s="24">
        <f ca="1">IF(PaymentSchedule3[[#This Row],[Payment Number]]&lt;&gt;"",EOMONTH(LoanStartDate,ROW(PaymentSchedule3[[#This Row],[Payment Number]])-ROW(PaymentSchedule3[[#Headers],[Payment Number]])-2)+DAY(LoanStartDate),"")</f>
        <v>49869</v>
      </c>
      <c r="D190" s="25">
        <f ca="1">IF(PaymentSchedule3[[#This Row],[Payment Number]]&lt;&gt;"",IF(ROW()-ROW(PaymentSchedule3[[#Headers],[Beginning
Balance]])=1,LoanAmount,INDEX(PaymentSchedule3[Ending
Balance],ROW()-ROW(PaymentSchedule3[[#Headers],[Beginning
Balance]])-1)),"")</f>
        <v>70751.588362393115</v>
      </c>
      <c r="E190" s="25">
        <f ca="1">IF(PaymentSchedule3[[#This Row],[Payment Number]]&lt;&gt;"",ScheduledPayment,"")</f>
        <v>543.5318932997908</v>
      </c>
      <c r="F1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0" s="25">
        <f ca="1">IF(PaymentSchedule3[[#This Row],[Payment Number]]&lt;&gt;"",PaymentSchedule3[[#This Row],[Total
Payment]]-PaymentSchedule3[[#This Row],[Interest]],"")</f>
        <v>248.73360845648614</v>
      </c>
      <c r="I190" s="25">
        <f ca="1">IF(PaymentSchedule3[[#This Row],[Payment Number]]&lt;&gt;"",PaymentSchedule3[[#This Row],[Beginning
Balance]]*(InterestRate/PaymentsPerYear),"")</f>
        <v>294.79828484330466</v>
      </c>
      <c r="J190" s="25">
        <f ca="1">IF(PaymentSchedule3[[#This Row],[Payment Number]]&lt;&gt;"",IF(PaymentSchedule3[[#This Row],[Scheduled Payment]]+PaymentSchedule3[[#This Row],[Extra
Payment]]&lt;=PaymentSchedule3[[#This Row],[Beginning
Balance]],PaymentSchedule3[[#This Row],[Beginning
Balance]]-PaymentSchedule3[[#This Row],[Principal]],0),"")</f>
        <v>70502.854753936626</v>
      </c>
      <c r="K190" s="25">
        <f ca="1">IF(PaymentSchedule3[[#This Row],[Payment Number]]&lt;&gt;"",SUM(INDEX(PaymentSchedule3[Interest],1,1):PaymentSchedule3[[#This Row],[Interest]]),"")</f>
        <v>63283.872294800465</v>
      </c>
      <c r="L190" s="49">
        <f ca="1">LoanAmount-PaymentSchedule3[[#This Row],[Ending
Balance]]</f>
        <v>30747.145246063374</v>
      </c>
      <c r="M190" s="49">
        <f t="shared" ca="1" si="2"/>
        <v>908.5318932997908</v>
      </c>
      <c r="N190" s="25">
        <f ca="1">PaymentSchedule3[[#This Row],[Payment Number]]*$M$19</f>
        <v>157176.0175408638</v>
      </c>
    </row>
    <row r="191" spans="2:14" ht="15.75" x14ac:dyDescent="0.25">
      <c r="B191" s="23">
        <f ca="1">IF(LoanIsGood,IF(ROW()-ROW(PaymentSchedule3[[#Headers],[Payment Number]])&gt;ScheduledNumberOfPayments,"",ROW()-ROW(PaymentSchedule3[[#Headers],[Payment Number]])),"")</f>
        <v>174</v>
      </c>
      <c r="C191" s="24">
        <f ca="1">IF(PaymentSchedule3[[#This Row],[Payment Number]]&lt;&gt;"",EOMONTH(LoanStartDate,ROW(PaymentSchedule3[[#This Row],[Payment Number]])-ROW(PaymentSchedule3[[#Headers],[Payment Number]])-2)+DAY(LoanStartDate),"")</f>
        <v>49900</v>
      </c>
      <c r="D191" s="25">
        <f ca="1">IF(PaymentSchedule3[[#This Row],[Payment Number]]&lt;&gt;"",IF(ROW()-ROW(PaymentSchedule3[[#Headers],[Beginning
Balance]])=1,LoanAmount,INDEX(PaymentSchedule3[Ending
Balance],ROW()-ROW(PaymentSchedule3[[#Headers],[Beginning
Balance]])-1)),"")</f>
        <v>70502.854753936626</v>
      </c>
      <c r="E191" s="25">
        <f ca="1">IF(PaymentSchedule3[[#This Row],[Payment Number]]&lt;&gt;"",ScheduledPayment,"")</f>
        <v>543.5318932997908</v>
      </c>
      <c r="F1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1" s="25">
        <f ca="1">IF(PaymentSchedule3[[#This Row],[Payment Number]]&lt;&gt;"",PaymentSchedule3[[#This Row],[Total
Payment]]-PaymentSchedule3[[#This Row],[Interest]],"")</f>
        <v>249.76999849172154</v>
      </c>
      <c r="I191" s="25">
        <f ca="1">IF(PaymentSchedule3[[#This Row],[Payment Number]]&lt;&gt;"",PaymentSchedule3[[#This Row],[Beginning
Balance]]*(InterestRate/PaymentsPerYear),"")</f>
        <v>293.76189480806926</v>
      </c>
      <c r="J191" s="25">
        <f ca="1">IF(PaymentSchedule3[[#This Row],[Payment Number]]&lt;&gt;"",IF(PaymentSchedule3[[#This Row],[Scheduled Payment]]+PaymentSchedule3[[#This Row],[Extra
Payment]]&lt;=PaymentSchedule3[[#This Row],[Beginning
Balance]],PaymentSchedule3[[#This Row],[Beginning
Balance]]-PaymentSchedule3[[#This Row],[Principal]],0),"")</f>
        <v>70253.084755444899</v>
      </c>
      <c r="K191" s="25">
        <f ca="1">IF(PaymentSchedule3[[#This Row],[Payment Number]]&lt;&gt;"",SUM(INDEX(PaymentSchedule3[Interest],1,1):PaymentSchedule3[[#This Row],[Interest]]),"")</f>
        <v>63577.634189608536</v>
      </c>
      <c r="L191" s="49">
        <f ca="1">LoanAmount-PaymentSchedule3[[#This Row],[Ending
Balance]]</f>
        <v>30996.915244555101</v>
      </c>
      <c r="M191" s="49">
        <f t="shared" ca="1" si="2"/>
        <v>908.5318932997908</v>
      </c>
      <c r="N191" s="25">
        <f ca="1">PaymentSchedule3[[#This Row],[Payment Number]]*$M$19</f>
        <v>158084.54943416361</v>
      </c>
    </row>
    <row r="192" spans="2:14" ht="15.75" x14ac:dyDescent="0.25">
      <c r="B192" s="23">
        <f ca="1">IF(LoanIsGood,IF(ROW()-ROW(PaymentSchedule3[[#Headers],[Payment Number]])&gt;ScheduledNumberOfPayments,"",ROW()-ROW(PaymentSchedule3[[#Headers],[Payment Number]])),"")</f>
        <v>175</v>
      </c>
      <c r="C192" s="24">
        <f ca="1">IF(PaymentSchedule3[[#This Row],[Payment Number]]&lt;&gt;"",EOMONTH(LoanStartDate,ROW(PaymentSchedule3[[#This Row],[Payment Number]])-ROW(PaymentSchedule3[[#Headers],[Payment Number]])-2)+DAY(LoanStartDate),"")</f>
        <v>49931</v>
      </c>
      <c r="D192" s="25">
        <f ca="1">IF(PaymentSchedule3[[#This Row],[Payment Number]]&lt;&gt;"",IF(ROW()-ROW(PaymentSchedule3[[#Headers],[Beginning
Balance]])=1,LoanAmount,INDEX(PaymentSchedule3[Ending
Balance],ROW()-ROW(PaymentSchedule3[[#Headers],[Beginning
Balance]])-1)),"")</f>
        <v>70253.084755444899</v>
      </c>
      <c r="E192" s="25">
        <f ca="1">IF(PaymentSchedule3[[#This Row],[Payment Number]]&lt;&gt;"",ScheduledPayment,"")</f>
        <v>543.5318932997908</v>
      </c>
      <c r="F1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2" s="25">
        <f ca="1">IF(PaymentSchedule3[[#This Row],[Payment Number]]&lt;&gt;"",PaymentSchedule3[[#This Row],[Total
Payment]]-PaymentSchedule3[[#This Row],[Interest]],"")</f>
        <v>250.81070681877037</v>
      </c>
      <c r="I192" s="25">
        <f ca="1">IF(PaymentSchedule3[[#This Row],[Payment Number]]&lt;&gt;"",PaymentSchedule3[[#This Row],[Beginning
Balance]]*(InterestRate/PaymentsPerYear),"")</f>
        <v>292.72118648102042</v>
      </c>
      <c r="J192" s="25">
        <f ca="1">IF(PaymentSchedule3[[#This Row],[Payment Number]]&lt;&gt;"",IF(PaymentSchedule3[[#This Row],[Scheduled Payment]]+PaymentSchedule3[[#This Row],[Extra
Payment]]&lt;=PaymentSchedule3[[#This Row],[Beginning
Balance]],PaymentSchedule3[[#This Row],[Beginning
Balance]]-PaymentSchedule3[[#This Row],[Principal]],0),"")</f>
        <v>70002.274048626132</v>
      </c>
      <c r="K192" s="25">
        <f ca="1">IF(PaymentSchedule3[[#This Row],[Payment Number]]&lt;&gt;"",SUM(INDEX(PaymentSchedule3[Interest],1,1):PaymentSchedule3[[#This Row],[Interest]]),"")</f>
        <v>63870.355376089559</v>
      </c>
      <c r="L192" s="49">
        <f ca="1">LoanAmount-PaymentSchedule3[[#This Row],[Ending
Balance]]</f>
        <v>31247.725951373868</v>
      </c>
      <c r="M192" s="49">
        <f t="shared" ca="1" si="2"/>
        <v>908.5318932997908</v>
      </c>
      <c r="N192" s="25">
        <f ca="1">PaymentSchedule3[[#This Row],[Payment Number]]*$M$19</f>
        <v>158993.08132746338</v>
      </c>
    </row>
    <row r="193" spans="2:14" ht="15.75" x14ac:dyDescent="0.25">
      <c r="B193" s="23">
        <f ca="1">IF(LoanIsGood,IF(ROW()-ROW(PaymentSchedule3[[#Headers],[Payment Number]])&gt;ScheduledNumberOfPayments,"",ROW()-ROW(PaymentSchedule3[[#Headers],[Payment Number]])),"")</f>
        <v>176</v>
      </c>
      <c r="C193" s="24">
        <f ca="1">IF(PaymentSchedule3[[#This Row],[Payment Number]]&lt;&gt;"",EOMONTH(LoanStartDate,ROW(PaymentSchedule3[[#This Row],[Payment Number]])-ROW(PaymentSchedule3[[#Headers],[Payment Number]])-2)+DAY(LoanStartDate),"")</f>
        <v>49961</v>
      </c>
      <c r="D193" s="25">
        <f ca="1">IF(PaymentSchedule3[[#This Row],[Payment Number]]&lt;&gt;"",IF(ROW()-ROW(PaymentSchedule3[[#Headers],[Beginning
Balance]])=1,LoanAmount,INDEX(PaymentSchedule3[Ending
Balance],ROW()-ROW(PaymentSchedule3[[#Headers],[Beginning
Balance]])-1)),"")</f>
        <v>70002.274048626132</v>
      </c>
      <c r="E193" s="25">
        <f ca="1">IF(PaymentSchedule3[[#This Row],[Payment Number]]&lt;&gt;"",ScheduledPayment,"")</f>
        <v>543.5318932997908</v>
      </c>
      <c r="F1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3" s="25">
        <f ca="1">IF(PaymentSchedule3[[#This Row],[Payment Number]]&lt;&gt;"",PaymentSchedule3[[#This Row],[Total
Payment]]-PaymentSchedule3[[#This Row],[Interest]],"")</f>
        <v>251.85575143051523</v>
      </c>
      <c r="I193" s="25">
        <f ca="1">IF(PaymentSchedule3[[#This Row],[Payment Number]]&lt;&gt;"",PaymentSchedule3[[#This Row],[Beginning
Balance]]*(InterestRate/PaymentsPerYear),"")</f>
        <v>291.67614186927557</v>
      </c>
      <c r="J193" s="25">
        <f ca="1">IF(PaymentSchedule3[[#This Row],[Payment Number]]&lt;&gt;"",IF(PaymentSchedule3[[#This Row],[Scheduled Payment]]+PaymentSchedule3[[#This Row],[Extra
Payment]]&lt;=PaymentSchedule3[[#This Row],[Beginning
Balance]],PaymentSchedule3[[#This Row],[Beginning
Balance]]-PaymentSchedule3[[#This Row],[Principal]],0),"")</f>
        <v>69750.418297195618</v>
      </c>
      <c r="K193" s="25">
        <f ca="1">IF(PaymentSchedule3[[#This Row],[Payment Number]]&lt;&gt;"",SUM(INDEX(PaymentSchedule3[Interest],1,1):PaymentSchedule3[[#This Row],[Interest]]),"")</f>
        <v>64162.031517958836</v>
      </c>
      <c r="L193" s="49">
        <f ca="1">LoanAmount-PaymentSchedule3[[#This Row],[Ending
Balance]]</f>
        <v>31499.581702804382</v>
      </c>
      <c r="M193" s="49">
        <f t="shared" ca="1" si="2"/>
        <v>908.5318932997908</v>
      </c>
      <c r="N193" s="25">
        <f ca="1">PaymentSchedule3[[#This Row],[Payment Number]]*$M$19</f>
        <v>159901.61322076319</v>
      </c>
    </row>
    <row r="194" spans="2:14" ht="15.75" x14ac:dyDescent="0.25">
      <c r="B194" s="23">
        <f ca="1">IF(LoanIsGood,IF(ROW()-ROW(PaymentSchedule3[[#Headers],[Payment Number]])&gt;ScheduledNumberOfPayments,"",ROW()-ROW(PaymentSchedule3[[#Headers],[Payment Number]])),"")</f>
        <v>177</v>
      </c>
      <c r="C194" s="24">
        <f ca="1">IF(PaymentSchedule3[[#This Row],[Payment Number]]&lt;&gt;"",EOMONTH(LoanStartDate,ROW(PaymentSchedule3[[#This Row],[Payment Number]])-ROW(PaymentSchedule3[[#Headers],[Payment Number]])-2)+DAY(LoanStartDate),"")</f>
        <v>49992</v>
      </c>
      <c r="D194" s="25">
        <f ca="1">IF(PaymentSchedule3[[#This Row],[Payment Number]]&lt;&gt;"",IF(ROW()-ROW(PaymentSchedule3[[#Headers],[Beginning
Balance]])=1,LoanAmount,INDEX(PaymentSchedule3[Ending
Balance],ROW()-ROW(PaymentSchedule3[[#Headers],[Beginning
Balance]])-1)),"")</f>
        <v>69750.418297195618</v>
      </c>
      <c r="E194" s="25">
        <f ca="1">IF(PaymentSchedule3[[#This Row],[Payment Number]]&lt;&gt;"",ScheduledPayment,"")</f>
        <v>543.5318932997908</v>
      </c>
      <c r="F1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4" s="25">
        <f ca="1">IF(PaymentSchedule3[[#This Row],[Payment Number]]&lt;&gt;"",PaymentSchedule3[[#This Row],[Total
Payment]]-PaymentSchedule3[[#This Row],[Interest]],"")</f>
        <v>252.90515039480908</v>
      </c>
      <c r="I194" s="25">
        <f ca="1">IF(PaymentSchedule3[[#This Row],[Payment Number]]&lt;&gt;"",PaymentSchedule3[[#This Row],[Beginning
Balance]]*(InterestRate/PaymentsPerYear),"")</f>
        <v>290.62674290498171</v>
      </c>
      <c r="J194" s="25">
        <f ca="1">IF(PaymentSchedule3[[#This Row],[Payment Number]]&lt;&gt;"",IF(PaymentSchedule3[[#This Row],[Scheduled Payment]]+PaymentSchedule3[[#This Row],[Extra
Payment]]&lt;=PaymentSchedule3[[#This Row],[Beginning
Balance]],PaymentSchedule3[[#This Row],[Beginning
Balance]]-PaymentSchedule3[[#This Row],[Principal]],0),"")</f>
        <v>69497.513146800804</v>
      </c>
      <c r="K194" s="25">
        <f ca="1">IF(PaymentSchedule3[[#This Row],[Payment Number]]&lt;&gt;"",SUM(INDEX(PaymentSchedule3[Interest],1,1):PaymentSchedule3[[#This Row],[Interest]]),"")</f>
        <v>64452.65826086382</v>
      </c>
      <c r="L194" s="49">
        <f ca="1">LoanAmount-PaymentSchedule3[[#This Row],[Ending
Balance]]</f>
        <v>31752.486853199196</v>
      </c>
      <c r="M194" s="49">
        <f t="shared" ca="1" si="2"/>
        <v>908.5318932997908</v>
      </c>
      <c r="N194" s="25">
        <f ca="1">PaymentSchedule3[[#This Row],[Payment Number]]*$M$19</f>
        <v>160810.14511406297</v>
      </c>
    </row>
    <row r="195" spans="2:14" ht="15.75" x14ac:dyDescent="0.25">
      <c r="B195" s="23">
        <f ca="1">IF(LoanIsGood,IF(ROW()-ROW(PaymentSchedule3[[#Headers],[Payment Number]])&gt;ScheduledNumberOfPayments,"",ROW()-ROW(PaymentSchedule3[[#Headers],[Payment Number]])),"")</f>
        <v>178</v>
      </c>
      <c r="C195" s="24">
        <f ca="1">IF(PaymentSchedule3[[#This Row],[Payment Number]]&lt;&gt;"",EOMONTH(LoanStartDate,ROW(PaymentSchedule3[[#This Row],[Payment Number]])-ROW(PaymentSchedule3[[#Headers],[Payment Number]])-2)+DAY(LoanStartDate),"")</f>
        <v>50022</v>
      </c>
      <c r="D195" s="25">
        <f ca="1">IF(PaymentSchedule3[[#This Row],[Payment Number]]&lt;&gt;"",IF(ROW()-ROW(PaymentSchedule3[[#Headers],[Beginning
Balance]])=1,LoanAmount,INDEX(PaymentSchedule3[Ending
Balance],ROW()-ROW(PaymentSchedule3[[#Headers],[Beginning
Balance]])-1)),"")</f>
        <v>69497.513146800804</v>
      </c>
      <c r="E195" s="25">
        <f ca="1">IF(PaymentSchedule3[[#This Row],[Payment Number]]&lt;&gt;"",ScheduledPayment,"")</f>
        <v>543.5318932997908</v>
      </c>
      <c r="F1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5" s="25">
        <f ca="1">IF(PaymentSchedule3[[#This Row],[Payment Number]]&lt;&gt;"",PaymentSchedule3[[#This Row],[Total
Payment]]-PaymentSchedule3[[#This Row],[Interest]],"")</f>
        <v>253.95892185478743</v>
      </c>
      <c r="I195" s="25">
        <f ca="1">IF(PaymentSchedule3[[#This Row],[Payment Number]]&lt;&gt;"",PaymentSchedule3[[#This Row],[Beginning
Balance]]*(InterestRate/PaymentsPerYear),"")</f>
        <v>289.57297144500336</v>
      </c>
      <c r="J195" s="25">
        <f ca="1">IF(PaymentSchedule3[[#This Row],[Payment Number]]&lt;&gt;"",IF(PaymentSchedule3[[#This Row],[Scheduled Payment]]+PaymentSchedule3[[#This Row],[Extra
Payment]]&lt;=PaymentSchedule3[[#This Row],[Beginning
Balance]],PaymentSchedule3[[#This Row],[Beginning
Balance]]-PaymentSchedule3[[#This Row],[Principal]],0),"")</f>
        <v>69243.554224946012</v>
      </c>
      <c r="K195" s="25">
        <f ca="1">IF(PaymentSchedule3[[#This Row],[Payment Number]]&lt;&gt;"",SUM(INDEX(PaymentSchedule3[Interest],1,1):PaymentSchedule3[[#This Row],[Interest]]),"")</f>
        <v>64742.231232308826</v>
      </c>
      <c r="L195" s="49">
        <f ca="1">LoanAmount-PaymentSchedule3[[#This Row],[Ending
Balance]]</f>
        <v>32006.445775053988</v>
      </c>
      <c r="M195" s="49">
        <f t="shared" ca="1" si="2"/>
        <v>908.5318932997908</v>
      </c>
      <c r="N195" s="25">
        <f ca="1">PaymentSchedule3[[#This Row],[Payment Number]]*$M$19</f>
        <v>161718.67700736277</v>
      </c>
    </row>
    <row r="196" spans="2:14" ht="15.75" x14ac:dyDescent="0.25">
      <c r="B196" s="23">
        <f ca="1">IF(LoanIsGood,IF(ROW()-ROW(PaymentSchedule3[[#Headers],[Payment Number]])&gt;ScheduledNumberOfPayments,"",ROW()-ROW(PaymentSchedule3[[#Headers],[Payment Number]])),"")</f>
        <v>179</v>
      </c>
      <c r="C196" s="24">
        <f ca="1">IF(PaymentSchedule3[[#This Row],[Payment Number]]&lt;&gt;"",EOMONTH(LoanStartDate,ROW(PaymentSchedule3[[#This Row],[Payment Number]])-ROW(PaymentSchedule3[[#Headers],[Payment Number]])-2)+DAY(LoanStartDate),"")</f>
        <v>50053</v>
      </c>
      <c r="D196" s="25">
        <f ca="1">IF(PaymentSchedule3[[#This Row],[Payment Number]]&lt;&gt;"",IF(ROW()-ROW(PaymentSchedule3[[#Headers],[Beginning
Balance]])=1,LoanAmount,INDEX(PaymentSchedule3[Ending
Balance],ROW()-ROW(PaymentSchedule3[[#Headers],[Beginning
Balance]])-1)),"")</f>
        <v>69243.554224946012</v>
      </c>
      <c r="E196" s="25">
        <f ca="1">IF(PaymentSchedule3[[#This Row],[Payment Number]]&lt;&gt;"",ScheduledPayment,"")</f>
        <v>543.5318932997908</v>
      </c>
      <c r="F1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6" s="25">
        <f ca="1">IF(PaymentSchedule3[[#This Row],[Payment Number]]&lt;&gt;"",PaymentSchedule3[[#This Row],[Total
Payment]]-PaymentSchedule3[[#This Row],[Interest]],"")</f>
        <v>255.0170840291824</v>
      </c>
      <c r="I196" s="25">
        <f ca="1">IF(PaymentSchedule3[[#This Row],[Payment Number]]&lt;&gt;"",PaymentSchedule3[[#This Row],[Beginning
Balance]]*(InterestRate/PaymentsPerYear),"")</f>
        <v>288.5148092706084</v>
      </c>
      <c r="J196" s="25">
        <f ca="1">IF(PaymentSchedule3[[#This Row],[Payment Number]]&lt;&gt;"",IF(PaymentSchedule3[[#This Row],[Scheduled Payment]]+PaymentSchedule3[[#This Row],[Extra
Payment]]&lt;=PaymentSchedule3[[#This Row],[Beginning
Balance]],PaymentSchedule3[[#This Row],[Beginning
Balance]]-PaymentSchedule3[[#This Row],[Principal]],0),"")</f>
        <v>68988.537140916829</v>
      </c>
      <c r="K196" s="25">
        <f ca="1">IF(PaymentSchedule3[[#This Row],[Payment Number]]&lt;&gt;"",SUM(INDEX(PaymentSchedule3[Interest],1,1):PaymentSchedule3[[#This Row],[Interest]]),"")</f>
        <v>65030.746041579434</v>
      </c>
      <c r="L196" s="49">
        <f ca="1">LoanAmount-PaymentSchedule3[[#This Row],[Ending
Balance]]</f>
        <v>32261.462859083171</v>
      </c>
      <c r="M196" s="49">
        <f t="shared" ca="1" si="2"/>
        <v>908.5318932997908</v>
      </c>
      <c r="N196" s="25">
        <f ca="1">PaymentSchedule3[[#This Row],[Payment Number]]*$M$19</f>
        <v>162627.20890066255</v>
      </c>
    </row>
    <row r="197" spans="2:14" ht="15.75" x14ac:dyDescent="0.25">
      <c r="B197" s="23">
        <f ca="1">IF(LoanIsGood,IF(ROW()-ROW(PaymentSchedule3[[#Headers],[Payment Number]])&gt;ScheduledNumberOfPayments,"",ROW()-ROW(PaymentSchedule3[[#Headers],[Payment Number]])),"")</f>
        <v>180</v>
      </c>
      <c r="C197" s="24">
        <f ca="1">IF(PaymentSchedule3[[#This Row],[Payment Number]]&lt;&gt;"",EOMONTH(LoanStartDate,ROW(PaymentSchedule3[[#This Row],[Payment Number]])-ROW(PaymentSchedule3[[#Headers],[Payment Number]])-2)+DAY(LoanStartDate),"")</f>
        <v>50084</v>
      </c>
      <c r="D197" s="25">
        <f ca="1">IF(PaymentSchedule3[[#This Row],[Payment Number]]&lt;&gt;"",IF(ROW()-ROW(PaymentSchedule3[[#Headers],[Beginning
Balance]])=1,LoanAmount,INDEX(PaymentSchedule3[Ending
Balance],ROW()-ROW(PaymentSchedule3[[#Headers],[Beginning
Balance]])-1)),"")</f>
        <v>68988.537140916829</v>
      </c>
      <c r="E197" s="25">
        <f ca="1">IF(PaymentSchedule3[[#This Row],[Payment Number]]&lt;&gt;"",ScheduledPayment,"")</f>
        <v>543.5318932997908</v>
      </c>
      <c r="F1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7" s="25">
        <f ca="1">IF(PaymentSchedule3[[#This Row],[Payment Number]]&lt;&gt;"",PaymentSchedule3[[#This Row],[Total
Payment]]-PaymentSchedule3[[#This Row],[Interest]],"")</f>
        <v>256.07965521263736</v>
      </c>
      <c r="I197" s="25">
        <f ca="1">IF(PaymentSchedule3[[#This Row],[Payment Number]]&lt;&gt;"",PaymentSchedule3[[#This Row],[Beginning
Balance]]*(InterestRate/PaymentsPerYear),"")</f>
        <v>287.45223808715343</v>
      </c>
      <c r="J197" s="25">
        <f ca="1">IF(PaymentSchedule3[[#This Row],[Payment Number]]&lt;&gt;"",IF(PaymentSchedule3[[#This Row],[Scheduled Payment]]+PaymentSchedule3[[#This Row],[Extra
Payment]]&lt;=PaymentSchedule3[[#This Row],[Beginning
Balance]],PaymentSchedule3[[#This Row],[Beginning
Balance]]-PaymentSchedule3[[#This Row],[Principal]],0),"")</f>
        <v>68732.457485704188</v>
      </c>
      <c r="K197" s="25">
        <f ca="1">IF(PaymentSchedule3[[#This Row],[Payment Number]]&lt;&gt;"",SUM(INDEX(PaymentSchedule3[Interest],1,1):PaymentSchedule3[[#This Row],[Interest]]),"")</f>
        <v>65318.198279666591</v>
      </c>
      <c r="L197" s="49">
        <f ca="1">LoanAmount-PaymentSchedule3[[#This Row],[Ending
Balance]]</f>
        <v>32517.542514295812</v>
      </c>
      <c r="M197" s="49">
        <f t="shared" ca="1" si="2"/>
        <v>908.5318932997908</v>
      </c>
      <c r="N197" s="25">
        <f ca="1">PaymentSchedule3[[#This Row],[Payment Number]]*$M$19</f>
        <v>163535.74079396235</v>
      </c>
    </row>
    <row r="198" spans="2:14" ht="15.75" x14ac:dyDescent="0.25">
      <c r="B198" s="23">
        <f ca="1">IF(LoanIsGood,IF(ROW()-ROW(PaymentSchedule3[[#Headers],[Payment Number]])&gt;ScheduledNumberOfPayments,"",ROW()-ROW(PaymentSchedule3[[#Headers],[Payment Number]])),"")</f>
        <v>181</v>
      </c>
      <c r="C198" s="24">
        <f ca="1">IF(PaymentSchedule3[[#This Row],[Payment Number]]&lt;&gt;"",EOMONTH(LoanStartDate,ROW(PaymentSchedule3[[#This Row],[Payment Number]])-ROW(PaymentSchedule3[[#Headers],[Payment Number]])-2)+DAY(LoanStartDate),"")</f>
        <v>50112</v>
      </c>
      <c r="D198" s="25">
        <f ca="1">IF(PaymentSchedule3[[#This Row],[Payment Number]]&lt;&gt;"",IF(ROW()-ROW(PaymentSchedule3[[#Headers],[Beginning
Balance]])=1,LoanAmount,INDEX(PaymentSchedule3[Ending
Balance],ROW()-ROW(PaymentSchedule3[[#Headers],[Beginning
Balance]])-1)),"")</f>
        <v>68732.457485704188</v>
      </c>
      <c r="E198" s="25">
        <f ca="1">IF(PaymentSchedule3[[#This Row],[Payment Number]]&lt;&gt;"",ScheduledPayment,"")</f>
        <v>543.5318932997908</v>
      </c>
      <c r="F1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8" s="25">
        <f ca="1">IF(PaymentSchedule3[[#This Row],[Payment Number]]&lt;&gt;"",PaymentSchedule3[[#This Row],[Total
Payment]]-PaymentSchedule3[[#This Row],[Interest]],"")</f>
        <v>257.14665377602336</v>
      </c>
      <c r="I198" s="25">
        <f ca="1">IF(PaymentSchedule3[[#This Row],[Payment Number]]&lt;&gt;"",PaymentSchedule3[[#This Row],[Beginning
Balance]]*(InterestRate/PaymentsPerYear),"")</f>
        <v>286.38523952376744</v>
      </c>
      <c r="J198" s="25">
        <f ca="1">IF(PaymentSchedule3[[#This Row],[Payment Number]]&lt;&gt;"",IF(PaymentSchedule3[[#This Row],[Scheduled Payment]]+PaymentSchedule3[[#This Row],[Extra
Payment]]&lt;=PaymentSchedule3[[#This Row],[Beginning
Balance]],PaymentSchedule3[[#This Row],[Beginning
Balance]]-PaymentSchedule3[[#This Row],[Principal]],0),"")</f>
        <v>68475.31083192816</v>
      </c>
      <c r="K198" s="25">
        <f ca="1">IF(PaymentSchedule3[[#This Row],[Payment Number]]&lt;&gt;"",SUM(INDEX(PaymentSchedule3[Interest],1,1):PaymentSchedule3[[#This Row],[Interest]]),"")</f>
        <v>65604.583519190361</v>
      </c>
      <c r="L198" s="49">
        <f ca="1">LoanAmount-PaymentSchedule3[[#This Row],[Ending
Balance]]</f>
        <v>32774.68916807184</v>
      </c>
      <c r="M198" s="49">
        <f t="shared" ca="1" si="2"/>
        <v>908.5318932997908</v>
      </c>
      <c r="N198" s="25">
        <f ca="1">PaymentSchedule3[[#This Row],[Payment Number]]*$M$19</f>
        <v>164444.27268726213</v>
      </c>
    </row>
    <row r="199" spans="2:14" ht="15.75" x14ac:dyDescent="0.25">
      <c r="B199" s="23">
        <f ca="1">IF(LoanIsGood,IF(ROW()-ROW(PaymentSchedule3[[#Headers],[Payment Number]])&gt;ScheduledNumberOfPayments,"",ROW()-ROW(PaymentSchedule3[[#Headers],[Payment Number]])),"")</f>
        <v>182</v>
      </c>
      <c r="C199" s="24">
        <f ca="1">IF(PaymentSchedule3[[#This Row],[Payment Number]]&lt;&gt;"",EOMONTH(LoanStartDate,ROW(PaymentSchedule3[[#This Row],[Payment Number]])-ROW(PaymentSchedule3[[#Headers],[Payment Number]])-2)+DAY(LoanStartDate),"")</f>
        <v>50143</v>
      </c>
      <c r="D199" s="25">
        <f ca="1">IF(PaymentSchedule3[[#This Row],[Payment Number]]&lt;&gt;"",IF(ROW()-ROW(PaymentSchedule3[[#Headers],[Beginning
Balance]])=1,LoanAmount,INDEX(PaymentSchedule3[Ending
Balance],ROW()-ROW(PaymentSchedule3[[#Headers],[Beginning
Balance]])-1)),"")</f>
        <v>68475.31083192816</v>
      </c>
      <c r="E199" s="25">
        <f ca="1">IF(PaymentSchedule3[[#This Row],[Payment Number]]&lt;&gt;"",ScheduledPayment,"")</f>
        <v>543.5318932997908</v>
      </c>
      <c r="F1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199" s="25">
        <f ca="1">IF(PaymentSchedule3[[#This Row],[Payment Number]]&lt;&gt;"",PaymentSchedule3[[#This Row],[Total
Payment]]-PaymentSchedule3[[#This Row],[Interest]],"")</f>
        <v>258.21809816675682</v>
      </c>
      <c r="I199" s="25">
        <f ca="1">IF(PaymentSchedule3[[#This Row],[Payment Number]]&lt;&gt;"",PaymentSchedule3[[#This Row],[Beginning
Balance]]*(InterestRate/PaymentsPerYear),"")</f>
        <v>285.31379513303398</v>
      </c>
      <c r="J199" s="25">
        <f ca="1">IF(PaymentSchedule3[[#This Row],[Payment Number]]&lt;&gt;"",IF(PaymentSchedule3[[#This Row],[Scheduled Payment]]+PaymentSchedule3[[#This Row],[Extra
Payment]]&lt;=PaymentSchedule3[[#This Row],[Beginning
Balance]],PaymentSchedule3[[#This Row],[Beginning
Balance]]-PaymentSchedule3[[#This Row],[Principal]],0),"")</f>
        <v>68217.092733761398</v>
      </c>
      <c r="K199" s="25">
        <f ca="1">IF(PaymentSchedule3[[#This Row],[Payment Number]]&lt;&gt;"",SUM(INDEX(PaymentSchedule3[Interest],1,1):PaymentSchedule3[[#This Row],[Interest]]),"")</f>
        <v>65889.897314323389</v>
      </c>
      <c r="L199" s="49">
        <f ca="1">LoanAmount-PaymentSchedule3[[#This Row],[Ending
Balance]]</f>
        <v>33032.907266238602</v>
      </c>
      <c r="M199" s="49">
        <f t="shared" ca="1" si="2"/>
        <v>908.5318932997908</v>
      </c>
      <c r="N199" s="25">
        <f ca="1">PaymentSchedule3[[#This Row],[Payment Number]]*$M$19</f>
        <v>165352.80458056193</v>
      </c>
    </row>
    <row r="200" spans="2:14" ht="15.75" x14ac:dyDescent="0.25">
      <c r="B200" s="23">
        <f ca="1">IF(LoanIsGood,IF(ROW()-ROW(PaymentSchedule3[[#Headers],[Payment Number]])&gt;ScheduledNumberOfPayments,"",ROW()-ROW(PaymentSchedule3[[#Headers],[Payment Number]])),"")</f>
        <v>183</v>
      </c>
      <c r="C200" s="24">
        <f ca="1">IF(PaymentSchedule3[[#This Row],[Payment Number]]&lt;&gt;"",EOMONTH(LoanStartDate,ROW(PaymentSchedule3[[#This Row],[Payment Number]])-ROW(PaymentSchedule3[[#Headers],[Payment Number]])-2)+DAY(LoanStartDate),"")</f>
        <v>50173</v>
      </c>
      <c r="D200" s="25">
        <f ca="1">IF(PaymentSchedule3[[#This Row],[Payment Number]]&lt;&gt;"",IF(ROW()-ROW(PaymentSchedule3[[#Headers],[Beginning
Balance]])=1,LoanAmount,INDEX(PaymentSchedule3[Ending
Balance],ROW()-ROW(PaymentSchedule3[[#Headers],[Beginning
Balance]])-1)),"")</f>
        <v>68217.092733761398</v>
      </c>
      <c r="E200" s="25">
        <f ca="1">IF(PaymentSchedule3[[#This Row],[Payment Number]]&lt;&gt;"",ScheduledPayment,"")</f>
        <v>543.5318932997908</v>
      </c>
      <c r="F2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0" s="25">
        <f ca="1">IF(PaymentSchedule3[[#This Row],[Payment Number]]&lt;&gt;"",PaymentSchedule3[[#This Row],[Total
Payment]]-PaymentSchedule3[[#This Row],[Interest]],"")</f>
        <v>259.29400690911831</v>
      </c>
      <c r="I200" s="25">
        <f ca="1">IF(PaymentSchedule3[[#This Row],[Payment Number]]&lt;&gt;"",PaymentSchedule3[[#This Row],[Beginning
Balance]]*(InterestRate/PaymentsPerYear),"")</f>
        <v>284.23788639067249</v>
      </c>
      <c r="J200" s="25">
        <f ca="1">IF(PaymentSchedule3[[#This Row],[Payment Number]]&lt;&gt;"",IF(PaymentSchedule3[[#This Row],[Scheduled Payment]]+PaymentSchedule3[[#This Row],[Extra
Payment]]&lt;=PaymentSchedule3[[#This Row],[Beginning
Balance]],PaymentSchedule3[[#This Row],[Beginning
Balance]]-PaymentSchedule3[[#This Row],[Principal]],0),"")</f>
        <v>67957.798726852285</v>
      </c>
      <c r="K200" s="25">
        <f ca="1">IF(PaymentSchedule3[[#This Row],[Payment Number]]&lt;&gt;"",SUM(INDEX(PaymentSchedule3[Interest],1,1):PaymentSchedule3[[#This Row],[Interest]]),"")</f>
        <v>66174.135200714067</v>
      </c>
      <c r="L200" s="49">
        <f ca="1">LoanAmount-PaymentSchedule3[[#This Row],[Ending
Balance]]</f>
        <v>33292.201273147715</v>
      </c>
      <c r="M200" s="49">
        <f t="shared" ca="1" si="2"/>
        <v>908.5318932997908</v>
      </c>
      <c r="N200" s="25">
        <f ca="1">PaymentSchedule3[[#This Row],[Payment Number]]*$M$19</f>
        <v>166261.33647386171</v>
      </c>
    </row>
    <row r="201" spans="2:14" ht="15.75" x14ac:dyDescent="0.25">
      <c r="B201" s="23">
        <f ca="1">IF(LoanIsGood,IF(ROW()-ROW(PaymentSchedule3[[#Headers],[Payment Number]])&gt;ScheduledNumberOfPayments,"",ROW()-ROW(PaymentSchedule3[[#Headers],[Payment Number]])),"")</f>
        <v>184</v>
      </c>
      <c r="C201" s="24">
        <f ca="1">IF(PaymentSchedule3[[#This Row],[Payment Number]]&lt;&gt;"",EOMONTH(LoanStartDate,ROW(PaymentSchedule3[[#This Row],[Payment Number]])-ROW(PaymentSchedule3[[#Headers],[Payment Number]])-2)+DAY(LoanStartDate),"")</f>
        <v>50204</v>
      </c>
      <c r="D201" s="25">
        <f ca="1">IF(PaymentSchedule3[[#This Row],[Payment Number]]&lt;&gt;"",IF(ROW()-ROW(PaymentSchedule3[[#Headers],[Beginning
Balance]])=1,LoanAmount,INDEX(PaymentSchedule3[Ending
Balance],ROW()-ROW(PaymentSchedule3[[#Headers],[Beginning
Balance]])-1)),"")</f>
        <v>67957.798726852285</v>
      </c>
      <c r="E201" s="25">
        <f ca="1">IF(PaymentSchedule3[[#This Row],[Payment Number]]&lt;&gt;"",ScheduledPayment,"")</f>
        <v>543.5318932997908</v>
      </c>
      <c r="F2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1" s="25">
        <f ca="1">IF(PaymentSchedule3[[#This Row],[Payment Number]]&lt;&gt;"",PaymentSchedule3[[#This Row],[Total
Payment]]-PaymentSchedule3[[#This Row],[Interest]],"")</f>
        <v>260.37439860457295</v>
      </c>
      <c r="I201" s="25">
        <f ca="1">IF(PaymentSchedule3[[#This Row],[Payment Number]]&lt;&gt;"",PaymentSchedule3[[#This Row],[Beginning
Balance]]*(InterestRate/PaymentsPerYear),"")</f>
        <v>283.15749469521785</v>
      </c>
      <c r="J201" s="25">
        <f ca="1">IF(PaymentSchedule3[[#This Row],[Payment Number]]&lt;&gt;"",IF(PaymentSchedule3[[#This Row],[Scheduled Payment]]+PaymentSchedule3[[#This Row],[Extra
Payment]]&lt;=PaymentSchedule3[[#This Row],[Beginning
Balance]],PaymentSchedule3[[#This Row],[Beginning
Balance]]-PaymentSchedule3[[#This Row],[Principal]],0),"")</f>
        <v>67697.424328247711</v>
      </c>
      <c r="K201" s="25">
        <f ca="1">IF(PaymentSchedule3[[#This Row],[Payment Number]]&lt;&gt;"",SUM(INDEX(PaymentSchedule3[Interest],1,1):PaymentSchedule3[[#This Row],[Interest]]),"")</f>
        <v>66457.292695409284</v>
      </c>
      <c r="L201" s="49">
        <f ca="1">LoanAmount-PaymentSchedule3[[#This Row],[Ending
Balance]]</f>
        <v>33552.575671752289</v>
      </c>
      <c r="M201" s="49">
        <f t="shared" ca="1" si="2"/>
        <v>908.5318932997908</v>
      </c>
      <c r="N201" s="25">
        <f ca="1">PaymentSchedule3[[#This Row],[Payment Number]]*$M$19</f>
        <v>167169.86836716151</v>
      </c>
    </row>
    <row r="202" spans="2:14" ht="15.75" x14ac:dyDescent="0.25">
      <c r="B202" s="23">
        <f ca="1">IF(LoanIsGood,IF(ROW()-ROW(PaymentSchedule3[[#Headers],[Payment Number]])&gt;ScheduledNumberOfPayments,"",ROW()-ROW(PaymentSchedule3[[#Headers],[Payment Number]])),"")</f>
        <v>185</v>
      </c>
      <c r="C202" s="24">
        <f ca="1">IF(PaymentSchedule3[[#This Row],[Payment Number]]&lt;&gt;"",EOMONTH(LoanStartDate,ROW(PaymentSchedule3[[#This Row],[Payment Number]])-ROW(PaymentSchedule3[[#Headers],[Payment Number]])-2)+DAY(LoanStartDate),"")</f>
        <v>50234</v>
      </c>
      <c r="D202" s="25">
        <f ca="1">IF(PaymentSchedule3[[#This Row],[Payment Number]]&lt;&gt;"",IF(ROW()-ROW(PaymentSchedule3[[#Headers],[Beginning
Balance]])=1,LoanAmount,INDEX(PaymentSchedule3[Ending
Balance],ROW()-ROW(PaymentSchedule3[[#Headers],[Beginning
Balance]])-1)),"")</f>
        <v>67697.424328247711</v>
      </c>
      <c r="E202" s="25">
        <f ca="1">IF(PaymentSchedule3[[#This Row],[Payment Number]]&lt;&gt;"",ScheduledPayment,"")</f>
        <v>543.5318932997908</v>
      </c>
      <c r="F2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2" s="25">
        <f ca="1">IF(PaymentSchedule3[[#This Row],[Payment Number]]&lt;&gt;"",PaymentSchedule3[[#This Row],[Total
Payment]]-PaymentSchedule3[[#This Row],[Interest]],"")</f>
        <v>261.45929193209201</v>
      </c>
      <c r="I202" s="25">
        <f ca="1">IF(PaymentSchedule3[[#This Row],[Payment Number]]&lt;&gt;"",PaymentSchedule3[[#This Row],[Beginning
Balance]]*(InterestRate/PaymentsPerYear),"")</f>
        <v>282.07260136769878</v>
      </c>
      <c r="J202" s="25">
        <f ca="1">IF(PaymentSchedule3[[#This Row],[Payment Number]]&lt;&gt;"",IF(PaymentSchedule3[[#This Row],[Scheduled Payment]]+PaymentSchedule3[[#This Row],[Extra
Payment]]&lt;=PaymentSchedule3[[#This Row],[Beginning
Balance]],PaymentSchedule3[[#This Row],[Beginning
Balance]]-PaymentSchedule3[[#This Row],[Principal]],0),"")</f>
        <v>67435.965036315625</v>
      </c>
      <c r="K202" s="25">
        <f ca="1">IF(PaymentSchedule3[[#This Row],[Payment Number]]&lt;&gt;"",SUM(INDEX(PaymentSchedule3[Interest],1,1):PaymentSchedule3[[#This Row],[Interest]]),"")</f>
        <v>66739.365296776989</v>
      </c>
      <c r="L202" s="49">
        <f ca="1">LoanAmount-PaymentSchedule3[[#This Row],[Ending
Balance]]</f>
        <v>33814.034963684375</v>
      </c>
      <c r="M202" s="49">
        <f t="shared" ca="1" si="2"/>
        <v>908.5318932997908</v>
      </c>
      <c r="N202" s="25">
        <f ca="1">PaymentSchedule3[[#This Row],[Payment Number]]*$M$19</f>
        <v>168078.40026046129</v>
      </c>
    </row>
    <row r="203" spans="2:14" ht="15.75" x14ac:dyDescent="0.25">
      <c r="B203" s="23">
        <f ca="1">IF(LoanIsGood,IF(ROW()-ROW(PaymentSchedule3[[#Headers],[Payment Number]])&gt;ScheduledNumberOfPayments,"",ROW()-ROW(PaymentSchedule3[[#Headers],[Payment Number]])),"")</f>
        <v>186</v>
      </c>
      <c r="C203" s="24">
        <f ca="1">IF(PaymentSchedule3[[#This Row],[Payment Number]]&lt;&gt;"",EOMONTH(LoanStartDate,ROW(PaymentSchedule3[[#This Row],[Payment Number]])-ROW(PaymentSchedule3[[#Headers],[Payment Number]])-2)+DAY(LoanStartDate),"")</f>
        <v>50265</v>
      </c>
      <c r="D203" s="25">
        <f ca="1">IF(PaymentSchedule3[[#This Row],[Payment Number]]&lt;&gt;"",IF(ROW()-ROW(PaymentSchedule3[[#Headers],[Beginning
Balance]])=1,LoanAmount,INDEX(PaymentSchedule3[Ending
Balance],ROW()-ROW(PaymentSchedule3[[#Headers],[Beginning
Balance]])-1)),"")</f>
        <v>67435.965036315625</v>
      </c>
      <c r="E203" s="25">
        <f ca="1">IF(PaymentSchedule3[[#This Row],[Payment Number]]&lt;&gt;"",ScheduledPayment,"")</f>
        <v>543.5318932997908</v>
      </c>
      <c r="F2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3" s="25">
        <f ca="1">IF(PaymentSchedule3[[#This Row],[Payment Number]]&lt;&gt;"",PaymentSchedule3[[#This Row],[Total
Payment]]-PaymentSchedule3[[#This Row],[Interest]],"")</f>
        <v>262.54870564847567</v>
      </c>
      <c r="I203" s="25">
        <f ca="1">IF(PaymentSchedule3[[#This Row],[Payment Number]]&lt;&gt;"",PaymentSchedule3[[#This Row],[Beginning
Balance]]*(InterestRate/PaymentsPerYear),"")</f>
        <v>280.98318765131512</v>
      </c>
      <c r="J203" s="25">
        <f ca="1">IF(PaymentSchedule3[[#This Row],[Payment Number]]&lt;&gt;"",IF(PaymentSchedule3[[#This Row],[Scheduled Payment]]+PaymentSchedule3[[#This Row],[Extra
Payment]]&lt;=PaymentSchedule3[[#This Row],[Beginning
Balance]],PaymentSchedule3[[#This Row],[Beginning
Balance]]-PaymentSchedule3[[#This Row],[Principal]],0),"")</f>
        <v>67173.416330667154</v>
      </c>
      <c r="K203" s="25">
        <f ca="1">IF(PaymentSchedule3[[#This Row],[Payment Number]]&lt;&gt;"",SUM(INDEX(PaymentSchedule3[Interest],1,1):PaymentSchedule3[[#This Row],[Interest]]),"")</f>
        <v>67020.348484428308</v>
      </c>
      <c r="L203" s="49">
        <f ca="1">LoanAmount-PaymentSchedule3[[#This Row],[Ending
Balance]]</f>
        <v>34076.583669332846</v>
      </c>
      <c r="M203" s="49">
        <f t="shared" ca="1" si="2"/>
        <v>908.5318932997908</v>
      </c>
      <c r="N203" s="25">
        <f ca="1">PaymentSchedule3[[#This Row],[Payment Number]]*$M$19</f>
        <v>168986.9321537611</v>
      </c>
    </row>
    <row r="204" spans="2:14" ht="15.75" x14ac:dyDescent="0.25">
      <c r="B204" s="23">
        <f ca="1">IF(LoanIsGood,IF(ROW()-ROW(PaymentSchedule3[[#Headers],[Payment Number]])&gt;ScheduledNumberOfPayments,"",ROW()-ROW(PaymentSchedule3[[#Headers],[Payment Number]])),"")</f>
        <v>187</v>
      </c>
      <c r="C204" s="24">
        <f ca="1">IF(PaymentSchedule3[[#This Row],[Payment Number]]&lt;&gt;"",EOMONTH(LoanStartDate,ROW(PaymentSchedule3[[#This Row],[Payment Number]])-ROW(PaymentSchedule3[[#Headers],[Payment Number]])-2)+DAY(LoanStartDate),"")</f>
        <v>50296</v>
      </c>
      <c r="D204" s="25">
        <f ca="1">IF(PaymentSchedule3[[#This Row],[Payment Number]]&lt;&gt;"",IF(ROW()-ROW(PaymentSchedule3[[#Headers],[Beginning
Balance]])=1,LoanAmount,INDEX(PaymentSchedule3[Ending
Balance],ROW()-ROW(PaymentSchedule3[[#Headers],[Beginning
Balance]])-1)),"")</f>
        <v>67173.416330667154</v>
      </c>
      <c r="E204" s="25">
        <f ca="1">IF(PaymentSchedule3[[#This Row],[Payment Number]]&lt;&gt;"",ScheduledPayment,"")</f>
        <v>543.5318932997908</v>
      </c>
      <c r="F2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4" s="25">
        <f ca="1">IF(PaymentSchedule3[[#This Row],[Payment Number]]&lt;&gt;"",PaymentSchedule3[[#This Row],[Total
Payment]]-PaymentSchedule3[[#This Row],[Interest]],"")</f>
        <v>263.64265858867765</v>
      </c>
      <c r="I204" s="25">
        <f ca="1">IF(PaymentSchedule3[[#This Row],[Payment Number]]&lt;&gt;"",PaymentSchedule3[[#This Row],[Beginning
Balance]]*(InterestRate/PaymentsPerYear),"")</f>
        <v>279.88923471111315</v>
      </c>
      <c r="J204" s="25">
        <f ca="1">IF(PaymentSchedule3[[#This Row],[Payment Number]]&lt;&gt;"",IF(PaymentSchedule3[[#This Row],[Scheduled Payment]]+PaymentSchedule3[[#This Row],[Extra
Payment]]&lt;=PaymentSchedule3[[#This Row],[Beginning
Balance]],PaymentSchedule3[[#This Row],[Beginning
Balance]]-PaymentSchedule3[[#This Row],[Principal]],0),"")</f>
        <v>66909.773672078474</v>
      </c>
      <c r="K204" s="25">
        <f ca="1">IF(PaymentSchedule3[[#This Row],[Payment Number]]&lt;&gt;"",SUM(INDEX(PaymentSchedule3[Interest],1,1):PaymentSchedule3[[#This Row],[Interest]]),"")</f>
        <v>67300.237719139419</v>
      </c>
      <c r="L204" s="49">
        <f ca="1">LoanAmount-PaymentSchedule3[[#This Row],[Ending
Balance]]</f>
        <v>34340.226327921526</v>
      </c>
      <c r="M204" s="49">
        <f t="shared" ca="1" si="2"/>
        <v>908.5318932997908</v>
      </c>
      <c r="N204" s="25">
        <f ca="1">PaymentSchedule3[[#This Row],[Payment Number]]*$M$19</f>
        <v>169895.46404706087</v>
      </c>
    </row>
    <row r="205" spans="2:14" ht="15.75" x14ac:dyDescent="0.25">
      <c r="B205" s="23">
        <f ca="1">IF(LoanIsGood,IF(ROW()-ROW(PaymentSchedule3[[#Headers],[Payment Number]])&gt;ScheduledNumberOfPayments,"",ROW()-ROW(PaymentSchedule3[[#Headers],[Payment Number]])),"")</f>
        <v>188</v>
      </c>
      <c r="C205" s="24">
        <f ca="1">IF(PaymentSchedule3[[#This Row],[Payment Number]]&lt;&gt;"",EOMONTH(LoanStartDate,ROW(PaymentSchedule3[[#This Row],[Payment Number]])-ROW(PaymentSchedule3[[#Headers],[Payment Number]])-2)+DAY(LoanStartDate),"")</f>
        <v>50326</v>
      </c>
      <c r="D205" s="25">
        <f ca="1">IF(PaymentSchedule3[[#This Row],[Payment Number]]&lt;&gt;"",IF(ROW()-ROW(PaymentSchedule3[[#Headers],[Beginning
Balance]])=1,LoanAmount,INDEX(PaymentSchedule3[Ending
Balance],ROW()-ROW(PaymentSchedule3[[#Headers],[Beginning
Balance]])-1)),"")</f>
        <v>66909.773672078474</v>
      </c>
      <c r="E205" s="25">
        <f ca="1">IF(PaymentSchedule3[[#This Row],[Payment Number]]&lt;&gt;"",ScheduledPayment,"")</f>
        <v>543.5318932997908</v>
      </c>
      <c r="F2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5" s="25">
        <f ca="1">IF(PaymentSchedule3[[#This Row],[Payment Number]]&lt;&gt;"",PaymentSchedule3[[#This Row],[Total
Payment]]-PaymentSchedule3[[#This Row],[Interest]],"")</f>
        <v>264.74116966613047</v>
      </c>
      <c r="I205" s="25">
        <f ca="1">IF(PaymentSchedule3[[#This Row],[Payment Number]]&lt;&gt;"",PaymentSchedule3[[#This Row],[Beginning
Balance]]*(InterestRate/PaymentsPerYear),"")</f>
        <v>278.79072363366032</v>
      </c>
      <c r="J205" s="25">
        <f ca="1">IF(PaymentSchedule3[[#This Row],[Payment Number]]&lt;&gt;"",IF(PaymentSchedule3[[#This Row],[Scheduled Payment]]+PaymentSchedule3[[#This Row],[Extra
Payment]]&lt;=PaymentSchedule3[[#This Row],[Beginning
Balance]],PaymentSchedule3[[#This Row],[Beginning
Balance]]-PaymentSchedule3[[#This Row],[Principal]],0),"")</f>
        <v>66645.032502412345</v>
      </c>
      <c r="K205" s="25">
        <f ca="1">IF(PaymentSchedule3[[#This Row],[Payment Number]]&lt;&gt;"",SUM(INDEX(PaymentSchedule3[Interest],1,1):PaymentSchedule3[[#This Row],[Interest]]),"")</f>
        <v>67579.02844277308</v>
      </c>
      <c r="L205" s="49">
        <f ca="1">LoanAmount-PaymentSchedule3[[#This Row],[Ending
Balance]]</f>
        <v>34604.967497587655</v>
      </c>
      <c r="M205" s="49">
        <f t="shared" ca="1" si="2"/>
        <v>908.5318932997908</v>
      </c>
      <c r="N205" s="25">
        <f ca="1">PaymentSchedule3[[#This Row],[Payment Number]]*$M$19</f>
        <v>170803.99594036068</v>
      </c>
    </row>
    <row r="206" spans="2:14" ht="15.75" x14ac:dyDescent="0.25">
      <c r="B206" s="23">
        <f ca="1">IF(LoanIsGood,IF(ROW()-ROW(PaymentSchedule3[[#Headers],[Payment Number]])&gt;ScheduledNumberOfPayments,"",ROW()-ROW(PaymentSchedule3[[#Headers],[Payment Number]])),"")</f>
        <v>189</v>
      </c>
      <c r="C206" s="24">
        <f ca="1">IF(PaymentSchedule3[[#This Row],[Payment Number]]&lt;&gt;"",EOMONTH(LoanStartDate,ROW(PaymentSchedule3[[#This Row],[Payment Number]])-ROW(PaymentSchedule3[[#Headers],[Payment Number]])-2)+DAY(LoanStartDate),"")</f>
        <v>50357</v>
      </c>
      <c r="D206" s="25">
        <f ca="1">IF(PaymentSchedule3[[#This Row],[Payment Number]]&lt;&gt;"",IF(ROW()-ROW(PaymentSchedule3[[#Headers],[Beginning
Balance]])=1,LoanAmount,INDEX(PaymentSchedule3[Ending
Balance],ROW()-ROW(PaymentSchedule3[[#Headers],[Beginning
Balance]])-1)),"")</f>
        <v>66645.032502412345</v>
      </c>
      <c r="E206" s="25">
        <f ca="1">IF(PaymentSchedule3[[#This Row],[Payment Number]]&lt;&gt;"",ScheduledPayment,"")</f>
        <v>543.5318932997908</v>
      </c>
      <c r="F2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6" s="25">
        <f ca="1">IF(PaymentSchedule3[[#This Row],[Payment Number]]&lt;&gt;"",PaymentSchedule3[[#This Row],[Total
Payment]]-PaymentSchedule3[[#This Row],[Interest]],"")</f>
        <v>265.84425787307271</v>
      </c>
      <c r="I206" s="25">
        <f ca="1">IF(PaymentSchedule3[[#This Row],[Payment Number]]&lt;&gt;"",PaymentSchedule3[[#This Row],[Beginning
Balance]]*(InterestRate/PaymentsPerYear),"")</f>
        <v>277.68763542671809</v>
      </c>
      <c r="J206" s="25">
        <f ca="1">IF(PaymentSchedule3[[#This Row],[Payment Number]]&lt;&gt;"",IF(PaymentSchedule3[[#This Row],[Scheduled Payment]]+PaymentSchedule3[[#This Row],[Extra
Payment]]&lt;=PaymentSchedule3[[#This Row],[Beginning
Balance]],PaymentSchedule3[[#This Row],[Beginning
Balance]]-PaymentSchedule3[[#This Row],[Principal]],0),"")</f>
        <v>66379.188244539269</v>
      </c>
      <c r="K206" s="25">
        <f ca="1">IF(PaymentSchedule3[[#This Row],[Payment Number]]&lt;&gt;"",SUM(INDEX(PaymentSchedule3[Interest],1,1):PaymentSchedule3[[#This Row],[Interest]]),"")</f>
        <v>67856.716078199795</v>
      </c>
      <c r="L206" s="49">
        <f ca="1">LoanAmount-PaymentSchedule3[[#This Row],[Ending
Balance]]</f>
        <v>34870.811755460731</v>
      </c>
      <c r="M206" s="49">
        <f t="shared" ca="1" si="2"/>
        <v>908.5318932997908</v>
      </c>
      <c r="N206" s="25">
        <f ca="1">PaymentSchedule3[[#This Row],[Payment Number]]*$M$19</f>
        <v>171712.52783366045</v>
      </c>
    </row>
    <row r="207" spans="2:14" ht="15.75" x14ac:dyDescent="0.25">
      <c r="B207" s="23">
        <f ca="1">IF(LoanIsGood,IF(ROW()-ROW(PaymentSchedule3[[#Headers],[Payment Number]])&gt;ScheduledNumberOfPayments,"",ROW()-ROW(PaymentSchedule3[[#Headers],[Payment Number]])),"")</f>
        <v>190</v>
      </c>
      <c r="C207" s="24">
        <f ca="1">IF(PaymentSchedule3[[#This Row],[Payment Number]]&lt;&gt;"",EOMONTH(LoanStartDate,ROW(PaymentSchedule3[[#This Row],[Payment Number]])-ROW(PaymentSchedule3[[#Headers],[Payment Number]])-2)+DAY(LoanStartDate),"")</f>
        <v>50387</v>
      </c>
      <c r="D207" s="25">
        <f ca="1">IF(PaymentSchedule3[[#This Row],[Payment Number]]&lt;&gt;"",IF(ROW()-ROW(PaymentSchedule3[[#Headers],[Beginning
Balance]])=1,LoanAmount,INDEX(PaymentSchedule3[Ending
Balance],ROW()-ROW(PaymentSchedule3[[#Headers],[Beginning
Balance]])-1)),"")</f>
        <v>66379.188244539269</v>
      </c>
      <c r="E207" s="25">
        <f ca="1">IF(PaymentSchedule3[[#This Row],[Payment Number]]&lt;&gt;"",ScheduledPayment,"")</f>
        <v>543.5318932997908</v>
      </c>
      <c r="F2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7" s="25">
        <f ca="1">IF(PaymentSchedule3[[#This Row],[Payment Number]]&lt;&gt;"",PaymentSchedule3[[#This Row],[Total
Payment]]-PaymentSchedule3[[#This Row],[Interest]],"")</f>
        <v>266.95194228087718</v>
      </c>
      <c r="I207" s="25">
        <f ca="1">IF(PaymentSchedule3[[#This Row],[Payment Number]]&lt;&gt;"",PaymentSchedule3[[#This Row],[Beginning
Balance]]*(InterestRate/PaymentsPerYear),"")</f>
        <v>276.57995101891362</v>
      </c>
      <c r="J207" s="25">
        <f ca="1">IF(PaymentSchedule3[[#This Row],[Payment Number]]&lt;&gt;"",IF(PaymentSchedule3[[#This Row],[Scheduled Payment]]+PaymentSchedule3[[#This Row],[Extra
Payment]]&lt;=PaymentSchedule3[[#This Row],[Beginning
Balance]],PaymentSchedule3[[#This Row],[Beginning
Balance]]-PaymentSchedule3[[#This Row],[Principal]],0),"")</f>
        <v>66112.236302258389</v>
      </c>
      <c r="K207" s="25">
        <f ca="1">IF(PaymentSchedule3[[#This Row],[Payment Number]]&lt;&gt;"",SUM(INDEX(PaymentSchedule3[Interest],1,1):PaymentSchedule3[[#This Row],[Interest]]),"")</f>
        <v>68133.296029218705</v>
      </c>
      <c r="L207" s="49">
        <f ca="1">LoanAmount-PaymentSchedule3[[#This Row],[Ending
Balance]]</f>
        <v>35137.763697741611</v>
      </c>
      <c r="M207" s="49">
        <f t="shared" ca="1" si="2"/>
        <v>908.5318932997908</v>
      </c>
      <c r="N207" s="25">
        <f ca="1">PaymentSchedule3[[#This Row],[Payment Number]]*$M$19</f>
        <v>172621.05972696026</v>
      </c>
    </row>
    <row r="208" spans="2:14" ht="15.75" x14ac:dyDescent="0.25">
      <c r="B208" s="23">
        <f ca="1">IF(LoanIsGood,IF(ROW()-ROW(PaymentSchedule3[[#Headers],[Payment Number]])&gt;ScheduledNumberOfPayments,"",ROW()-ROW(PaymentSchedule3[[#Headers],[Payment Number]])),"")</f>
        <v>191</v>
      </c>
      <c r="C208" s="24">
        <f ca="1">IF(PaymentSchedule3[[#This Row],[Payment Number]]&lt;&gt;"",EOMONTH(LoanStartDate,ROW(PaymentSchedule3[[#This Row],[Payment Number]])-ROW(PaymentSchedule3[[#Headers],[Payment Number]])-2)+DAY(LoanStartDate),"")</f>
        <v>50418</v>
      </c>
      <c r="D208" s="25">
        <f ca="1">IF(PaymentSchedule3[[#This Row],[Payment Number]]&lt;&gt;"",IF(ROW()-ROW(PaymentSchedule3[[#Headers],[Beginning
Balance]])=1,LoanAmount,INDEX(PaymentSchedule3[Ending
Balance],ROW()-ROW(PaymentSchedule3[[#Headers],[Beginning
Balance]])-1)),"")</f>
        <v>66112.236302258389</v>
      </c>
      <c r="E208" s="25">
        <f ca="1">IF(PaymentSchedule3[[#This Row],[Payment Number]]&lt;&gt;"",ScheduledPayment,"")</f>
        <v>543.5318932997908</v>
      </c>
      <c r="F2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8" s="25">
        <f ca="1">IF(PaymentSchedule3[[#This Row],[Payment Number]]&lt;&gt;"",PaymentSchedule3[[#This Row],[Total
Payment]]-PaymentSchedule3[[#This Row],[Interest]],"")</f>
        <v>268.06424204038086</v>
      </c>
      <c r="I208" s="25">
        <f ca="1">IF(PaymentSchedule3[[#This Row],[Payment Number]]&lt;&gt;"",PaymentSchedule3[[#This Row],[Beginning
Balance]]*(InterestRate/PaymentsPerYear),"")</f>
        <v>275.46765125940993</v>
      </c>
      <c r="J208" s="25">
        <f ca="1">IF(PaymentSchedule3[[#This Row],[Payment Number]]&lt;&gt;"",IF(PaymentSchedule3[[#This Row],[Scheduled Payment]]+PaymentSchedule3[[#This Row],[Extra
Payment]]&lt;=PaymentSchedule3[[#This Row],[Beginning
Balance]],PaymentSchedule3[[#This Row],[Beginning
Balance]]-PaymentSchedule3[[#This Row],[Principal]],0),"")</f>
        <v>65844.172060218014</v>
      </c>
      <c r="K208" s="25">
        <f ca="1">IF(PaymentSchedule3[[#This Row],[Payment Number]]&lt;&gt;"",SUM(INDEX(PaymentSchedule3[Interest],1,1):PaymentSchedule3[[#This Row],[Interest]]),"")</f>
        <v>68408.763680478121</v>
      </c>
      <c r="L208" s="49">
        <f ca="1">LoanAmount-PaymentSchedule3[[#This Row],[Ending
Balance]]</f>
        <v>35405.827939781986</v>
      </c>
      <c r="M208" s="49">
        <f t="shared" ca="1" si="2"/>
        <v>908.5318932997908</v>
      </c>
      <c r="N208" s="25">
        <f ca="1">PaymentSchedule3[[#This Row],[Payment Number]]*$M$19</f>
        <v>173529.59162026003</v>
      </c>
    </row>
    <row r="209" spans="2:14" ht="15.75" x14ac:dyDescent="0.25">
      <c r="B209" s="23">
        <f ca="1">IF(LoanIsGood,IF(ROW()-ROW(PaymentSchedule3[[#Headers],[Payment Number]])&gt;ScheduledNumberOfPayments,"",ROW()-ROW(PaymentSchedule3[[#Headers],[Payment Number]])),"")</f>
        <v>192</v>
      </c>
      <c r="C209" s="24">
        <f ca="1">IF(PaymentSchedule3[[#This Row],[Payment Number]]&lt;&gt;"",EOMONTH(LoanStartDate,ROW(PaymentSchedule3[[#This Row],[Payment Number]])-ROW(PaymentSchedule3[[#Headers],[Payment Number]])-2)+DAY(LoanStartDate),"")</f>
        <v>50449</v>
      </c>
      <c r="D209" s="25">
        <f ca="1">IF(PaymentSchedule3[[#This Row],[Payment Number]]&lt;&gt;"",IF(ROW()-ROW(PaymentSchedule3[[#Headers],[Beginning
Balance]])=1,LoanAmount,INDEX(PaymentSchedule3[Ending
Balance],ROW()-ROW(PaymentSchedule3[[#Headers],[Beginning
Balance]])-1)),"")</f>
        <v>65844.172060218014</v>
      </c>
      <c r="E209" s="25">
        <f ca="1">IF(PaymentSchedule3[[#This Row],[Payment Number]]&lt;&gt;"",ScheduledPayment,"")</f>
        <v>543.5318932997908</v>
      </c>
      <c r="F2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09" s="25">
        <f ca="1">IF(PaymentSchedule3[[#This Row],[Payment Number]]&lt;&gt;"",PaymentSchedule3[[#This Row],[Total
Payment]]-PaymentSchedule3[[#This Row],[Interest]],"")</f>
        <v>269.18117638221577</v>
      </c>
      <c r="I209" s="25">
        <f ca="1">IF(PaymentSchedule3[[#This Row],[Payment Number]]&lt;&gt;"",PaymentSchedule3[[#This Row],[Beginning
Balance]]*(InterestRate/PaymentsPerYear),"")</f>
        <v>274.35071691757503</v>
      </c>
      <c r="J209" s="25">
        <f ca="1">IF(PaymentSchedule3[[#This Row],[Payment Number]]&lt;&gt;"",IF(PaymentSchedule3[[#This Row],[Scheduled Payment]]+PaymentSchedule3[[#This Row],[Extra
Payment]]&lt;=PaymentSchedule3[[#This Row],[Beginning
Balance]],PaymentSchedule3[[#This Row],[Beginning
Balance]]-PaymentSchedule3[[#This Row],[Principal]],0),"")</f>
        <v>65574.990883835795</v>
      </c>
      <c r="K209" s="25">
        <f ca="1">IF(PaymentSchedule3[[#This Row],[Payment Number]]&lt;&gt;"",SUM(INDEX(PaymentSchedule3[Interest],1,1):PaymentSchedule3[[#This Row],[Interest]]),"")</f>
        <v>68683.114397395693</v>
      </c>
      <c r="L209" s="49">
        <f ca="1">LoanAmount-PaymentSchedule3[[#This Row],[Ending
Balance]]</f>
        <v>35675.009116164205</v>
      </c>
      <c r="M209" s="49">
        <f t="shared" ca="1" si="2"/>
        <v>908.5318932997908</v>
      </c>
      <c r="N209" s="25">
        <f ca="1">PaymentSchedule3[[#This Row],[Payment Number]]*$M$19</f>
        <v>174438.12351355984</v>
      </c>
    </row>
    <row r="210" spans="2:14" ht="15.75" x14ac:dyDescent="0.25">
      <c r="B210" s="23">
        <f ca="1">IF(LoanIsGood,IF(ROW()-ROW(PaymentSchedule3[[#Headers],[Payment Number]])&gt;ScheduledNumberOfPayments,"",ROW()-ROW(PaymentSchedule3[[#Headers],[Payment Number]])),"")</f>
        <v>193</v>
      </c>
      <c r="C210" s="24">
        <f ca="1">IF(PaymentSchedule3[[#This Row],[Payment Number]]&lt;&gt;"",EOMONTH(LoanStartDate,ROW(PaymentSchedule3[[#This Row],[Payment Number]])-ROW(PaymentSchedule3[[#Headers],[Payment Number]])-2)+DAY(LoanStartDate),"")</f>
        <v>50477</v>
      </c>
      <c r="D210" s="25">
        <f ca="1">IF(PaymentSchedule3[[#This Row],[Payment Number]]&lt;&gt;"",IF(ROW()-ROW(PaymentSchedule3[[#Headers],[Beginning
Balance]])=1,LoanAmount,INDEX(PaymentSchedule3[Ending
Balance],ROW()-ROW(PaymentSchedule3[[#Headers],[Beginning
Balance]])-1)),"")</f>
        <v>65574.990883835795</v>
      </c>
      <c r="E210" s="25">
        <f ca="1">IF(PaymentSchedule3[[#This Row],[Payment Number]]&lt;&gt;"",ScheduledPayment,"")</f>
        <v>543.5318932997908</v>
      </c>
      <c r="F2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0" s="25">
        <f ca="1">IF(PaymentSchedule3[[#This Row],[Payment Number]]&lt;&gt;"",PaymentSchedule3[[#This Row],[Total
Payment]]-PaymentSchedule3[[#This Row],[Interest]],"")</f>
        <v>270.30276461714163</v>
      </c>
      <c r="I210" s="25">
        <f ca="1">IF(PaymentSchedule3[[#This Row],[Payment Number]]&lt;&gt;"",PaymentSchedule3[[#This Row],[Beginning
Balance]]*(InterestRate/PaymentsPerYear),"")</f>
        <v>273.22912868264916</v>
      </c>
      <c r="J210" s="25">
        <f ca="1">IF(PaymentSchedule3[[#This Row],[Payment Number]]&lt;&gt;"",IF(PaymentSchedule3[[#This Row],[Scheduled Payment]]+PaymentSchedule3[[#This Row],[Extra
Payment]]&lt;=PaymentSchedule3[[#This Row],[Beginning
Balance]],PaymentSchedule3[[#This Row],[Beginning
Balance]]-PaymentSchedule3[[#This Row],[Principal]],0),"")</f>
        <v>65304.688119218656</v>
      </c>
      <c r="K210" s="25">
        <f ca="1">IF(PaymentSchedule3[[#This Row],[Payment Number]]&lt;&gt;"",SUM(INDEX(PaymentSchedule3[Interest],1,1):PaymentSchedule3[[#This Row],[Interest]]),"")</f>
        <v>68956.343526078344</v>
      </c>
      <c r="L210" s="49">
        <f ca="1">LoanAmount-PaymentSchedule3[[#This Row],[Ending
Balance]]</f>
        <v>35945.311880781344</v>
      </c>
      <c r="M210" s="49">
        <f t="shared" ref="M210:M273" ca="1" si="3">G211+$N$7+N$8+$N$9</f>
        <v>908.5318932997908</v>
      </c>
      <c r="N210" s="25">
        <f ca="1">PaymentSchedule3[[#This Row],[Payment Number]]*$M$19</f>
        <v>175346.65540685962</v>
      </c>
    </row>
    <row r="211" spans="2:14" ht="15.75" x14ac:dyDescent="0.25">
      <c r="B211" s="23">
        <f ca="1">IF(LoanIsGood,IF(ROW()-ROW(PaymentSchedule3[[#Headers],[Payment Number]])&gt;ScheduledNumberOfPayments,"",ROW()-ROW(PaymentSchedule3[[#Headers],[Payment Number]])),"")</f>
        <v>194</v>
      </c>
      <c r="C211" s="24">
        <f ca="1">IF(PaymentSchedule3[[#This Row],[Payment Number]]&lt;&gt;"",EOMONTH(LoanStartDate,ROW(PaymentSchedule3[[#This Row],[Payment Number]])-ROW(PaymentSchedule3[[#Headers],[Payment Number]])-2)+DAY(LoanStartDate),"")</f>
        <v>50508</v>
      </c>
      <c r="D211" s="25">
        <f ca="1">IF(PaymentSchedule3[[#This Row],[Payment Number]]&lt;&gt;"",IF(ROW()-ROW(PaymentSchedule3[[#Headers],[Beginning
Balance]])=1,LoanAmount,INDEX(PaymentSchedule3[Ending
Balance],ROW()-ROW(PaymentSchedule3[[#Headers],[Beginning
Balance]])-1)),"")</f>
        <v>65304.688119218656</v>
      </c>
      <c r="E211" s="25">
        <f ca="1">IF(PaymentSchedule3[[#This Row],[Payment Number]]&lt;&gt;"",ScheduledPayment,"")</f>
        <v>543.5318932997908</v>
      </c>
      <c r="F2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1" s="25">
        <f ca="1">IF(PaymentSchedule3[[#This Row],[Payment Number]]&lt;&gt;"",PaymentSchedule3[[#This Row],[Total
Payment]]-PaymentSchedule3[[#This Row],[Interest]],"")</f>
        <v>271.42902613637972</v>
      </c>
      <c r="I211" s="25">
        <f ca="1">IF(PaymentSchedule3[[#This Row],[Payment Number]]&lt;&gt;"",PaymentSchedule3[[#This Row],[Beginning
Balance]]*(InterestRate/PaymentsPerYear),"")</f>
        <v>272.10286716341108</v>
      </c>
      <c r="J211" s="25">
        <f ca="1">IF(PaymentSchedule3[[#This Row],[Payment Number]]&lt;&gt;"",IF(PaymentSchedule3[[#This Row],[Scheduled Payment]]+PaymentSchedule3[[#This Row],[Extra
Payment]]&lt;=PaymentSchedule3[[#This Row],[Beginning
Balance]],PaymentSchedule3[[#This Row],[Beginning
Balance]]-PaymentSchedule3[[#This Row],[Principal]],0),"")</f>
        <v>65033.259093082277</v>
      </c>
      <c r="K211" s="25">
        <f ca="1">IF(PaymentSchedule3[[#This Row],[Payment Number]]&lt;&gt;"",SUM(INDEX(PaymentSchedule3[Interest],1,1):PaymentSchedule3[[#This Row],[Interest]]),"")</f>
        <v>69228.446393241757</v>
      </c>
      <c r="L211" s="49">
        <f ca="1">LoanAmount-PaymentSchedule3[[#This Row],[Ending
Balance]]</f>
        <v>36216.740906917723</v>
      </c>
      <c r="M211" s="49">
        <f t="shared" ca="1" si="3"/>
        <v>908.5318932997908</v>
      </c>
      <c r="N211" s="25">
        <f ca="1">PaymentSchedule3[[#This Row],[Payment Number]]*$M$19</f>
        <v>176255.18730015942</v>
      </c>
    </row>
    <row r="212" spans="2:14" ht="15.75" x14ac:dyDescent="0.25">
      <c r="B212" s="23">
        <f ca="1">IF(LoanIsGood,IF(ROW()-ROW(PaymentSchedule3[[#Headers],[Payment Number]])&gt;ScheduledNumberOfPayments,"",ROW()-ROW(PaymentSchedule3[[#Headers],[Payment Number]])),"")</f>
        <v>195</v>
      </c>
      <c r="C212" s="24">
        <f ca="1">IF(PaymentSchedule3[[#This Row],[Payment Number]]&lt;&gt;"",EOMONTH(LoanStartDate,ROW(PaymentSchedule3[[#This Row],[Payment Number]])-ROW(PaymentSchedule3[[#Headers],[Payment Number]])-2)+DAY(LoanStartDate),"")</f>
        <v>50538</v>
      </c>
      <c r="D212" s="25">
        <f ca="1">IF(PaymentSchedule3[[#This Row],[Payment Number]]&lt;&gt;"",IF(ROW()-ROW(PaymentSchedule3[[#Headers],[Beginning
Balance]])=1,LoanAmount,INDEX(PaymentSchedule3[Ending
Balance],ROW()-ROW(PaymentSchedule3[[#Headers],[Beginning
Balance]])-1)),"")</f>
        <v>65033.259093082277</v>
      </c>
      <c r="E212" s="25">
        <f ca="1">IF(PaymentSchedule3[[#This Row],[Payment Number]]&lt;&gt;"",ScheduledPayment,"")</f>
        <v>543.5318932997908</v>
      </c>
      <c r="F2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2" s="25">
        <f ca="1">IF(PaymentSchedule3[[#This Row],[Payment Number]]&lt;&gt;"",PaymentSchedule3[[#This Row],[Total
Payment]]-PaymentSchedule3[[#This Row],[Interest]],"")</f>
        <v>272.559980411948</v>
      </c>
      <c r="I212" s="25">
        <f ca="1">IF(PaymentSchedule3[[#This Row],[Payment Number]]&lt;&gt;"",PaymentSchedule3[[#This Row],[Beginning
Balance]]*(InterestRate/PaymentsPerYear),"")</f>
        <v>270.97191288784279</v>
      </c>
      <c r="J212" s="25">
        <f ca="1">IF(PaymentSchedule3[[#This Row],[Payment Number]]&lt;&gt;"",IF(PaymentSchedule3[[#This Row],[Scheduled Payment]]+PaymentSchedule3[[#This Row],[Extra
Payment]]&lt;=PaymentSchedule3[[#This Row],[Beginning
Balance]],PaymentSchedule3[[#This Row],[Beginning
Balance]]-PaymentSchedule3[[#This Row],[Principal]],0),"")</f>
        <v>64760.699112670329</v>
      </c>
      <c r="K212" s="25">
        <f ca="1">IF(PaymentSchedule3[[#This Row],[Payment Number]]&lt;&gt;"",SUM(INDEX(PaymentSchedule3[Interest],1,1):PaymentSchedule3[[#This Row],[Interest]]),"")</f>
        <v>69499.418306129606</v>
      </c>
      <c r="L212" s="49">
        <f ca="1">LoanAmount-PaymentSchedule3[[#This Row],[Ending
Balance]]</f>
        <v>36489.300887329671</v>
      </c>
      <c r="M212" s="49">
        <f t="shared" ca="1" si="3"/>
        <v>908.5318932997908</v>
      </c>
      <c r="N212" s="25">
        <f ca="1">PaymentSchedule3[[#This Row],[Payment Number]]*$M$19</f>
        <v>177163.7191934592</v>
      </c>
    </row>
    <row r="213" spans="2:14" ht="15.75" x14ac:dyDescent="0.25">
      <c r="B213" s="23">
        <f ca="1">IF(LoanIsGood,IF(ROW()-ROW(PaymentSchedule3[[#Headers],[Payment Number]])&gt;ScheduledNumberOfPayments,"",ROW()-ROW(PaymentSchedule3[[#Headers],[Payment Number]])),"")</f>
        <v>196</v>
      </c>
      <c r="C213" s="24">
        <f ca="1">IF(PaymentSchedule3[[#This Row],[Payment Number]]&lt;&gt;"",EOMONTH(LoanStartDate,ROW(PaymentSchedule3[[#This Row],[Payment Number]])-ROW(PaymentSchedule3[[#Headers],[Payment Number]])-2)+DAY(LoanStartDate),"")</f>
        <v>50569</v>
      </c>
      <c r="D213" s="25">
        <f ca="1">IF(PaymentSchedule3[[#This Row],[Payment Number]]&lt;&gt;"",IF(ROW()-ROW(PaymentSchedule3[[#Headers],[Beginning
Balance]])=1,LoanAmount,INDEX(PaymentSchedule3[Ending
Balance],ROW()-ROW(PaymentSchedule3[[#Headers],[Beginning
Balance]])-1)),"")</f>
        <v>64760.699112670329</v>
      </c>
      <c r="E213" s="25">
        <f ca="1">IF(PaymentSchedule3[[#This Row],[Payment Number]]&lt;&gt;"",ScheduledPayment,"")</f>
        <v>543.5318932997908</v>
      </c>
      <c r="F2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3" s="25">
        <f ca="1">IF(PaymentSchedule3[[#This Row],[Payment Number]]&lt;&gt;"",PaymentSchedule3[[#This Row],[Total
Payment]]-PaymentSchedule3[[#This Row],[Interest]],"")</f>
        <v>273.69564699699777</v>
      </c>
      <c r="I213" s="25">
        <f ca="1">IF(PaymentSchedule3[[#This Row],[Payment Number]]&lt;&gt;"",PaymentSchedule3[[#This Row],[Beginning
Balance]]*(InterestRate/PaymentsPerYear),"")</f>
        <v>269.83624630279303</v>
      </c>
      <c r="J213" s="25">
        <f ca="1">IF(PaymentSchedule3[[#This Row],[Payment Number]]&lt;&gt;"",IF(PaymentSchedule3[[#This Row],[Scheduled Payment]]+PaymentSchedule3[[#This Row],[Extra
Payment]]&lt;=PaymentSchedule3[[#This Row],[Beginning
Balance]],PaymentSchedule3[[#This Row],[Beginning
Balance]]-PaymentSchedule3[[#This Row],[Principal]],0),"")</f>
        <v>64487.003465673333</v>
      </c>
      <c r="K213" s="25">
        <f ca="1">IF(PaymentSchedule3[[#This Row],[Payment Number]]&lt;&gt;"",SUM(INDEX(PaymentSchedule3[Interest],1,1):PaymentSchedule3[[#This Row],[Interest]]),"")</f>
        <v>69769.254552432394</v>
      </c>
      <c r="L213" s="49">
        <f ca="1">LoanAmount-PaymentSchedule3[[#This Row],[Ending
Balance]]</f>
        <v>36762.996534326667</v>
      </c>
      <c r="M213" s="49">
        <f t="shared" ca="1" si="3"/>
        <v>908.5318932997908</v>
      </c>
      <c r="N213" s="25">
        <f ca="1">PaymentSchedule3[[#This Row],[Payment Number]]*$M$19</f>
        <v>178072.251086759</v>
      </c>
    </row>
    <row r="214" spans="2:14" ht="15.75" x14ac:dyDescent="0.25">
      <c r="B214" s="23">
        <f ca="1">IF(LoanIsGood,IF(ROW()-ROW(PaymentSchedule3[[#Headers],[Payment Number]])&gt;ScheduledNumberOfPayments,"",ROW()-ROW(PaymentSchedule3[[#Headers],[Payment Number]])),"")</f>
        <v>197</v>
      </c>
      <c r="C214" s="24">
        <f ca="1">IF(PaymentSchedule3[[#This Row],[Payment Number]]&lt;&gt;"",EOMONTH(LoanStartDate,ROW(PaymentSchedule3[[#This Row],[Payment Number]])-ROW(PaymentSchedule3[[#Headers],[Payment Number]])-2)+DAY(LoanStartDate),"")</f>
        <v>50599</v>
      </c>
      <c r="D214" s="25">
        <f ca="1">IF(PaymentSchedule3[[#This Row],[Payment Number]]&lt;&gt;"",IF(ROW()-ROW(PaymentSchedule3[[#Headers],[Beginning
Balance]])=1,LoanAmount,INDEX(PaymentSchedule3[Ending
Balance],ROW()-ROW(PaymentSchedule3[[#Headers],[Beginning
Balance]])-1)),"")</f>
        <v>64487.003465673333</v>
      </c>
      <c r="E214" s="25">
        <f ca="1">IF(PaymentSchedule3[[#This Row],[Payment Number]]&lt;&gt;"",ScheduledPayment,"")</f>
        <v>543.5318932997908</v>
      </c>
      <c r="F2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4" s="25">
        <f ca="1">IF(PaymentSchedule3[[#This Row],[Payment Number]]&lt;&gt;"",PaymentSchedule3[[#This Row],[Total
Payment]]-PaymentSchedule3[[#This Row],[Interest]],"")</f>
        <v>274.83604552615191</v>
      </c>
      <c r="I214" s="25">
        <f ca="1">IF(PaymentSchedule3[[#This Row],[Payment Number]]&lt;&gt;"",PaymentSchedule3[[#This Row],[Beginning
Balance]]*(InterestRate/PaymentsPerYear),"")</f>
        <v>268.69584777363889</v>
      </c>
      <c r="J214" s="25">
        <f ca="1">IF(PaymentSchedule3[[#This Row],[Payment Number]]&lt;&gt;"",IF(PaymentSchedule3[[#This Row],[Scheduled Payment]]+PaymentSchedule3[[#This Row],[Extra
Payment]]&lt;=PaymentSchedule3[[#This Row],[Beginning
Balance]],PaymentSchedule3[[#This Row],[Beginning
Balance]]-PaymentSchedule3[[#This Row],[Principal]],0),"")</f>
        <v>64212.167420147183</v>
      </c>
      <c r="K214" s="25">
        <f ca="1">IF(PaymentSchedule3[[#This Row],[Payment Number]]&lt;&gt;"",SUM(INDEX(PaymentSchedule3[Interest],1,1):PaymentSchedule3[[#This Row],[Interest]]),"")</f>
        <v>70037.950400206028</v>
      </c>
      <c r="L214" s="49">
        <f ca="1">LoanAmount-PaymentSchedule3[[#This Row],[Ending
Balance]]</f>
        <v>37037.832579852817</v>
      </c>
      <c r="M214" s="49">
        <f t="shared" ca="1" si="3"/>
        <v>908.5318932997908</v>
      </c>
      <c r="N214" s="25">
        <f ca="1">PaymentSchedule3[[#This Row],[Payment Number]]*$M$19</f>
        <v>178980.78298005878</v>
      </c>
    </row>
    <row r="215" spans="2:14" ht="15.75" x14ac:dyDescent="0.25">
      <c r="B215" s="23">
        <f ca="1">IF(LoanIsGood,IF(ROW()-ROW(PaymentSchedule3[[#Headers],[Payment Number]])&gt;ScheduledNumberOfPayments,"",ROW()-ROW(PaymentSchedule3[[#Headers],[Payment Number]])),"")</f>
        <v>198</v>
      </c>
      <c r="C215" s="24">
        <f ca="1">IF(PaymentSchedule3[[#This Row],[Payment Number]]&lt;&gt;"",EOMONTH(LoanStartDate,ROW(PaymentSchedule3[[#This Row],[Payment Number]])-ROW(PaymentSchedule3[[#Headers],[Payment Number]])-2)+DAY(LoanStartDate),"")</f>
        <v>50630</v>
      </c>
      <c r="D215" s="25">
        <f ca="1">IF(PaymentSchedule3[[#This Row],[Payment Number]]&lt;&gt;"",IF(ROW()-ROW(PaymentSchedule3[[#Headers],[Beginning
Balance]])=1,LoanAmount,INDEX(PaymentSchedule3[Ending
Balance],ROW()-ROW(PaymentSchedule3[[#Headers],[Beginning
Balance]])-1)),"")</f>
        <v>64212.167420147183</v>
      </c>
      <c r="E215" s="25">
        <f ca="1">IF(PaymentSchedule3[[#This Row],[Payment Number]]&lt;&gt;"",ScheduledPayment,"")</f>
        <v>543.5318932997908</v>
      </c>
      <c r="F2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5" s="25">
        <f ca="1">IF(PaymentSchedule3[[#This Row],[Payment Number]]&lt;&gt;"",PaymentSchedule3[[#This Row],[Total
Payment]]-PaymentSchedule3[[#This Row],[Interest]],"")</f>
        <v>275.98119571584419</v>
      </c>
      <c r="I215" s="25">
        <f ca="1">IF(PaymentSchedule3[[#This Row],[Payment Number]]&lt;&gt;"",PaymentSchedule3[[#This Row],[Beginning
Balance]]*(InterestRate/PaymentsPerYear),"")</f>
        <v>267.5506975839466</v>
      </c>
      <c r="J215" s="25">
        <f ca="1">IF(PaymentSchedule3[[#This Row],[Payment Number]]&lt;&gt;"",IF(PaymentSchedule3[[#This Row],[Scheduled Payment]]+PaymentSchedule3[[#This Row],[Extra
Payment]]&lt;=PaymentSchedule3[[#This Row],[Beginning
Balance]],PaymentSchedule3[[#This Row],[Beginning
Balance]]-PaymentSchedule3[[#This Row],[Principal]],0),"")</f>
        <v>63936.186224431338</v>
      </c>
      <c r="K215" s="25">
        <f ca="1">IF(PaymentSchedule3[[#This Row],[Payment Number]]&lt;&gt;"",SUM(INDEX(PaymentSchedule3[Interest],1,1):PaymentSchedule3[[#This Row],[Interest]]),"")</f>
        <v>70305.50109778998</v>
      </c>
      <c r="L215" s="49">
        <f ca="1">LoanAmount-PaymentSchedule3[[#This Row],[Ending
Balance]]</f>
        <v>37313.813775568662</v>
      </c>
      <c r="M215" s="49">
        <f t="shared" ca="1" si="3"/>
        <v>908.5318932997908</v>
      </c>
      <c r="N215" s="25">
        <f ca="1">PaymentSchedule3[[#This Row],[Payment Number]]*$M$19</f>
        <v>179889.31487335858</v>
      </c>
    </row>
    <row r="216" spans="2:14" ht="15.75" x14ac:dyDescent="0.25">
      <c r="B216" s="23">
        <f ca="1">IF(LoanIsGood,IF(ROW()-ROW(PaymentSchedule3[[#Headers],[Payment Number]])&gt;ScheduledNumberOfPayments,"",ROW()-ROW(PaymentSchedule3[[#Headers],[Payment Number]])),"")</f>
        <v>199</v>
      </c>
      <c r="C216" s="24">
        <f ca="1">IF(PaymentSchedule3[[#This Row],[Payment Number]]&lt;&gt;"",EOMONTH(LoanStartDate,ROW(PaymentSchedule3[[#This Row],[Payment Number]])-ROW(PaymentSchedule3[[#Headers],[Payment Number]])-2)+DAY(LoanStartDate),"")</f>
        <v>50661</v>
      </c>
      <c r="D216" s="25">
        <f ca="1">IF(PaymentSchedule3[[#This Row],[Payment Number]]&lt;&gt;"",IF(ROW()-ROW(PaymentSchedule3[[#Headers],[Beginning
Balance]])=1,LoanAmount,INDEX(PaymentSchedule3[Ending
Balance],ROW()-ROW(PaymentSchedule3[[#Headers],[Beginning
Balance]])-1)),"")</f>
        <v>63936.186224431338</v>
      </c>
      <c r="E216" s="25">
        <f ca="1">IF(PaymentSchedule3[[#This Row],[Payment Number]]&lt;&gt;"",ScheduledPayment,"")</f>
        <v>543.5318932997908</v>
      </c>
      <c r="F2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6" s="25">
        <f ca="1">IF(PaymentSchedule3[[#This Row],[Payment Number]]&lt;&gt;"",PaymentSchedule3[[#This Row],[Total
Payment]]-PaymentSchedule3[[#This Row],[Interest]],"")</f>
        <v>277.13111736466021</v>
      </c>
      <c r="I216" s="25">
        <f ca="1">IF(PaymentSchedule3[[#This Row],[Payment Number]]&lt;&gt;"",PaymentSchedule3[[#This Row],[Beginning
Balance]]*(InterestRate/PaymentsPerYear),"")</f>
        <v>266.40077593513058</v>
      </c>
      <c r="J216" s="25">
        <f ca="1">IF(PaymentSchedule3[[#This Row],[Payment Number]]&lt;&gt;"",IF(PaymentSchedule3[[#This Row],[Scheduled Payment]]+PaymentSchedule3[[#This Row],[Extra
Payment]]&lt;=PaymentSchedule3[[#This Row],[Beginning
Balance]],PaymentSchedule3[[#This Row],[Beginning
Balance]]-PaymentSchedule3[[#This Row],[Principal]],0),"")</f>
        <v>63659.055107066677</v>
      </c>
      <c r="K216" s="25">
        <f ca="1">IF(PaymentSchedule3[[#This Row],[Payment Number]]&lt;&gt;"",SUM(INDEX(PaymentSchedule3[Interest],1,1):PaymentSchedule3[[#This Row],[Interest]]),"")</f>
        <v>70571.901873725117</v>
      </c>
      <c r="L216" s="49">
        <f ca="1">LoanAmount-PaymentSchedule3[[#This Row],[Ending
Balance]]</f>
        <v>37590.944892933323</v>
      </c>
      <c r="M216" s="49">
        <f t="shared" ca="1" si="3"/>
        <v>908.5318932997908</v>
      </c>
      <c r="N216" s="25">
        <f ca="1">PaymentSchedule3[[#This Row],[Payment Number]]*$M$19</f>
        <v>180797.84676665836</v>
      </c>
    </row>
    <row r="217" spans="2:14" ht="15.75" x14ac:dyDescent="0.25">
      <c r="B217" s="23">
        <f ca="1">IF(LoanIsGood,IF(ROW()-ROW(PaymentSchedule3[[#Headers],[Payment Number]])&gt;ScheduledNumberOfPayments,"",ROW()-ROW(PaymentSchedule3[[#Headers],[Payment Number]])),"")</f>
        <v>200</v>
      </c>
      <c r="C217" s="24">
        <f ca="1">IF(PaymentSchedule3[[#This Row],[Payment Number]]&lt;&gt;"",EOMONTH(LoanStartDate,ROW(PaymentSchedule3[[#This Row],[Payment Number]])-ROW(PaymentSchedule3[[#Headers],[Payment Number]])-2)+DAY(LoanStartDate),"")</f>
        <v>50691</v>
      </c>
      <c r="D217" s="25">
        <f ca="1">IF(PaymentSchedule3[[#This Row],[Payment Number]]&lt;&gt;"",IF(ROW()-ROW(PaymentSchedule3[[#Headers],[Beginning
Balance]])=1,LoanAmount,INDEX(PaymentSchedule3[Ending
Balance],ROW()-ROW(PaymentSchedule3[[#Headers],[Beginning
Balance]])-1)),"")</f>
        <v>63659.055107066677</v>
      </c>
      <c r="E217" s="25">
        <f ca="1">IF(PaymentSchedule3[[#This Row],[Payment Number]]&lt;&gt;"",ScheduledPayment,"")</f>
        <v>543.5318932997908</v>
      </c>
      <c r="F2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7" s="25">
        <f ca="1">IF(PaymentSchedule3[[#This Row],[Payment Number]]&lt;&gt;"",PaymentSchedule3[[#This Row],[Total
Payment]]-PaymentSchedule3[[#This Row],[Interest]],"")</f>
        <v>278.28583035367967</v>
      </c>
      <c r="I217" s="25">
        <f ca="1">IF(PaymentSchedule3[[#This Row],[Payment Number]]&lt;&gt;"",PaymentSchedule3[[#This Row],[Beginning
Balance]]*(InterestRate/PaymentsPerYear),"")</f>
        <v>265.24606294611112</v>
      </c>
      <c r="J217" s="25">
        <f ca="1">IF(PaymentSchedule3[[#This Row],[Payment Number]]&lt;&gt;"",IF(PaymentSchedule3[[#This Row],[Scheduled Payment]]+PaymentSchedule3[[#This Row],[Extra
Payment]]&lt;=PaymentSchedule3[[#This Row],[Beginning
Balance]],PaymentSchedule3[[#This Row],[Beginning
Balance]]-PaymentSchedule3[[#This Row],[Principal]],0),"")</f>
        <v>63380.769276712999</v>
      </c>
      <c r="K217" s="25">
        <f ca="1">IF(PaymentSchedule3[[#This Row],[Payment Number]]&lt;&gt;"",SUM(INDEX(PaymentSchedule3[Interest],1,1):PaymentSchedule3[[#This Row],[Interest]]),"")</f>
        <v>70837.14793667123</v>
      </c>
      <c r="L217" s="49">
        <f ca="1">LoanAmount-PaymentSchedule3[[#This Row],[Ending
Balance]]</f>
        <v>37869.230723287001</v>
      </c>
      <c r="M217" s="49">
        <f t="shared" ca="1" si="3"/>
        <v>908.5318932997908</v>
      </c>
      <c r="N217" s="25">
        <f ca="1">PaymentSchedule3[[#This Row],[Payment Number]]*$M$19</f>
        <v>181706.37865995817</v>
      </c>
    </row>
    <row r="218" spans="2:14" ht="15.75" x14ac:dyDescent="0.25">
      <c r="B218" s="23">
        <f ca="1">IF(LoanIsGood,IF(ROW()-ROW(PaymentSchedule3[[#Headers],[Payment Number]])&gt;ScheduledNumberOfPayments,"",ROW()-ROW(PaymentSchedule3[[#Headers],[Payment Number]])),"")</f>
        <v>201</v>
      </c>
      <c r="C218" s="24">
        <f ca="1">IF(PaymentSchedule3[[#This Row],[Payment Number]]&lt;&gt;"",EOMONTH(LoanStartDate,ROW(PaymentSchedule3[[#This Row],[Payment Number]])-ROW(PaymentSchedule3[[#Headers],[Payment Number]])-2)+DAY(LoanStartDate),"")</f>
        <v>50722</v>
      </c>
      <c r="D218" s="25">
        <f ca="1">IF(PaymentSchedule3[[#This Row],[Payment Number]]&lt;&gt;"",IF(ROW()-ROW(PaymentSchedule3[[#Headers],[Beginning
Balance]])=1,LoanAmount,INDEX(PaymentSchedule3[Ending
Balance],ROW()-ROW(PaymentSchedule3[[#Headers],[Beginning
Balance]])-1)),"")</f>
        <v>63380.769276712999</v>
      </c>
      <c r="E218" s="25">
        <f ca="1">IF(PaymentSchedule3[[#This Row],[Payment Number]]&lt;&gt;"",ScheduledPayment,"")</f>
        <v>543.5318932997908</v>
      </c>
      <c r="F2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8" s="25">
        <f ca="1">IF(PaymentSchedule3[[#This Row],[Payment Number]]&lt;&gt;"",PaymentSchedule3[[#This Row],[Total
Payment]]-PaymentSchedule3[[#This Row],[Interest]],"")</f>
        <v>279.44535464681996</v>
      </c>
      <c r="I218" s="25">
        <f ca="1">IF(PaymentSchedule3[[#This Row],[Payment Number]]&lt;&gt;"",PaymentSchedule3[[#This Row],[Beginning
Balance]]*(InterestRate/PaymentsPerYear),"")</f>
        <v>264.08653865297083</v>
      </c>
      <c r="J218" s="25">
        <f ca="1">IF(PaymentSchedule3[[#This Row],[Payment Number]]&lt;&gt;"",IF(PaymentSchedule3[[#This Row],[Scheduled Payment]]+PaymentSchedule3[[#This Row],[Extra
Payment]]&lt;=PaymentSchedule3[[#This Row],[Beginning
Balance]],PaymentSchedule3[[#This Row],[Beginning
Balance]]-PaymentSchedule3[[#This Row],[Principal]],0),"")</f>
        <v>63101.323922066178</v>
      </c>
      <c r="K218" s="25">
        <f ca="1">IF(PaymentSchedule3[[#This Row],[Payment Number]]&lt;&gt;"",SUM(INDEX(PaymentSchedule3[Interest],1,1):PaymentSchedule3[[#This Row],[Interest]]),"")</f>
        <v>71101.234475324207</v>
      </c>
      <c r="L218" s="49">
        <f ca="1">LoanAmount-PaymentSchedule3[[#This Row],[Ending
Balance]]</f>
        <v>38148.676077933822</v>
      </c>
      <c r="M218" s="49">
        <f t="shared" ca="1" si="3"/>
        <v>908.5318932997908</v>
      </c>
      <c r="N218" s="25">
        <f ca="1">PaymentSchedule3[[#This Row],[Payment Number]]*$M$19</f>
        <v>182614.91055325794</v>
      </c>
    </row>
    <row r="219" spans="2:14" ht="15.75" x14ac:dyDescent="0.25">
      <c r="B219" s="23">
        <f ca="1">IF(LoanIsGood,IF(ROW()-ROW(PaymentSchedule3[[#Headers],[Payment Number]])&gt;ScheduledNumberOfPayments,"",ROW()-ROW(PaymentSchedule3[[#Headers],[Payment Number]])),"")</f>
        <v>202</v>
      </c>
      <c r="C219" s="24">
        <f ca="1">IF(PaymentSchedule3[[#This Row],[Payment Number]]&lt;&gt;"",EOMONTH(LoanStartDate,ROW(PaymentSchedule3[[#This Row],[Payment Number]])-ROW(PaymentSchedule3[[#Headers],[Payment Number]])-2)+DAY(LoanStartDate),"")</f>
        <v>50752</v>
      </c>
      <c r="D219" s="25">
        <f ca="1">IF(PaymentSchedule3[[#This Row],[Payment Number]]&lt;&gt;"",IF(ROW()-ROW(PaymentSchedule3[[#Headers],[Beginning
Balance]])=1,LoanAmount,INDEX(PaymentSchedule3[Ending
Balance],ROW()-ROW(PaymentSchedule3[[#Headers],[Beginning
Balance]])-1)),"")</f>
        <v>63101.323922066178</v>
      </c>
      <c r="E219" s="25">
        <f ca="1">IF(PaymentSchedule3[[#This Row],[Payment Number]]&lt;&gt;"",ScheduledPayment,"")</f>
        <v>543.5318932997908</v>
      </c>
      <c r="F2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19" s="25">
        <f ca="1">IF(PaymentSchedule3[[#This Row],[Payment Number]]&lt;&gt;"",PaymentSchedule3[[#This Row],[Total
Payment]]-PaymentSchedule3[[#This Row],[Interest]],"")</f>
        <v>280.60971029118173</v>
      </c>
      <c r="I219" s="25">
        <f ca="1">IF(PaymentSchedule3[[#This Row],[Payment Number]]&lt;&gt;"",PaymentSchedule3[[#This Row],[Beginning
Balance]]*(InterestRate/PaymentsPerYear),"")</f>
        <v>262.92218300860907</v>
      </c>
      <c r="J219" s="25">
        <f ca="1">IF(PaymentSchedule3[[#This Row],[Payment Number]]&lt;&gt;"",IF(PaymentSchedule3[[#This Row],[Scheduled Payment]]+PaymentSchedule3[[#This Row],[Extra
Payment]]&lt;=PaymentSchedule3[[#This Row],[Beginning
Balance]],PaymentSchedule3[[#This Row],[Beginning
Balance]]-PaymentSchedule3[[#This Row],[Principal]],0),"")</f>
        <v>62820.714211774997</v>
      </c>
      <c r="K219" s="25">
        <f ca="1">IF(PaymentSchedule3[[#This Row],[Payment Number]]&lt;&gt;"",SUM(INDEX(PaymentSchedule3[Interest],1,1):PaymentSchedule3[[#This Row],[Interest]]),"")</f>
        <v>71364.156658332809</v>
      </c>
      <c r="L219" s="49">
        <f ca="1">LoanAmount-PaymentSchedule3[[#This Row],[Ending
Balance]]</f>
        <v>38429.285788225003</v>
      </c>
      <c r="M219" s="49">
        <f t="shared" ca="1" si="3"/>
        <v>908.5318932997908</v>
      </c>
      <c r="N219" s="25">
        <f ca="1">PaymentSchedule3[[#This Row],[Payment Number]]*$M$19</f>
        <v>183523.44244655775</v>
      </c>
    </row>
    <row r="220" spans="2:14" ht="15.75" x14ac:dyDescent="0.25">
      <c r="B220" s="23">
        <f ca="1">IF(LoanIsGood,IF(ROW()-ROW(PaymentSchedule3[[#Headers],[Payment Number]])&gt;ScheduledNumberOfPayments,"",ROW()-ROW(PaymentSchedule3[[#Headers],[Payment Number]])),"")</f>
        <v>203</v>
      </c>
      <c r="C220" s="24">
        <f ca="1">IF(PaymentSchedule3[[#This Row],[Payment Number]]&lt;&gt;"",EOMONTH(LoanStartDate,ROW(PaymentSchedule3[[#This Row],[Payment Number]])-ROW(PaymentSchedule3[[#Headers],[Payment Number]])-2)+DAY(LoanStartDate),"")</f>
        <v>50783</v>
      </c>
      <c r="D220" s="25">
        <f ca="1">IF(PaymentSchedule3[[#This Row],[Payment Number]]&lt;&gt;"",IF(ROW()-ROW(PaymentSchedule3[[#Headers],[Beginning
Balance]])=1,LoanAmount,INDEX(PaymentSchedule3[Ending
Balance],ROW()-ROW(PaymentSchedule3[[#Headers],[Beginning
Balance]])-1)),"")</f>
        <v>62820.714211774997</v>
      </c>
      <c r="E220" s="25">
        <f ca="1">IF(PaymentSchedule3[[#This Row],[Payment Number]]&lt;&gt;"",ScheduledPayment,"")</f>
        <v>543.5318932997908</v>
      </c>
      <c r="F2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0" s="25">
        <f ca="1">IF(PaymentSchedule3[[#This Row],[Payment Number]]&lt;&gt;"",PaymentSchedule3[[#This Row],[Total
Payment]]-PaymentSchedule3[[#This Row],[Interest]],"")</f>
        <v>281.77891741739495</v>
      </c>
      <c r="I220" s="25">
        <f ca="1">IF(PaymentSchedule3[[#This Row],[Payment Number]]&lt;&gt;"",PaymentSchedule3[[#This Row],[Beginning
Balance]]*(InterestRate/PaymentsPerYear),"")</f>
        <v>261.75297588239584</v>
      </c>
      <c r="J220" s="25">
        <f ca="1">IF(PaymentSchedule3[[#This Row],[Payment Number]]&lt;&gt;"",IF(PaymentSchedule3[[#This Row],[Scheduled Payment]]+PaymentSchedule3[[#This Row],[Extra
Payment]]&lt;=PaymentSchedule3[[#This Row],[Beginning
Balance]],PaymentSchedule3[[#This Row],[Beginning
Balance]]-PaymentSchedule3[[#This Row],[Principal]],0),"")</f>
        <v>62538.935294357601</v>
      </c>
      <c r="K220" s="25">
        <f ca="1">IF(PaymentSchedule3[[#This Row],[Payment Number]]&lt;&gt;"",SUM(INDEX(PaymentSchedule3[Interest],1,1):PaymentSchedule3[[#This Row],[Interest]]),"")</f>
        <v>71625.909634215204</v>
      </c>
      <c r="L220" s="49">
        <f ca="1">LoanAmount-PaymentSchedule3[[#This Row],[Ending
Balance]]</f>
        <v>38711.064705642399</v>
      </c>
      <c r="M220" s="49">
        <f t="shared" ca="1" si="3"/>
        <v>908.5318932997908</v>
      </c>
      <c r="N220" s="25">
        <f ca="1">PaymentSchedule3[[#This Row],[Payment Number]]*$M$19</f>
        <v>184431.97433985752</v>
      </c>
    </row>
    <row r="221" spans="2:14" ht="15.75" x14ac:dyDescent="0.25">
      <c r="B221" s="23">
        <f ca="1">IF(LoanIsGood,IF(ROW()-ROW(PaymentSchedule3[[#Headers],[Payment Number]])&gt;ScheduledNumberOfPayments,"",ROW()-ROW(PaymentSchedule3[[#Headers],[Payment Number]])),"")</f>
        <v>204</v>
      </c>
      <c r="C221" s="24">
        <f ca="1">IF(PaymentSchedule3[[#This Row],[Payment Number]]&lt;&gt;"",EOMONTH(LoanStartDate,ROW(PaymentSchedule3[[#This Row],[Payment Number]])-ROW(PaymentSchedule3[[#Headers],[Payment Number]])-2)+DAY(LoanStartDate),"")</f>
        <v>50814</v>
      </c>
      <c r="D221" s="25">
        <f ca="1">IF(PaymentSchedule3[[#This Row],[Payment Number]]&lt;&gt;"",IF(ROW()-ROW(PaymentSchedule3[[#Headers],[Beginning
Balance]])=1,LoanAmount,INDEX(PaymentSchedule3[Ending
Balance],ROW()-ROW(PaymentSchedule3[[#Headers],[Beginning
Balance]])-1)),"")</f>
        <v>62538.935294357601</v>
      </c>
      <c r="E221" s="25">
        <f ca="1">IF(PaymentSchedule3[[#This Row],[Payment Number]]&lt;&gt;"",ScheduledPayment,"")</f>
        <v>543.5318932997908</v>
      </c>
      <c r="F2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1" s="25">
        <f ca="1">IF(PaymentSchedule3[[#This Row],[Payment Number]]&lt;&gt;"",PaymentSchedule3[[#This Row],[Total
Payment]]-PaymentSchedule3[[#This Row],[Interest]],"")</f>
        <v>282.95299623996743</v>
      </c>
      <c r="I221" s="25">
        <f ca="1">IF(PaymentSchedule3[[#This Row],[Payment Number]]&lt;&gt;"",PaymentSchedule3[[#This Row],[Beginning
Balance]]*(InterestRate/PaymentsPerYear),"")</f>
        <v>260.57889705982336</v>
      </c>
      <c r="J221" s="25">
        <f ca="1">IF(PaymentSchedule3[[#This Row],[Payment Number]]&lt;&gt;"",IF(PaymentSchedule3[[#This Row],[Scheduled Payment]]+PaymentSchedule3[[#This Row],[Extra
Payment]]&lt;=PaymentSchedule3[[#This Row],[Beginning
Balance]],PaymentSchedule3[[#This Row],[Beginning
Balance]]-PaymentSchedule3[[#This Row],[Principal]],0),"")</f>
        <v>62255.982298117633</v>
      </c>
      <c r="K221" s="25">
        <f ca="1">IF(PaymentSchedule3[[#This Row],[Payment Number]]&lt;&gt;"",SUM(INDEX(PaymentSchedule3[Interest],1,1):PaymentSchedule3[[#This Row],[Interest]]),"")</f>
        <v>71886.488531275027</v>
      </c>
      <c r="L221" s="49">
        <f ca="1">LoanAmount-PaymentSchedule3[[#This Row],[Ending
Balance]]</f>
        <v>38994.017701882367</v>
      </c>
      <c r="M221" s="49">
        <f t="shared" ca="1" si="3"/>
        <v>908.5318932997908</v>
      </c>
      <c r="N221" s="25">
        <f ca="1">PaymentSchedule3[[#This Row],[Payment Number]]*$M$19</f>
        <v>185340.50623315733</v>
      </c>
    </row>
    <row r="222" spans="2:14" ht="15.75" x14ac:dyDescent="0.25">
      <c r="B222" s="23">
        <f ca="1">IF(LoanIsGood,IF(ROW()-ROW(PaymentSchedule3[[#Headers],[Payment Number]])&gt;ScheduledNumberOfPayments,"",ROW()-ROW(PaymentSchedule3[[#Headers],[Payment Number]])),"")</f>
        <v>205</v>
      </c>
      <c r="C222" s="24">
        <f ca="1">IF(PaymentSchedule3[[#This Row],[Payment Number]]&lt;&gt;"",EOMONTH(LoanStartDate,ROW(PaymentSchedule3[[#This Row],[Payment Number]])-ROW(PaymentSchedule3[[#Headers],[Payment Number]])-2)+DAY(LoanStartDate),"")</f>
        <v>50842</v>
      </c>
      <c r="D222" s="25">
        <f ca="1">IF(PaymentSchedule3[[#This Row],[Payment Number]]&lt;&gt;"",IF(ROW()-ROW(PaymentSchedule3[[#Headers],[Beginning
Balance]])=1,LoanAmount,INDEX(PaymentSchedule3[Ending
Balance],ROW()-ROW(PaymentSchedule3[[#Headers],[Beginning
Balance]])-1)),"")</f>
        <v>62255.982298117633</v>
      </c>
      <c r="E222" s="25">
        <f ca="1">IF(PaymentSchedule3[[#This Row],[Payment Number]]&lt;&gt;"",ScheduledPayment,"")</f>
        <v>543.5318932997908</v>
      </c>
      <c r="F2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2" s="25">
        <f ca="1">IF(PaymentSchedule3[[#This Row],[Payment Number]]&lt;&gt;"",PaymentSchedule3[[#This Row],[Total
Payment]]-PaymentSchedule3[[#This Row],[Interest]],"")</f>
        <v>284.13196705763397</v>
      </c>
      <c r="I222" s="25">
        <f ca="1">IF(PaymentSchedule3[[#This Row],[Payment Number]]&lt;&gt;"",PaymentSchedule3[[#This Row],[Beginning
Balance]]*(InterestRate/PaymentsPerYear),"")</f>
        <v>259.39992624215682</v>
      </c>
      <c r="J222" s="25">
        <f ca="1">IF(PaymentSchedule3[[#This Row],[Payment Number]]&lt;&gt;"",IF(PaymentSchedule3[[#This Row],[Scheduled Payment]]+PaymentSchedule3[[#This Row],[Extra
Payment]]&lt;=PaymentSchedule3[[#This Row],[Beginning
Balance]],PaymentSchedule3[[#This Row],[Beginning
Balance]]-PaymentSchedule3[[#This Row],[Principal]],0),"")</f>
        <v>61971.850331059999</v>
      </c>
      <c r="K222" s="25">
        <f ca="1">IF(PaymentSchedule3[[#This Row],[Payment Number]]&lt;&gt;"",SUM(INDEX(PaymentSchedule3[Interest],1,1):PaymentSchedule3[[#This Row],[Interest]]),"")</f>
        <v>72145.888457517183</v>
      </c>
      <c r="L222" s="49">
        <f ca="1">LoanAmount-PaymentSchedule3[[#This Row],[Ending
Balance]]</f>
        <v>39278.149668940001</v>
      </c>
      <c r="M222" s="49">
        <f t="shared" ca="1" si="3"/>
        <v>908.5318932997908</v>
      </c>
      <c r="N222" s="25">
        <f ca="1">PaymentSchedule3[[#This Row],[Payment Number]]*$M$19</f>
        <v>186249.0381264571</v>
      </c>
    </row>
    <row r="223" spans="2:14" ht="15.75" x14ac:dyDescent="0.25">
      <c r="B223" s="23">
        <f ca="1">IF(LoanIsGood,IF(ROW()-ROW(PaymentSchedule3[[#Headers],[Payment Number]])&gt;ScheduledNumberOfPayments,"",ROW()-ROW(PaymentSchedule3[[#Headers],[Payment Number]])),"")</f>
        <v>206</v>
      </c>
      <c r="C223" s="24">
        <f ca="1">IF(PaymentSchedule3[[#This Row],[Payment Number]]&lt;&gt;"",EOMONTH(LoanStartDate,ROW(PaymentSchedule3[[#This Row],[Payment Number]])-ROW(PaymentSchedule3[[#Headers],[Payment Number]])-2)+DAY(LoanStartDate),"")</f>
        <v>50873</v>
      </c>
      <c r="D223" s="25">
        <f ca="1">IF(PaymentSchedule3[[#This Row],[Payment Number]]&lt;&gt;"",IF(ROW()-ROW(PaymentSchedule3[[#Headers],[Beginning
Balance]])=1,LoanAmount,INDEX(PaymentSchedule3[Ending
Balance],ROW()-ROW(PaymentSchedule3[[#Headers],[Beginning
Balance]])-1)),"")</f>
        <v>61971.850331059999</v>
      </c>
      <c r="E223" s="25">
        <f ca="1">IF(PaymentSchedule3[[#This Row],[Payment Number]]&lt;&gt;"",ScheduledPayment,"")</f>
        <v>543.5318932997908</v>
      </c>
      <c r="F2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3" s="25">
        <f ca="1">IF(PaymentSchedule3[[#This Row],[Payment Number]]&lt;&gt;"",PaymentSchedule3[[#This Row],[Total
Payment]]-PaymentSchedule3[[#This Row],[Interest]],"")</f>
        <v>285.31585025370748</v>
      </c>
      <c r="I223" s="25">
        <f ca="1">IF(PaymentSchedule3[[#This Row],[Payment Number]]&lt;&gt;"",PaymentSchedule3[[#This Row],[Beginning
Balance]]*(InterestRate/PaymentsPerYear),"")</f>
        <v>258.21604304608331</v>
      </c>
      <c r="J223" s="25">
        <f ca="1">IF(PaymentSchedule3[[#This Row],[Payment Number]]&lt;&gt;"",IF(PaymentSchedule3[[#This Row],[Scheduled Payment]]+PaymentSchedule3[[#This Row],[Extra
Payment]]&lt;=PaymentSchedule3[[#This Row],[Beginning
Balance]],PaymentSchedule3[[#This Row],[Beginning
Balance]]-PaymentSchedule3[[#This Row],[Principal]],0),"")</f>
        <v>61686.534480806295</v>
      </c>
      <c r="K223" s="25">
        <f ca="1">IF(PaymentSchedule3[[#This Row],[Payment Number]]&lt;&gt;"",SUM(INDEX(PaymentSchedule3[Interest],1,1):PaymentSchedule3[[#This Row],[Interest]]),"")</f>
        <v>72404.104500563262</v>
      </c>
      <c r="L223" s="49">
        <f ca="1">LoanAmount-PaymentSchedule3[[#This Row],[Ending
Balance]]</f>
        <v>39563.465519193705</v>
      </c>
      <c r="M223" s="49">
        <f t="shared" ca="1" si="3"/>
        <v>908.5318932997908</v>
      </c>
      <c r="N223" s="25">
        <f ca="1">PaymentSchedule3[[#This Row],[Payment Number]]*$M$19</f>
        <v>187157.57001975691</v>
      </c>
    </row>
    <row r="224" spans="2:14" ht="15.75" x14ac:dyDescent="0.25">
      <c r="B224" s="23">
        <f ca="1">IF(LoanIsGood,IF(ROW()-ROW(PaymentSchedule3[[#Headers],[Payment Number]])&gt;ScheduledNumberOfPayments,"",ROW()-ROW(PaymentSchedule3[[#Headers],[Payment Number]])),"")</f>
        <v>207</v>
      </c>
      <c r="C224" s="24">
        <f ca="1">IF(PaymentSchedule3[[#This Row],[Payment Number]]&lt;&gt;"",EOMONTH(LoanStartDate,ROW(PaymentSchedule3[[#This Row],[Payment Number]])-ROW(PaymentSchedule3[[#Headers],[Payment Number]])-2)+DAY(LoanStartDate),"")</f>
        <v>50903</v>
      </c>
      <c r="D224" s="25">
        <f ca="1">IF(PaymentSchedule3[[#This Row],[Payment Number]]&lt;&gt;"",IF(ROW()-ROW(PaymentSchedule3[[#Headers],[Beginning
Balance]])=1,LoanAmount,INDEX(PaymentSchedule3[Ending
Balance],ROW()-ROW(PaymentSchedule3[[#Headers],[Beginning
Balance]])-1)),"")</f>
        <v>61686.534480806295</v>
      </c>
      <c r="E224" s="25">
        <f ca="1">IF(PaymentSchedule3[[#This Row],[Payment Number]]&lt;&gt;"",ScheduledPayment,"")</f>
        <v>543.5318932997908</v>
      </c>
      <c r="F2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4" s="25">
        <f ca="1">IF(PaymentSchedule3[[#This Row],[Payment Number]]&lt;&gt;"",PaymentSchedule3[[#This Row],[Total
Payment]]-PaymentSchedule3[[#This Row],[Interest]],"")</f>
        <v>286.50466629643125</v>
      </c>
      <c r="I224" s="25">
        <f ca="1">IF(PaymentSchedule3[[#This Row],[Payment Number]]&lt;&gt;"",PaymentSchedule3[[#This Row],[Beginning
Balance]]*(InterestRate/PaymentsPerYear),"")</f>
        <v>257.02722700335954</v>
      </c>
      <c r="J224" s="25">
        <f ca="1">IF(PaymentSchedule3[[#This Row],[Payment Number]]&lt;&gt;"",IF(PaymentSchedule3[[#This Row],[Scheduled Payment]]+PaymentSchedule3[[#This Row],[Extra
Payment]]&lt;=PaymentSchedule3[[#This Row],[Beginning
Balance]],PaymentSchedule3[[#This Row],[Beginning
Balance]]-PaymentSchedule3[[#This Row],[Principal]],0),"")</f>
        <v>61400.029814509864</v>
      </c>
      <c r="K224" s="25">
        <f ca="1">IF(PaymentSchedule3[[#This Row],[Payment Number]]&lt;&gt;"",SUM(INDEX(PaymentSchedule3[Interest],1,1):PaymentSchedule3[[#This Row],[Interest]]),"")</f>
        <v>72661.131727566622</v>
      </c>
      <c r="L224" s="49">
        <f ca="1">LoanAmount-PaymentSchedule3[[#This Row],[Ending
Balance]]</f>
        <v>39849.970185490136</v>
      </c>
      <c r="M224" s="49">
        <f t="shared" ca="1" si="3"/>
        <v>908.5318932997908</v>
      </c>
      <c r="N224" s="25">
        <f ca="1">PaymentSchedule3[[#This Row],[Payment Number]]*$M$19</f>
        <v>188066.10191305669</v>
      </c>
    </row>
    <row r="225" spans="2:14" ht="15.75" x14ac:dyDescent="0.25">
      <c r="B225" s="23">
        <f ca="1">IF(LoanIsGood,IF(ROW()-ROW(PaymentSchedule3[[#Headers],[Payment Number]])&gt;ScheduledNumberOfPayments,"",ROW()-ROW(PaymentSchedule3[[#Headers],[Payment Number]])),"")</f>
        <v>208</v>
      </c>
      <c r="C225" s="24">
        <f ca="1">IF(PaymentSchedule3[[#This Row],[Payment Number]]&lt;&gt;"",EOMONTH(LoanStartDate,ROW(PaymentSchedule3[[#This Row],[Payment Number]])-ROW(PaymentSchedule3[[#Headers],[Payment Number]])-2)+DAY(LoanStartDate),"")</f>
        <v>50934</v>
      </c>
      <c r="D225" s="25">
        <f ca="1">IF(PaymentSchedule3[[#This Row],[Payment Number]]&lt;&gt;"",IF(ROW()-ROW(PaymentSchedule3[[#Headers],[Beginning
Balance]])=1,LoanAmount,INDEX(PaymentSchedule3[Ending
Balance],ROW()-ROW(PaymentSchedule3[[#Headers],[Beginning
Balance]])-1)),"")</f>
        <v>61400.029814509864</v>
      </c>
      <c r="E225" s="25">
        <f ca="1">IF(PaymentSchedule3[[#This Row],[Payment Number]]&lt;&gt;"",ScheduledPayment,"")</f>
        <v>543.5318932997908</v>
      </c>
      <c r="F2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5" s="25">
        <f ca="1">IF(PaymentSchedule3[[#This Row],[Payment Number]]&lt;&gt;"",PaymentSchedule3[[#This Row],[Total
Payment]]-PaymentSchedule3[[#This Row],[Interest]],"")</f>
        <v>287.69843573933304</v>
      </c>
      <c r="I225" s="25">
        <f ca="1">IF(PaymentSchedule3[[#This Row],[Payment Number]]&lt;&gt;"",PaymentSchedule3[[#This Row],[Beginning
Balance]]*(InterestRate/PaymentsPerYear),"")</f>
        <v>255.83345756045776</v>
      </c>
      <c r="J225" s="25">
        <f ca="1">IF(PaymentSchedule3[[#This Row],[Payment Number]]&lt;&gt;"",IF(PaymentSchedule3[[#This Row],[Scheduled Payment]]+PaymentSchedule3[[#This Row],[Extra
Payment]]&lt;=PaymentSchedule3[[#This Row],[Beginning
Balance]],PaymentSchedule3[[#This Row],[Beginning
Balance]]-PaymentSchedule3[[#This Row],[Principal]],0),"")</f>
        <v>61112.331378770534</v>
      </c>
      <c r="K225" s="25">
        <f ca="1">IF(PaymentSchedule3[[#This Row],[Payment Number]]&lt;&gt;"",SUM(INDEX(PaymentSchedule3[Interest],1,1):PaymentSchedule3[[#This Row],[Interest]]),"")</f>
        <v>72916.965185127076</v>
      </c>
      <c r="L225" s="49">
        <f ca="1">LoanAmount-PaymentSchedule3[[#This Row],[Ending
Balance]]</f>
        <v>40137.668621229466</v>
      </c>
      <c r="M225" s="49">
        <f t="shared" ca="1" si="3"/>
        <v>908.5318932997908</v>
      </c>
      <c r="N225" s="25">
        <f ca="1">PaymentSchedule3[[#This Row],[Payment Number]]*$M$19</f>
        <v>188974.63380635649</v>
      </c>
    </row>
    <row r="226" spans="2:14" ht="15.75" x14ac:dyDescent="0.25">
      <c r="B226" s="23">
        <f ca="1">IF(LoanIsGood,IF(ROW()-ROW(PaymentSchedule3[[#Headers],[Payment Number]])&gt;ScheduledNumberOfPayments,"",ROW()-ROW(PaymentSchedule3[[#Headers],[Payment Number]])),"")</f>
        <v>209</v>
      </c>
      <c r="C226" s="24">
        <f ca="1">IF(PaymentSchedule3[[#This Row],[Payment Number]]&lt;&gt;"",EOMONTH(LoanStartDate,ROW(PaymentSchedule3[[#This Row],[Payment Number]])-ROW(PaymentSchedule3[[#Headers],[Payment Number]])-2)+DAY(LoanStartDate),"")</f>
        <v>50964</v>
      </c>
      <c r="D226" s="25">
        <f ca="1">IF(PaymentSchedule3[[#This Row],[Payment Number]]&lt;&gt;"",IF(ROW()-ROW(PaymentSchedule3[[#Headers],[Beginning
Balance]])=1,LoanAmount,INDEX(PaymentSchedule3[Ending
Balance],ROW()-ROW(PaymentSchedule3[[#Headers],[Beginning
Balance]])-1)),"")</f>
        <v>61112.331378770534</v>
      </c>
      <c r="E226" s="25">
        <f ca="1">IF(PaymentSchedule3[[#This Row],[Payment Number]]&lt;&gt;"",ScheduledPayment,"")</f>
        <v>543.5318932997908</v>
      </c>
      <c r="F2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6" s="25">
        <f ca="1">IF(PaymentSchedule3[[#This Row],[Payment Number]]&lt;&gt;"",PaymentSchedule3[[#This Row],[Total
Payment]]-PaymentSchedule3[[#This Row],[Interest]],"")</f>
        <v>288.89717922158025</v>
      </c>
      <c r="I226" s="25">
        <f ca="1">IF(PaymentSchedule3[[#This Row],[Payment Number]]&lt;&gt;"",PaymentSchedule3[[#This Row],[Beginning
Balance]]*(InterestRate/PaymentsPerYear),"")</f>
        <v>254.63471407821055</v>
      </c>
      <c r="J226" s="25">
        <f ca="1">IF(PaymentSchedule3[[#This Row],[Payment Number]]&lt;&gt;"",IF(PaymentSchedule3[[#This Row],[Scheduled Payment]]+PaymentSchedule3[[#This Row],[Extra
Payment]]&lt;=PaymentSchedule3[[#This Row],[Beginning
Balance]],PaymentSchedule3[[#This Row],[Beginning
Balance]]-PaymentSchedule3[[#This Row],[Principal]],0),"")</f>
        <v>60823.434199548952</v>
      </c>
      <c r="K226" s="25">
        <f ca="1">IF(PaymentSchedule3[[#This Row],[Payment Number]]&lt;&gt;"",SUM(INDEX(PaymentSchedule3[Interest],1,1):PaymentSchedule3[[#This Row],[Interest]]),"")</f>
        <v>73171.599899205292</v>
      </c>
      <c r="L226" s="49">
        <f ca="1">LoanAmount-PaymentSchedule3[[#This Row],[Ending
Balance]]</f>
        <v>40426.565800451048</v>
      </c>
      <c r="M226" s="49">
        <f t="shared" ca="1" si="3"/>
        <v>908.5318932997908</v>
      </c>
      <c r="N226" s="25">
        <f ca="1">PaymentSchedule3[[#This Row],[Payment Number]]*$M$19</f>
        <v>189883.16569965627</v>
      </c>
    </row>
    <row r="227" spans="2:14" ht="15.75" x14ac:dyDescent="0.25">
      <c r="B227" s="23">
        <f ca="1">IF(LoanIsGood,IF(ROW()-ROW(PaymentSchedule3[[#Headers],[Payment Number]])&gt;ScheduledNumberOfPayments,"",ROW()-ROW(PaymentSchedule3[[#Headers],[Payment Number]])),"")</f>
        <v>210</v>
      </c>
      <c r="C227" s="24">
        <f ca="1">IF(PaymentSchedule3[[#This Row],[Payment Number]]&lt;&gt;"",EOMONTH(LoanStartDate,ROW(PaymentSchedule3[[#This Row],[Payment Number]])-ROW(PaymentSchedule3[[#Headers],[Payment Number]])-2)+DAY(LoanStartDate),"")</f>
        <v>50995</v>
      </c>
      <c r="D227" s="25">
        <f ca="1">IF(PaymentSchedule3[[#This Row],[Payment Number]]&lt;&gt;"",IF(ROW()-ROW(PaymentSchedule3[[#Headers],[Beginning
Balance]])=1,LoanAmount,INDEX(PaymentSchedule3[Ending
Balance],ROW()-ROW(PaymentSchedule3[[#Headers],[Beginning
Balance]])-1)),"")</f>
        <v>60823.434199548952</v>
      </c>
      <c r="E227" s="25">
        <f ca="1">IF(PaymentSchedule3[[#This Row],[Payment Number]]&lt;&gt;"",ScheduledPayment,"")</f>
        <v>543.5318932997908</v>
      </c>
      <c r="F2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7" s="25">
        <f ca="1">IF(PaymentSchedule3[[#This Row],[Payment Number]]&lt;&gt;"",PaymentSchedule3[[#This Row],[Total
Payment]]-PaymentSchedule3[[#This Row],[Interest]],"")</f>
        <v>290.10091746833683</v>
      </c>
      <c r="I227" s="25">
        <f ca="1">IF(PaymentSchedule3[[#This Row],[Payment Number]]&lt;&gt;"",PaymentSchedule3[[#This Row],[Beginning
Balance]]*(InterestRate/PaymentsPerYear),"")</f>
        <v>253.43097583145396</v>
      </c>
      <c r="J227" s="25">
        <f ca="1">IF(PaymentSchedule3[[#This Row],[Payment Number]]&lt;&gt;"",IF(PaymentSchedule3[[#This Row],[Scheduled Payment]]+PaymentSchedule3[[#This Row],[Extra
Payment]]&lt;=PaymentSchedule3[[#This Row],[Beginning
Balance]],PaymentSchedule3[[#This Row],[Beginning
Balance]]-PaymentSchedule3[[#This Row],[Principal]],0),"")</f>
        <v>60533.333282080617</v>
      </c>
      <c r="K227" s="25">
        <f ca="1">IF(PaymentSchedule3[[#This Row],[Payment Number]]&lt;&gt;"",SUM(INDEX(PaymentSchedule3[Interest],1,1):PaymentSchedule3[[#This Row],[Interest]]),"")</f>
        <v>73425.03087503674</v>
      </c>
      <c r="L227" s="49">
        <f ca="1">LoanAmount-PaymentSchedule3[[#This Row],[Ending
Balance]]</f>
        <v>40716.666717919383</v>
      </c>
      <c r="M227" s="49">
        <f t="shared" ca="1" si="3"/>
        <v>908.5318932997908</v>
      </c>
      <c r="N227" s="25">
        <f ca="1">PaymentSchedule3[[#This Row],[Payment Number]]*$M$19</f>
        <v>190791.69759295607</v>
      </c>
    </row>
    <row r="228" spans="2:14" ht="15.75" x14ac:dyDescent="0.25">
      <c r="B228" s="23">
        <f ca="1">IF(LoanIsGood,IF(ROW()-ROW(PaymentSchedule3[[#Headers],[Payment Number]])&gt;ScheduledNumberOfPayments,"",ROW()-ROW(PaymentSchedule3[[#Headers],[Payment Number]])),"")</f>
        <v>211</v>
      </c>
      <c r="C228" s="24">
        <f ca="1">IF(PaymentSchedule3[[#This Row],[Payment Number]]&lt;&gt;"",EOMONTH(LoanStartDate,ROW(PaymentSchedule3[[#This Row],[Payment Number]])-ROW(PaymentSchedule3[[#Headers],[Payment Number]])-2)+DAY(LoanStartDate),"")</f>
        <v>51026</v>
      </c>
      <c r="D228" s="25">
        <f ca="1">IF(PaymentSchedule3[[#This Row],[Payment Number]]&lt;&gt;"",IF(ROW()-ROW(PaymentSchedule3[[#Headers],[Beginning
Balance]])=1,LoanAmount,INDEX(PaymentSchedule3[Ending
Balance],ROW()-ROW(PaymentSchedule3[[#Headers],[Beginning
Balance]])-1)),"")</f>
        <v>60533.333282080617</v>
      </c>
      <c r="E228" s="25">
        <f ca="1">IF(PaymentSchedule3[[#This Row],[Payment Number]]&lt;&gt;"",ScheduledPayment,"")</f>
        <v>543.5318932997908</v>
      </c>
      <c r="F2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8" s="25">
        <f ca="1">IF(PaymentSchedule3[[#This Row],[Payment Number]]&lt;&gt;"",PaymentSchedule3[[#This Row],[Total
Payment]]-PaymentSchedule3[[#This Row],[Interest]],"")</f>
        <v>291.30967129112156</v>
      </c>
      <c r="I228" s="25">
        <f ca="1">IF(PaymentSchedule3[[#This Row],[Payment Number]]&lt;&gt;"",PaymentSchedule3[[#This Row],[Beginning
Balance]]*(InterestRate/PaymentsPerYear),"")</f>
        <v>252.22222200866923</v>
      </c>
      <c r="J228" s="25">
        <f ca="1">IF(PaymentSchedule3[[#This Row],[Payment Number]]&lt;&gt;"",IF(PaymentSchedule3[[#This Row],[Scheduled Payment]]+PaymentSchedule3[[#This Row],[Extra
Payment]]&lt;=PaymentSchedule3[[#This Row],[Beginning
Balance]],PaymentSchedule3[[#This Row],[Beginning
Balance]]-PaymentSchedule3[[#This Row],[Principal]],0),"")</f>
        <v>60242.023610789496</v>
      </c>
      <c r="K228" s="25">
        <f ca="1">IF(PaymentSchedule3[[#This Row],[Payment Number]]&lt;&gt;"",SUM(INDEX(PaymentSchedule3[Interest],1,1):PaymentSchedule3[[#This Row],[Interest]]),"")</f>
        <v>73677.25309704541</v>
      </c>
      <c r="L228" s="49">
        <f ca="1">LoanAmount-PaymentSchedule3[[#This Row],[Ending
Balance]]</f>
        <v>41007.976389210504</v>
      </c>
      <c r="M228" s="49">
        <f t="shared" ca="1" si="3"/>
        <v>908.5318932997908</v>
      </c>
      <c r="N228" s="25">
        <f ca="1">PaymentSchedule3[[#This Row],[Payment Number]]*$M$19</f>
        <v>191700.22948625585</v>
      </c>
    </row>
    <row r="229" spans="2:14" ht="15.75" x14ac:dyDescent="0.25">
      <c r="B229" s="23">
        <f ca="1">IF(LoanIsGood,IF(ROW()-ROW(PaymentSchedule3[[#Headers],[Payment Number]])&gt;ScheduledNumberOfPayments,"",ROW()-ROW(PaymentSchedule3[[#Headers],[Payment Number]])),"")</f>
        <v>212</v>
      </c>
      <c r="C229" s="24">
        <f ca="1">IF(PaymentSchedule3[[#This Row],[Payment Number]]&lt;&gt;"",EOMONTH(LoanStartDate,ROW(PaymentSchedule3[[#This Row],[Payment Number]])-ROW(PaymentSchedule3[[#Headers],[Payment Number]])-2)+DAY(LoanStartDate),"")</f>
        <v>51056</v>
      </c>
      <c r="D229" s="25">
        <f ca="1">IF(PaymentSchedule3[[#This Row],[Payment Number]]&lt;&gt;"",IF(ROW()-ROW(PaymentSchedule3[[#Headers],[Beginning
Balance]])=1,LoanAmount,INDEX(PaymentSchedule3[Ending
Balance],ROW()-ROW(PaymentSchedule3[[#Headers],[Beginning
Balance]])-1)),"")</f>
        <v>60242.023610789496</v>
      </c>
      <c r="E229" s="25">
        <f ca="1">IF(PaymentSchedule3[[#This Row],[Payment Number]]&lt;&gt;"",ScheduledPayment,"")</f>
        <v>543.5318932997908</v>
      </c>
      <c r="F2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29" s="25">
        <f ca="1">IF(PaymentSchedule3[[#This Row],[Payment Number]]&lt;&gt;"",PaymentSchedule3[[#This Row],[Total
Payment]]-PaymentSchedule3[[#This Row],[Interest]],"")</f>
        <v>292.52346158816789</v>
      </c>
      <c r="I229" s="25">
        <f ca="1">IF(PaymentSchedule3[[#This Row],[Payment Number]]&lt;&gt;"",PaymentSchedule3[[#This Row],[Beginning
Balance]]*(InterestRate/PaymentsPerYear),"")</f>
        <v>251.0084317116229</v>
      </c>
      <c r="J229" s="25">
        <f ca="1">IF(PaymentSchedule3[[#This Row],[Payment Number]]&lt;&gt;"",IF(PaymentSchedule3[[#This Row],[Scheduled Payment]]+PaymentSchedule3[[#This Row],[Extra
Payment]]&lt;=PaymentSchedule3[[#This Row],[Beginning
Balance]],PaymentSchedule3[[#This Row],[Beginning
Balance]]-PaymentSchedule3[[#This Row],[Principal]],0),"")</f>
        <v>59949.500149201325</v>
      </c>
      <c r="K229" s="25">
        <f ca="1">IF(PaymentSchedule3[[#This Row],[Payment Number]]&lt;&gt;"",SUM(INDEX(PaymentSchedule3[Interest],1,1):PaymentSchedule3[[#This Row],[Interest]]),"")</f>
        <v>73928.261528757037</v>
      </c>
      <c r="L229" s="49">
        <f ca="1">LoanAmount-PaymentSchedule3[[#This Row],[Ending
Balance]]</f>
        <v>41300.499850798675</v>
      </c>
      <c r="M229" s="49">
        <f t="shared" ca="1" si="3"/>
        <v>908.5318932997908</v>
      </c>
      <c r="N229" s="25">
        <f ca="1">PaymentSchedule3[[#This Row],[Payment Number]]*$M$19</f>
        <v>192608.76137955565</v>
      </c>
    </row>
    <row r="230" spans="2:14" ht="15.75" x14ac:dyDescent="0.25">
      <c r="B230" s="23">
        <f ca="1">IF(LoanIsGood,IF(ROW()-ROW(PaymentSchedule3[[#Headers],[Payment Number]])&gt;ScheduledNumberOfPayments,"",ROW()-ROW(PaymentSchedule3[[#Headers],[Payment Number]])),"")</f>
        <v>213</v>
      </c>
      <c r="C230" s="24">
        <f ca="1">IF(PaymentSchedule3[[#This Row],[Payment Number]]&lt;&gt;"",EOMONTH(LoanStartDate,ROW(PaymentSchedule3[[#This Row],[Payment Number]])-ROW(PaymentSchedule3[[#Headers],[Payment Number]])-2)+DAY(LoanStartDate),"")</f>
        <v>51087</v>
      </c>
      <c r="D230" s="25">
        <f ca="1">IF(PaymentSchedule3[[#This Row],[Payment Number]]&lt;&gt;"",IF(ROW()-ROW(PaymentSchedule3[[#Headers],[Beginning
Balance]])=1,LoanAmount,INDEX(PaymentSchedule3[Ending
Balance],ROW()-ROW(PaymentSchedule3[[#Headers],[Beginning
Balance]])-1)),"")</f>
        <v>59949.500149201325</v>
      </c>
      <c r="E230" s="25">
        <f ca="1">IF(PaymentSchedule3[[#This Row],[Payment Number]]&lt;&gt;"",ScheduledPayment,"")</f>
        <v>543.5318932997908</v>
      </c>
      <c r="F2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0" s="25">
        <f ca="1">IF(PaymentSchedule3[[#This Row],[Payment Number]]&lt;&gt;"",PaymentSchedule3[[#This Row],[Total
Payment]]-PaymentSchedule3[[#This Row],[Interest]],"")</f>
        <v>293.74230934478527</v>
      </c>
      <c r="I230" s="25">
        <f ca="1">IF(PaymentSchedule3[[#This Row],[Payment Number]]&lt;&gt;"",PaymentSchedule3[[#This Row],[Beginning
Balance]]*(InterestRate/PaymentsPerYear),"")</f>
        <v>249.78958395500553</v>
      </c>
      <c r="J230" s="25">
        <f ca="1">IF(PaymentSchedule3[[#This Row],[Payment Number]]&lt;&gt;"",IF(PaymentSchedule3[[#This Row],[Scheduled Payment]]+PaymentSchedule3[[#This Row],[Extra
Payment]]&lt;=PaymentSchedule3[[#This Row],[Beginning
Balance]],PaymentSchedule3[[#This Row],[Beginning
Balance]]-PaymentSchedule3[[#This Row],[Principal]],0),"")</f>
        <v>59655.757839856538</v>
      </c>
      <c r="K230" s="25">
        <f ca="1">IF(PaymentSchedule3[[#This Row],[Payment Number]]&lt;&gt;"",SUM(INDEX(PaymentSchedule3[Interest],1,1):PaymentSchedule3[[#This Row],[Interest]]),"")</f>
        <v>74178.051112712041</v>
      </c>
      <c r="L230" s="49">
        <f ca="1">LoanAmount-PaymentSchedule3[[#This Row],[Ending
Balance]]</f>
        <v>41594.242160143462</v>
      </c>
      <c r="M230" s="49">
        <f t="shared" ca="1" si="3"/>
        <v>908.5318932997908</v>
      </c>
      <c r="N230" s="25">
        <f ca="1">PaymentSchedule3[[#This Row],[Payment Number]]*$M$19</f>
        <v>193517.29327285543</v>
      </c>
    </row>
    <row r="231" spans="2:14" ht="15.75" x14ac:dyDescent="0.25">
      <c r="B231" s="23">
        <f ca="1">IF(LoanIsGood,IF(ROW()-ROW(PaymentSchedule3[[#Headers],[Payment Number]])&gt;ScheduledNumberOfPayments,"",ROW()-ROW(PaymentSchedule3[[#Headers],[Payment Number]])),"")</f>
        <v>214</v>
      </c>
      <c r="C231" s="24">
        <f ca="1">IF(PaymentSchedule3[[#This Row],[Payment Number]]&lt;&gt;"",EOMONTH(LoanStartDate,ROW(PaymentSchedule3[[#This Row],[Payment Number]])-ROW(PaymentSchedule3[[#Headers],[Payment Number]])-2)+DAY(LoanStartDate),"")</f>
        <v>51117</v>
      </c>
      <c r="D231" s="25">
        <f ca="1">IF(PaymentSchedule3[[#This Row],[Payment Number]]&lt;&gt;"",IF(ROW()-ROW(PaymentSchedule3[[#Headers],[Beginning
Balance]])=1,LoanAmount,INDEX(PaymentSchedule3[Ending
Balance],ROW()-ROW(PaymentSchedule3[[#Headers],[Beginning
Balance]])-1)),"")</f>
        <v>59655.757839856538</v>
      </c>
      <c r="E231" s="25">
        <f ca="1">IF(PaymentSchedule3[[#This Row],[Payment Number]]&lt;&gt;"",ScheduledPayment,"")</f>
        <v>543.5318932997908</v>
      </c>
      <c r="F2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1" s="25">
        <f ca="1">IF(PaymentSchedule3[[#This Row],[Payment Number]]&lt;&gt;"",PaymentSchedule3[[#This Row],[Total
Payment]]-PaymentSchedule3[[#This Row],[Interest]],"")</f>
        <v>294.96623563372191</v>
      </c>
      <c r="I231" s="25">
        <f ca="1">IF(PaymentSchedule3[[#This Row],[Payment Number]]&lt;&gt;"",PaymentSchedule3[[#This Row],[Beginning
Balance]]*(InterestRate/PaymentsPerYear),"")</f>
        <v>248.56565766606892</v>
      </c>
      <c r="J231" s="25">
        <f ca="1">IF(PaymentSchedule3[[#This Row],[Payment Number]]&lt;&gt;"",IF(PaymentSchedule3[[#This Row],[Scheduled Payment]]+PaymentSchedule3[[#This Row],[Extra
Payment]]&lt;=PaymentSchedule3[[#This Row],[Beginning
Balance]],PaymentSchedule3[[#This Row],[Beginning
Balance]]-PaymentSchedule3[[#This Row],[Principal]],0),"")</f>
        <v>59360.791604222817</v>
      </c>
      <c r="K231" s="25">
        <f ca="1">IF(PaymentSchedule3[[#This Row],[Payment Number]]&lt;&gt;"",SUM(INDEX(PaymentSchedule3[Interest],1,1):PaymentSchedule3[[#This Row],[Interest]]),"")</f>
        <v>74426.61677037811</v>
      </c>
      <c r="L231" s="49">
        <f ca="1">LoanAmount-PaymentSchedule3[[#This Row],[Ending
Balance]]</f>
        <v>41889.208395777183</v>
      </c>
      <c r="M231" s="49">
        <f t="shared" ca="1" si="3"/>
        <v>908.5318932997908</v>
      </c>
      <c r="N231" s="25">
        <f ca="1">PaymentSchedule3[[#This Row],[Payment Number]]*$M$19</f>
        <v>194425.82516615523</v>
      </c>
    </row>
    <row r="232" spans="2:14" ht="15.75" x14ac:dyDescent="0.25">
      <c r="B232" s="23">
        <f ca="1">IF(LoanIsGood,IF(ROW()-ROW(PaymentSchedule3[[#Headers],[Payment Number]])&gt;ScheduledNumberOfPayments,"",ROW()-ROW(PaymentSchedule3[[#Headers],[Payment Number]])),"")</f>
        <v>215</v>
      </c>
      <c r="C232" s="24">
        <f ca="1">IF(PaymentSchedule3[[#This Row],[Payment Number]]&lt;&gt;"",EOMONTH(LoanStartDate,ROW(PaymentSchedule3[[#This Row],[Payment Number]])-ROW(PaymentSchedule3[[#Headers],[Payment Number]])-2)+DAY(LoanStartDate),"")</f>
        <v>51148</v>
      </c>
      <c r="D232" s="25">
        <f ca="1">IF(PaymentSchedule3[[#This Row],[Payment Number]]&lt;&gt;"",IF(ROW()-ROW(PaymentSchedule3[[#Headers],[Beginning
Balance]])=1,LoanAmount,INDEX(PaymentSchedule3[Ending
Balance],ROW()-ROW(PaymentSchedule3[[#Headers],[Beginning
Balance]])-1)),"")</f>
        <v>59360.791604222817</v>
      </c>
      <c r="E232" s="25">
        <f ca="1">IF(PaymentSchedule3[[#This Row],[Payment Number]]&lt;&gt;"",ScheduledPayment,"")</f>
        <v>543.5318932997908</v>
      </c>
      <c r="F2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2" s="25">
        <f ca="1">IF(PaymentSchedule3[[#This Row],[Payment Number]]&lt;&gt;"",PaymentSchedule3[[#This Row],[Total
Payment]]-PaymentSchedule3[[#This Row],[Interest]],"")</f>
        <v>296.19526161552903</v>
      </c>
      <c r="I232" s="25">
        <f ca="1">IF(PaymentSchedule3[[#This Row],[Payment Number]]&lt;&gt;"",PaymentSchedule3[[#This Row],[Beginning
Balance]]*(InterestRate/PaymentsPerYear),"")</f>
        <v>247.33663168426173</v>
      </c>
      <c r="J232" s="25">
        <f ca="1">IF(PaymentSchedule3[[#This Row],[Payment Number]]&lt;&gt;"",IF(PaymentSchedule3[[#This Row],[Scheduled Payment]]+PaymentSchedule3[[#This Row],[Extra
Payment]]&lt;=PaymentSchedule3[[#This Row],[Beginning
Balance]],PaymentSchedule3[[#This Row],[Beginning
Balance]]-PaymentSchedule3[[#This Row],[Principal]],0),"")</f>
        <v>59064.596342607285</v>
      </c>
      <c r="K232" s="25">
        <f ca="1">IF(PaymentSchedule3[[#This Row],[Payment Number]]&lt;&gt;"",SUM(INDEX(PaymentSchedule3[Interest],1,1):PaymentSchedule3[[#This Row],[Interest]]),"")</f>
        <v>74673.953402062369</v>
      </c>
      <c r="L232" s="49">
        <f ca="1">LoanAmount-PaymentSchedule3[[#This Row],[Ending
Balance]]</f>
        <v>42185.403657392715</v>
      </c>
      <c r="M232" s="49">
        <f t="shared" ca="1" si="3"/>
        <v>908.5318932997908</v>
      </c>
      <c r="N232" s="25">
        <f ca="1">PaymentSchedule3[[#This Row],[Payment Number]]*$M$19</f>
        <v>195334.35705945501</v>
      </c>
    </row>
    <row r="233" spans="2:14" ht="15.75" x14ac:dyDescent="0.25">
      <c r="B233" s="23">
        <f ca="1">IF(LoanIsGood,IF(ROW()-ROW(PaymentSchedule3[[#Headers],[Payment Number]])&gt;ScheduledNumberOfPayments,"",ROW()-ROW(PaymentSchedule3[[#Headers],[Payment Number]])),"")</f>
        <v>216</v>
      </c>
      <c r="C233" s="24">
        <f ca="1">IF(PaymentSchedule3[[#This Row],[Payment Number]]&lt;&gt;"",EOMONTH(LoanStartDate,ROW(PaymentSchedule3[[#This Row],[Payment Number]])-ROW(PaymentSchedule3[[#Headers],[Payment Number]])-2)+DAY(LoanStartDate),"")</f>
        <v>51179</v>
      </c>
      <c r="D233" s="25">
        <f ca="1">IF(PaymentSchedule3[[#This Row],[Payment Number]]&lt;&gt;"",IF(ROW()-ROW(PaymentSchedule3[[#Headers],[Beginning
Balance]])=1,LoanAmount,INDEX(PaymentSchedule3[Ending
Balance],ROW()-ROW(PaymentSchedule3[[#Headers],[Beginning
Balance]])-1)),"")</f>
        <v>59064.596342607285</v>
      </c>
      <c r="E233" s="25">
        <f ca="1">IF(PaymentSchedule3[[#This Row],[Payment Number]]&lt;&gt;"",ScheduledPayment,"")</f>
        <v>543.5318932997908</v>
      </c>
      <c r="F2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3" s="25">
        <f ca="1">IF(PaymentSchedule3[[#This Row],[Payment Number]]&lt;&gt;"",PaymentSchedule3[[#This Row],[Total
Payment]]-PaymentSchedule3[[#This Row],[Interest]],"")</f>
        <v>297.42940853892708</v>
      </c>
      <c r="I233" s="25">
        <f ca="1">IF(PaymentSchedule3[[#This Row],[Payment Number]]&lt;&gt;"",PaymentSchedule3[[#This Row],[Beginning
Balance]]*(InterestRate/PaymentsPerYear),"")</f>
        <v>246.10248476086369</v>
      </c>
      <c r="J233" s="25">
        <f ca="1">IF(PaymentSchedule3[[#This Row],[Payment Number]]&lt;&gt;"",IF(PaymentSchedule3[[#This Row],[Scheduled Payment]]+PaymentSchedule3[[#This Row],[Extra
Payment]]&lt;=PaymentSchedule3[[#This Row],[Beginning
Balance]],PaymentSchedule3[[#This Row],[Beginning
Balance]]-PaymentSchedule3[[#This Row],[Principal]],0),"")</f>
        <v>58767.166934068358</v>
      </c>
      <c r="K233" s="25">
        <f ca="1">IF(PaymentSchedule3[[#This Row],[Payment Number]]&lt;&gt;"",SUM(INDEX(PaymentSchedule3[Interest],1,1):PaymentSchedule3[[#This Row],[Interest]]),"")</f>
        <v>74920.055886823233</v>
      </c>
      <c r="L233" s="49">
        <f ca="1">LoanAmount-PaymentSchedule3[[#This Row],[Ending
Balance]]</f>
        <v>42482.833065931642</v>
      </c>
      <c r="M233" s="49">
        <f t="shared" ca="1" si="3"/>
        <v>908.5318932997908</v>
      </c>
      <c r="N233" s="25">
        <f ca="1">PaymentSchedule3[[#This Row],[Payment Number]]*$M$19</f>
        <v>196242.88895275482</v>
      </c>
    </row>
    <row r="234" spans="2:14" ht="15.75" x14ac:dyDescent="0.25">
      <c r="B234" s="23">
        <f ca="1">IF(LoanIsGood,IF(ROW()-ROW(PaymentSchedule3[[#Headers],[Payment Number]])&gt;ScheduledNumberOfPayments,"",ROW()-ROW(PaymentSchedule3[[#Headers],[Payment Number]])),"")</f>
        <v>217</v>
      </c>
      <c r="C234" s="24">
        <f ca="1">IF(PaymentSchedule3[[#This Row],[Payment Number]]&lt;&gt;"",EOMONTH(LoanStartDate,ROW(PaymentSchedule3[[#This Row],[Payment Number]])-ROW(PaymentSchedule3[[#Headers],[Payment Number]])-2)+DAY(LoanStartDate),"")</f>
        <v>51208</v>
      </c>
      <c r="D234" s="25">
        <f ca="1">IF(PaymentSchedule3[[#This Row],[Payment Number]]&lt;&gt;"",IF(ROW()-ROW(PaymentSchedule3[[#Headers],[Beginning
Balance]])=1,LoanAmount,INDEX(PaymentSchedule3[Ending
Balance],ROW()-ROW(PaymentSchedule3[[#Headers],[Beginning
Balance]])-1)),"")</f>
        <v>58767.166934068358</v>
      </c>
      <c r="E234" s="25">
        <f ca="1">IF(PaymentSchedule3[[#This Row],[Payment Number]]&lt;&gt;"",ScheduledPayment,"")</f>
        <v>543.5318932997908</v>
      </c>
      <c r="F2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4" s="25">
        <f ca="1">IF(PaymentSchedule3[[#This Row],[Payment Number]]&lt;&gt;"",PaymentSchedule3[[#This Row],[Total
Payment]]-PaymentSchedule3[[#This Row],[Interest]],"")</f>
        <v>298.66869774117265</v>
      </c>
      <c r="I234" s="25">
        <f ca="1">IF(PaymentSchedule3[[#This Row],[Payment Number]]&lt;&gt;"",PaymentSchedule3[[#This Row],[Beginning
Balance]]*(InterestRate/PaymentsPerYear),"")</f>
        <v>244.86319555861814</v>
      </c>
      <c r="J234" s="25">
        <f ca="1">IF(PaymentSchedule3[[#This Row],[Payment Number]]&lt;&gt;"",IF(PaymentSchedule3[[#This Row],[Scheduled Payment]]+PaymentSchedule3[[#This Row],[Extra
Payment]]&lt;=PaymentSchedule3[[#This Row],[Beginning
Balance]],PaymentSchedule3[[#This Row],[Beginning
Balance]]-PaymentSchedule3[[#This Row],[Principal]],0),"")</f>
        <v>58468.498236327185</v>
      </c>
      <c r="K234" s="25">
        <f ca="1">IF(PaymentSchedule3[[#This Row],[Payment Number]]&lt;&gt;"",SUM(INDEX(PaymentSchedule3[Interest],1,1):PaymentSchedule3[[#This Row],[Interest]]),"")</f>
        <v>75164.91908238185</v>
      </c>
      <c r="L234" s="49">
        <f ca="1">LoanAmount-PaymentSchedule3[[#This Row],[Ending
Balance]]</f>
        <v>42781.501763672815</v>
      </c>
      <c r="M234" s="49">
        <f t="shared" ca="1" si="3"/>
        <v>908.5318932997908</v>
      </c>
      <c r="N234" s="25">
        <f ca="1">PaymentSchedule3[[#This Row],[Payment Number]]*$M$19</f>
        <v>197151.42084605459</v>
      </c>
    </row>
    <row r="235" spans="2:14" ht="15.75" x14ac:dyDescent="0.25">
      <c r="B235" s="23">
        <f ca="1">IF(LoanIsGood,IF(ROW()-ROW(PaymentSchedule3[[#Headers],[Payment Number]])&gt;ScheduledNumberOfPayments,"",ROW()-ROW(PaymentSchedule3[[#Headers],[Payment Number]])),"")</f>
        <v>218</v>
      </c>
      <c r="C235" s="24">
        <f ca="1">IF(PaymentSchedule3[[#This Row],[Payment Number]]&lt;&gt;"",EOMONTH(LoanStartDate,ROW(PaymentSchedule3[[#This Row],[Payment Number]])-ROW(PaymentSchedule3[[#Headers],[Payment Number]])-2)+DAY(LoanStartDate),"")</f>
        <v>51239</v>
      </c>
      <c r="D235" s="25">
        <f ca="1">IF(PaymentSchedule3[[#This Row],[Payment Number]]&lt;&gt;"",IF(ROW()-ROW(PaymentSchedule3[[#Headers],[Beginning
Balance]])=1,LoanAmount,INDEX(PaymentSchedule3[Ending
Balance],ROW()-ROW(PaymentSchedule3[[#Headers],[Beginning
Balance]])-1)),"")</f>
        <v>58468.498236327185</v>
      </c>
      <c r="E235" s="25">
        <f ca="1">IF(PaymentSchedule3[[#This Row],[Payment Number]]&lt;&gt;"",ScheduledPayment,"")</f>
        <v>543.5318932997908</v>
      </c>
      <c r="F2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5" s="25">
        <f ca="1">IF(PaymentSchedule3[[#This Row],[Payment Number]]&lt;&gt;"",PaymentSchedule3[[#This Row],[Total
Payment]]-PaymentSchedule3[[#This Row],[Interest]],"")</f>
        <v>299.91315064842752</v>
      </c>
      <c r="I235" s="25">
        <f ca="1">IF(PaymentSchedule3[[#This Row],[Payment Number]]&lt;&gt;"",PaymentSchedule3[[#This Row],[Beginning
Balance]]*(InterestRate/PaymentsPerYear),"")</f>
        <v>243.61874265136328</v>
      </c>
      <c r="J235" s="25">
        <f ca="1">IF(PaymentSchedule3[[#This Row],[Payment Number]]&lt;&gt;"",IF(PaymentSchedule3[[#This Row],[Scheduled Payment]]+PaymentSchedule3[[#This Row],[Extra
Payment]]&lt;=PaymentSchedule3[[#This Row],[Beginning
Balance]],PaymentSchedule3[[#This Row],[Beginning
Balance]]-PaymentSchedule3[[#This Row],[Principal]],0),"")</f>
        <v>58168.585085678758</v>
      </c>
      <c r="K235" s="25">
        <f ca="1">IF(PaymentSchedule3[[#This Row],[Payment Number]]&lt;&gt;"",SUM(INDEX(PaymentSchedule3[Interest],1,1):PaymentSchedule3[[#This Row],[Interest]]),"")</f>
        <v>75408.537825033214</v>
      </c>
      <c r="L235" s="49">
        <f ca="1">LoanAmount-PaymentSchedule3[[#This Row],[Ending
Balance]]</f>
        <v>43081.414914321242</v>
      </c>
      <c r="M235" s="49">
        <f t="shared" ca="1" si="3"/>
        <v>908.5318932997908</v>
      </c>
      <c r="N235" s="25">
        <f ca="1">PaymentSchedule3[[#This Row],[Payment Number]]*$M$19</f>
        <v>198059.9527393544</v>
      </c>
    </row>
    <row r="236" spans="2:14" ht="15.75" x14ac:dyDescent="0.25">
      <c r="B236" s="23">
        <f ca="1">IF(LoanIsGood,IF(ROW()-ROW(PaymentSchedule3[[#Headers],[Payment Number]])&gt;ScheduledNumberOfPayments,"",ROW()-ROW(PaymentSchedule3[[#Headers],[Payment Number]])),"")</f>
        <v>219</v>
      </c>
      <c r="C236" s="24">
        <f ca="1">IF(PaymentSchedule3[[#This Row],[Payment Number]]&lt;&gt;"",EOMONTH(LoanStartDate,ROW(PaymentSchedule3[[#This Row],[Payment Number]])-ROW(PaymentSchedule3[[#Headers],[Payment Number]])-2)+DAY(LoanStartDate),"")</f>
        <v>51269</v>
      </c>
      <c r="D236" s="25">
        <f ca="1">IF(PaymentSchedule3[[#This Row],[Payment Number]]&lt;&gt;"",IF(ROW()-ROW(PaymentSchedule3[[#Headers],[Beginning
Balance]])=1,LoanAmount,INDEX(PaymentSchedule3[Ending
Balance],ROW()-ROW(PaymentSchedule3[[#Headers],[Beginning
Balance]])-1)),"")</f>
        <v>58168.585085678758</v>
      </c>
      <c r="E236" s="25">
        <f ca="1">IF(PaymentSchedule3[[#This Row],[Payment Number]]&lt;&gt;"",ScheduledPayment,"")</f>
        <v>543.5318932997908</v>
      </c>
      <c r="F2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6" s="25">
        <f ca="1">IF(PaymentSchedule3[[#This Row],[Payment Number]]&lt;&gt;"",PaymentSchedule3[[#This Row],[Total
Payment]]-PaymentSchedule3[[#This Row],[Interest]],"")</f>
        <v>301.16278877612933</v>
      </c>
      <c r="I236" s="25">
        <f ca="1">IF(PaymentSchedule3[[#This Row],[Payment Number]]&lt;&gt;"",PaymentSchedule3[[#This Row],[Beginning
Balance]]*(InterestRate/PaymentsPerYear),"")</f>
        <v>242.36910452366149</v>
      </c>
      <c r="J236" s="25">
        <f ca="1">IF(PaymentSchedule3[[#This Row],[Payment Number]]&lt;&gt;"",IF(PaymentSchedule3[[#This Row],[Scheduled Payment]]+PaymentSchedule3[[#This Row],[Extra
Payment]]&lt;=PaymentSchedule3[[#This Row],[Beginning
Balance]],PaymentSchedule3[[#This Row],[Beginning
Balance]]-PaymentSchedule3[[#This Row],[Principal]],0),"")</f>
        <v>57867.42229690263</v>
      </c>
      <c r="K236" s="25">
        <f ca="1">IF(PaymentSchedule3[[#This Row],[Payment Number]]&lt;&gt;"",SUM(INDEX(PaymentSchedule3[Interest],1,1):PaymentSchedule3[[#This Row],[Interest]]),"")</f>
        <v>75650.906929556877</v>
      </c>
      <c r="L236" s="49">
        <f ca="1">LoanAmount-PaymentSchedule3[[#This Row],[Ending
Balance]]</f>
        <v>43382.57770309737</v>
      </c>
      <c r="M236" s="49">
        <f t="shared" ca="1" si="3"/>
        <v>908.5318932997908</v>
      </c>
      <c r="N236" s="25">
        <f ca="1">PaymentSchedule3[[#This Row],[Payment Number]]*$M$19</f>
        <v>198968.48463265417</v>
      </c>
    </row>
    <row r="237" spans="2:14" ht="15.75" x14ac:dyDescent="0.25">
      <c r="B237" s="23">
        <f ca="1">IF(LoanIsGood,IF(ROW()-ROW(PaymentSchedule3[[#Headers],[Payment Number]])&gt;ScheduledNumberOfPayments,"",ROW()-ROW(PaymentSchedule3[[#Headers],[Payment Number]])),"")</f>
        <v>220</v>
      </c>
      <c r="C237" s="24">
        <f ca="1">IF(PaymentSchedule3[[#This Row],[Payment Number]]&lt;&gt;"",EOMONTH(LoanStartDate,ROW(PaymentSchedule3[[#This Row],[Payment Number]])-ROW(PaymentSchedule3[[#Headers],[Payment Number]])-2)+DAY(LoanStartDate),"")</f>
        <v>51300</v>
      </c>
      <c r="D237" s="25">
        <f ca="1">IF(PaymentSchedule3[[#This Row],[Payment Number]]&lt;&gt;"",IF(ROW()-ROW(PaymentSchedule3[[#Headers],[Beginning
Balance]])=1,LoanAmount,INDEX(PaymentSchedule3[Ending
Balance],ROW()-ROW(PaymentSchedule3[[#Headers],[Beginning
Balance]])-1)),"")</f>
        <v>57867.42229690263</v>
      </c>
      <c r="E237" s="25">
        <f ca="1">IF(PaymentSchedule3[[#This Row],[Payment Number]]&lt;&gt;"",ScheduledPayment,"")</f>
        <v>543.5318932997908</v>
      </c>
      <c r="F2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7" s="25">
        <f ca="1">IF(PaymentSchedule3[[#This Row],[Payment Number]]&lt;&gt;"",PaymentSchedule3[[#This Row],[Total
Payment]]-PaymentSchedule3[[#This Row],[Interest]],"")</f>
        <v>302.41763372936316</v>
      </c>
      <c r="I237" s="25">
        <f ca="1">IF(PaymentSchedule3[[#This Row],[Payment Number]]&lt;&gt;"",PaymentSchedule3[[#This Row],[Beginning
Balance]]*(InterestRate/PaymentsPerYear),"")</f>
        <v>241.11425957042763</v>
      </c>
      <c r="J237" s="25">
        <f ca="1">IF(PaymentSchedule3[[#This Row],[Payment Number]]&lt;&gt;"",IF(PaymentSchedule3[[#This Row],[Scheduled Payment]]+PaymentSchedule3[[#This Row],[Extra
Payment]]&lt;=PaymentSchedule3[[#This Row],[Beginning
Balance]],PaymentSchedule3[[#This Row],[Beginning
Balance]]-PaymentSchedule3[[#This Row],[Principal]],0),"")</f>
        <v>57565.004663173269</v>
      </c>
      <c r="K237" s="25">
        <f ca="1">IF(PaymentSchedule3[[#This Row],[Payment Number]]&lt;&gt;"",SUM(INDEX(PaymentSchedule3[Interest],1,1):PaymentSchedule3[[#This Row],[Interest]]),"")</f>
        <v>75892.021189127307</v>
      </c>
      <c r="L237" s="49">
        <f ca="1">LoanAmount-PaymentSchedule3[[#This Row],[Ending
Balance]]</f>
        <v>43684.995336826731</v>
      </c>
      <c r="M237" s="49">
        <f t="shared" ca="1" si="3"/>
        <v>908.5318932997908</v>
      </c>
      <c r="N237" s="25">
        <f ca="1">PaymentSchedule3[[#This Row],[Payment Number]]*$M$19</f>
        <v>199877.01652595398</v>
      </c>
    </row>
    <row r="238" spans="2:14" ht="15.75" x14ac:dyDescent="0.25">
      <c r="B238" s="23">
        <f ca="1">IF(LoanIsGood,IF(ROW()-ROW(PaymentSchedule3[[#Headers],[Payment Number]])&gt;ScheduledNumberOfPayments,"",ROW()-ROW(PaymentSchedule3[[#Headers],[Payment Number]])),"")</f>
        <v>221</v>
      </c>
      <c r="C238" s="24">
        <f ca="1">IF(PaymentSchedule3[[#This Row],[Payment Number]]&lt;&gt;"",EOMONTH(LoanStartDate,ROW(PaymentSchedule3[[#This Row],[Payment Number]])-ROW(PaymentSchedule3[[#Headers],[Payment Number]])-2)+DAY(LoanStartDate),"")</f>
        <v>51330</v>
      </c>
      <c r="D238" s="25">
        <f ca="1">IF(PaymentSchedule3[[#This Row],[Payment Number]]&lt;&gt;"",IF(ROW()-ROW(PaymentSchedule3[[#Headers],[Beginning
Balance]])=1,LoanAmount,INDEX(PaymentSchedule3[Ending
Balance],ROW()-ROW(PaymentSchedule3[[#Headers],[Beginning
Balance]])-1)),"")</f>
        <v>57565.004663173269</v>
      </c>
      <c r="E238" s="25">
        <f ca="1">IF(PaymentSchedule3[[#This Row],[Payment Number]]&lt;&gt;"",ScheduledPayment,"")</f>
        <v>543.5318932997908</v>
      </c>
      <c r="F2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8" s="25">
        <f ca="1">IF(PaymentSchedule3[[#This Row],[Payment Number]]&lt;&gt;"",PaymentSchedule3[[#This Row],[Total
Payment]]-PaymentSchedule3[[#This Row],[Interest]],"")</f>
        <v>303.67770720323551</v>
      </c>
      <c r="I238" s="25">
        <f ca="1">IF(PaymentSchedule3[[#This Row],[Payment Number]]&lt;&gt;"",PaymentSchedule3[[#This Row],[Beginning
Balance]]*(InterestRate/PaymentsPerYear),"")</f>
        <v>239.85418609655528</v>
      </c>
      <c r="J238" s="25">
        <f ca="1">IF(PaymentSchedule3[[#This Row],[Payment Number]]&lt;&gt;"",IF(PaymentSchedule3[[#This Row],[Scheduled Payment]]+PaymentSchedule3[[#This Row],[Extra
Payment]]&lt;=PaymentSchedule3[[#This Row],[Beginning
Balance]],PaymentSchedule3[[#This Row],[Beginning
Balance]]-PaymentSchedule3[[#This Row],[Principal]],0),"")</f>
        <v>57261.326955970035</v>
      </c>
      <c r="K238" s="25">
        <f ca="1">IF(PaymentSchedule3[[#This Row],[Payment Number]]&lt;&gt;"",SUM(INDEX(PaymentSchedule3[Interest],1,1):PaymentSchedule3[[#This Row],[Interest]]),"")</f>
        <v>76131.875375223855</v>
      </c>
      <c r="L238" s="49">
        <f ca="1">LoanAmount-PaymentSchedule3[[#This Row],[Ending
Balance]]</f>
        <v>43988.673044029965</v>
      </c>
      <c r="M238" s="49">
        <f t="shared" ca="1" si="3"/>
        <v>908.5318932997908</v>
      </c>
      <c r="N238" s="25">
        <f ca="1">PaymentSchedule3[[#This Row],[Payment Number]]*$M$19</f>
        <v>200785.54841925376</v>
      </c>
    </row>
    <row r="239" spans="2:14" ht="15.75" x14ac:dyDescent="0.25">
      <c r="B239" s="23">
        <f ca="1">IF(LoanIsGood,IF(ROW()-ROW(PaymentSchedule3[[#Headers],[Payment Number]])&gt;ScheduledNumberOfPayments,"",ROW()-ROW(PaymentSchedule3[[#Headers],[Payment Number]])),"")</f>
        <v>222</v>
      </c>
      <c r="C239" s="24">
        <f ca="1">IF(PaymentSchedule3[[#This Row],[Payment Number]]&lt;&gt;"",EOMONTH(LoanStartDate,ROW(PaymentSchedule3[[#This Row],[Payment Number]])-ROW(PaymentSchedule3[[#Headers],[Payment Number]])-2)+DAY(LoanStartDate),"")</f>
        <v>51361</v>
      </c>
      <c r="D239" s="25">
        <f ca="1">IF(PaymentSchedule3[[#This Row],[Payment Number]]&lt;&gt;"",IF(ROW()-ROW(PaymentSchedule3[[#Headers],[Beginning
Balance]])=1,LoanAmount,INDEX(PaymentSchedule3[Ending
Balance],ROW()-ROW(PaymentSchedule3[[#Headers],[Beginning
Balance]])-1)),"")</f>
        <v>57261.326955970035</v>
      </c>
      <c r="E239" s="25">
        <f ca="1">IF(PaymentSchedule3[[#This Row],[Payment Number]]&lt;&gt;"",ScheduledPayment,"")</f>
        <v>543.5318932997908</v>
      </c>
      <c r="F2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39" s="25">
        <f ca="1">IF(PaymentSchedule3[[#This Row],[Payment Number]]&lt;&gt;"",PaymentSchedule3[[#This Row],[Total
Payment]]-PaymentSchedule3[[#This Row],[Interest]],"")</f>
        <v>304.94303098324895</v>
      </c>
      <c r="I239" s="25">
        <f ca="1">IF(PaymentSchedule3[[#This Row],[Payment Number]]&lt;&gt;"",PaymentSchedule3[[#This Row],[Beginning
Balance]]*(InterestRate/PaymentsPerYear),"")</f>
        <v>238.58886231654182</v>
      </c>
      <c r="J239" s="25">
        <f ca="1">IF(PaymentSchedule3[[#This Row],[Payment Number]]&lt;&gt;"",IF(PaymentSchedule3[[#This Row],[Scheduled Payment]]+PaymentSchedule3[[#This Row],[Extra
Payment]]&lt;=PaymentSchedule3[[#This Row],[Beginning
Balance]],PaymentSchedule3[[#This Row],[Beginning
Balance]]-PaymentSchedule3[[#This Row],[Principal]],0),"")</f>
        <v>56956.383924986789</v>
      </c>
      <c r="K239" s="25">
        <f ca="1">IF(PaymentSchedule3[[#This Row],[Payment Number]]&lt;&gt;"",SUM(INDEX(PaymentSchedule3[Interest],1,1):PaymentSchedule3[[#This Row],[Interest]]),"")</f>
        <v>76370.464237540393</v>
      </c>
      <c r="L239" s="49">
        <f ca="1">LoanAmount-PaymentSchedule3[[#This Row],[Ending
Balance]]</f>
        <v>44293.616075013211</v>
      </c>
      <c r="M239" s="49">
        <f t="shared" ca="1" si="3"/>
        <v>908.5318932997908</v>
      </c>
      <c r="N239" s="25">
        <f ca="1">PaymentSchedule3[[#This Row],[Payment Number]]*$M$19</f>
        <v>201694.08031255356</v>
      </c>
    </row>
    <row r="240" spans="2:14" ht="15.75" x14ac:dyDescent="0.25">
      <c r="B240" s="23">
        <f ca="1">IF(LoanIsGood,IF(ROW()-ROW(PaymentSchedule3[[#Headers],[Payment Number]])&gt;ScheduledNumberOfPayments,"",ROW()-ROW(PaymentSchedule3[[#Headers],[Payment Number]])),"")</f>
        <v>223</v>
      </c>
      <c r="C240" s="24">
        <f ca="1">IF(PaymentSchedule3[[#This Row],[Payment Number]]&lt;&gt;"",EOMONTH(LoanStartDate,ROW(PaymentSchedule3[[#This Row],[Payment Number]])-ROW(PaymentSchedule3[[#Headers],[Payment Number]])-2)+DAY(LoanStartDate),"")</f>
        <v>51392</v>
      </c>
      <c r="D240" s="25">
        <f ca="1">IF(PaymentSchedule3[[#This Row],[Payment Number]]&lt;&gt;"",IF(ROW()-ROW(PaymentSchedule3[[#Headers],[Beginning
Balance]])=1,LoanAmount,INDEX(PaymentSchedule3[Ending
Balance],ROW()-ROW(PaymentSchedule3[[#Headers],[Beginning
Balance]])-1)),"")</f>
        <v>56956.383924986789</v>
      </c>
      <c r="E240" s="25">
        <f ca="1">IF(PaymentSchedule3[[#This Row],[Payment Number]]&lt;&gt;"",ScheduledPayment,"")</f>
        <v>543.5318932997908</v>
      </c>
      <c r="F2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0" s="25">
        <f ca="1">IF(PaymentSchedule3[[#This Row],[Payment Number]]&lt;&gt;"",PaymentSchedule3[[#This Row],[Total
Payment]]-PaymentSchedule3[[#This Row],[Interest]],"")</f>
        <v>306.21362694567915</v>
      </c>
      <c r="I240" s="25">
        <f ca="1">IF(PaymentSchedule3[[#This Row],[Payment Number]]&lt;&gt;"",PaymentSchedule3[[#This Row],[Beginning
Balance]]*(InterestRate/PaymentsPerYear),"")</f>
        <v>237.31826635411161</v>
      </c>
      <c r="J240" s="25">
        <f ca="1">IF(PaymentSchedule3[[#This Row],[Payment Number]]&lt;&gt;"",IF(PaymentSchedule3[[#This Row],[Scheduled Payment]]+PaymentSchedule3[[#This Row],[Extra
Payment]]&lt;=PaymentSchedule3[[#This Row],[Beginning
Balance]],PaymentSchedule3[[#This Row],[Beginning
Balance]]-PaymentSchedule3[[#This Row],[Principal]],0),"")</f>
        <v>56650.170298041106</v>
      </c>
      <c r="K240" s="25">
        <f ca="1">IF(PaymentSchedule3[[#This Row],[Payment Number]]&lt;&gt;"",SUM(INDEX(PaymentSchedule3[Interest],1,1):PaymentSchedule3[[#This Row],[Interest]]),"")</f>
        <v>76607.782503894501</v>
      </c>
      <c r="L240" s="49">
        <f ca="1">LoanAmount-PaymentSchedule3[[#This Row],[Ending
Balance]]</f>
        <v>44599.829701958894</v>
      </c>
      <c r="M240" s="49">
        <f t="shared" ca="1" si="3"/>
        <v>908.5318932997908</v>
      </c>
      <c r="N240" s="25">
        <f ca="1">PaymentSchedule3[[#This Row],[Payment Number]]*$M$19</f>
        <v>202602.61220585334</v>
      </c>
    </row>
    <row r="241" spans="2:14" ht="15.75" x14ac:dyDescent="0.25">
      <c r="B241" s="23">
        <f ca="1">IF(LoanIsGood,IF(ROW()-ROW(PaymentSchedule3[[#Headers],[Payment Number]])&gt;ScheduledNumberOfPayments,"",ROW()-ROW(PaymentSchedule3[[#Headers],[Payment Number]])),"")</f>
        <v>224</v>
      </c>
      <c r="C241" s="24">
        <f ca="1">IF(PaymentSchedule3[[#This Row],[Payment Number]]&lt;&gt;"",EOMONTH(LoanStartDate,ROW(PaymentSchedule3[[#This Row],[Payment Number]])-ROW(PaymentSchedule3[[#Headers],[Payment Number]])-2)+DAY(LoanStartDate),"")</f>
        <v>51422</v>
      </c>
      <c r="D241" s="25">
        <f ca="1">IF(PaymentSchedule3[[#This Row],[Payment Number]]&lt;&gt;"",IF(ROW()-ROW(PaymentSchedule3[[#Headers],[Beginning
Balance]])=1,LoanAmount,INDEX(PaymentSchedule3[Ending
Balance],ROW()-ROW(PaymentSchedule3[[#Headers],[Beginning
Balance]])-1)),"")</f>
        <v>56650.170298041106</v>
      </c>
      <c r="E241" s="25">
        <f ca="1">IF(PaymentSchedule3[[#This Row],[Payment Number]]&lt;&gt;"",ScheduledPayment,"")</f>
        <v>543.5318932997908</v>
      </c>
      <c r="F2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1" s="25">
        <f ca="1">IF(PaymentSchedule3[[#This Row],[Payment Number]]&lt;&gt;"",PaymentSchedule3[[#This Row],[Total
Payment]]-PaymentSchedule3[[#This Row],[Interest]],"")</f>
        <v>307.48951705795287</v>
      </c>
      <c r="I241" s="25">
        <f ca="1">IF(PaymentSchedule3[[#This Row],[Payment Number]]&lt;&gt;"",PaymentSchedule3[[#This Row],[Beginning
Balance]]*(InterestRate/PaymentsPerYear),"")</f>
        <v>236.04237624183793</v>
      </c>
      <c r="J241" s="25">
        <f ca="1">IF(PaymentSchedule3[[#This Row],[Payment Number]]&lt;&gt;"",IF(PaymentSchedule3[[#This Row],[Scheduled Payment]]+PaymentSchedule3[[#This Row],[Extra
Payment]]&lt;=PaymentSchedule3[[#This Row],[Beginning
Balance]],PaymentSchedule3[[#This Row],[Beginning
Balance]]-PaymentSchedule3[[#This Row],[Principal]],0),"")</f>
        <v>56342.680780983152</v>
      </c>
      <c r="K241" s="25">
        <f ca="1">IF(PaymentSchedule3[[#This Row],[Payment Number]]&lt;&gt;"",SUM(INDEX(PaymentSchedule3[Interest],1,1):PaymentSchedule3[[#This Row],[Interest]]),"")</f>
        <v>76843.824880136337</v>
      </c>
      <c r="L241" s="49">
        <f ca="1">LoanAmount-PaymentSchedule3[[#This Row],[Ending
Balance]]</f>
        <v>44907.319219016848</v>
      </c>
      <c r="M241" s="49">
        <f t="shared" ca="1" si="3"/>
        <v>908.5318932997908</v>
      </c>
      <c r="N241" s="25">
        <f ca="1">PaymentSchedule3[[#This Row],[Payment Number]]*$M$19</f>
        <v>203511.14409915314</v>
      </c>
    </row>
    <row r="242" spans="2:14" ht="15.75" x14ac:dyDescent="0.25">
      <c r="B242" s="23">
        <f ca="1">IF(LoanIsGood,IF(ROW()-ROW(PaymentSchedule3[[#Headers],[Payment Number]])&gt;ScheduledNumberOfPayments,"",ROW()-ROW(PaymentSchedule3[[#Headers],[Payment Number]])),"")</f>
        <v>225</v>
      </c>
      <c r="C242" s="24">
        <f ca="1">IF(PaymentSchedule3[[#This Row],[Payment Number]]&lt;&gt;"",EOMONTH(LoanStartDate,ROW(PaymentSchedule3[[#This Row],[Payment Number]])-ROW(PaymentSchedule3[[#Headers],[Payment Number]])-2)+DAY(LoanStartDate),"")</f>
        <v>51453</v>
      </c>
      <c r="D242" s="25">
        <f ca="1">IF(PaymentSchedule3[[#This Row],[Payment Number]]&lt;&gt;"",IF(ROW()-ROW(PaymentSchedule3[[#Headers],[Beginning
Balance]])=1,LoanAmount,INDEX(PaymentSchedule3[Ending
Balance],ROW()-ROW(PaymentSchedule3[[#Headers],[Beginning
Balance]])-1)),"")</f>
        <v>56342.680780983152</v>
      </c>
      <c r="E242" s="25">
        <f ca="1">IF(PaymentSchedule3[[#This Row],[Payment Number]]&lt;&gt;"",ScheduledPayment,"")</f>
        <v>543.5318932997908</v>
      </c>
      <c r="F2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2" s="25">
        <f ca="1">IF(PaymentSchedule3[[#This Row],[Payment Number]]&lt;&gt;"",PaymentSchedule3[[#This Row],[Total
Payment]]-PaymentSchedule3[[#This Row],[Interest]],"")</f>
        <v>308.77072337902769</v>
      </c>
      <c r="I242" s="25">
        <f ca="1">IF(PaymentSchedule3[[#This Row],[Payment Number]]&lt;&gt;"",PaymentSchedule3[[#This Row],[Beginning
Balance]]*(InterestRate/PaymentsPerYear),"")</f>
        <v>234.76116992076314</v>
      </c>
      <c r="J242" s="25">
        <f ca="1">IF(PaymentSchedule3[[#This Row],[Payment Number]]&lt;&gt;"",IF(PaymentSchedule3[[#This Row],[Scheduled Payment]]+PaymentSchedule3[[#This Row],[Extra
Payment]]&lt;=PaymentSchedule3[[#This Row],[Beginning
Balance]],PaymentSchedule3[[#This Row],[Beginning
Balance]]-PaymentSchedule3[[#This Row],[Principal]],0),"")</f>
        <v>56033.910057604124</v>
      </c>
      <c r="K242" s="25">
        <f ca="1">IF(PaymentSchedule3[[#This Row],[Payment Number]]&lt;&gt;"",SUM(INDEX(PaymentSchedule3[Interest],1,1):PaymentSchedule3[[#This Row],[Interest]]),"")</f>
        <v>77078.5860500571</v>
      </c>
      <c r="L242" s="49">
        <f ca="1">LoanAmount-PaymentSchedule3[[#This Row],[Ending
Balance]]</f>
        <v>45216.089942395876</v>
      </c>
      <c r="M242" s="49">
        <f t="shared" ca="1" si="3"/>
        <v>908.5318932997908</v>
      </c>
      <c r="N242" s="25">
        <f ca="1">PaymentSchedule3[[#This Row],[Payment Number]]*$M$19</f>
        <v>204419.67599245292</v>
      </c>
    </row>
    <row r="243" spans="2:14" ht="15.75" x14ac:dyDescent="0.25">
      <c r="B243" s="23">
        <f ca="1">IF(LoanIsGood,IF(ROW()-ROW(PaymentSchedule3[[#Headers],[Payment Number]])&gt;ScheduledNumberOfPayments,"",ROW()-ROW(PaymentSchedule3[[#Headers],[Payment Number]])),"")</f>
        <v>226</v>
      </c>
      <c r="C243" s="24">
        <f ca="1">IF(PaymentSchedule3[[#This Row],[Payment Number]]&lt;&gt;"",EOMONTH(LoanStartDate,ROW(PaymentSchedule3[[#This Row],[Payment Number]])-ROW(PaymentSchedule3[[#Headers],[Payment Number]])-2)+DAY(LoanStartDate),"")</f>
        <v>51483</v>
      </c>
      <c r="D243" s="25">
        <f ca="1">IF(PaymentSchedule3[[#This Row],[Payment Number]]&lt;&gt;"",IF(ROW()-ROW(PaymentSchedule3[[#Headers],[Beginning
Balance]])=1,LoanAmount,INDEX(PaymentSchedule3[Ending
Balance],ROW()-ROW(PaymentSchedule3[[#Headers],[Beginning
Balance]])-1)),"")</f>
        <v>56033.910057604124</v>
      </c>
      <c r="E243" s="25">
        <f ca="1">IF(PaymentSchedule3[[#This Row],[Payment Number]]&lt;&gt;"",ScheduledPayment,"")</f>
        <v>543.5318932997908</v>
      </c>
      <c r="F2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3" s="25">
        <f ca="1">IF(PaymentSchedule3[[#This Row],[Payment Number]]&lt;&gt;"",PaymentSchedule3[[#This Row],[Total
Payment]]-PaymentSchedule3[[#This Row],[Interest]],"")</f>
        <v>310.05726805977361</v>
      </c>
      <c r="I243" s="25">
        <f ca="1">IF(PaymentSchedule3[[#This Row],[Payment Number]]&lt;&gt;"",PaymentSchedule3[[#This Row],[Beginning
Balance]]*(InterestRate/PaymentsPerYear),"")</f>
        <v>233.47462524001719</v>
      </c>
      <c r="J243" s="25">
        <f ca="1">IF(PaymentSchedule3[[#This Row],[Payment Number]]&lt;&gt;"",IF(PaymentSchedule3[[#This Row],[Scheduled Payment]]+PaymentSchedule3[[#This Row],[Extra
Payment]]&lt;=PaymentSchedule3[[#This Row],[Beginning
Balance]],PaymentSchedule3[[#This Row],[Beginning
Balance]]-PaymentSchedule3[[#This Row],[Principal]],0),"")</f>
        <v>55723.852789544348</v>
      </c>
      <c r="K243" s="25">
        <f ca="1">IF(PaymentSchedule3[[#This Row],[Payment Number]]&lt;&gt;"",SUM(INDEX(PaymentSchedule3[Interest],1,1):PaymentSchedule3[[#This Row],[Interest]]),"")</f>
        <v>77312.060675297122</v>
      </c>
      <c r="L243" s="49">
        <f ca="1">LoanAmount-PaymentSchedule3[[#This Row],[Ending
Balance]]</f>
        <v>45526.147210455652</v>
      </c>
      <c r="M243" s="49">
        <f t="shared" ca="1" si="3"/>
        <v>908.5318932997908</v>
      </c>
      <c r="N243" s="25">
        <f ca="1">PaymentSchedule3[[#This Row],[Payment Number]]*$M$19</f>
        <v>205328.20788575272</v>
      </c>
    </row>
    <row r="244" spans="2:14" ht="15.75" x14ac:dyDescent="0.25">
      <c r="B244" s="23">
        <f ca="1">IF(LoanIsGood,IF(ROW()-ROW(PaymentSchedule3[[#Headers],[Payment Number]])&gt;ScheduledNumberOfPayments,"",ROW()-ROW(PaymentSchedule3[[#Headers],[Payment Number]])),"")</f>
        <v>227</v>
      </c>
      <c r="C244" s="24">
        <f ca="1">IF(PaymentSchedule3[[#This Row],[Payment Number]]&lt;&gt;"",EOMONTH(LoanStartDate,ROW(PaymentSchedule3[[#This Row],[Payment Number]])-ROW(PaymentSchedule3[[#Headers],[Payment Number]])-2)+DAY(LoanStartDate),"")</f>
        <v>51514</v>
      </c>
      <c r="D244" s="25">
        <f ca="1">IF(PaymentSchedule3[[#This Row],[Payment Number]]&lt;&gt;"",IF(ROW()-ROW(PaymentSchedule3[[#Headers],[Beginning
Balance]])=1,LoanAmount,INDEX(PaymentSchedule3[Ending
Balance],ROW()-ROW(PaymentSchedule3[[#Headers],[Beginning
Balance]])-1)),"")</f>
        <v>55723.852789544348</v>
      </c>
      <c r="E244" s="25">
        <f ca="1">IF(PaymentSchedule3[[#This Row],[Payment Number]]&lt;&gt;"",ScheduledPayment,"")</f>
        <v>543.5318932997908</v>
      </c>
      <c r="F2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4" s="25">
        <f ca="1">IF(PaymentSchedule3[[#This Row],[Payment Number]]&lt;&gt;"",PaymentSchedule3[[#This Row],[Total
Payment]]-PaymentSchedule3[[#This Row],[Interest]],"")</f>
        <v>311.34917334335603</v>
      </c>
      <c r="I244" s="25">
        <f ca="1">IF(PaymentSchedule3[[#This Row],[Payment Number]]&lt;&gt;"",PaymentSchedule3[[#This Row],[Beginning
Balance]]*(InterestRate/PaymentsPerYear),"")</f>
        <v>232.18271995643477</v>
      </c>
      <c r="J244" s="25">
        <f ca="1">IF(PaymentSchedule3[[#This Row],[Payment Number]]&lt;&gt;"",IF(PaymentSchedule3[[#This Row],[Scheduled Payment]]+PaymentSchedule3[[#This Row],[Extra
Payment]]&lt;=PaymentSchedule3[[#This Row],[Beginning
Balance]],PaymentSchedule3[[#This Row],[Beginning
Balance]]-PaymentSchedule3[[#This Row],[Principal]],0),"")</f>
        <v>55412.503616200993</v>
      </c>
      <c r="K244" s="25">
        <f ca="1">IF(PaymentSchedule3[[#This Row],[Payment Number]]&lt;&gt;"",SUM(INDEX(PaymentSchedule3[Interest],1,1):PaymentSchedule3[[#This Row],[Interest]]),"")</f>
        <v>77544.24339525355</v>
      </c>
      <c r="L244" s="49">
        <f ca="1">LoanAmount-PaymentSchedule3[[#This Row],[Ending
Balance]]</f>
        <v>45837.496383799007</v>
      </c>
      <c r="M244" s="49">
        <f t="shared" ca="1" si="3"/>
        <v>908.5318932997908</v>
      </c>
      <c r="N244" s="25">
        <f ca="1">PaymentSchedule3[[#This Row],[Payment Number]]*$M$19</f>
        <v>206236.7397790525</v>
      </c>
    </row>
    <row r="245" spans="2:14" ht="15.75" x14ac:dyDescent="0.25">
      <c r="B245" s="23">
        <f ca="1">IF(LoanIsGood,IF(ROW()-ROW(PaymentSchedule3[[#Headers],[Payment Number]])&gt;ScheduledNumberOfPayments,"",ROW()-ROW(PaymentSchedule3[[#Headers],[Payment Number]])),"")</f>
        <v>228</v>
      </c>
      <c r="C245" s="24">
        <f ca="1">IF(PaymentSchedule3[[#This Row],[Payment Number]]&lt;&gt;"",EOMONTH(LoanStartDate,ROW(PaymentSchedule3[[#This Row],[Payment Number]])-ROW(PaymentSchedule3[[#Headers],[Payment Number]])-2)+DAY(LoanStartDate),"")</f>
        <v>51545</v>
      </c>
      <c r="D245" s="25">
        <f ca="1">IF(PaymentSchedule3[[#This Row],[Payment Number]]&lt;&gt;"",IF(ROW()-ROW(PaymentSchedule3[[#Headers],[Beginning
Balance]])=1,LoanAmount,INDEX(PaymentSchedule3[Ending
Balance],ROW()-ROW(PaymentSchedule3[[#Headers],[Beginning
Balance]])-1)),"")</f>
        <v>55412.503616200993</v>
      </c>
      <c r="E245" s="25">
        <f ca="1">IF(PaymentSchedule3[[#This Row],[Payment Number]]&lt;&gt;"",ScheduledPayment,"")</f>
        <v>543.5318932997908</v>
      </c>
      <c r="F2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5" s="25">
        <f ca="1">IF(PaymentSchedule3[[#This Row],[Payment Number]]&lt;&gt;"",PaymentSchedule3[[#This Row],[Total
Payment]]-PaymentSchedule3[[#This Row],[Interest]],"")</f>
        <v>312.64646156562003</v>
      </c>
      <c r="I245" s="25">
        <f ca="1">IF(PaymentSchedule3[[#This Row],[Payment Number]]&lt;&gt;"",PaymentSchedule3[[#This Row],[Beginning
Balance]]*(InterestRate/PaymentsPerYear),"")</f>
        <v>230.88543173417079</v>
      </c>
      <c r="J245" s="25">
        <f ca="1">IF(PaymentSchedule3[[#This Row],[Payment Number]]&lt;&gt;"",IF(PaymentSchedule3[[#This Row],[Scheduled Payment]]+PaymentSchedule3[[#This Row],[Extra
Payment]]&lt;=PaymentSchedule3[[#This Row],[Beginning
Balance]],PaymentSchedule3[[#This Row],[Beginning
Balance]]-PaymentSchedule3[[#This Row],[Principal]],0),"")</f>
        <v>55099.857154635371</v>
      </c>
      <c r="K245" s="25">
        <f ca="1">IF(PaymentSchedule3[[#This Row],[Payment Number]]&lt;&gt;"",SUM(INDEX(PaymentSchedule3[Interest],1,1):PaymentSchedule3[[#This Row],[Interest]]),"")</f>
        <v>77775.128826987726</v>
      </c>
      <c r="L245" s="49">
        <f ca="1">LoanAmount-PaymentSchedule3[[#This Row],[Ending
Balance]]</f>
        <v>46150.142845364629</v>
      </c>
      <c r="M245" s="49">
        <f t="shared" ca="1" si="3"/>
        <v>908.5318932997908</v>
      </c>
      <c r="N245" s="25">
        <f ca="1">PaymentSchedule3[[#This Row],[Payment Number]]*$M$19</f>
        <v>207145.2716723523</v>
      </c>
    </row>
    <row r="246" spans="2:14" ht="15.75" x14ac:dyDescent="0.25">
      <c r="B246" s="23">
        <f ca="1">IF(LoanIsGood,IF(ROW()-ROW(PaymentSchedule3[[#Headers],[Payment Number]])&gt;ScheduledNumberOfPayments,"",ROW()-ROW(PaymentSchedule3[[#Headers],[Payment Number]])),"")</f>
        <v>229</v>
      </c>
      <c r="C246" s="24">
        <f ca="1">IF(PaymentSchedule3[[#This Row],[Payment Number]]&lt;&gt;"",EOMONTH(LoanStartDate,ROW(PaymentSchedule3[[#This Row],[Payment Number]])-ROW(PaymentSchedule3[[#Headers],[Payment Number]])-2)+DAY(LoanStartDate),"")</f>
        <v>51573</v>
      </c>
      <c r="D246" s="25">
        <f ca="1">IF(PaymentSchedule3[[#This Row],[Payment Number]]&lt;&gt;"",IF(ROW()-ROW(PaymentSchedule3[[#Headers],[Beginning
Balance]])=1,LoanAmount,INDEX(PaymentSchedule3[Ending
Balance],ROW()-ROW(PaymentSchedule3[[#Headers],[Beginning
Balance]])-1)),"")</f>
        <v>55099.857154635371</v>
      </c>
      <c r="E246" s="25">
        <f ca="1">IF(PaymentSchedule3[[#This Row],[Payment Number]]&lt;&gt;"",ScheduledPayment,"")</f>
        <v>543.5318932997908</v>
      </c>
      <c r="F2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6" s="25">
        <f ca="1">IF(PaymentSchedule3[[#This Row],[Payment Number]]&lt;&gt;"",PaymentSchedule3[[#This Row],[Total
Payment]]-PaymentSchedule3[[#This Row],[Interest]],"")</f>
        <v>313.94915515547677</v>
      </c>
      <c r="I246" s="25">
        <f ca="1">IF(PaymentSchedule3[[#This Row],[Payment Number]]&lt;&gt;"",PaymentSchedule3[[#This Row],[Beginning
Balance]]*(InterestRate/PaymentsPerYear),"")</f>
        <v>229.58273814431405</v>
      </c>
      <c r="J246" s="25">
        <f ca="1">IF(PaymentSchedule3[[#This Row],[Payment Number]]&lt;&gt;"",IF(PaymentSchedule3[[#This Row],[Scheduled Payment]]+PaymentSchedule3[[#This Row],[Extra
Payment]]&lt;=PaymentSchedule3[[#This Row],[Beginning
Balance]],PaymentSchedule3[[#This Row],[Beginning
Balance]]-PaymentSchedule3[[#This Row],[Principal]],0),"")</f>
        <v>54785.907999479896</v>
      </c>
      <c r="K246" s="25">
        <f ca="1">IF(PaymentSchedule3[[#This Row],[Payment Number]]&lt;&gt;"",SUM(INDEX(PaymentSchedule3[Interest],1,1):PaymentSchedule3[[#This Row],[Interest]]),"")</f>
        <v>78004.711565132035</v>
      </c>
      <c r="L246" s="49">
        <f ca="1">LoanAmount-PaymentSchedule3[[#This Row],[Ending
Balance]]</f>
        <v>46464.092000520104</v>
      </c>
      <c r="M246" s="49">
        <f t="shared" ca="1" si="3"/>
        <v>908.5318932997908</v>
      </c>
      <c r="N246" s="25">
        <f ca="1">PaymentSchedule3[[#This Row],[Payment Number]]*$M$19</f>
        <v>208053.80356565208</v>
      </c>
    </row>
    <row r="247" spans="2:14" ht="15.75" x14ac:dyDescent="0.25">
      <c r="B247" s="23">
        <f ca="1">IF(LoanIsGood,IF(ROW()-ROW(PaymentSchedule3[[#Headers],[Payment Number]])&gt;ScheduledNumberOfPayments,"",ROW()-ROW(PaymentSchedule3[[#Headers],[Payment Number]])),"")</f>
        <v>230</v>
      </c>
      <c r="C247" s="24">
        <f ca="1">IF(PaymentSchedule3[[#This Row],[Payment Number]]&lt;&gt;"",EOMONTH(LoanStartDate,ROW(PaymentSchedule3[[#This Row],[Payment Number]])-ROW(PaymentSchedule3[[#Headers],[Payment Number]])-2)+DAY(LoanStartDate),"")</f>
        <v>51604</v>
      </c>
      <c r="D247" s="25">
        <f ca="1">IF(PaymentSchedule3[[#This Row],[Payment Number]]&lt;&gt;"",IF(ROW()-ROW(PaymentSchedule3[[#Headers],[Beginning
Balance]])=1,LoanAmount,INDEX(PaymentSchedule3[Ending
Balance],ROW()-ROW(PaymentSchedule3[[#Headers],[Beginning
Balance]])-1)),"")</f>
        <v>54785.907999479896</v>
      </c>
      <c r="E247" s="25">
        <f ca="1">IF(PaymentSchedule3[[#This Row],[Payment Number]]&lt;&gt;"",ScheduledPayment,"")</f>
        <v>543.5318932997908</v>
      </c>
      <c r="F2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7" s="25">
        <f ca="1">IF(PaymentSchedule3[[#This Row],[Payment Number]]&lt;&gt;"",PaymentSchedule3[[#This Row],[Total
Payment]]-PaymentSchedule3[[#This Row],[Interest]],"")</f>
        <v>315.25727663529119</v>
      </c>
      <c r="I247" s="25">
        <f ca="1">IF(PaymentSchedule3[[#This Row],[Payment Number]]&lt;&gt;"",PaymentSchedule3[[#This Row],[Beginning
Balance]]*(InterestRate/PaymentsPerYear),"")</f>
        <v>228.27461666449958</v>
      </c>
      <c r="J247" s="25">
        <f ca="1">IF(PaymentSchedule3[[#This Row],[Payment Number]]&lt;&gt;"",IF(PaymentSchedule3[[#This Row],[Scheduled Payment]]+PaymentSchedule3[[#This Row],[Extra
Payment]]&lt;=PaymentSchedule3[[#This Row],[Beginning
Balance]],PaymentSchedule3[[#This Row],[Beginning
Balance]]-PaymentSchedule3[[#This Row],[Principal]],0),"")</f>
        <v>54470.650722844606</v>
      </c>
      <c r="K247" s="25">
        <f ca="1">IF(PaymentSchedule3[[#This Row],[Payment Number]]&lt;&gt;"",SUM(INDEX(PaymentSchedule3[Interest],1,1):PaymentSchedule3[[#This Row],[Interest]]),"")</f>
        <v>78232.986181796528</v>
      </c>
      <c r="L247" s="49">
        <f ca="1">LoanAmount-PaymentSchedule3[[#This Row],[Ending
Balance]]</f>
        <v>46779.349277155394</v>
      </c>
      <c r="M247" s="49">
        <f t="shared" ca="1" si="3"/>
        <v>908.5318932997908</v>
      </c>
      <c r="N247" s="25">
        <f ca="1">PaymentSchedule3[[#This Row],[Payment Number]]*$M$19</f>
        <v>208962.33545895189</v>
      </c>
    </row>
    <row r="248" spans="2:14" ht="15.75" x14ac:dyDescent="0.25">
      <c r="B248" s="23">
        <f ca="1">IF(LoanIsGood,IF(ROW()-ROW(PaymentSchedule3[[#Headers],[Payment Number]])&gt;ScheduledNumberOfPayments,"",ROW()-ROW(PaymentSchedule3[[#Headers],[Payment Number]])),"")</f>
        <v>231</v>
      </c>
      <c r="C248" s="24">
        <f ca="1">IF(PaymentSchedule3[[#This Row],[Payment Number]]&lt;&gt;"",EOMONTH(LoanStartDate,ROW(PaymentSchedule3[[#This Row],[Payment Number]])-ROW(PaymentSchedule3[[#Headers],[Payment Number]])-2)+DAY(LoanStartDate),"")</f>
        <v>51634</v>
      </c>
      <c r="D248" s="25">
        <f ca="1">IF(PaymentSchedule3[[#This Row],[Payment Number]]&lt;&gt;"",IF(ROW()-ROW(PaymentSchedule3[[#Headers],[Beginning
Balance]])=1,LoanAmount,INDEX(PaymentSchedule3[Ending
Balance],ROW()-ROW(PaymentSchedule3[[#Headers],[Beginning
Balance]])-1)),"")</f>
        <v>54470.650722844606</v>
      </c>
      <c r="E248" s="25">
        <f ca="1">IF(PaymentSchedule3[[#This Row],[Payment Number]]&lt;&gt;"",ScheduledPayment,"")</f>
        <v>543.5318932997908</v>
      </c>
      <c r="F2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8" s="25">
        <f ca="1">IF(PaymentSchedule3[[#This Row],[Payment Number]]&lt;&gt;"",PaymentSchedule3[[#This Row],[Total
Payment]]-PaymentSchedule3[[#This Row],[Interest]],"")</f>
        <v>316.57084862127158</v>
      </c>
      <c r="I248" s="25">
        <f ca="1">IF(PaymentSchedule3[[#This Row],[Payment Number]]&lt;&gt;"",PaymentSchedule3[[#This Row],[Beginning
Balance]]*(InterestRate/PaymentsPerYear),"")</f>
        <v>226.96104467851919</v>
      </c>
      <c r="J248" s="25">
        <f ca="1">IF(PaymentSchedule3[[#This Row],[Payment Number]]&lt;&gt;"",IF(PaymentSchedule3[[#This Row],[Scheduled Payment]]+PaymentSchedule3[[#This Row],[Extra
Payment]]&lt;=PaymentSchedule3[[#This Row],[Beginning
Balance]],PaymentSchedule3[[#This Row],[Beginning
Balance]]-PaymentSchedule3[[#This Row],[Principal]],0),"")</f>
        <v>54154.079874223331</v>
      </c>
      <c r="K248" s="25">
        <f ca="1">IF(PaymentSchedule3[[#This Row],[Payment Number]]&lt;&gt;"",SUM(INDEX(PaymentSchedule3[Interest],1,1):PaymentSchedule3[[#This Row],[Interest]]),"")</f>
        <v>78459.947226475051</v>
      </c>
      <c r="L248" s="49">
        <f ca="1">LoanAmount-PaymentSchedule3[[#This Row],[Ending
Balance]]</f>
        <v>47095.920125776669</v>
      </c>
      <c r="M248" s="49">
        <f t="shared" ca="1" si="3"/>
        <v>908.5318932997908</v>
      </c>
      <c r="N248" s="25">
        <f ca="1">PaymentSchedule3[[#This Row],[Payment Number]]*$M$19</f>
        <v>209870.86735225166</v>
      </c>
    </row>
    <row r="249" spans="2:14" ht="15.75" x14ac:dyDescent="0.25">
      <c r="B249" s="23">
        <f ca="1">IF(LoanIsGood,IF(ROW()-ROW(PaymentSchedule3[[#Headers],[Payment Number]])&gt;ScheduledNumberOfPayments,"",ROW()-ROW(PaymentSchedule3[[#Headers],[Payment Number]])),"")</f>
        <v>232</v>
      </c>
      <c r="C249" s="24">
        <f ca="1">IF(PaymentSchedule3[[#This Row],[Payment Number]]&lt;&gt;"",EOMONTH(LoanStartDate,ROW(PaymentSchedule3[[#This Row],[Payment Number]])-ROW(PaymentSchedule3[[#Headers],[Payment Number]])-2)+DAY(LoanStartDate),"")</f>
        <v>51665</v>
      </c>
      <c r="D249" s="25">
        <f ca="1">IF(PaymentSchedule3[[#This Row],[Payment Number]]&lt;&gt;"",IF(ROW()-ROW(PaymentSchedule3[[#Headers],[Beginning
Balance]])=1,LoanAmount,INDEX(PaymentSchedule3[Ending
Balance],ROW()-ROW(PaymentSchedule3[[#Headers],[Beginning
Balance]])-1)),"")</f>
        <v>54154.079874223331</v>
      </c>
      <c r="E249" s="25">
        <f ca="1">IF(PaymentSchedule3[[#This Row],[Payment Number]]&lt;&gt;"",ScheduledPayment,"")</f>
        <v>543.5318932997908</v>
      </c>
      <c r="F2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49" s="25">
        <f ca="1">IF(PaymentSchedule3[[#This Row],[Payment Number]]&lt;&gt;"",PaymentSchedule3[[#This Row],[Total
Payment]]-PaymentSchedule3[[#This Row],[Interest]],"")</f>
        <v>317.88989382386023</v>
      </c>
      <c r="I249" s="25">
        <f ca="1">IF(PaymentSchedule3[[#This Row],[Payment Number]]&lt;&gt;"",PaymentSchedule3[[#This Row],[Beginning
Balance]]*(InterestRate/PaymentsPerYear),"")</f>
        <v>225.64199947593053</v>
      </c>
      <c r="J249" s="25">
        <f ca="1">IF(PaymentSchedule3[[#This Row],[Payment Number]]&lt;&gt;"",IF(PaymentSchedule3[[#This Row],[Scheduled Payment]]+PaymentSchedule3[[#This Row],[Extra
Payment]]&lt;=PaymentSchedule3[[#This Row],[Beginning
Balance]],PaymentSchedule3[[#This Row],[Beginning
Balance]]-PaymentSchedule3[[#This Row],[Principal]],0),"")</f>
        <v>53836.189980399467</v>
      </c>
      <c r="K249" s="25">
        <f ca="1">IF(PaymentSchedule3[[#This Row],[Payment Number]]&lt;&gt;"",SUM(INDEX(PaymentSchedule3[Interest],1,1):PaymentSchedule3[[#This Row],[Interest]]),"")</f>
        <v>78685.589225950986</v>
      </c>
      <c r="L249" s="49">
        <f ca="1">LoanAmount-PaymentSchedule3[[#This Row],[Ending
Balance]]</f>
        <v>47413.810019600533</v>
      </c>
      <c r="M249" s="49">
        <f t="shared" ca="1" si="3"/>
        <v>908.5318932997908</v>
      </c>
      <c r="N249" s="25">
        <f ca="1">PaymentSchedule3[[#This Row],[Payment Number]]*$M$19</f>
        <v>210779.39924555147</v>
      </c>
    </row>
    <row r="250" spans="2:14" ht="15.75" x14ac:dyDescent="0.25">
      <c r="B250" s="23">
        <f ca="1">IF(LoanIsGood,IF(ROW()-ROW(PaymentSchedule3[[#Headers],[Payment Number]])&gt;ScheduledNumberOfPayments,"",ROW()-ROW(PaymentSchedule3[[#Headers],[Payment Number]])),"")</f>
        <v>233</v>
      </c>
      <c r="C250" s="24">
        <f ca="1">IF(PaymentSchedule3[[#This Row],[Payment Number]]&lt;&gt;"",EOMONTH(LoanStartDate,ROW(PaymentSchedule3[[#This Row],[Payment Number]])-ROW(PaymentSchedule3[[#Headers],[Payment Number]])-2)+DAY(LoanStartDate),"")</f>
        <v>51695</v>
      </c>
      <c r="D250" s="25">
        <f ca="1">IF(PaymentSchedule3[[#This Row],[Payment Number]]&lt;&gt;"",IF(ROW()-ROW(PaymentSchedule3[[#Headers],[Beginning
Balance]])=1,LoanAmount,INDEX(PaymentSchedule3[Ending
Balance],ROW()-ROW(PaymentSchedule3[[#Headers],[Beginning
Balance]])-1)),"")</f>
        <v>53836.189980399467</v>
      </c>
      <c r="E250" s="25">
        <f ca="1">IF(PaymentSchedule3[[#This Row],[Payment Number]]&lt;&gt;"",ScheduledPayment,"")</f>
        <v>543.5318932997908</v>
      </c>
      <c r="F2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0" s="25">
        <f ca="1">IF(PaymentSchedule3[[#This Row],[Payment Number]]&lt;&gt;"",PaymentSchedule3[[#This Row],[Total
Payment]]-PaymentSchedule3[[#This Row],[Interest]],"")</f>
        <v>319.21443504812635</v>
      </c>
      <c r="I250" s="25">
        <f ca="1">IF(PaymentSchedule3[[#This Row],[Payment Number]]&lt;&gt;"",PaymentSchedule3[[#This Row],[Beginning
Balance]]*(InterestRate/PaymentsPerYear),"")</f>
        <v>224.31745825166445</v>
      </c>
      <c r="J250" s="25">
        <f ca="1">IF(PaymentSchedule3[[#This Row],[Payment Number]]&lt;&gt;"",IF(PaymentSchedule3[[#This Row],[Scheduled Payment]]+PaymentSchedule3[[#This Row],[Extra
Payment]]&lt;=PaymentSchedule3[[#This Row],[Beginning
Balance]],PaymentSchedule3[[#This Row],[Beginning
Balance]]-PaymentSchedule3[[#This Row],[Principal]],0),"")</f>
        <v>53516.975545351343</v>
      </c>
      <c r="K250" s="25">
        <f ca="1">IF(PaymentSchedule3[[#This Row],[Payment Number]]&lt;&gt;"",SUM(INDEX(PaymentSchedule3[Interest],1,1):PaymentSchedule3[[#This Row],[Interest]]),"")</f>
        <v>78909.906684202651</v>
      </c>
      <c r="L250" s="49">
        <f ca="1">LoanAmount-PaymentSchedule3[[#This Row],[Ending
Balance]]</f>
        <v>47733.024454648657</v>
      </c>
      <c r="M250" s="49">
        <f t="shared" ca="1" si="3"/>
        <v>908.5318932997908</v>
      </c>
      <c r="N250" s="25">
        <f ca="1">PaymentSchedule3[[#This Row],[Payment Number]]*$M$19</f>
        <v>211687.93113885124</v>
      </c>
    </row>
    <row r="251" spans="2:14" ht="15.75" x14ac:dyDescent="0.25">
      <c r="B251" s="23">
        <f ca="1">IF(LoanIsGood,IF(ROW()-ROW(PaymentSchedule3[[#Headers],[Payment Number]])&gt;ScheduledNumberOfPayments,"",ROW()-ROW(PaymentSchedule3[[#Headers],[Payment Number]])),"")</f>
        <v>234</v>
      </c>
      <c r="C251" s="24">
        <f ca="1">IF(PaymentSchedule3[[#This Row],[Payment Number]]&lt;&gt;"",EOMONTH(LoanStartDate,ROW(PaymentSchedule3[[#This Row],[Payment Number]])-ROW(PaymentSchedule3[[#Headers],[Payment Number]])-2)+DAY(LoanStartDate),"")</f>
        <v>51726</v>
      </c>
      <c r="D251" s="25">
        <f ca="1">IF(PaymentSchedule3[[#This Row],[Payment Number]]&lt;&gt;"",IF(ROW()-ROW(PaymentSchedule3[[#Headers],[Beginning
Balance]])=1,LoanAmount,INDEX(PaymentSchedule3[Ending
Balance],ROW()-ROW(PaymentSchedule3[[#Headers],[Beginning
Balance]])-1)),"")</f>
        <v>53516.975545351343</v>
      </c>
      <c r="E251" s="25">
        <f ca="1">IF(PaymentSchedule3[[#This Row],[Payment Number]]&lt;&gt;"",ScheduledPayment,"")</f>
        <v>543.5318932997908</v>
      </c>
      <c r="F2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1" s="25">
        <f ca="1">IF(PaymentSchedule3[[#This Row],[Payment Number]]&lt;&gt;"",PaymentSchedule3[[#This Row],[Total
Payment]]-PaymentSchedule3[[#This Row],[Interest]],"")</f>
        <v>320.54449519416016</v>
      </c>
      <c r="I251" s="25">
        <f ca="1">IF(PaymentSchedule3[[#This Row],[Payment Number]]&lt;&gt;"",PaymentSchedule3[[#This Row],[Beginning
Balance]]*(InterestRate/PaymentsPerYear),"")</f>
        <v>222.9873981056306</v>
      </c>
      <c r="J251" s="25">
        <f ca="1">IF(PaymentSchedule3[[#This Row],[Payment Number]]&lt;&gt;"",IF(PaymentSchedule3[[#This Row],[Scheduled Payment]]+PaymentSchedule3[[#This Row],[Extra
Payment]]&lt;=PaymentSchedule3[[#This Row],[Beginning
Balance]],PaymentSchedule3[[#This Row],[Beginning
Balance]]-PaymentSchedule3[[#This Row],[Principal]],0),"")</f>
        <v>53196.431050157182</v>
      </c>
      <c r="K251" s="25">
        <f ca="1">IF(PaymentSchedule3[[#This Row],[Payment Number]]&lt;&gt;"",SUM(INDEX(PaymentSchedule3[Interest],1,1):PaymentSchedule3[[#This Row],[Interest]]),"")</f>
        <v>79132.894082308281</v>
      </c>
      <c r="L251" s="49">
        <f ca="1">LoanAmount-PaymentSchedule3[[#This Row],[Ending
Balance]]</f>
        <v>48053.568949842818</v>
      </c>
      <c r="M251" s="49">
        <f t="shared" ca="1" si="3"/>
        <v>908.5318932997908</v>
      </c>
      <c r="N251" s="25">
        <f ca="1">PaymentSchedule3[[#This Row],[Payment Number]]*$M$19</f>
        <v>212596.46303215105</v>
      </c>
    </row>
    <row r="252" spans="2:14" ht="15.75" x14ac:dyDescent="0.25">
      <c r="B252" s="23">
        <f ca="1">IF(LoanIsGood,IF(ROW()-ROW(PaymentSchedule3[[#Headers],[Payment Number]])&gt;ScheduledNumberOfPayments,"",ROW()-ROW(PaymentSchedule3[[#Headers],[Payment Number]])),"")</f>
        <v>235</v>
      </c>
      <c r="C252" s="24">
        <f ca="1">IF(PaymentSchedule3[[#This Row],[Payment Number]]&lt;&gt;"",EOMONTH(LoanStartDate,ROW(PaymentSchedule3[[#This Row],[Payment Number]])-ROW(PaymentSchedule3[[#Headers],[Payment Number]])-2)+DAY(LoanStartDate),"")</f>
        <v>51757</v>
      </c>
      <c r="D252" s="25">
        <f ca="1">IF(PaymentSchedule3[[#This Row],[Payment Number]]&lt;&gt;"",IF(ROW()-ROW(PaymentSchedule3[[#Headers],[Beginning
Balance]])=1,LoanAmount,INDEX(PaymentSchedule3[Ending
Balance],ROW()-ROW(PaymentSchedule3[[#Headers],[Beginning
Balance]])-1)),"")</f>
        <v>53196.431050157182</v>
      </c>
      <c r="E252" s="25">
        <f ca="1">IF(PaymentSchedule3[[#This Row],[Payment Number]]&lt;&gt;"",ScheduledPayment,"")</f>
        <v>543.5318932997908</v>
      </c>
      <c r="F2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2" s="25">
        <f ca="1">IF(PaymentSchedule3[[#This Row],[Payment Number]]&lt;&gt;"",PaymentSchedule3[[#This Row],[Total
Payment]]-PaymentSchedule3[[#This Row],[Interest]],"")</f>
        <v>321.88009725746917</v>
      </c>
      <c r="I252" s="25">
        <f ca="1">IF(PaymentSchedule3[[#This Row],[Payment Number]]&lt;&gt;"",PaymentSchedule3[[#This Row],[Beginning
Balance]]*(InterestRate/PaymentsPerYear),"")</f>
        <v>221.65179604232159</v>
      </c>
      <c r="J252" s="25">
        <f ca="1">IF(PaymentSchedule3[[#This Row],[Payment Number]]&lt;&gt;"",IF(PaymentSchedule3[[#This Row],[Scheduled Payment]]+PaymentSchedule3[[#This Row],[Extra
Payment]]&lt;=PaymentSchedule3[[#This Row],[Beginning
Balance]],PaymentSchedule3[[#This Row],[Beginning
Balance]]-PaymentSchedule3[[#This Row],[Principal]],0),"")</f>
        <v>52874.550952899714</v>
      </c>
      <c r="K252" s="25">
        <f ca="1">IF(PaymentSchedule3[[#This Row],[Payment Number]]&lt;&gt;"",SUM(INDEX(PaymentSchedule3[Interest],1,1):PaymentSchedule3[[#This Row],[Interest]]),"")</f>
        <v>79354.545878350604</v>
      </c>
      <c r="L252" s="49">
        <f ca="1">LoanAmount-PaymentSchedule3[[#This Row],[Ending
Balance]]</f>
        <v>48375.449047100286</v>
      </c>
      <c r="M252" s="49">
        <f t="shared" ca="1" si="3"/>
        <v>908.5318932997908</v>
      </c>
      <c r="N252" s="25">
        <f ca="1">PaymentSchedule3[[#This Row],[Payment Number]]*$M$19</f>
        <v>213504.99492545082</v>
      </c>
    </row>
    <row r="253" spans="2:14" ht="15.75" x14ac:dyDescent="0.25">
      <c r="B253" s="23">
        <f ca="1">IF(LoanIsGood,IF(ROW()-ROW(PaymentSchedule3[[#Headers],[Payment Number]])&gt;ScheduledNumberOfPayments,"",ROW()-ROW(PaymentSchedule3[[#Headers],[Payment Number]])),"")</f>
        <v>236</v>
      </c>
      <c r="C253" s="24">
        <f ca="1">IF(PaymentSchedule3[[#This Row],[Payment Number]]&lt;&gt;"",EOMONTH(LoanStartDate,ROW(PaymentSchedule3[[#This Row],[Payment Number]])-ROW(PaymentSchedule3[[#Headers],[Payment Number]])-2)+DAY(LoanStartDate),"")</f>
        <v>51787</v>
      </c>
      <c r="D253" s="25">
        <f ca="1">IF(PaymentSchedule3[[#This Row],[Payment Number]]&lt;&gt;"",IF(ROW()-ROW(PaymentSchedule3[[#Headers],[Beginning
Balance]])=1,LoanAmount,INDEX(PaymentSchedule3[Ending
Balance],ROW()-ROW(PaymentSchedule3[[#Headers],[Beginning
Balance]])-1)),"")</f>
        <v>52874.550952899714</v>
      </c>
      <c r="E253" s="25">
        <f ca="1">IF(PaymentSchedule3[[#This Row],[Payment Number]]&lt;&gt;"",ScheduledPayment,"")</f>
        <v>543.5318932997908</v>
      </c>
      <c r="F2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3" s="25">
        <f ca="1">IF(PaymentSchedule3[[#This Row],[Payment Number]]&lt;&gt;"",PaymentSchedule3[[#This Row],[Total
Payment]]-PaymentSchedule3[[#This Row],[Interest]],"")</f>
        <v>323.22126432937534</v>
      </c>
      <c r="I253" s="25">
        <f ca="1">IF(PaymentSchedule3[[#This Row],[Payment Number]]&lt;&gt;"",PaymentSchedule3[[#This Row],[Beginning
Balance]]*(InterestRate/PaymentsPerYear),"")</f>
        <v>220.31062897041548</v>
      </c>
      <c r="J253" s="25">
        <f ca="1">IF(PaymentSchedule3[[#This Row],[Payment Number]]&lt;&gt;"",IF(PaymentSchedule3[[#This Row],[Scheduled Payment]]+PaymentSchedule3[[#This Row],[Extra
Payment]]&lt;=PaymentSchedule3[[#This Row],[Beginning
Balance]],PaymentSchedule3[[#This Row],[Beginning
Balance]]-PaymentSchedule3[[#This Row],[Principal]],0),"")</f>
        <v>52551.329688570338</v>
      </c>
      <c r="K253" s="25">
        <f ca="1">IF(PaymentSchedule3[[#This Row],[Payment Number]]&lt;&gt;"",SUM(INDEX(PaymentSchedule3[Interest],1,1):PaymentSchedule3[[#This Row],[Interest]]),"")</f>
        <v>79574.856507321019</v>
      </c>
      <c r="L253" s="49">
        <f ca="1">LoanAmount-PaymentSchedule3[[#This Row],[Ending
Balance]]</f>
        <v>48698.670311429662</v>
      </c>
      <c r="M253" s="49">
        <f t="shared" ca="1" si="3"/>
        <v>908.5318932997908</v>
      </c>
      <c r="N253" s="25">
        <f ca="1">PaymentSchedule3[[#This Row],[Payment Number]]*$M$19</f>
        <v>214413.52681875063</v>
      </c>
    </row>
    <row r="254" spans="2:14" ht="15.75" x14ac:dyDescent="0.25">
      <c r="B254" s="23">
        <f ca="1">IF(LoanIsGood,IF(ROW()-ROW(PaymentSchedule3[[#Headers],[Payment Number]])&gt;ScheduledNumberOfPayments,"",ROW()-ROW(PaymentSchedule3[[#Headers],[Payment Number]])),"")</f>
        <v>237</v>
      </c>
      <c r="C254" s="24">
        <f ca="1">IF(PaymentSchedule3[[#This Row],[Payment Number]]&lt;&gt;"",EOMONTH(LoanStartDate,ROW(PaymentSchedule3[[#This Row],[Payment Number]])-ROW(PaymentSchedule3[[#Headers],[Payment Number]])-2)+DAY(LoanStartDate),"")</f>
        <v>51818</v>
      </c>
      <c r="D254" s="25">
        <f ca="1">IF(PaymentSchedule3[[#This Row],[Payment Number]]&lt;&gt;"",IF(ROW()-ROW(PaymentSchedule3[[#Headers],[Beginning
Balance]])=1,LoanAmount,INDEX(PaymentSchedule3[Ending
Balance],ROW()-ROW(PaymentSchedule3[[#Headers],[Beginning
Balance]])-1)),"")</f>
        <v>52551.329688570338</v>
      </c>
      <c r="E254" s="25">
        <f ca="1">IF(PaymentSchedule3[[#This Row],[Payment Number]]&lt;&gt;"",ScheduledPayment,"")</f>
        <v>543.5318932997908</v>
      </c>
      <c r="F2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4" s="25">
        <f ca="1">IF(PaymentSchedule3[[#This Row],[Payment Number]]&lt;&gt;"",PaymentSchedule3[[#This Row],[Total
Payment]]-PaymentSchedule3[[#This Row],[Interest]],"")</f>
        <v>324.56801959741438</v>
      </c>
      <c r="I254" s="25">
        <f ca="1">IF(PaymentSchedule3[[#This Row],[Payment Number]]&lt;&gt;"",PaymentSchedule3[[#This Row],[Beginning
Balance]]*(InterestRate/PaymentsPerYear),"")</f>
        <v>218.96387370237642</v>
      </c>
      <c r="J254" s="25">
        <f ca="1">IF(PaymentSchedule3[[#This Row],[Payment Number]]&lt;&gt;"",IF(PaymentSchedule3[[#This Row],[Scheduled Payment]]+PaymentSchedule3[[#This Row],[Extra
Payment]]&lt;=PaymentSchedule3[[#This Row],[Beginning
Balance]],PaymentSchedule3[[#This Row],[Beginning
Balance]]-PaymentSchedule3[[#This Row],[Principal]],0),"")</f>
        <v>52226.761668972926</v>
      </c>
      <c r="K254" s="25">
        <f ca="1">IF(PaymentSchedule3[[#This Row],[Payment Number]]&lt;&gt;"",SUM(INDEX(PaymentSchedule3[Interest],1,1):PaymentSchedule3[[#This Row],[Interest]]),"")</f>
        <v>79793.820381023397</v>
      </c>
      <c r="L254" s="49">
        <f ca="1">LoanAmount-PaymentSchedule3[[#This Row],[Ending
Balance]]</f>
        <v>49023.238331027074</v>
      </c>
      <c r="M254" s="49">
        <f t="shared" ca="1" si="3"/>
        <v>908.5318932997908</v>
      </c>
      <c r="N254" s="25">
        <f ca="1">PaymentSchedule3[[#This Row],[Payment Number]]*$M$19</f>
        <v>215322.05871205041</v>
      </c>
    </row>
    <row r="255" spans="2:14" ht="15.75" x14ac:dyDescent="0.25">
      <c r="B255" s="23">
        <f ca="1">IF(LoanIsGood,IF(ROW()-ROW(PaymentSchedule3[[#Headers],[Payment Number]])&gt;ScheduledNumberOfPayments,"",ROW()-ROW(PaymentSchedule3[[#Headers],[Payment Number]])),"")</f>
        <v>238</v>
      </c>
      <c r="C255" s="24">
        <f ca="1">IF(PaymentSchedule3[[#This Row],[Payment Number]]&lt;&gt;"",EOMONTH(LoanStartDate,ROW(PaymentSchedule3[[#This Row],[Payment Number]])-ROW(PaymentSchedule3[[#Headers],[Payment Number]])-2)+DAY(LoanStartDate),"")</f>
        <v>51848</v>
      </c>
      <c r="D255" s="25">
        <f ca="1">IF(PaymentSchedule3[[#This Row],[Payment Number]]&lt;&gt;"",IF(ROW()-ROW(PaymentSchedule3[[#Headers],[Beginning
Balance]])=1,LoanAmount,INDEX(PaymentSchedule3[Ending
Balance],ROW()-ROW(PaymentSchedule3[[#Headers],[Beginning
Balance]])-1)),"")</f>
        <v>52226.761668972926</v>
      </c>
      <c r="E255" s="25">
        <f ca="1">IF(PaymentSchedule3[[#This Row],[Payment Number]]&lt;&gt;"",ScheduledPayment,"")</f>
        <v>543.5318932997908</v>
      </c>
      <c r="F2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5" s="25">
        <f ca="1">IF(PaymentSchedule3[[#This Row],[Payment Number]]&lt;&gt;"",PaymentSchedule3[[#This Row],[Total
Payment]]-PaymentSchedule3[[#This Row],[Interest]],"")</f>
        <v>325.92038634573692</v>
      </c>
      <c r="I255" s="25">
        <f ca="1">IF(PaymentSchedule3[[#This Row],[Payment Number]]&lt;&gt;"",PaymentSchedule3[[#This Row],[Beginning
Balance]]*(InterestRate/PaymentsPerYear),"")</f>
        <v>217.61150695405385</v>
      </c>
      <c r="J255" s="25">
        <f ca="1">IF(PaymentSchedule3[[#This Row],[Payment Number]]&lt;&gt;"",IF(PaymentSchedule3[[#This Row],[Scheduled Payment]]+PaymentSchedule3[[#This Row],[Extra
Payment]]&lt;=PaymentSchedule3[[#This Row],[Beginning
Balance]],PaymentSchedule3[[#This Row],[Beginning
Balance]]-PaymentSchedule3[[#This Row],[Principal]],0),"")</f>
        <v>51900.841282627189</v>
      </c>
      <c r="K255" s="25">
        <f ca="1">IF(PaymentSchedule3[[#This Row],[Payment Number]]&lt;&gt;"",SUM(INDEX(PaymentSchedule3[Interest],1,1):PaymentSchedule3[[#This Row],[Interest]]),"")</f>
        <v>80011.431887977451</v>
      </c>
      <c r="L255" s="49">
        <f ca="1">LoanAmount-PaymentSchedule3[[#This Row],[Ending
Balance]]</f>
        <v>49349.158717372811</v>
      </c>
      <c r="M255" s="49">
        <f t="shared" ca="1" si="3"/>
        <v>908.5318932997908</v>
      </c>
      <c r="N255" s="25">
        <f ca="1">PaymentSchedule3[[#This Row],[Payment Number]]*$M$19</f>
        <v>216230.59060535021</v>
      </c>
    </row>
    <row r="256" spans="2:14" ht="15.75" x14ac:dyDescent="0.25">
      <c r="B256" s="23">
        <f ca="1">IF(LoanIsGood,IF(ROW()-ROW(PaymentSchedule3[[#Headers],[Payment Number]])&gt;ScheduledNumberOfPayments,"",ROW()-ROW(PaymentSchedule3[[#Headers],[Payment Number]])),"")</f>
        <v>239</v>
      </c>
      <c r="C256" s="24">
        <f ca="1">IF(PaymentSchedule3[[#This Row],[Payment Number]]&lt;&gt;"",EOMONTH(LoanStartDate,ROW(PaymentSchedule3[[#This Row],[Payment Number]])-ROW(PaymentSchedule3[[#Headers],[Payment Number]])-2)+DAY(LoanStartDate),"")</f>
        <v>51879</v>
      </c>
      <c r="D256" s="25">
        <f ca="1">IF(PaymentSchedule3[[#This Row],[Payment Number]]&lt;&gt;"",IF(ROW()-ROW(PaymentSchedule3[[#Headers],[Beginning
Balance]])=1,LoanAmount,INDEX(PaymentSchedule3[Ending
Balance],ROW()-ROW(PaymentSchedule3[[#Headers],[Beginning
Balance]])-1)),"")</f>
        <v>51900.841282627189</v>
      </c>
      <c r="E256" s="25">
        <f ca="1">IF(PaymentSchedule3[[#This Row],[Payment Number]]&lt;&gt;"",ScheduledPayment,"")</f>
        <v>543.5318932997908</v>
      </c>
      <c r="F2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6" s="25">
        <f ca="1">IF(PaymentSchedule3[[#This Row],[Payment Number]]&lt;&gt;"",PaymentSchedule3[[#This Row],[Total
Payment]]-PaymentSchedule3[[#This Row],[Interest]],"")</f>
        <v>327.27838795551088</v>
      </c>
      <c r="I256" s="25">
        <f ca="1">IF(PaymentSchedule3[[#This Row],[Payment Number]]&lt;&gt;"",PaymentSchedule3[[#This Row],[Beginning
Balance]]*(InterestRate/PaymentsPerYear),"")</f>
        <v>216.25350534427994</v>
      </c>
      <c r="J256" s="25">
        <f ca="1">IF(PaymentSchedule3[[#This Row],[Payment Number]]&lt;&gt;"",IF(PaymentSchedule3[[#This Row],[Scheduled Payment]]+PaymentSchedule3[[#This Row],[Extra
Payment]]&lt;=PaymentSchedule3[[#This Row],[Beginning
Balance]],PaymentSchedule3[[#This Row],[Beginning
Balance]]-PaymentSchedule3[[#This Row],[Principal]],0),"")</f>
        <v>51573.562894671675</v>
      </c>
      <c r="K256" s="25">
        <f ca="1">IF(PaymentSchedule3[[#This Row],[Payment Number]]&lt;&gt;"",SUM(INDEX(PaymentSchedule3[Interest],1,1):PaymentSchedule3[[#This Row],[Interest]]),"")</f>
        <v>80227.685393321735</v>
      </c>
      <c r="L256" s="49">
        <f ca="1">LoanAmount-PaymentSchedule3[[#This Row],[Ending
Balance]]</f>
        <v>49676.437105328325</v>
      </c>
      <c r="M256" s="49">
        <f t="shared" ca="1" si="3"/>
        <v>908.5318932997908</v>
      </c>
      <c r="N256" s="25">
        <f ca="1">PaymentSchedule3[[#This Row],[Payment Number]]*$M$19</f>
        <v>217139.12249864999</v>
      </c>
    </row>
    <row r="257" spans="2:14" ht="15.75" x14ac:dyDescent="0.25">
      <c r="B257" s="23">
        <f ca="1">IF(LoanIsGood,IF(ROW()-ROW(PaymentSchedule3[[#Headers],[Payment Number]])&gt;ScheduledNumberOfPayments,"",ROW()-ROW(PaymentSchedule3[[#Headers],[Payment Number]])),"")</f>
        <v>240</v>
      </c>
      <c r="C257" s="24">
        <f ca="1">IF(PaymentSchedule3[[#This Row],[Payment Number]]&lt;&gt;"",EOMONTH(LoanStartDate,ROW(PaymentSchedule3[[#This Row],[Payment Number]])-ROW(PaymentSchedule3[[#Headers],[Payment Number]])-2)+DAY(LoanStartDate),"")</f>
        <v>51910</v>
      </c>
      <c r="D257" s="25">
        <f ca="1">IF(PaymentSchedule3[[#This Row],[Payment Number]]&lt;&gt;"",IF(ROW()-ROW(PaymentSchedule3[[#Headers],[Beginning
Balance]])=1,LoanAmount,INDEX(PaymentSchedule3[Ending
Balance],ROW()-ROW(PaymentSchedule3[[#Headers],[Beginning
Balance]])-1)),"")</f>
        <v>51573.562894671675</v>
      </c>
      <c r="E257" s="25">
        <f ca="1">IF(PaymentSchedule3[[#This Row],[Payment Number]]&lt;&gt;"",ScheduledPayment,"")</f>
        <v>543.5318932997908</v>
      </c>
      <c r="F2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7" s="25">
        <f ca="1">IF(PaymentSchedule3[[#This Row],[Payment Number]]&lt;&gt;"",PaymentSchedule3[[#This Row],[Total
Payment]]-PaymentSchedule3[[#This Row],[Interest]],"")</f>
        <v>328.64204790532551</v>
      </c>
      <c r="I257" s="25">
        <f ca="1">IF(PaymentSchedule3[[#This Row],[Payment Number]]&lt;&gt;"",PaymentSchedule3[[#This Row],[Beginning
Balance]]*(InterestRate/PaymentsPerYear),"")</f>
        <v>214.88984539446531</v>
      </c>
      <c r="J257" s="25">
        <f ca="1">IF(PaymentSchedule3[[#This Row],[Payment Number]]&lt;&gt;"",IF(PaymentSchedule3[[#This Row],[Scheduled Payment]]+PaymentSchedule3[[#This Row],[Extra
Payment]]&lt;=PaymentSchedule3[[#This Row],[Beginning
Balance]],PaymentSchedule3[[#This Row],[Beginning
Balance]]-PaymentSchedule3[[#This Row],[Principal]],0),"")</f>
        <v>51244.920846766348</v>
      </c>
      <c r="K257" s="25">
        <f ca="1">IF(PaymentSchedule3[[#This Row],[Payment Number]]&lt;&gt;"",SUM(INDEX(PaymentSchedule3[Interest],1,1):PaymentSchedule3[[#This Row],[Interest]]),"")</f>
        <v>80442.575238716207</v>
      </c>
      <c r="L257" s="49">
        <f ca="1">LoanAmount-PaymentSchedule3[[#This Row],[Ending
Balance]]</f>
        <v>50005.079153233652</v>
      </c>
      <c r="M257" s="49">
        <f t="shared" ca="1" si="3"/>
        <v>908.5318932997908</v>
      </c>
      <c r="N257" s="25">
        <f ca="1">PaymentSchedule3[[#This Row],[Payment Number]]*$M$19</f>
        <v>218047.65439194979</v>
      </c>
    </row>
    <row r="258" spans="2:14" ht="15.75" x14ac:dyDescent="0.25">
      <c r="B258" s="23">
        <f ca="1">IF(LoanIsGood,IF(ROW()-ROW(PaymentSchedule3[[#Headers],[Payment Number]])&gt;ScheduledNumberOfPayments,"",ROW()-ROW(PaymentSchedule3[[#Headers],[Payment Number]])),"")</f>
        <v>241</v>
      </c>
      <c r="C258" s="24">
        <f ca="1">IF(PaymentSchedule3[[#This Row],[Payment Number]]&lt;&gt;"",EOMONTH(LoanStartDate,ROW(PaymentSchedule3[[#This Row],[Payment Number]])-ROW(PaymentSchedule3[[#Headers],[Payment Number]])-2)+DAY(LoanStartDate),"")</f>
        <v>51938</v>
      </c>
      <c r="D258" s="25">
        <f ca="1">IF(PaymentSchedule3[[#This Row],[Payment Number]]&lt;&gt;"",IF(ROW()-ROW(PaymentSchedule3[[#Headers],[Beginning
Balance]])=1,LoanAmount,INDEX(PaymentSchedule3[Ending
Balance],ROW()-ROW(PaymentSchedule3[[#Headers],[Beginning
Balance]])-1)),"")</f>
        <v>51244.920846766348</v>
      </c>
      <c r="E258" s="25">
        <f ca="1">IF(PaymentSchedule3[[#This Row],[Payment Number]]&lt;&gt;"",ScheduledPayment,"")</f>
        <v>543.5318932997908</v>
      </c>
      <c r="F2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8" s="25">
        <f ca="1">IF(PaymentSchedule3[[#This Row],[Payment Number]]&lt;&gt;"",PaymentSchedule3[[#This Row],[Total
Payment]]-PaymentSchedule3[[#This Row],[Interest]],"")</f>
        <v>330.01138977159769</v>
      </c>
      <c r="I258" s="25">
        <f ca="1">IF(PaymentSchedule3[[#This Row],[Payment Number]]&lt;&gt;"",PaymentSchedule3[[#This Row],[Beginning
Balance]]*(InterestRate/PaymentsPerYear),"")</f>
        <v>213.5205035281931</v>
      </c>
      <c r="J258" s="25">
        <f ca="1">IF(PaymentSchedule3[[#This Row],[Payment Number]]&lt;&gt;"",IF(PaymentSchedule3[[#This Row],[Scheduled Payment]]+PaymentSchedule3[[#This Row],[Extra
Payment]]&lt;=PaymentSchedule3[[#This Row],[Beginning
Balance]],PaymentSchedule3[[#This Row],[Beginning
Balance]]-PaymentSchedule3[[#This Row],[Principal]],0),"")</f>
        <v>50914.909456994748</v>
      </c>
      <c r="K258" s="25">
        <f ca="1">IF(PaymentSchedule3[[#This Row],[Payment Number]]&lt;&gt;"",SUM(INDEX(PaymentSchedule3[Interest],1,1):PaymentSchedule3[[#This Row],[Interest]]),"")</f>
        <v>80656.095742244404</v>
      </c>
      <c r="L258" s="49">
        <f ca="1">LoanAmount-PaymentSchedule3[[#This Row],[Ending
Balance]]</f>
        <v>50335.090543005252</v>
      </c>
      <c r="M258" s="49">
        <f t="shared" ca="1" si="3"/>
        <v>908.5318932997908</v>
      </c>
      <c r="N258" s="25">
        <f ca="1">PaymentSchedule3[[#This Row],[Payment Number]]*$M$19</f>
        <v>218956.18628524957</v>
      </c>
    </row>
    <row r="259" spans="2:14" ht="15.75" x14ac:dyDescent="0.25">
      <c r="B259" s="23">
        <f ca="1">IF(LoanIsGood,IF(ROW()-ROW(PaymentSchedule3[[#Headers],[Payment Number]])&gt;ScheduledNumberOfPayments,"",ROW()-ROW(PaymentSchedule3[[#Headers],[Payment Number]])),"")</f>
        <v>242</v>
      </c>
      <c r="C259" s="24">
        <f ca="1">IF(PaymentSchedule3[[#This Row],[Payment Number]]&lt;&gt;"",EOMONTH(LoanStartDate,ROW(PaymentSchedule3[[#This Row],[Payment Number]])-ROW(PaymentSchedule3[[#Headers],[Payment Number]])-2)+DAY(LoanStartDate),"")</f>
        <v>51969</v>
      </c>
      <c r="D259" s="25">
        <f ca="1">IF(PaymentSchedule3[[#This Row],[Payment Number]]&lt;&gt;"",IF(ROW()-ROW(PaymentSchedule3[[#Headers],[Beginning
Balance]])=1,LoanAmount,INDEX(PaymentSchedule3[Ending
Balance],ROW()-ROW(PaymentSchedule3[[#Headers],[Beginning
Balance]])-1)),"")</f>
        <v>50914.909456994748</v>
      </c>
      <c r="E259" s="25">
        <f ca="1">IF(PaymentSchedule3[[#This Row],[Payment Number]]&lt;&gt;"",ScheduledPayment,"")</f>
        <v>543.5318932997908</v>
      </c>
      <c r="F2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59" s="25">
        <f ca="1">IF(PaymentSchedule3[[#This Row],[Payment Number]]&lt;&gt;"",PaymentSchedule3[[#This Row],[Total
Payment]]-PaymentSchedule3[[#This Row],[Interest]],"")</f>
        <v>331.38643722897939</v>
      </c>
      <c r="I259" s="25">
        <f ca="1">IF(PaymentSchedule3[[#This Row],[Payment Number]]&lt;&gt;"",PaymentSchedule3[[#This Row],[Beginning
Balance]]*(InterestRate/PaymentsPerYear),"")</f>
        <v>212.14545607081143</v>
      </c>
      <c r="J259" s="25">
        <f ca="1">IF(PaymentSchedule3[[#This Row],[Payment Number]]&lt;&gt;"",IF(PaymentSchedule3[[#This Row],[Scheduled Payment]]+PaymentSchedule3[[#This Row],[Extra
Payment]]&lt;=PaymentSchedule3[[#This Row],[Beginning
Balance]],PaymentSchedule3[[#This Row],[Beginning
Balance]]-PaymentSchedule3[[#This Row],[Principal]],0),"")</f>
        <v>50583.523019765766</v>
      </c>
      <c r="K259" s="25">
        <f ca="1">IF(PaymentSchedule3[[#This Row],[Payment Number]]&lt;&gt;"",SUM(INDEX(PaymentSchedule3[Interest],1,1):PaymentSchedule3[[#This Row],[Interest]]),"")</f>
        <v>80868.241198315212</v>
      </c>
      <c r="L259" s="49">
        <f ca="1">LoanAmount-PaymentSchedule3[[#This Row],[Ending
Balance]]</f>
        <v>50666.476980234234</v>
      </c>
      <c r="M259" s="49">
        <f t="shared" ca="1" si="3"/>
        <v>908.5318932997908</v>
      </c>
      <c r="N259" s="25">
        <f ca="1">PaymentSchedule3[[#This Row],[Payment Number]]*$M$19</f>
        <v>219864.71817854937</v>
      </c>
    </row>
    <row r="260" spans="2:14" ht="15.75" x14ac:dyDescent="0.25">
      <c r="B260" s="23">
        <f ca="1">IF(LoanIsGood,IF(ROW()-ROW(PaymentSchedule3[[#Headers],[Payment Number]])&gt;ScheduledNumberOfPayments,"",ROW()-ROW(PaymentSchedule3[[#Headers],[Payment Number]])),"")</f>
        <v>243</v>
      </c>
      <c r="C260" s="24">
        <f ca="1">IF(PaymentSchedule3[[#This Row],[Payment Number]]&lt;&gt;"",EOMONTH(LoanStartDate,ROW(PaymentSchedule3[[#This Row],[Payment Number]])-ROW(PaymentSchedule3[[#Headers],[Payment Number]])-2)+DAY(LoanStartDate),"")</f>
        <v>51999</v>
      </c>
      <c r="D260" s="25">
        <f ca="1">IF(PaymentSchedule3[[#This Row],[Payment Number]]&lt;&gt;"",IF(ROW()-ROW(PaymentSchedule3[[#Headers],[Beginning
Balance]])=1,LoanAmount,INDEX(PaymentSchedule3[Ending
Balance],ROW()-ROW(PaymentSchedule3[[#Headers],[Beginning
Balance]])-1)),"")</f>
        <v>50583.523019765766</v>
      </c>
      <c r="E260" s="25">
        <f ca="1">IF(PaymentSchedule3[[#This Row],[Payment Number]]&lt;&gt;"",ScheduledPayment,"")</f>
        <v>543.5318932997908</v>
      </c>
      <c r="F2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0" s="25">
        <f ca="1">IF(PaymentSchedule3[[#This Row],[Payment Number]]&lt;&gt;"",PaymentSchedule3[[#This Row],[Total
Payment]]-PaymentSchedule3[[#This Row],[Interest]],"")</f>
        <v>332.76721405076677</v>
      </c>
      <c r="I260" s="25">
        <f ca="1">IF(PaymentSchedule3[[#This Row],[Payment Number]]&lt;&gt;"",PaymentSchedule3[[#This Row],[Beginning
Balance]]*(InterestRate/PaymentsPerYear),"")</f>
        <v>210.76467924902403</v>
      </c>
      <c r="J260" s="25">
        <f ca="1">IF(PaymentSchedule3[[#This Row],[Payment Number]]&lt;&gt;"",IF(PaymentSchedule3[[#This Row],[Scheduled Payment]]+PaymentSchedule3[[#This Row],[Extra
Payment]]&lt;=PaymentSchedule3[[#This Row],[Beginning
Balance]],PaymentSchedule3[[#This Row],[Beginning
Balance]]-PaymentSchedule3[[#This Row],[Principal]],0),"")</f>
        <v>50250.755805715002</v>
      </c>
      <c r="K260" s="25">
        <f ca="1">IF(PaymentSchedule3[[#This Row],[Payment Number]]&lt;&gt;"",SUM(INDEX(PaymentSchedule3[Interest],1,1):PaymentSchedule3[[#This Row],[Interest]]),"")</f>
        <v>81079.005877564239</v>
      </c>
      <c r="L260" s="49">
        <f ca="1">LoanAmount-PaymentSchedule3[[#This Row],[Ending
Balance]]</f>
        <v>50999.244194284998</v>
      </c>
      <c r="M260" s="49">
        <f t="shared" ca="1" si="3"/>
        <v>908.5318932997908</v>
      </c>
      <c r="N260" s="25">
        <f ca="1">PaymentSchedule3[[#This Row],[Payment Number]]*$M$19</f>
        <v>220773.25007184915</v>
      </c>
    </row>
    <row r="261" spans="2:14" ht="15.75" x14ac:dyDescent="0.25">
      <c r="B261" s="23">
        <f ca="1">IF(LoanIsGood,IF(ROW()-ROW(PaymentSchedule3[[#Headers],[Payment Number]])&gt;ScheduledNumberOfPayments,"",ROW()-ROW(PaymentSchedule3[[#Headers],[Payment Number]])),"")</f>
        <v>244</v>
      </c>
      <c r="C261" s="24">
        <f ca="1">IF(PaymentSchedule3[[#This Row],[Payment Number]]&lt;&gt;"",EOMONTH(LoanStartDate,ROW(PaymentSchedule3[[#This Row],[Payment Number]])-ROW(PaymentSchedule3[[#Headers],[Payment Number]])-2)+DAY(LoanStartDate),"")</f>
        <v>52030</v>
      </c>
      <c r="D261" s="25">
        <f ca="1">IF(PaymentSchedule3[[#This Row],[Payment Number]]&lt;&gt;"",IF(ROW()-ROW(PaymentSchedule3[[#Headers],[Beginning
Balance]])=1,LoanAmount,INDEX(PaymentSchedule3[Ending
Balance],ROW()-ROW(PaymentSchedule3[[#Headers],[Beginning
Balance]])-1)),"")</f>
        <v>50250.755805715002</v>
      </c>
      <c r="E261" s="25">
        <f ca="1">IF(PaymentSchedule3[[#This Row],[Payment Number]]&lt;&gt;"",ScheduledPayment,"")</f>
        <v>543.5318932997908</v>
      </c>
      <c r="F2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1" s="25">
        <f ca="1">IF(PaymentSchedule3[[#This Row],[Payment Number]]&lt;&gt;"",PaymentSchedule3[[#This Row],[Total
Payment]]-PaymentSchedule3[[#This Row],[Interest]],"")</f>
        <v>334.15374410931162</v>
      </c>
      <c r="I261" s="25">
        <f ca="1">IF(PaymentSchedule3[[#This Row],[Payment Number]]&lt;&gt;"",PaymentSchedule3[[#This Row],[Beginning
Balance]]*(InterestRate/PaymentsPerYear),"")</f>
        <v>209.37814919047918</v>
      </c>
      <c r="J261" s="25">
        <f ca="1">IF(PaymentSchedule3[[#This Row],[Payment Number]]&lt;&gt;"",IF(PaymentSchedule3[[#This Row],[Scheduled Payment]]+PaymentSchedule3[[#This Row],[Extra
Payment]]&lt;=PaymentSchedule3[[#This Row],[Beginning
Balance]],PaymentSchedule3[[#This Row],[Beginning
Balance]]-PaymentSchedule3[[#This Row],[Principal]],0),"")</f>
        <v>49916.602061605692</v>
      </c>
      <c r="K261" s="25">
        <f ca="1">IF(PaymentSchedule3[[#This Row],[Payment Number]]&lt;&gt;"",SUM(INDEX(PaymentSchedule3[Interest],1,1):PaymentSchedule3[[#This Row],[Interest]]),"")</f>
        <v>81288.38402675472</v>
      </c>
      <c r="L261" s="49">
        <f ca="1">LoanAmount-PaymentSchedule3[[#This Row],[Ending
Balance]]</f>
        <v>51333.397938394308</v>
      </c>
      <c r="M261" s="49">
        <f t="shared" ca="1" si="3"/>
        <v>908.5318932997908</v>
      </c>
      <c r="N261" s="25">
        <f ca="1">PaymentSchedule3[[#This Row],[Payment Number]]*$M$19</f>
        <v>221681.78196514896</v>
      </c>
    </row>
    <row r="262" spans="2:14" ht="15.75" x14ac:dyDescent="0.25">
      <c r="B262" s="23">
        <f ca="1">IF(LoanIsGood,IF(ROW()-ROW(PaymentSchedule3[[#Headers],[Payment Number]])&gt;ScheduledNumberOfPayments,"",ROW()-ROW(PaymentSchedule3[[#Headers],[Payment Number]])),"")</f>
        <v>245</v>
      </c>
      <c r="C262" s="24">
        <f ca="1">IF(PaymentSchedule3[[#This Row],[Payment Number]]&lt;&gt;"",EOMONTH(LoanStartDate,ROW(PaymentSchedule3[[#This Row],[Payment Number]])-ROW(PaymentSchedule3[[#Headers],[Payment Number]])-2)+DAY(LoanStartDate),"")</f>
        <v>52060</v>
      </c>
      <c r="D262" s="25">
        <f ca="1">IF(PaymentSchedule3[[#This Row],[Payment Number]]&lt;&gt;"",IF(ROW()-ROW(PaymentSchedule3[[#Headers],[Beginning
Balance]])=1,LoanAmount,INDEX(PaymentSchedule3[Ending
Balance],ROW()-ROW(PaymentSchedule3[[#Headers],[Beginning
Balance]])-1)),"")</f>
        <v>49916.602061605692</v>
      </c>
      <c r="E262" s="25">
        <f ca="1">IF(PaymentSchedule3[[#This Row],[Payment Number]]&lt;&gt;"",ScheduledPayment,"")</f>
        <v>543.5318932997908</v>
      </c>
      <c r="F2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2" s="25">
        <f ca="1">IF(PaymentSchedule3[[#This Row],[Payment Number]]&lt;&gt;"",PaymentSchedule3[[#This Row],[Total
Payment]]-PaymentSchedule3[[#This Row],[Interest]],"")</f>
        <v>335.54605137643375</v>
      </c>
      <c r="I262" s="25">
        <f ca="1">IF(PaymentSchedule3[[#This Row],[Payment Number]]&lt;&gt;"",PaymentSchedule3[[#This Row],[Beginning
Balance]]*(InterestRate/PaymentsPerYear),"")</f>
        <v>207.98584192335704</v>
      </c>
      <c r="J262" s="25">
        <f ca="1">IF(PaymentSchedule3[[#This Row],[Payment Number]]&lt;&gt;"",IF(PaymentSchedule3[[#This Row],[Scheduled Payment]]+PaymentSchedule3[[#This Row],[Extra
Payment]]&lt;=PaymentSchedule3[[#This Row],[Beginning
Balance]],PaymentSchedule3[[#This Row],[Beginning
Balance]]-PaymentSchedule3[[#This Row],[Principal]],0),"")</f>
        <v>49581.056010229258</v>
      </c>
      <c r="K262" s="25">
        <f ca="1">IF(PaymentSchedule3[[#This Row],[Payment Number]]&lt;&gt;"",SUM(INDEX(PaymentSchedule3[Interest],1,1):PaymentSchedule3[[#This Row],[Interest]]),"")</f>
        <v>81496.369868678084</v>
      </c>
      <c r="L262" s="49">
        <f ca="1">LoanAmount-PaymentSchedule3[[#This Row],[Ending
Balance]]</f>
        <v>51668.943989770742</v>
      </c>
      <c r="M262" s="49">
        <f t="shared" ca="1" si="3"/>
        <v>908.5318932997908</v>
      </c>
      <c r="N262" s="25">
        <f ca="1">PaymentSchedule3[[#This Row],[Payment Number]]*$M$19</f>
        <v>222590.31385844873</v>
      </c>
    </row>
    <row r="263" spans="2:14" ht="15.75" x14ac:dyDescent="0.25">
      <c r="B263" s="23">
        <f ca="1">IF(LoanIsGood,IF(ROW()-ROW(PaymentSchedule3[[#Headers],[Payment Number]])&gt;ScheduledNumberOfPayments,"",ROW()-ROW(PaymentSchedule3[[#Headers],[Payment Number]])),"")</f>
        <v>246</v>
      </c>
      <c r="C263" s="24">
        <f ca="1">IF(PaymentSchedule3[[#This Row],[Payment Number]]&lt;&gt;"",EOMONTH(LoanStartDate,ROW(PaymentSchedule3[[#This Row],[Payment Number]])-ROW(PaymentSchedule3[[#Headers],[Payment Number]])-2)+DAY(LoanStartDate),"")</f>
        <v>52091</v>
      </c>
      <c r="D263" s="25">
        <f ca="1">IF(PaymentSchedule3[[#This Row],[Payment Number]]&lt;&gt;"",IF(ROW()-ROW(PaymentSchedule3[[#Headers],[Beginning
Balance]])=1,LoanAmount,INDEX(PaymentSchedule3[Ending
Balance],ROW()-ROW(PaymentSchedule3[[#Headers],[Beginning
Balance]])-1)),"")</f>
        <v>49581.056010229258</v>
      </c>
      <c r="E263" s="25">
        <f ca="1">IF(PaymentSchedule3[[#This Row],[Payment Number]]&lt;&gt;"",ScheduledPayment,"")</f>
        <v>543.5318932997908</v>
      </c>
      <c r="F2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3" s="25">
        <f ca="1">IF(PaymentSchedule3[[#This Row],[Payment Number]]&lt;&gt;"",PaymentSchedule3[[#This Row],[Total
Payment]]-PaymentSchedule3[[#This Row],[Interest]],"")</f>
        <v>336.94415992383551</v>
      </c>
      <c r="I263" s="25">
        <f ca="1">IF(PaymentSchedule3[[#This Row],[Payment Number]]&lt;&gt;"",PaymentSchedule3[[#This Row],[Beginning
Balance]]*(InterestRate/PaymentsPerYear),"")</f>
        <v>206.58773337595525</v>
      </c>
      <c r="J263" s="25">
        <f ca="1">IF(PaymentSchedule3[[#This Row],[Payment Number]]&lt;&gt;"",IF(PaymentSchedule3[[#This Row],[Scheduled Payment]]+PaymentSchedule3[[#This Row],[Extra
Payment]]&lt;=PaymentSchedule3[[#This Row],[Beginning
Balance]],PaymentSchedule3[[#This Row],[Beginning
Balance]]-PaymentSchedule3[[#This Row],[Principal]],0),"")</f>
        <v>49244.111850305424</v>
      </c>
      <c r="K263" s="25">
        <f ca="1">IF(PaymentSchedule3[[#This Row],[Payment Number]]&lt;&gt;"",SUM(INDEX(PaymentSchedule3[Interest],1,1):PaymentSchedule3[[#This Row],[Interest]]),"")</f>
        <v>81702.957602054041</v>
      </c>
      <c r="L263" s="49">
        <f ca="1">LoanAmount-PaymentSchedule3[[#This Row],[Ending
Balance]]</f>
        <v>52005.888149694576</v>
      </c>
      <c r="M263" s="49">
        <f t="shared" ca="1" si="3"/>
        <v>908.5318932997908</v>
      </c>
      <c r="N263" s="25">
        <f ca="1">PaymentSchedule3[[#This Row],[Payment Number]]*$M$19</f>
        <v>223498.84575174854</v>
      </c>
    </row>
    <row r="264" spans="2:14" ht="15.75" x14ac:dyDescent="0.25">
      <c r="B264" s="23">
        <f ca="1">IF(LoanIsGood,IF(ROW()-ROW(PaymentSchedule3[[#Headers],[Payment Number]])&gt;ScheduledNumberOfPayments,"",ROW()-ROW(PaymentSchedule3[[#Headers],[Payment Number]])),"")</f>
        <v>247</v>
      </c>
      <c r="C264" s="24">
        <f ca="1">IF(PaymentSchedule3[[#This Row],[Payment Number]]&lt;&gt;"",EOMONTH(LoanStartDate,ROW(PaymentSchedule3[[#This Row],[Payment Number]])-ROW(PaymentSchedule3[[#Headers],[Payment Number]])-2)+DAY(LoanStartDate),"")</f>
        <v>52122</v>
      </c>
      <c r="D264" s="25">
        <f ca="1">IF(PaymentSchedule3[[#This Row],[Payment Number]]&lt;&gt;"",IF(ROW()-ROW(PaymentSchedule3[[#Headers],[Beginning
Balance]])=1,LoanAmount,INDEX(PaymentSchedule3[Ending
Balance],ROW()-ROW(PaymentSchedule3[[#Headers],[Beginning
Balance]])-1)),"")</f>
        <v>49244.111850305424</v>
      </c>
      <c r="E264" s="25">
        <f ca="1">IF(PaymentSchedule3[[#This Row],[Payment Number]]&lt;&gt;"",ScheduledPayment,"")</f>
        <v>543.5318932997908</v>
      </c>
      <c r="F2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4" s="25">
        <f ca="1">IF(PaymentSchedule3[[#This Row],[Payment Number]]&lt;&gt;"",PaymentSchedule3[[#This Row],[Total
Payment]]-PaymentSchedule3[[#This Row],[Interest]],"")</f>
        <v>338.34809392351821</v>
      </c>
      <c r="I264" s="25">
        <f ca="1">IF(PaymentSchedule3[[#This Row],[Payment Number]]&lt;&gt;"",PaymentSchedule3[[#This Row],[Beginning
Balance]]*(InterestRate/PaymentsPerYear),"")</f>
        <v>205.18379937627259</v>
      </c>
      <c r="J264" s="25">
        <f ca="1">IF(PaymentSchedule3[[#This Row],[Payment Number]]&lt;&gt;"",IF(PaymentSchedule3[[#This Row],[Scheduled Payment]]+PaymentSchedule3[[#This Row],[Extra
Payment]]&lt;=PaymentSchedule3[[#This Row],[Beginning
Balance]],PaymentSchedule3[[#This Row],[Beginning
Balance]]-PaymentSchedule3[[#This Row],[Principal]],0),"")</f>
        <v>48905.763756381908</v>
      </c>
      <c r="K264" s="25">
        <f ca="1">IF(PaymentSchedule3[[#This Row],[Payment Number]]&lt;&gt;"",SUM(INDEX(PaymentSchedule3[Interest],1,1):PaymentSchedule3[[#This Row],[Interest]]),"")</f>
        <v>81908.141401430315</v>
      </c>
      <c r="L264" s="49">
        <f ca="1">LoanAmount-PaymentSchedule3[[#This Row],[Ending
Balance]]</f>
        <v>52344.236243618092</v>
      </c>
      <c r="M264" s="49">
        <f t="shared" ca="1" si="3"/>
        <v>908.5318932997908</v>
      </c>
      <c r="N264" s="25">
        <f ca="1">PaymentSchedule3[[#This Row],[Payment Number]]*$M$19</f>
        <v>224407.37764504831</v>
      </c>
    </row>
    <row r="265" spans="2:14" ht="15.75" x14ac:dyDescent="0.25">
      <c r="B265" s="23">
        <f ca="1">IF(LoanIsGood,IF(ROW()-ROW(PaymentSchedule3[[#Headers],[Payment Number]])&gt;ScheduledNumberOfPayments,"",ROW()-ROW(PaymentSchedule3[[#Headers],[Payment Number]])),"")</f>
        <v>248</v>
      </c>
      <c r="C265" s="24">
        <f ca="1">IF(PaymentSchedule3[[#This Row],[Payment Number]]&lt;&gt;"",EOMONTH(LoanStartDate,ROW(PaymentSchedule3[[#This Row],[Payment Number]])-ROW(PaymentSchedule3[[#Headers],[Payment Number]])-2)+DAY(LoanStartDate),"")</f>
        <v>52152</v>
      </c>
      <c r="D265" s="25">
        <f ca="1">IF(PaymentSchedule3[[#This Row],[Payment Number]]&lt;&gt;"",IF(ROW()-ROW(PaymentSchedule3[[#Headers],[Beginning
Balance]])=1,LoanAmount,INDEX(PaymentSchedule3[Ending
Balance],ROW()-ROW(PaymentSchedule3[[#Headers],[Beginning
Balance]])-1)),"")</f>
        <v>48905.763756381908</v>
      </c>
      <c r="E265" s="25">
        <f ca="1">IF(PaymentSchedule3[[#This Row],[Payment Number]]&lt;&gt;"",ScheduledPayment,"")</f>
        <v>543.5318932997908</v>
      </c>
      <c r="F2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5" s="25">
        <f ca="1">IF(PaymentSchedule3[[#This Row],[Payment Number]]&lt;&gt;"",PaymentSchedule3[[#This Row],[Total
Payment]]-PaymentSchedule3[[#This Row],[Interest]],"")</f>
        <v>339.7578776481995</v>
      </c>
      <c r="I265" s="25">
        <f ca="1">IF(PaymentSchedule3[[#This Row],[Payment Number]]&lt;&gt;"",PaymentSchedule3[[#This Row],[Beginning
Balance]]*(InterestRate/PaymentsPerYear),"")</f>
        <v>203.77401565159127</v>
      </c>
      <c r="J265" s="25">
        <f ca="1">IF(PaymentSchedule3[[#This Row],[Payment Number]]&lt;&gt;"",IF(PaymentSchedule3[[#This Row],[Scheduled Payment]]+PaymentSchedule3[[#This Row],[Extra
Payment]]&lt;=PaymentSchedule3[[#This Row],[Beginning
Balance]],PaymentSchedule3[[#This Row],[Beginning
Balance]]-PaymentSchedule3[[#This Row],[Principal]],0),"")</f>
        <v>48566.005878733711</v>
      </c>
      <c r="K265" s="25">
        <f ca="1">IF(PaymentSchedule3[[#This Row],[Payment Number]]&lt;&gt;"",SUM(INDEX(PaymentSchedule3[Interest],1,1):PaymentSchedule3[[#This Row],[Interest]]),"")</f>
        <v>82111.915417081909</v>
      </c>
      <c r="L265" s="49">
        <f ca="1">LoanAmount-PaymentSchedule3[[#This Row],[Ending
Balance]]</f>
        <v>52683.994121266289</v>
      </c>
      <c r="M265" s="49">
        <f t="shared" ca="1" si="3"/>
        <v>908.5318932997908</v>
      </c>
      <c r="N265" s="25">
        <f ca="1">PaymentSchedule3[[#This Row],[Payment Number]]*$M$19</f>
        <v>225315.90953834812</v>
      </c>
    </row>
    <row r="266" spans="2:14" ht="15.75" x14ac:dyDescent="0.25">
      <c r="B266" s="23">
        <f ca="1">IF(LoanIsGood,IF(ROW()-ROW(PaymentSchedule3[[#Headers],[Payment Number]])&gt;ScheduledNumberOfPayments,"",ROW()-ROW(PaymentSchedule3[[#Headers],[Payment Number]])),"")</f>
        <v>249</v>
      </c>
      <c r="C266" s="24">
        <f ca="1">IF(PaymentSchedule3[[#This Row],[Payment Number]]&lt;&gt;"",EOMONTH(LoanStartDate,ROW(PaymentSchedule3[[#This Row],[Payment Number]])-ROW(PaymentSchedule3[[#Headers],[Payment Number]])-2)+DAY(LoanStartDate),"")</f>
        <v>52183</v>
      </c>
      <c r="D266" s="25">
        <f ca="1">IF(PaymentSchedule3[[#This Row],[Payment Number]]&lt;&gt;"",IF(ROW()-ROW(PaymentSchedule3[[#Headers],[Beginning
Balance]])=1,LoanAmount,INDEX(PaymentSchedule3[Ending
Balance],ROW()-ROW(PaymentSchedule3[[#Headers],[Beginning
Balance]])-1)),"")</f>
        <v>48566.005878733711</v>
      </c>
      <c r="E266" s="25">
        <f ca="1">IF(PaymentSchedule3[[#This Row],[Payment Number]]&lt;&gt;"",ScheduledPayment,"")</f>
        <v>543.5318932997908</v>
      </c>
      <c r="F2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6" s="25">
        <f ca="1">IF(PaymentSchedule3[[#This Row],[Payment Number]]&lt;&gt;"",PaymentSchedule3[[#This Row],[Total
Payment]]-PaymentSchedule3[[#This Row],[Interest]],"")</f>
        <v>341.17353547173366</v>
      </c>
      <c r="I266" s="25">
        <f ca="1">IF(PaymentSchedule3[[#This Row],[Payment Number]]&lt;&gt;"",PaymentSchedule3[[#This Row],[Beginning
Balance]]*(InterestRate/PaymentsPerYear),"")</f>
        <v>202.35835782805714</v>
      </c>
      <c r="J266" s="25">
        <f ca="1">IF(PaymentSchedule3[[#This Row],[Payment Number]]&lt;&gt;"",IF(PaymentSchedule3[[#This Row],[Scheduled Payment]]+PaymentSchedule3[[#This Row],[Extra
Payment]]&lt;=PaymentSchedule3[[#This Row],[Beginning
Balance]],PaymentSchedule3[[#This Row],[Beginning
Balance]]-PaymentSchedule3[[#This Row],[Principal]],0),"")</f>
        <v>48224.83234326198</v>
      </c>
      <c r="K266" s="25">
        <f ca="1">IF(PaymentSchedule3[[#This Row],[Payment Number]]&lt;&gt;"",SUM(INDEX(PaymentSchedule3[Interest],1,1):PaymentSchedule3[[#This Row],[Interest]]),"")</f>
        <v>82314.273774909962</v>
      </c>
      <c r="L266" s="49">
        <f ca="1">LoanAmount-PaymentSchedule3[[#This Row],[Ending
Balance]]</f>
        <v>53025.16765673802</v>
      </c>
      <c r="M266" s="49">
        <f t="shared" ca="1" si="3"/>
        <v>908.5318932997908</v>
      </c>
      <c r="N266" s="25">
        <f ca="1">PaymentSchedule3[[#This Row],[Payment Number]]*$M$19</f>
        <v>226224.44143164789</v>
      </c>
    </row>
    <row r="267" spans="2:14" ht="15.75" x14ac:dyDescent="0.25">
      <c r="B267" s="23">
        <f ca="1">IF(LoanIsGood,IF(ROW()-ROW(PaymentSchedule3[[#Headers],[Payment Number]])&gt;ScheduledNumberOfPayments,"",ROW()-ROW(PaymentSchedule3[[#Headers],[Payment Number]])),"")</f>
        <v>250</v>
      </c>
      <c r="C267" s="24">
        <f ca="1">IF(PaymentSchedule3[[#This Row],[Payment Number]]&lt;&gt;"",EOMONTH(LoanStartDate,ROW(PaymentSchedule3[[#This Row],[Payment Number]])-ROW(PaymentSchedule3[[#Headers],[Payment Number]])-2)+DAY(LoanStartDate),"")</f>
        <v>52213</v>
      </c>
      <c r="D267" s="25">
        <f ca="1">IF(PaymentSchedule3[[#This Row],[Payment Number]]&lt;&gt;"",IF(ROW()-ROW(PaymentSchedule3[[#Headers],[Beginning
Balance]])=1,LoanAmount,INDEX(PaymentSchedule3[Ending
Balance],ROW()-ROW(PaymentSchedule3[[#Headers],[Beginning
Balance]])-1)),"")</f>
        <v>48224.83234326198</v>
      </c>
      <c r="E267" s="25">
        <f ca="1">IF(PaymentSchedule3[[#This Row],[Payment Number]]&lt;&gt;"",ScheduledPayment,"")</f>
        <v>543.5318932997908</v>
      </c>
      <c r="F2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7" s="25">
        <f ca="1">IF(PaymentSchedule3[[#This Row],[Payment Number]]&lt;&gt;"",PaymentSchedule3[[#This Row],[Total
Payment]]-PaymentSchedule3[[#This Row],[Interest]],"")</f>
        <v>342.59509186953255</v>
      </c>
      <c r="I267" s="25">
        <f ca="1">IF(PaymentSchedule3[[#This Row],[Payment Number]]&lt;&gt;"",PaymentSchedule3[[#This Row],[Beginning
Balance]]*(InterestRate/PaymentsPerYear),"")</f>
        <v>200.93680143025824</v>
      </c>
      <c r="J267" s="25">
        <f ca="1">IF(PaymentSchedule3[[#This Row],[Payment Number]]&lt;&gt;"",IF(PaymentSchedule3[[#This Row],[Scheduled Payment]]+PaymentSchedule3[[#This Row],[Extra
Payment]]&lt;=PaymentSchedule3[[#This Row],[Beginning
Balance]],PaymentSchedule3[[#This Row],[Beginning
Balance]]-PaymentSchedule3[[#This Row],[Principal]],0),"")</f>
        <v>47882.237251392449</v>
      </c>
      <c r="K267" s="25">
        <f ca="1">IF(PaymentSchedule3[[#This Row],[Payment Number]]&lt;&gt;"",SUM(INDEX(PaymentSchedule3[Interest],1,1):PaymentSchedule3[[#This Row],[Interest]]),"")</f>
        <v>82515.210576340221</v>
      </c>
      <c r="L267" s="49">
        <f ca="1">LoanAmount-PaymentSchedule3[[#This Row],[Ending
Balance]]</f>
        <v>53367.762748607551</v>
      </c>
      <c r="M267" s="49">
        <f t="shared" ca="1" si="3"/>
        <v>908.5318932997908</v>
      </c>
      <c r="N267" s="25">
        <f ca="1">PaymentSchedule3[[#This Row],[Payment Number]]*$M$19</f>
        <v>227132.9733249477</v>
      </c>
    </row>
    <row r="268" spans="2:14" ht="15.75" x14ac:dyDescent="0.25">
      <c r="B268" s="23">
        <f ca="1">IF(LoanIsGood,IF(ROW()-ROW(PaymentSchedule3[[#Headers],[Payment Number]])&gt;ScheduledNumberOfPayments,"",ROW()-ROW(PaymentSchedule3[[#Headers],[Payment Number]])),"")</f>
        <v>251</v>
      </c>
      <c r="C268" s="24">
        <f ca="1">IF(PaymentSchedule3[[#This Row],[Payment Number]]&lt;&gt;"",EOMONTH(LoanStartDate,ROW(PaymentSchedule3[[#This Row],[Payment Number]])-ROW(PaymentSchedule3[[#Headers],[Payment Number]])-2)+DAY(LoanStartDate),"")</f>
        <v>52244</v>
      </c>
      <c r="D268" s="25">
        <f ca="1">IF(PaymentSchedule3[[#This Row],[Payment Number]]&lt;&gt;"",IF(ROW()-ROW(PaymentSchedule3[[#Headers],[Beginning
Balance]])=1,LoanAmount,INDEX(PaymentSchedule3[Ending
Balance],ROW()-ROW(PaymentSchedule3[[#Headers],[Beginning
Balance]])-1)),"")</f>
        <v>47882.237251392449</v>
      </c>
      <c r="E268" s="25">
        <f ca="1">IF(PaymentSchedule3[[#This Row],[Payment Number]]&lt;&gt;"",ScheduledPayment,"")</f>
        <v>543.5318932997908</v>
      </c>
      <c r="F2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8" s="25">
        <f ca="1">IF(PaymentSchedule3[[#This Row],[Payment Number]]&lt;&gt;"",PaymentSchedule3[[#This Row],[Total
Payment]]-PaymentSchedule3[[#This Row],[Interest]],"")</f>
        <v>344.02257141898895</v>
      </c>
      <c r="I268" s="25">
        <f ca="1">IF(PaymentSchedule3[[#This Row],[Payment Number]]&lt;&gt;"",PaymentSchedule3[[#This Row],[Beginning
Balance]]*(InterestRate/PaymentsPerYear),"")</f>
        <v>199.50932188080188</v>
      </c>
      <c r="J268" s="25">
        <f ca="1">IF(PaymentSchedule3[[#This Row],[Payment Number]]&lt;&gt;"",IF(PaymentSchedule3[[#This Row],[Scheduled Payment]]+PaymentSchedule3[[#This Row],[Extra
Payment]]&lt;=PaymentSchedule3[[#This Row],[Beginning
Balance]],PaymentSchedule3[[#This Row],[Beginning
Balance]]-PaymentSchedule3[[#This Row],[Principal]],0),"")</f>
        <v>47538.214679973462</v>
      </c>
      <c r="K268" s="25">
        <f ca="1">IF(PaymentSchedule3[[#This Row],[Payment Number]]&lt;&gt;"",SUM(INDEX(PaymentSchedule3[Interest],1,1):PaymentSchedule3[[#This Row],[Interest]]),"")</f>
        <v>82714.719898221025</v>
      </c>
      <c r="L268" s="49">
        <f ca="1">LoanAmount-PaymentSchedule3[[#This Row],[Ending
Balance]]</f>
        <v>53711.785320026538</v>
      </c>
      <c r="M268" s="49">
        <f t="shared" ca="1" si="3"/>
        <v>908.5318932997908</v>
      </c>
      <c r="N268" s="25">
        <f ca="1">PaymentSchedule3[[#This Row],[Payment Number]]*$M$19</f>
        <v>228041.50521824748</v>
      </c>
    </row>
    <row r="269" spans="2:14" ht="15.75" x14ac:dyDescent="0.25">
      <c r="B269" s="23">
        <f ca="1">IF(LoanIsGood,IF(ROW()-ROW(PaymentSchedule3[[#Headers],[Payment Number]])&gt;ScheduledNumberOfPayments,"",ROW()-ROW(PaymentSchedule3[[#Headers],[Payment Number]])),"")</f>
        <v>252</v>
      </c>
      <c r="C269" s="24">
        <f ca="1">IF(PaymentSchedule3[[#This Row],[Payment Number]]&lt;&gt;"",EOMONTH(LoanStartDate,ROW(PaymentSchedule3[[#This Row],[Payment Number]])-ROW(PaymentSchedule3[[#Headers],[Payment Number]])-2)+DAY(LoanStartDate),"")</f>
        <v>52275</v>
      </c>
      <c r="D269" s="25">
        <f ca="1">IF(PaymentSchedule3[[#This Row],[Payment Number]]&lt;&gt;"",IF(ROW()-ROW(PaymentSchedule3[[#Headers],[Beginning
Balance]])=1,LoanAmount,INDEX(PaymentSchedule3[Ending
Balance],ROW()-ROW(PaymentSchedule3[[#Headers],[Beginning
Balance]])-1)),"")</f>
        <v>47538.214679973462</v>
      </c>
      <c r="E269" s="25">
        <f ca="1">IF(PaymentSchedule3[[#This Row],[Payment Number]]&lt;&gt;"",ScheduledPayment,"")</f>
        <v>543.5318932997908</v>
      </c>
      <c r="F2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69" s="25">
        <f ca="1">IF(PaymentSchedule3[[#This Row],[Payment Number]]&lt;&gt;"",PaymentSchedule3[[#This Row],[Total
Payment]]-PaymentSchedule3[[#This Row],[Interest]],"")</f>
        <v>345.45599879990141</v>
      </c>
      <c r="I269" s="25">
        <f ca="1">IF(PaymentSchedule3[[#This Row],[Payment Number]]&lt;&gt;"",PaymentSchedule3[[#This Row],[Beginning
Balance]]*(InterestRate/PaymentsPerYear),"")</f>
        <v>198.07589449988942</v>
      </c>
      <c r="J269" s="25">
        <f ca="1">IF(PaymentSchedule3[[#This Row],[Payment Number]]&lt;&gt;"",IF(PaymentSchedule3[[#This Row],[Scheduled Payment]]+PaymentSchedule3[[#This Row],[Extra
Payment]]&lt;=PaymentSchedule3[[#This Row],[Beginning
Balance]],PaymentSchedule3[[#This Row],[Beginning
Balance]]-PaymentSchedule3[[#This Row],[Principal]],0),"")</f>
        <v>47192.75868117356</v>
      </c>
      <c r="K269" s="25">
        <f ca="1">IF(PaymentSchedule3[[#This Row],[Payment Number]]&lt;&gt;"",SUM(INDEX(PaymentSchedule3[Interest],1,1):PaymentSchedule3[[#This Row],[Interest]]),"")</f>
        <v>82912.795792720921</v>
      </c>
      <c r="L269" s="49">
        <f ca="1">LoanAmount-PaymentSchedule3[[#This Row],[Ending
Balance]]</f>
        <v>54057.24131882644</v>
      </c>
      <c r="M269" s="49">
        <f t="shared" ca="1" si="3"/>
        <v>908.5318932997908</v>
      </c>
      <c r="N269" s="25">
        <f ca="1">PaymentSchedule3[[#This Row],[Payment Number]]*$M$19</f>
        <v>228950.03711154728</v>
      </c>
    </row>
    <row r="270" spans="2:14" ht="15.75" x14ac:dyDescent="0.25">
      <c r="B270" s="23">
        <f ca="1">IF(LoanIsGood,IF(ROW()-ROW(PaymentSchedule3[[#Headers],[Payment Number]])&gt;ScheduledNumberOfPayments,"",ROW()-ROW(PaymentSchedule3[[#Headers],[Payment Number]])),"")</f>
        <v>253</v>
      </c>
      <c r="C270" s="24">
        <f ca="1">IF(PaymentSchedule3[[#This Row],[Payment Number]]&lt;&gt;"",EOMONTH(LoanStartDate,ROW(PaymentSchedule3[[#This Row],[Payment Number]])-ROW(PaymentSchedule3[[#Headers],[Payment Number]])-2)+DAY(LoanStartDate),"")</f>
        <v>52303</v>
      </c>
      <c r="D270" s="25">
        <f ca="1">IF(PaymentSchedule3[[#This Row],[Payment Number]]&lt;&gt;"",IF(ROW()-ROW(PaymentSchedule3[[#Headers],[Beginning
Balance]])=1,LoanAmount,INDEX(PaymentSchedule3[Ending
Balance],ROW()-ROW(PaymentSchedule3[[#Headers],[Beginning
Balance]])-1)),"")</f>
        <v>47192.75868117356</v>
      </c>
      <c r="E270" s="25">
        <f ca="1">IF(PaymentSchedule3[[#This Row],[Payment Number]]&lt;&gt;"",ScheduledPayment,"")</f>
        <v>543.5318932997908</v>
      </c>
      <c r="F2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0" s="25">
        <f ca="1">IF(PaymentSchedule3[[#This Row],[Payment Number]]&lt;&gt;"",PaymentSchedule3[[#This Row],[Total
Payment]]-PaymentSchedule3[[#This Row],[Interest]],"")</f>
        <v>346.89539879490098</v>
      </c>
      <c r="I270" s="25">
        <f ca="1">IF(PaymentSchedule3[[#This Row],[Payment Number]]&lt;&gt;"",PaymentSchedule3[[#This Row],[Beginning
Balance]]*(InterestRate/PaymentsPerYear),"")</f>
        <v>196.63649450488984</v>
      </c>
      <c r="J270" s="25">
        <f ca="1">IF(PaymentSchedule3[[#This Row],[Payment Number]]&lt;&gt;"",IF(PaymentSchedule3[[#This Row],[Scheduled Payment]]+PaymentSchedule3[[#This Row],[Extra
Payment]]&lt;=PaymentSchedule3[[#This Row],[Beginning
Balance]],PaymentSchedule3[[#This Row],[Beginning
Balance]]-PaymentSchedule3[[#This Row],[Principal]],0),"")</f>
        <v>46845.863282378661</v>
      </c>
      <c r="K270" s="25">
        <f ca="1">IF(PaymentSchedule3[[#This Row],[Payment Number]]&lt;&gt;"",SUM(INDEX(PaymentSchedule3[Interest],1,1):PaymentSchedule3[[#This Row],[Interest]]),"")</f>
        <v>83109.432287225805</v>
      </c>
      <c r="L270" s="49">
        <f ca="1">LoanAmount-PaymentSchedule3[[#This Row],[Ending
Balance]]</f>
        <v>54404.136717621339</v>
      </c>
      <c r="M270" s="49">
        <f t="shared" ca="1" si="3"/>
        <v>908.5318932997908</v>
      </c>
      <c r="N270" s="25">
        <f ca="1">PaymentSchedule3[[#This Row],[Payment Number]]*$M$19</f>
        <v>229858.56900484706</v>
      </c>
    </row>
    <row r="271" spans="2:14" ht="15.75" x14ac:dyDescent="0.25">
      <c r="B271" s="23">
        <f ca="1">IF(LoanIsGood,IF(ROW()-ROW(PaymentSchedule3[[#Headers],[Payment Number]])&gt;ScheduledNumberOfPayments,"",ROW()-ROW(PaymentSchedule3[[#Headers],[Payment Number]])),"")</f>
        <v>254</v>
      </c>
      <c r="C271" s="24">
        <f ca="1">IF(PaymentSchedule3[[#This Row],[Payment Number]]&lt;&gt;"",EOMONTH(LoanStartDate,ROW(PaymentSchedule3[[#This Row],[Payment Number]])-ROW(PaymentSchedule3[[#Headers],[Payment Number]])-2)+DAY(LoanStartDate),"")</f>
        <v>52334</v>
      </c>
      <c r="D271" s="25">
        <f ca="1">IF(PaymentSchedule3[[#This Row],[Payment Number]]&lt;&gt;"",IF(ROW()-ROW(PaymentSchedule3[[#Headers],[Beginning
Balance]])=1,LoanAmount,INDEX(PaymentSchedule3[Ending
Balance],ROW()-ROW(PaymentSchedule3[[#Headers],[Beginning
Balance]])-1)),"")</f>
        <v>46845.863282378661</v>
      </c>
      <c r="E271" s="25">
        <f ca="1">IF(PaymentSchedule3[[#This Row],[Payment Number]]&lt;&gt;"",ScheduledPayment,"")</f>
        <v>543.5318932997908</v>
      </c>
      <c r="F2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1" s="25">
        <f ca="1">IF(PaymentSchedule3[[#This Row],[Payment Number]]&lt;&gt;"",PaymentSchedule3[[#This Row],[Total
Payment]]-PaymentSchedule3[[#This Row],[Interest]],"")</f>
        <v>348.34079628987968</v>
      </c>
      <c r="I271" s="25">
        <f ca="1">IF(PaymentSchedule3[[#This Row],[Payment Number]]&lt;&gt;"",PaymentSchedule3[[#This Row],[Beginning
Balance]]*(InterestRate/PaymentsPerYear),"")</f>
        <v>195.19109700991109</v>
      </c>
      <c r="J271" s="25">
        <f ca="1">IF(PaymentSchedule3[[#This Row],[Payment Number]]&lt;&gt;"",IF(PaymentSchedule3[[#This Row],[Scheduled Payment]]+PaymentSchedule3[[#This Row],[Extra
Payment]]&lt;=PaymentSchedule3[[#This Row],[Beginning
Balance]],PaymentSchedule3[[#This Row],[Beginning
Balance]]-PaymentSchedule3[[#This Row],[Principal]],0),"")</f>
        <v>46497.522486088783</v>
      </c>
      <c r="K271" s="25">
        <f ca="1">IF(PaymentSchedule3[[#This Row],[Payment Number]]&lt;&gt;"",SUM(INDEX(PaymentSchedule3[Interest],1,1):PaymentSchedule3[[#This Row],[Interest]]),"")</f>
        <v>83304.623384235718</v>
      </c>
      <c r="L271" s="49">
        <f ca="1">LoanAmount-PaymentSchedule3[[#This Row],[Ending
Balance]]</f>
        <v>54752.477513911217</v>
      </c>
      <c r="M271" s="49">
        <f t="shared" ca="1" si="3"/>
        <v>908.5318932997908</v>
      </c>
      <c r="N271" s="25">
        <f ca="1">PaymentSchedule3[[#This Row],[Payment Number]]*$M$19</f>
        <v>230767.10089814686</v>
      </c>
    </row>
    <row r="272" spans="2:14" ht="15.75" x14ac:dyDescent="0.25">
      <c r="B272" s="23">
        <f ca="1">IF(LoanIsGood,IF(ROW()-ROW(PaymentSchedule3[[#Headers],[Payment Number]])&gt;ScheduledNumberOfPayments,"",ROW()-ROW(PaymentSchedule3[[#Headers],[Payment Number]])),"")</f>
        <v>255</v>
      </c>
      <c r="C272" s="24">
        <f ca="1">IF(PaymentSchedule3[[#This Row],[Payment Number]]&lt;&gt;"",EOMONTH(LoanStartDate,ROW(PaymentSchedule3[[#This Row],[Payment Number]])-ROW(PaymentSchedule3[[#Headers],[Payment Number]])-2)+DAY(LoanStartDate),"")</f>
        <v>52364</v>
      </c>
      <c r="D272" s="25">
        <f ca="1">IF(PaymentSchedule3[[#This Row],[Payment Number]]&lt;&gt;"",IF(ROW()-ROW(PaymentSchedule3[[#Headers],[Beginning
Balance]])=1,LoanAmount,INDEX(PaymentSchedule3[Ending
Balance],ROW()-ROW(PaymentSchedule3[[#Headers],[Beginning
Balance]])-1)),"")</f>
        <v>46497.522486088783</v>
      </c>
      <c r="E272" s="25">
        <f ca="1">IF(PaymentSchedule3[[#This Row],[Payment Number]]&lt;&gt;"",ScheduledPayment,"")</f>
        <v>543.5318932997908</v>
      </c>
      <c r="F2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2" s="25">
        <f ca="1">IF(PaymentSchedule3[[#This Row],[Payment Number]]&lt;&gt;"",PaymentSchedule3[[#This Row],[Total
Payment]]-PaymentSchedule3[[#This Row],[Interest]],"")</f>
        <v>349.79221627442087</v>
      </c>
      <c r="I272" s="25">
        <f ca="1">IF(PaymentSchedule3[[#This Row],[Payment Number]]&lt;&gt;"",PaymentSchedule3[[#This Row],[Beginning
Balance]]*(InterestRate/PaymentsPerYear),"")</f>
        <v>193.73967702536993</v>
      </c>
      <c r="J272" s="25">
        <f ca="1">IF(PaymentSchedule3[[#This Row],[Payment Number]]&lt;&gt;"",IF(PaymentSchedule3[[#This Row],[Scheduled Payment]]+PaymentSchedule3[[#This Row],[Extra
Payment]]&lt;=PaymentSchedule3[[#This Row],[Beginning
Balance]],PaymentSchedule3[[#This Row],[Beginning
Balance]]-PaymentSchedule3[[#This Row],[Principal]],0),"")</f>
        <v>46147.730269814361</v>
      </c>
      <c r="K272" s="25">
        <f ca="1">IF(PaymentSchedule3[[#This Row],[Payment Number]]&lt;&gt;"",SUM(INDEX(PaymentSchedule3[Interest],1,1):PaymentSchedule3[[#This Row],[Interest]]),"")</f>
        <v>83498.363061261087</v>
      </c>
      <c r="L272" s="49">
        <f ca="1">LoanAmount-PaymentSchedule3[[#This Row],[Ending
Balance]]</f>
        <v>55102.269730185639</v>
      </c>
      <c r="M272" s="49">
        <f t="shared" ca="1" si="3"/>
        <v>908.5318932997908</v>
      </c>
      <c r="N272" s="25">
        <f ca="1">PaymentSchedule3[[#This Row],[Payment Number]]*$M$19</f>
        <v>231675.63279144664</v>
      </c>
    </row>
    <row r="273" spans="2:14" ht="15.75" x14ac:dyDescent="0.25">
      <c r="B273" s="23">
        <f ca="1">IF(LoanIsGood,IF(ROW()-ROW(PaymentSchedule3[[#Headers],[Payment Number]])&gt;ScheduledNumberOfPayments,"",ROW()-ROW(PaymentSchedule3[[#Headers],[Payment Number]])),"")</f>
        <v>256</v>
      </c>
      <c r="C273" s="24">
        <f ca="1">IF(PaymentSchedule3[[#This Row],[Payment Number]]&lt;&gt;"",EOMONTH(LoanStartDate,ROW(PaymentSchedule3[[#This Row],[Payment Number]])-ROW(PaymentSchedule3[[#Headers],[Payment Number]])-2)+DAY(LoanStartDate),"")</f>
        <v>52395</v>
      </c>
      <c r="D273" s="25">
        <f ca="1">IF(PaymentSchedule3[[#This Row],[Payment Number]]&lt;&gt;"",IF(ROW()-ROW(PaymentSchedule3[[#Headers],[Beginning
Balance]])=1,LoanAmount,INDEX(PaymentSchedule3[Ending
Balance],ROW()-ROW(PaymentSchedule3[[#Headers],[Beginning
Balance]])-1)),"")</f>
        <v>46147.730269814361</v>
      </c>
      <c r="E273" s="25">
        <f ca="1">IF(PaymentSchedule3[[#This Row],[Payment Number]]&lt;&gt;"",ScheduledPayment,"")</f>
        <v>543.5318932997908</v>
      </c>
      <c r="F2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3" s="25">
        <f ca="1">IF(PaymentSchedule3[[#This Row],[Payment Number]]&lt;&gt;"",PaymentSchedule3[[#This Row],[Total
Payment]]-PaymentSchedule3[[#This Row],[Interest]],"")</f>
        <v>351.24968384223098</v>
      </c>
      <c r="I273" s="25">
        <f ca="1">IF(PaymentSchedule3[[#This Row],[Payment Number]]&lt;&gt;"",PaymentSchedule3[[#This Row],[Beginning
Balance]]*(InterestRate/PaymentsPerYear),"")</f>
        <v>192.28220945755984</v>
      </c>
      <c r="J273" s="25">
        <f ca="1">IF(PaymentSchedule3[[#This Row],[Payment Number]]&lt;&gt;"",IF(PaymentSchedule3[[#This Row],[Scheduled Payment]]+PaymentSchedule3[[#This Row],[Extra
Payment]]&lt;=PaymentSchedule3[[#This Row],[Beginning
Balance]],PaymentSchedule3[[#This Row],[Beginning
Balance]]-PaymentSchedule3[[#This Row],[Principal]],0),"")</f>
        <v>45796.480585972131</v>
      </c>
      <c r="K273" s="25">
        <f ca="1">IF(PaymentSchedule3[[#This Row],[Payment Number]]&lt;&gt;"",SUM(INDEX(PaymentSchedule3[Interest],1,1):PaymentSchedule3[[#This Row],[Interest]]),"")</f>
        <v>83690.64527071864</v>
      </c>
      <c r="L273" s="49">
        <f ca="1">LoanAmount-PaymentSchedule3[[#This Row],[Ending
Balance]]</f>
        <v>55453.519414027869</v>
      </c>
      <c r="M273" s="49">
        <f t="shared" ca="1" si="3"/>
        <v>908.5318932997908</v>
      </c>
      <c r="N273" s="25">
        <f ca="1">PaymentSchedule3[[#This Row],[Payment Number]]*$M$19</f>
        <v>232584.16468474644</v>
      </c>
    </row>
    <row r="274" spans="2:14" ht="15.75" x14ac:dyDescent="0.25">
      <c r="B274" s="23">
        <f ca="1">IF(LoanIsGood,IF(ROW()-ROW(PaymentSchedule3[[#Headers],[Payment Number]])&gt;ScheduledNumberOfPayments,"",ROW()-ROW(PaymentSchedule3[[#Headers],[Payment Number]])),"")</f>
        <v>257</v>
      </c>
      <c r="C274" s="24">
        <f ca="1">IF(PaymentSchedule3[[#This Row],[Payment Number]]&lt;&gt;"",EOMONTH(LoanStartDate,ROW(PaymentSchedule3[[#This Row],[Payment Number]])-ROW(PaymentSchedule3[[#Headers],[Payment Number]])-2)+DAY(LoanStartDate),"")</f>
        <v>52425</v>
      </c>
      <c r="D274" s="25">
        <f ca="1">IF(PaymentSchedule3[[#This Row],[Payment Number]]&lt;&gt;"",IF(ROW()-ROW(PaymentSchedule3[[#Headers],[Beginning
Balance]])=1,LoanAmount,INDEX(PaymentSchedule3[Ending
Balance],ROW()-ROW(PaymentSchedule3[[#Headers],[Beginning
Balance]])-1)),"")</f>
        <v>45796.480585972131</v>
      </c>
      <c r="E274" s="25">
        <f ca="1">IF(PaymentSchedule3[[#This Row],[Payment Number]]&lt;&gt;"",ScheduledPayment,"")</f>
        <v>543.5318932997908</v>
      </c>
      <c r="F2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4" s="25">
        <f ca="1">IF(PaymentSchedule3[[#This Row],[Payment Number]]&lt;&gt;"",PaymentSchedule3[[#This Row],[Total
Payment]]-PaymentSchedule3[[#This Row],[Interest]],"")</f>
        <v>352.71322419157354</v>
      </c>
      <c r="I274" s="25">
        <f ca="1">IF(PaymentSchedule3[[#This Row],[Payment Number]]&lt;&gt;"",PaymentSchedule3[[#This Row],[Beginning
Balance]]*(InterestRate/PaymentsPerYear),"")</f>
        <v>190.81866910821722</v>
      </c>
      <c r="J274" s="25">
        <f ca="1">IF(PaymentSchedule3[[#This Row],[Payment Number]]&lt;&gt;"",IF(PaymentSchedule3[[#This Row],[Scheduled Payment]]+PaymentSchedule3[[#This Row],[Extra
Payment]]&lt;=PaymentSchedule3[[#This Row],[Beginning
Balance]],PaymentSchedule3[[#This Row],[Beginning
Balance]]-PaymentSchedule3[[#This Row],[Principal]],0),"")</f>
        <v>45443.767361780556</v>
      </c>
      <c r="K274" s="25">
        <f ca="1">IF(PaymentSchedule3[[#This Row],[Payment Number]]&lt;&gt;"",SUM(INDEX(PaymentSchedule3[Interest],1,1):PaymentSchedule3[[#This Row],[Interest]]),"")</f>
        <v>83881.463939826863</v>
      </c>
      <c r="L274" s="49">
        <f ca="1">LoanAmount-PaymentSchedule3[[#This Row],[Ending
Balance]]</f>
        <v>55806.232638219444</v>
      </c>
      <c r="M274" s="49">
        <f t="shared" ref="M274:M337" ca="1" si="4">G275+$N$7+N$8+$N$9</f>
        <v>908.5318932997908</v>
      </c>
      <c r="N274" s="25">
        <f ca="1">PaymentSchedule3[[#This Row],[Payment Number]]*$M$19</f>
        <v>233492.69657804625</v>
      </c>
    </row>
    <row r="275" spans="2:14" ht="15.75" x14ac:dyDescent="0.25">
      <c r="B275" s="23">
        <f ca="1">IF(LoanIsGood,IF(ROW()-ROW(PaymentSchedule3[[#Headers],[Payment Number]])&gt;ScheduledNumberOfPayments,"",ROW()-ROW(PaymentSchedule3[[#Headers],[Payment Number]])),"")</f>
        <v>258</v>
      </c>
      <c r="C275" s="24">
        <f ca="1">IF(PaymentSchedule3[[#This Row],[Payment Number]]&lt;&gt;"",EOMONTH(LoanStartDate,ROW(PaymentSchedule3[[#This Row],[Payment Number]])-ROW(PaymentSchedule3[[#Headers],[Payment Number]])-2)+DAY(LoanStartDate),"")</f>
        <v>52456</v>
      </c>
      <c r="D275" s="25">
        <f ca="1">IF(PaymentSchedule3[[#This Row],[Payment Number]]&lt;&gt;"",IF(ROW()-ROW(PaymentSchedule3[[#Headers],[Beginning
Balance]])=1,LoanAmount,INDEX(PaymentSchedule3[Ending
Balance],ROW()-ROW(PaymentSchedule3[[#Headers],[Beginning
Balance]])-1)),"")</f>
        <v>45443.767361780556</v>
      </c>
      <c r="E275" s="25">
        <f ca="1">IF(PaymentSchedule3[[#This Row],[Payment Number]]&lt;&gt;"",ScheduledPayment,"")</f>
        <v>543.5318932997908</v>
      </c>
      <c r="F2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5" s="25">
        <f ca="1">IF(PaymentSchedule3[[#This Row],[Payment Number]]&lt;&gt;"",PaymentSchedule3[[#This Row],[Total
Payment]]-PaymentSchedule3[[#This Row],[Interest]],"")</f>
        <v>354.18286262570518</v>
      </c>
      <c r="I275" s="25">
        <f ca="1">IF(PaymentSchedule3[[#This Row],[Payment Number]]&lt;&gt;"",PaymentSchedule3[[#This Row],[Beginning
Balance]]*(InterestRate/PaymentsPerYear),"")</f>
        <v>189.34903067408564</v>
      </c>
      <c r="J275" s="25">
        <f ca="1">IF(PaymentSchedule3[[#This Row],[Payment Number]]&lt;&gt;"",IF(PaymentSchedule3[[#This Row],[Scheduled Payment]]+PaymentSchedule3[[#This Row],[Extra
Payment]]&lt;=PaymentSchedule3[[#This Row],[Beginning
Balance]],PaymentSchedule3[[#This Row],[Beginning
Balance]]-PaymentSchedule3[[#This Row],[Principal]],0),"")</f>
        <v>45089.584499154851</v>
      </c>
      <c r="K275" s="25">
        <f ca="1">IF(PaymentSchedule3[[#This Row],[Payment Number]]&lt;&gt;"",SUM(INDEX(PaymentSchedule3[Interest],1,1):PaymentSchedule3[[#This Row],[Interest]]),"")</f>
        <v>84070.812970500949</v>
      </c>
      <c r="L275" s="49">
        <f ca="1">LoanAmount-PaymentSchedule3[[#This Row],[Ending
Balance]]</f>
        <v>56160.415500845149</v>
      </c>
      <c r="M275" s="49">
        <f t="shared" ca="1" si="4"/>
        <v>908.5318932997908</v>
      </c>
      <c r="N275" s="25">
        <f ca="1">PaymentSchedule3[[#This Row],[Payment Number]]*$M$19</f>
        <v>234401.22847134602</v>
      </c>
    </row>
    <row r="276" spans="2:14" ht="15.75" x14ac:dyDescent="0.25">
      <c r="B276" s="23">
        <f ca="1">IF(LoanIsGood,IF(ROW()-ROW(PaymentSchedule3[[#Headers],[Payment Number]])&gt;ScheduledNumberOfPayments,"",ROW()-ROW(PaymentSchedule3[[#Headers],[Payment Number]])),"")</f>
        <v>259</v>
      </c>
      <c r="C276" s="24">
        <f ca="1">IF(PaymentSchedule3[[#This Row],[Payment Number]]&lt;&gt;"",EOMONTH(LoanStartDate,ROW(PaymentSchedule3[[#This Row],[Payment Number]])-ROW(PaymentSchedule3[[#Headers],[Payment Number]])-2)+DAY(LoanStartDate),"")</f>
        <v>52487</v>
      </c>
      <c r="D276" s="25">
        <f ca="1">IF(PaymentSchedule3[[#This Row],[Payment Number]]&lt;&gt;"",IF(ROW()-ROW(PaymentSchedule3[[#Headers],[Beginning
Balance]])=1,LoanAmount,INDEX(PaymentSchedule3[Ending
Balance],ROW()-ROW(PaymentSchedule3[[#Headers],[Beginning
Balance]])-1)),"")</f>
        <v>45089.584499154851</v>
      </c>
      <c r="E276" s="25">
        <f ca="1">IF(PaymentSchedule3[[#This Row],[Payment Number]]&lt;&gt;"",ScheduledPayment,"")</f>
        <v>543.5318932997908</v>
      </c>
      <c r="F2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6" s="25">
        <f ca="1">IF(PaymentSchedule3[[#This Row],[Payment Number]]&lt;&gt;"",PaymentSchedule3[[#This Row],[Total
Payment]]-PaymentSchedule3[[#This Row],[Interest]],"")</f>
        <v>355.65862455331228</v>
      </c>
      <c r="I276" s="25">
        <f ca="1">IF(PaymentSchedule3[[#This Row],[Payment Number]]&lt;&gt;"",PaymentSchedule3[[#This Row],[Beginning
Balance]]*(InterestRate/PaymentsPerYear),"")</f>
        <v>187.87326874647854</v>
      </c>
      <c r="J276" s="25">
        <f ca="1">IF(PaymentSchedule3[[#This Row],[Payment Number]]&lt;&gt;"",IF(PaymentSchedule3[[#This Row],[Scheduled Payment]]+PaymentSchedule3[[#This Row],[Extra
Payment]]&lt;=PaymentSchedule3[[#This Row],[Beginning
Balance]],PaymentSchedule3[[#This Row],[Beginning
Balance]]-PaymentSchedule3[[#This Row],[Principal]],0),"")</f>
        <v>44733.92587460154</v>
      </c>
      <c r="K276" s="25">
        <f ca="1">IF(PaymentSchedule3[[#This Row],[Payment Number]]&lt;&gt;"",SUM(INDEX(PaymentSchedule3[Interest],1,1):PaymentSchedule3[[#This Row],[Interest]]),"")</f>
        <v>84258.686239247429</v>
      </c>
      <c r="L276" s="49">
        <f ca="1">LoanAmount-PaymentSchedule3[[#This Row],[Ending
Balance]]</f>
        <v>56516.07412539846</v>
      </c>
      <c r="M276" s="49">
        <f t="shared" ca="1" si="4"/>
        <v>908.5318932997908</v>
      </c>
      <c r="N276" s="25">
        <f ca="1">PaymentSchedule3[[#This Row],[Payment Number]]*$M$19</f>
        <v>235309.76036464583</v>
      </c>
    </row>
    <row r="277" spans="2:14" ht="15.75" x14ac:dyDescent="0.25">
      <c r="B277" s="23">
        <f ca="1">IF(LoanIsGood,IF(ROW()-ROW(PaymentSchedule3[[#Headers],[Payment Number]])&gt;ScheduledNumberOfPayments,"",ROW()-ROW(PaymentSchedule3[[#Headers],[Payment Number]])),"")</f>
        <v>260</v>
      </c>
      <c r="C277" s="24">
        <f ca="1">IF(PaymentSchedule3[[#This Row],[Payment Number]]&lt;&gt;"",EOMONTH(LoanStartDate,ROW(PaymentSchedule3[[#This Row],[Payment Number]])-ROW(PaymentSchedule3[[#Headers],[Payment Number]])-2)+DAY(LoanStartDate),"")</f>
        <v>52517</v>
      </c>
      <c r="D277" s="25">
        <f ca="1">IF(PaymentSchedule3[[#This Row],[Payment Number]]&lt;&gt;"",IF(ROW()-ROW(PaymentSchedule3[[#Headers],[Beginning
Balance]])=1,LoanAmount,INDEX(PaymentSchedule3[Ending
Balance],ROW()-ROW(PaymentSchedule3[[#Headers],[Beginning
Balance]])-1)),"")</f>
        <v>44733.92587460154</v>
      </c>
      <c r="E277" s="25">
        <f ca="1">IF(PaymentSchedule3[[#This Row],[Payment Number]]&lt;&gt;"",ScheduledPayment,"")</f>
        <v>543.5318932997908</v>
      </c>
      <c r="F2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7" s="25">
        <f ca="1">IF(PaymentSchedule3[[#This Row],[Payment Number]]&lt;&gt;"",PaymentSchedule3[[#This Row],[Total
Payment]]-PaymentSchedule3[[#This Row],[Interest]],"")</f>
        <v>357.14053548895106</v>
      </c>
      <c r="I277" s="25">
        <f ca="1">IF(PaymentSchedule3[[#This Row],[Payment Number]]&lt;&gt;"",PaymentSchedule3[[#This Row],[Beginning
Balance]]*(InterestRate/PaymentsPerYear),"")</f>
        <v>186.39135781083974</v>
      </c>
      <c r="J277" s="25">
        <f ca="1">IF(PaymentSchedule3[[#This Row],[Payment Number]]&lt;&gt;"",IF(PaymentSchedule3[[#This Row],[Scheduled Payment]]+PaymentSchedule3[[#This Row],[Extra
Payment]]&lt;=PaymentSchedule3[[#This Row],[Beginning
Balance]],PaymentSchedule3[[#This Row],[Beginning
Balance]]-PaymentSchedule3[[#This Row],[Principal]],0),"")</f>
        <v>44376.78533911259</v>
      </c>
      <c r="K277" s="25">
        <f ca="1">IF(PaymentSchedule3[[#This Row],[Payment Number]]&lt;&gt;"",SUM(INDEX(PaymentSchedule3[Interest],1,1):PaymentSchedule3[[#This Row],[Interest]]),"")</f>
        <v>84445.077597058262</v>
      </c>
      <c r="L277" s="49">
        <f ca="1">LoanAmount-PaymentSchedule3[[#This Row],[Ending
Balance]]</f>
        <v>56873.21466088741</v>
      </c>
      <c r="M277" s="49">
        <f t="shared" ca="1" si="4"/>
        <v>908.5318932997908</v>
      </c>
      <c r="N277" s="25">
        <f ca="1">PaymentSchedule3[[#This Row],[Payment Number]]*$M$19</f>
        <v>236218.29225794561</v>
      </c>
    </row>
    <row r="278" spans="2:14" ht="15.75" x14ac:dyDescent="0.25">
      <c r="B278" s="23">
        <f ca="1">IF(LoanIsGood,IF(ROW()-ROW(PaymentSchedule3[[#Headers],[Payment Number]])&gt;ScheduledNumberOfPayments,"",ROW()-ROW(PaymentSchedule3[[#Headers],[Payment Number]])),"")</f>
        <v>261</v>
      </c>
      <c r="C278" s="24">
        <f ca="1">IF(PaymentSchedule3[[#This Row],[Payment Number]]&lt;&gt;"",EOMONTH(LoanStartDate,ROW(PaymentSchedule3[[#This Row],[Payment Number]])-ROW(PaymentSchedule3[[#Headers],[Payment Number]])-2)+DAY(LoanStartDate),"")</f>
        <v>52548</v>
      </c>
      <c r="D278" s="25">
        <f ca="1">IF(PaymentSchedule3[[#This Row],[Payment Number]]&lt;&gt;"",IF(ROW()-ROW(PaymentSchedule3[[#Headers],[Beginning
Balance]])=1,LoanAmount,INDEX(PaymentSchedule3[Ending
Balance],ROW()-ROW(PaymentSchedule3[[#Headers],[Beginning
Balance]])-1)),"")</f>
        <v>44376.78533911259</v>
      </c>
      <c r="E278" s="25">
        <f ca="1">IF(PaymentSchedule3[[#This Row],[Payment Number]]&lt;&gt;"",ScheduledPayment,"")</f>
        <v>543.5318932997908</v>
      </c>
      <c r="F27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8" s="25">
        <f ca="1">IF(PaymentSchedule3[[#This Row],[Payment Number]]&lt;&gt;"",PaymentSchedule3[[#This Row],[Total
Payment]]-PaymentSchedule3[[#This Row],[Interest]],"")</f>
        <v>358.62862105348836</v>
      </c>
      <c r="I278" s="25">
        <f ca="1">IF(PaymentSchedule3[[#This Row],[Payment Number]]&lt;&gt;"",PaymentSchedule3[[#This Row],[Beginning
Balance]]*(InterestRate/PaymentsPerYear),"")</f>
        <v>184.90327224630246</v>
      </c>
      <c r="J278" s="25">
        <f ca="1">IF(PaymentSchedule3[[#This Row],[Payment Number]]&lt;&gt;"",IF(PaymentSchedule3[[#This Row],[Scheduled Payment]]+PaymentSchedule3[[#This Row],[Extra
Payment]]&lt;=PaymentSchedule3[[#This Row],[Beginning
Balance]],PaymentSchedule3[[#This Row],[Beginning
Balance]]-PaymentSchedule3[[#This Row],[Principal]],0),"")</f>
        <v>44018.156718059101</v>
      </c>
      <c r="K278" s="25">
        <f ca="1">IF(PaymentSchedule3[[#This Row],[Payment Number]]&lt;&gt;"",SUM(INDEX(PaymentSchedule3[Interest],1,1):PaymentSchedule3[[#This Row],[Interest]]),"")</f>
        <v>84629.980869304563</v>
      </c>
      <c r="L278" s="49">
        <f ca="1">LoanAmount-PaymentSchedule3[[#This Row],[Ending
Balance]]</f>
        <v>57231.843281940899</v>
      </c>
      <c r="M278" s="49">
        <f t="shared" ca="1" si="4"/>
        <v>908.5318932997908</v>
      </c>
      <c r="N278" s="25">
        <f ca="1">PaymentSchedule3[[#This Row],[Payment Number]]*$M$19</f>
        <v>237126.82415124541</v>
      </c>
    </row>
    <row r="279" spans="2:14" ht="15.75" x14ac:dyDescent="0.25">
      <c r="B279" s="23">
        <f ca="1">IF(LoanIsGood,IF(ROW()-ROW(PaymentSchedule3[[#Headers],[Payment Number]])&gt;ScheduledNumberOfPayments,"",ROW()-ROW(PaymentSchedule3[[#Headers],[Payment Number]])),"")</f>
        <v>262</v>
      </c>
      <c r="C279" s="24">
        <f ca="1">IF(PaymentSchedule3[[#This Row],[Payment Number]]&lt;&gt;"",EOMONTH(LoanStartDate,ROW(PaymentSchedule3[[#This Row],[Payment Number]])-ROW(PaymentSchedule3[[#Headers],[Payment Number]])-2)+DAY(LoanStartDate),"")</f>
        <v>52578</v>
      </c>
      <c r="D279" s="25">
        <f ca="1">IF(PaymentSchedule3[[#This Row],[Payment Number]]&lt;&gt;"",IF(ROW()-ROW(PaymentSchedule3[[#Headers],[Beginning
Balance]])=1,LoanAmount,INDEX(PaymentSchedule3[Ending
Balance],ROW()-ROW(PaymentSchedule3[[#Headers],[Beginning
Balance]])-1)),"")</f>
        <v>44018.156718059101</v>
      </c>
      <c r="E279" s="25">
        <f ca="1">IF(PaymentSchedule3[[#This Row],[Payment Number]]&lt;&gt;"",ScheduledPayment,"")</f>
        <v>543.5318932997908</v>
      </c>
      <c r="F27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79" s="25">
        <f ca="1">IF(PaymentSchedule3[[#This Row],[Payment Number]]&lt;&gt;"",PaymentSchedule3[[#This Row],[Total
Payment]]-PaymentSchedule3[[#This Row],[Interest]],"")</f>
        <v>360.12290697454455</v>
      </c>
      <c r="I279" s="25">
        <f ca="1">IF(PaymentSchedule3[[#This Row],[Payment Number]]&lt;&gt;"",PaymentSchedule3[[#This Row],[Beginning
Balance]]*(InterestRate/PaymentsPerYear),"")</f>
        <v>183.40898632524625</v>
      </c>
      <c r="J279" s="25">
        <f ca="1">IF(PaymentSchedule3[[#This Row],[Payment Number]]&lt;&gt;"",IF(PaymentSchedule3[[#This Row],[Scheduled Payment]]+PaymentSchedule3[[#This Row],[Extra
Payment]]&lt;=PaymentSchedule3[[#This Row],[Beginning
Balance]],PaymentSchedule3[[#This Row],[Beginning
Balance]]-PaymentSchedule3[[#This Row],[Principal]],0),"")</f>
        <v>43658.033811084555</v>
      </c>
      <c r="K279" s="25">
        <f ca="1">IF(PaymentSchedule3[[#This Row],[Payment Number]]&lt;&gt;"",SUM(INDEX(PaymentSchedule3[Interest],1,1):PaymentSchedule3[[#This Row],[Interest]]),"")</f>
        <v>84813.389855629808</v>
      </c>
      <c r="L279" s="49">
        <f ca="1">LoanAmount-PaymentSchedule3[[#This Row],[Ending
Balance]]</f>
        <v>57591.966188915445</v>
      </c>
      <c r="M279" s="49">
        <f t="shared" ca="1" si="4"/>
        <v>908.5318932997908</v>
      </c>
      <c r="N279" s="25">
        <f ca="1">PaymentSchedule3[[#This Row],[Payment Number]]*$M$19</f>
        <v>238035.35604454519</v>
      </c>
    </row>
    <row r="280" spans="2:14" ht="15.75" x14ac:dyDescent="0.25">
      <c r="B280" s="23">
        <f ca="1">IF(LoanIsGood,IF(ROW()-ROW(PaymentSchedule3[[#Headers],[Payment Number]])&gt;ScheduledNumberOfPayments,"",ROW()-ROW(PaymentSchedule3[[#Headers],[Payment Number]])),"")</f>
        <v>263</v>
      </c>
      <c r="C280" s="24">
        <f ca="1">IF(PaymentSchedule3[[#This Row],[Payment Number]]&lt;&gt;"",EOMONTH(LoanStartDate,ROW(PaymentSchedule3[[#This Row],[Payment Number]])-ROW(PaymentSchedule3[[#Headers],[Payment Number]])-2)+DAY(LoanStartDate),"")</f>
        <v>52609</v>
      </c>
      <c r="D280" s="25">
        <f ca="1">IF(PaymentSchedule3[[#This Row],[Payment Number]]&lt;&gt;"",IF(ROW()-ROW(PaymentSchedule3[[#Headers],[Beginning
Balance]])=1,LoanAmount,INDEX(PaymentSchedule3[Ending
Balance],ROW()-ROW(PaymentSchedule3[[#Headers],[Beginning
Balance]])-1)),"")</f>
        <v>43658.033811084555</v>
      </c>
      <c r="E280" s="25">
        <f ca="1">IF(PaymentSchedule3[[#This Row],[Payment Number]]&lt;&gt;"",ScheduledPayment,"")</f>
        <v>543.5318932997908</v>
      </c>
      <c r="F28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0" s="25">
        <f ca="1">IF(PaymentSchedule3[[#This Row],[Payment Number]]&lt;&gt;"",PaymentSchedule3[[#This Row],[Total
Payment]]-PaymentSchedule3[[#This Row],[Interest]],"")</f>
        <v>361.6234190869385</v>
      </c>
      <c r="I280" s="25">
        <f ca="1">IF(PaymentSchedule3[[#This Row],[Payment Number]]&lt;&gt;"",PaymentSchedule3[[#This Row],[Beginning
Balance]]*(InterestRate/PaymentsPerYear),"")</f>
        <v>181.9084742128523</v>
      </c>
      <c r="J280" s="25">
        <f ca="1">IF(PaymentSchedule3[[#This Row],[Payment Number]]&lt;&gt;"",IF(PaymentSchedule3[[#This Row],[Scheduled Payment]]+PaymentSchedule3[[#This Row],[Extra
Payment]]&lt;=PaymentSchedule3[[#This Row],[Beginning
Balance]],PaymentSchedule3[[#This Row],[Beginning
Balance]]-PaymentSchedule3[[#This Row],[Principal]],0),"")</f>
        <v>43296.410391997619</v>
      </c>
      <c r="K280" s="25">
        <f ca="1">IF(PaymentSchedule3[[#This Row],[Payment Number]]&lt;&gt;"",SUM(INDEX(PaymentSchedule3[Interest],1,1):PaymentSchedule3[[#This Row],[Interest]]),"")</f>
        <v>84995.298329842655</v>
      </c>
      <c r="L280" s="49">
        <f ca="1">LoanAmount-PaymentSchedule3[[#This Row],[Ending
Balance]]</f>
        <v>57953.589608002381</v>
      </c>
      <c r="M280" s="49">
        <f t="shared" ca="1" si="4"/>
        <v>908.5318932997908</v>
      </c>
      <c r="N280" s="25">
        <f ca="1">PaymentSchedule3[[#This Row],[Payment Number]]*$M$19</f>
        <v>238943.88793784499</v>
      </c>
    </row>
    <row r="281" spans="2:14" ht="15.75" x14ac:dyDescent="0.25">
      <c r="B281" s="23">
        <f ca="1">IF(LoanIsGood,IF(ROW()-ROW(PaymentSchedule3[[#Headers],[Payment Number]])&gt;ScheduledNumberOfPayments,"",ROW()-ROW(PaymentSchedule3[[#Headers],[Payment Number]])),"")</f>
        <v>264</v>
      </c>
      <c r="C281" s="24">
        <f ca="1">IF(PaymentSchedule3[[#This Row],[Payment Number]]&lt;&gt;"",EOMONTH(LoanStartDate,ROW(PaymentSchedule3[[#This Row],[Payment Number]])-ROW(PaymentSchedule3[[#Headers],[Payment Number]])-2)+DAY(LoanStartDate),"")</f>
        <v>52640</v>
      </c>
      <c r="D281" s="25">
        <f ca="1">IF(PaymentSchedule3[[#This Row],[Payment Number]]&lt;&gt;"",IF(ROW()-ROW(PaymentSchedule3[[#Headers],[Beginning
Balance]])=1,LoanAmount,INDEX(PaymentSchedule3[Ending
Balance],ROW()-ROW(PaymentSchedule3[[#Headers],[Beginning
Balance]])-1)),"")</f>
        <v>43296.410391997619</v>
      </c>
      <c r="E281" s="25">
        <f ca="1">IF(PaymentSchedule3[[#This Row],[Payment Number]]&lt;&gt;"",ScheduledPayment,"")</f>
        <v>543.5318932997908</v>
      </c>
      <c r="F28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1" s="25">
        <f ca="1">IF(PaymentSchedule3[[#This Row],[Payment Number]]&lt;&gt;"",PaymentSchedule3[[#This Row],[Total
Payment]]-PaymentSchedule3[[#This Row],[Interest]],"")</f>
        <v>363.13018333313403</v>
      </c>
      <c r="I281" s="25">
        <f ca="1">IF(PaymentSchedule3[[#This Row],[Payment Number]]&lt;&gt;"",PaymentSchedule3[[#This Row],[Beginning
Balance]]*(InterestRate/PaymentsPerYear),"")</f>
        <v>180.40170996665674</v>
      </c>
      <c r="J281" s="25">
        <f ca="1">IF(PaymentSchedule3[[#This Row],[Payment Number]]&lt;&gt;"",IF(PaymentSchedule3[[#This Row],[Scheduled Payment]]+PaymentSchedule3[[#This Row],[Extra
Payment]]&lt;=PaymentSchedule3[[#This Row],[Beginning
Balance]],PaymentSchedule3[[#This Row],[Beginning
Balance]]-PaymentSchedule3[[#This Row],[Principal]],0),"")</f>
        <v>42933.280208664488</v>
      </c>
      <c r="K281" s="25">
        <f ca="1">IF(PaymentSchedule3[[#This Row],[Payment Number]]&lt;&gt;"",SUM(INDEX(PaymentSchedule3[Interest],1,1):PaymentSchedule3[[#This Row],[Interest]]),"")</f>
        <v>85175.700039809308</v>
      </c>
      <c r="L281" s="49">
        <f ca="1">LoanAmount-PaymentSchedule3[[#This Row],[Ending
Balance]]</f>
        <v>58316.719791335512</v>
      </c>
      <c r="M281" s="49">
        <f t="shared" ca="1" si="4"/>
        <v>908.5318932997908</v>
      </c>
      <c r="N281" s="25">
        <f ca="1">PaymentSchedule3[[#This Row],[Payment Number]]*$M$19</f>
        <v>239852.41983114477</v>
      </c>
    </row>
    <row r="282" spans="2:14" ht="15.75" x14ac:dyDescent="0.25">
      <c r="B282" s="23">
        <f ca="1">IF(LoanIsGood,IF(ROW()-ROW(PaymentSchedule3[[#Headers],[Payment Number]])&gt;ScheduledNumberOfPayments,"",ROW()-ROW(PaymentSchedule3[[#Headers],[Payment Number]])),"")</f>
        <v>265</v>
      </c>
      <c r="C282" s="24">
        <f ca="1">IF(PaymentSchedule3[[#This Row],[Payment Number]]&lt;&gt;"",EOMONTH(LoanStartDate,ROW(PaymentSchedule3[[#This Row],[Payment Number]])-ROW(PaymentSchedule3[[#Headers],[Payment Number]])-2)+DAY(LoanStartDate),"")</f>
        <v>52669</v>
      </c>
      <c r="D282" s="25">
        <f ca="1">IF(PaymentSchedule3[[#This Row],[Payment Number]]&lt;&gt;"",IF(ROW()-ROW(PaymentSchedule3[[#Headers],[Beginning
Balance]])=1,LoanAmount,INDEX(PaymentSchedule3[Ending
Balance],ROW()-ROW(PaymentSchedule3[[#Headers],[Beginning
Balance]])-1)),"")</f>
        <v>42933.280208664488</v>
      </c>
      <c r="E282" s="25">
        <f ca="1">IF(PaymentSchedule3[[#This Row],[Payment Number]]&lt;&gt;"",ScheduledPayment,"")</f>
        <v>543.5318932997908</v>
      </c>
      <c r="F28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2" s="25">
        <f ca="1">IF(PaymentSchedule3[[#This Row],[Payment Number]]&lt;&gt;"",PaymentSchedule3[[#This Row],[Total
Payment]]-PaymentSchedule3[[#This Row],[Interest]],"")</f>
        <v>364.64322576368875</v>
      </c>
      <c r="I282" s="25">
        <f ca="1">IF(PaymentSchedule3[[#This Row],[Payment Number]]&lt;&gt;"",PaymentSchedule3[[#This Row],[Beginning
Balance]]*(InterestRate/PaymentsPerYear),"")</f>
        <v>178.88866753610202</v>
      </c>
      <c r="J282" s="25">
        <f ca="1">IF(PaymentSchedule3[[#This Row],[Payment Number]]&lt;&gt;"",IF(PaymentSchedule3[[#This Row],[Scheduled Payment]]+PaymentSchedule3[[#This Row],[Extra
Payment]]&lt;=PaymentSchedule3[[#This Row],[Beginning
Balance]],PaymentSchedule3[[#This Row],[Beginning
Balance]]-PaymentSchedule3[[#This Row],[Principal]],0),"")</f>
        <v>42568.636982900796</v>
      </c>
      <c r="K282" s="25">
        <f ca="1">IF(PaymentSchedule3[[#This Row],[Payment Number]]&lt;&gt;"",SUM(INDEX(PaymentSchedule3[Interest],1,1):PaymentSchedule3[[#This Row],[Interest]]),"")</f>
        <v>85354.588707345407</v>
      </c>
      <c r="L282" s="49">
        <f ca="1">LoanAmount-PaymentSchedule3[[#This Row],[Ending
Balance]]</f>
        <v>58681.363017099204</v>
      </c>
      <c r="M282" s="49">
        <f t="shared" ca="1" si="4"/>
        <v>908.5318932997908</v>
      </c>
      <c r="N282" s="25">
        <f ca="1">PaymentSchedule3[[#This Row],[Payment Number]]*$M$19</f>
        <v>240760.95172444457</v>
      </c>
    </row>
    <row r="283" spans="2:14" ht="15.75" x14ac:dyDescent="0.25">
      <c r="B283" s="23">
        <f ca="1">IF(LoanIsGood,IF(ROW()-ROW(PaymentSchedule3[[#Headers],[Payment Number]])&gt;ScheduledNumberOfPayments,"",ROW()-ROW(PaymentSchedule3[[#Headers],[Payment Number]])),"")</f>
        <v>266</v>
      </c>
      <c r="C283" s="24">
        <f ca="1">IF(PaymentSchedule3[[#This Row],[Payment Number]]&lt;&gt;"",EOMONTH(LoanStartDate,ROW(PaymentSchedule3[[#This Row],[Payment Number]])-ROW(PaymentSchedule3[[#Headers],[Payment Number]])-2)+DAY(LoanStartDate),"")</f>
        <v>52700</v>
      </c>
      <c r="D283" s="25">
        <f ca="1">IF(PaymentSchedule3[[#This Row],[Payment Number]]&lt;&gt;"",IF(ROW()-ROW(PaymentSchedule3[[#Headers],[Beginning
Balance]])=1,LoanAmount,INDEX(PaymentSchedule3[Ending
Balance],ROW()-ROW(PaymentSchedule3[[#Headers],[Beginning
Balance]])-1)),"")</f>
        <v>42568.636982900796</v>
      </c>
      <c r="E283" s="25">
        <f ca="1">IF(PaymentSchedule3[[#This Row],[Payment Number]]&lt;&gt;"",ScheduledPayment,"")</f>
        <v>543.5318932997908</v>
      </c>
      <c r="F28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3" s="25">
        <f ca="1">IF(PaymentSchedule3[[#This Row],[Payment Number]]&lt;&gt;"",PaymentSchedule3[[#This Row],[Total
Payment]]-PaymentSchedule3[[#This Row],[Interest]],"")</f>
        <v>366.16257253770414</v>
      </c>
      <c r="I283" s="25">
        <f ca="1">IF(PaymentSchedule3[[#This Row],[Payment Number]]&lt;&gt;"",PaymentSchedule3[[#This Row],[Beginning
Balance]]*(InterestRate/PaymentsPerYear),"")</f>
        <v>177.36932076208666</v>
      </c>
      <c r="J283" s="25">
        <f ca="1">IF(PaymentSchedule3[[#This Row],[Payment Number]]&lt;&gt;"",IF(PaymentSchedule3[[#This Row],[Scheduled Payment]]+PaymentSchedule3[[#This Row],[Extra
Payment]]&lt;=PaymentSchedule3[[#This Row],[Beginning
Balance]],PaymentSchedule3[[#This Row],[Beginning
Balance]]-PaymentSchedule3[[#This Row],[Principal]],0),"")</f>
        <v>42202.474410363095</v>
      </c>
      <c r="K283" s="25">
        <f ca="1">IF(PaymentSchedule3[[#This Row],[Payment Number]]&lt;&gt;"",SUM(INDEX(PaymentSchedule3[Interest],1,1):PaymentSchedule3[[#This Row],[Interest]]),"")</f>
        <v>85531.958028107489</v>
      </c>
      <c r="L283" s="49">
        <f ca="1">LoanAmount-PaymentSchedule3[[#This Row],[Ending
Balance]]</f>
        <v>59047.525589636905</v>
      </c>
      <c r="M283" s="49">
        <f t="shared" ca="1" si="4"/>
        <v>908.5318932997908</v>
      </c>
      <c r="N283" s="25">
        <f ca="1">PaymentSchedule3[[#This Row],[Payment Number]]*$M$19</f>
        <v>241669.48361774435</v>
      </c>
    </row>
    <row r="284" spans="2:14" ht="15.75" x14ac:dyDescent="0.25">
      <c r="B284" s="23">
        <f ca="1">IF(LoanIsGood,IF(ROW()-ROW(PaymentSchedule3[[#Headers],[Payment Number]])&gt;ScheduledNumberOfPayments,"",ROW()-ROW(PaymentSchedule3[[#Headers],[Payment Number]])),"")</f>
        <v>267</v>
      </c>
      <c r="C284" s="24">
        <f ca="1">IF(PaymentSchedule3[[#This Row],[Payment Number]]&lt;&gt;"",EOMONTH(LoanStartDate,ROW(PaymentSchedule3[[#This Row],[Payment Number]])-ROW(PaymentSchedule3[[#Headers],[Payment Number]])-2)+DAY(LoanStartDate),"")</f>
        <v>52730</v>
      </c>
      <c r="D284" s="25">
        <f ca="1">IF(PaymentSchedule3[[#This Row],[Payment Number]]&lt;&gt;"",IF(ROW()-ROW(PaymentSchedule3[[#Headers],[Beginning
Balance]])=1,LoanAmount,INDEX(PaymentSchedule3[Ending
Balance],ROW()-ROW(PaymentSchedule3[[#Headers],[Beginning
Balance]])-1)),"")</f>
        <v>42202.474410363095</v>
      </c>
      <c r="E284" s="25">
        <f ca="1">IF(PaymentSchedule3[[#This Row],[Payment Number]]&lt;&gt;"",ScheduledPayment,"")</f>
        <v>543.5318932997908</v>
      </c>
      <c r="F28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4" s="25">
        <f ca="1">IF(PaymentSchedule3[[#This Row],[Payment Number]]&lt;&gt;"",PaymentSchedule3[[#This Row],[Total
Payment]]-PaymentSchedule3[[#This Row],[Interest]],"")</f>
        <v>367.68824992327791</v>
      </c>
      <c r="I284" s="25">
        <f ca="1">IF(PaymentSchedule3[[#This Row],[Payment Number]]&lt;&gt;"",PaymentSchedule3[[#This Row],[Beginning
Balance]]*(InterestRate/PaymentsPerYear),"")</f>
        <v>175.84364337651289</v>
      </c>
      <c r="J284" s="25">
        <f ca="1">IF(PaymentSchedule3[[#This Row],[Payment Number]]&lt;&gt;"",IF(PaymentSchedule3[[#This Row],[Scheduled Payment]]+PaymentSchedule3[[#This Row],[Extra
Payment]]&lt;=PaymentSchedule3[[#This Row],[Beginning
Balance]],PaymentSchedule3[[#This Row],[Beginning
Balance]]-PaymentSchedule3[[#This Row],[Principal]],0),"")</f>
        <v>41834.78616043982</v>
      </c>
      <c r="K284" s="25">
        <f ca="1">IF(PaymentSchedule3[[#This Row],[Payment Number]]&lt;&gt;"",SUM(INDEX(PaymentSchedule3[Interest],1,1):PaymentSchedule3[[#This Row],[Interest]]),"")</f>
        <v>85707.801671484005</v>
      </c>
      <c r="L284" s="49">
        <f ca="1">LoanAmount-PaymentSchedule3[[#This Row],[Ending
Balance]]</f>
        <v>59415.21383956018</v>
      </c>
      <c r="M284" s="49">
        <f t="shared" ca="1" si="4"/>
        <v>908.5318932997908</v>
      </c>
      <c r="N284" s="25">
        <f ca="1">PaymentSchedule3[[#This Row],[Payment Number]]*$M$19</f>
        <v>242578.01551104416</v>
      </c>
    </row>
    <row r="285" spans="2:14" ht="15.75" x14ac:dyDescent="0.25">
      <c r="B285" s="23">
        <f ca="1">IF(LoanIsGood,IF(ROW()-ROW(PaymentSchedule3[[#Headers],[Payment Number]])&gt;ScheduledNumberOfPayments,"",ROW()-ROW(PaymentSchedule3[[#Headers],[Payment Number]])),"")</f>
        <v>268</v>
      </c>
      <c r="C285" s="24">
        <f ca="1">IF(PaymentSchedule3[[#This Row],[Payment Number]]&lt;&gt;"",EOMONTH(LoanStartDate,ROW(PaymentSchedule3[[#This Row],[Payment Number]])-ROW(PaymentSchedule3[[#Headers],[Payment Number]])-2)+DAY(LoanStartDate),"")</f>
        <v>52761</v>
      </c>
      <c r="D285" s="25">
        <f ca="1">IF(PaymentSchedule3[[#This Row],[Payment Number]]&lt;&gt;"",IF(ROW()-ROW(PaymentSchedule3[[#Headers],[Beginning
Balance]])=1,LoanAmount,INDEX(PaymentSchedule3[Ending
Balance],ROW()-ROW(PaymentSchedule3[[#Headers],[Beginning
Balance]])-1)),"")</f>
        <v>41834.78616043982</v>
      </c>
      <c r="E285" s="25">
        <f ca="1">IF(PaymentSchedule3[[#This Row],[Payment Number]]&lt;&gt;"",ScheduledPayment,"")</f>
        <v>543.5318932997908</v>
      </c>
      <c r="F28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5" s="25">
        <f ca="1">IF(PaymentSchedule3[[#This Row],[Payment Number]]&lt;&gt;"",PaymentSchedule3[[#This Row],[Total
Payment]]-PaymentSchedule3[[#This Row],[Interest]],"")</f>
        <v>369.22028429795819</v>
      </c>
      <c r="I285" s="25">
        <f ca="1">IF(PaymentSchedule3[[#This Row],[Payment Number]]&lt;&gt;"",PaymentSchedule3[[#This Row],[Beginning
Balance]]*(InterestRate/PaymentsPerYear),"")</f>
        <v>174.31160900183258</v>
      </c>
      <c r="J285" s="25">
        <f ca="1">IF(PaymentSchedule3[[#This Row],[Payment Number]]&lt;&gt;"",IF(PaymentSchedule3[[#This Row],[Scheduled Payment]]+PaymentSchedule3[[#This Row],[Extra
Payment]]&lt;=PaymentSchedule3[[#This Row],[Beginning
Balance]],PaymentSchedule3[[#This Row],[Beginning
Balance]]-PaymentSchedule3[[#This Row],[Principal]],0),"")</f>
        <v>41465.56587614186</v>
      </c>
      <c r="K285" s="25">
        <f ca="1">IF(PaymentSchedule3[[#This Row],[Payment Number]]&lt;&gt;"",SUM(INDEX(PaymentSchedule3[Interest],1,1):PaymentSchedule3[[#This Row],[Interest]]),"")</f>
        <v>85882.113280485835</v>
      </c>
      <c r="L285" s="49">
        <f ca="1">LoanAmount-PaymentSchedule3[[#This Row],[Ending
Balance]]</f>
        <v>59784.43412385814</v>
      </c>
      <c r="M285" s="49">
        <f t="shared" ca="1" si="4"/>
        <v>908.5318932997908</v>
      </c>
      <c r="N285" s="25">
        <f ca="1">PaymentSchedule3[[#This Row],[Payment Number]]*$M$19</f>
        <v>243486.54740434393</v>
      </c>
    </row>
    <row r="286" spans="2:14" ht="15.75" x14ac:dyDescent="0.25">
      <c r="B286" s="23">
        <f ca="1">IF(LoanIsGood,IF(ROW()-ROW(PaymentSchedule3[[#Headers],[Payment Number]])&gt;ScheduledNumberOfPayments,"",ROW()-ROW(PaymentSchedule3[[#Headers],[Payment Number]])),"")</f>
        <v>269</v>
      </c>
      <c r="C286" s="24">
        <f ca="1">IF(PaymentSchedule3[[#This Row],[Payment Number]]&lt;&gt;"",EOMONTH(LoanStartDate,ROW(PaymentSchedule3[[#This Row],[Payment Number]])-ROW(PaymentSchedule3[[#Headers],[Payment Number]])-2)+DAY(LoanStartDate),"")</f>
        <v>52791</v>
      </c>
      <c r="D286" s="25">
        <f ca="1">IF(PaymentSchedule3[[#This Row],[Payment Number]]&lt;&gt;"",IF(ROW()-ROW(PaymentSchedule3[[#Headers],[Beginning
Balance]])=1,LoanAmount,INDEX(PaymentSchedule3[Ending
Balance],ROW()-ROW(PaymentSchedule3[[#Headers],[Beginning
Balance]])-1)),"")</f>
        <v>41465.56587614186</v>
      </c>
      <c r="E286" s="25">
        <f ca="1">IF(PaymentSchedule3[[#This Row],[Payment Number]]&lt;&gt;"",ScheduledPayment,"")</f>
        <v>543.5318932997908</v>
      </c>
      <c r="F28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6" s="25">
        <f ca="1">IF(PaymentSchedule3[[#This Row],[Payment Number]]&lt;&gt;"",PaymentSchedule3[[#This Row],[Total
Payment]]-PaymentSchedule3[[#This Row],[Interest]],"")</f>
        <v>370.75870214919973</v>
      </c>
      <c r="I286" s="25">
        <f ca="1">IF(PaymentSchedule3[[#This Row],[Payment Number]]&lt;&gt;"",PaymentSchedule3[[#This Row],[Beginning
Balance]]*(InterestRate/PaymentsPerYear),"")</f>
        <v>172.77319115059109</v>
      </c>
      <c r="J286" s="25">
        <f ca="1">IF(PaymentSchedule3[[#This Row],[Payment Number]]&lt;&gt;"",IF(PaymentSchedule3[[#This Row],[Scheduled Payment]]+PaymentSchedule3[[#This Row],[Extra
Payment]]&lt;=PaymentSchedule3[[#This Row],[Beginning
Balance]],PaymentSchedule3[[#This Row],[Beginning
Balance]]-PaymentSchedule3[[#This Row],[Principal]],0),"")</f>
        <v>41094.80717399266</v>
      </c>
      <c r="K286" s="25">
        <f ca="1">IF(PaymentSchedule3[[#This Row],[Payment Number]]&lt;&gt;"",SUM(INDEX(PaymentSchedule3[Interest],1,1):PaymentSchedule3[[#This Row],[Interest]]),"")</f>
        <v>86054.886471636433</v>
      </c>
      <c r="L286" s="49">
        <f ca="1">LoanAmount-PaymentSchedule3[[#This Row],[Ending
Balance]]</f>
        <v>60155.19282600734</v>
      </c>
      <c r="M286" s="49">
        <f t="shared" ca="1" si="4"/>
        <v>908.5318932997908</v>
      </c>
      <c r="N286" s="25">
        <f ca="1">PaymentSchedule3[[#This Row],[Payment Number]]*$M$19</f>
        <v>244395.07929764374</v>
      </c>
    </row>
    <row r="287" spans="2:14" ht="15.75" x14ac:dyDescent="0.25">
      <c r="B287" s="23">
        <f ca="1">IF(LoanIsGood,IF(ROW()-ROW(PaymentSchedule3[[#Headers],[Payment Number]])&gt;ScheduledNumberOfPayments,"",ROW()-ROW(PaymentSchedule3[[#Headers],[Payment Number]])),"")</f>
        <v>270</v>
      </c>
      <c r="C287" s="24">
        <f ca="1">IF(PaymentSchedule3[[#This Row],[Payment Number]]&lt;&gt;"",EOMONTH(LoanStartDate,ROW(PaymentSchedule3[[#This Row],[Payment Number]])-ROW(PaymentSchedule3[[#Headers],[Payment Number]])-2)+DAY(LoanStartDate),"")</f>
        <v>52822</v>
      </c>
      <c r="D287" s="25">
        <f ca="1">IF(PaymentSchedule3[[#This Row],[Payment Number]]&lt;&gt;"",IF(ROW()-ROW(PaymentSchedule3[[#Headers],[Beginning
Balance]])=1,LoanAmount,INDEX(PaymentSchedule3[Ending
Balance],ROW()-ROW(PaymentSchedule3[[#Headers],[Beginning
Balance]])-1)),"")</f>
        <v>41094.80717399266</v>
      </c>
      <c r="E287" s="25">
        <f ca="1">IF(PaymentSchedule3[[#This Row],[Payment Number]]&lt;&gt;"",ScheduledPayment,"")</f>
        <v>543.5318932997908</v>
      </c>
      <c r="F28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7" s="25">
        <f ca="1">IF(PaymentSchedule3[[#This Row],[Payment Number]]&lt;&gt;"",PaymentSchedule3[[#This Row],[Total
Payment]]-PaymentSchedule3[[#This Row],[Interest]],"")</f>
        <v>372.30353007482137</v>
      </c>
      <c r="I287" s="25">
        <f ca="1">IF(PaymentSchedule3[[#This Row],[Payment Number]]&lt;&gt;"",PaymentSchedule3[[#This Row],[Beginning
Balance]]*(InterestRate/PaymentsPerYear),"")</f>
        <v>171.22836322496943</v>
      </c>
      <c r="J287" s="25">
        <f ca="1">IF(PaymentSchedule3[[#This Row],[Payment Number]]&lt;&gt;"",IF(PaymentSchedule3[[#This Row],[Scheduled Payment]]+PaymentSchedule3[[#This Row],[Extra
Payment]]&lt;=PaymentSchedule3[[#This Row],[Beginning
Balance]],PaymentSchedule3[[#This Row],[Beginning
Balance]]-PaymentSchedule3[[#This Row],[Principal]],0),"")</f>
        <v>40722.503643917837</v>
      </c>
      <c r="K287" s="25">
        <f ca="1">IF(PaymentSchedule3[[#This Row],[Payment Number]]&lt;&gt;"",SUM(INDEX(PaymentSchedule3[Interest],1,1):PaymentSchedule3[[#This Row],[Interest]]),"")</f>
        <v>86226.114834861408</v>
      </c>
      <c r="L287" s="49">
        <f ca="1">LoanAmount-PaymentSchedule3[[#This Row],[Ending
Balance]]</f>
        <v>60527.496356082163</v>
      </c>
      <c r="M287" s="49">
        <f t="shared" ca="1" si="4"/>
        <v>908.5318932997908</v>
      </c>
      <c r="N287" s="25">
        <f ca="1">PaymentSchedule3[[#This Row],[Payment Number]]*$M$19</f>
        <v>245303.61119094351</v>
      </c>
    </row>
    <row r="288" spans="2:14" ht="15.75" x14ac:dyDescent="0.25">
      <c r="B288" s="23">
        <f ca="1">IF(LoanIsGood,IF(ROW()-ROW(PaymentSchedule3[[#Headers],[Payment Number]])&gt;ScheduledNumberOfPayments,"",ROW()-ROW(PaymentSchedule3[[#Headers],[Payment Number]])),"")</f>
        <v>271</v>
      </c>
      <c r="C288" s="24">
        <f ca="1">IF(PaymentSchedule3[[#This Row],[Payment Number]]&lt;&gt;"",EOMONTH(LoanStartDate,ROW(PaymentSchedule3[[#This Row],[Payment Number]])-ROW(PaymentSchedule3[[#Headers],[Payment Number]])-2)+DAY(LoanStartDate),"")</f>
        <v>52853</v>
      </c>
      <c r="D288" s="25">
        <f ca="1">IF(PaymentSchedule3[[#This Row],[Payment Number]]&lt;&gt;"",IF(ROW()-ROW(PaymentSchedule3[[#Headers],[Beginning
Balance]])=1,LoanAmount,INDEX(PaymentSchedule3[Ending
Balance],ROW()-ROW(PaymentSchedule3[[#Headers],[Beginning
Balance]])-1)),"")</f>
        <v>40722.503643917837</v>
      </c>
      <c r="E288" s="25">
        <f ca="1">IF(PaymentSchedule3[[#This Row],[Payment Number]]&lt;&gt;"",ScheduledPayment,"")</f>
        <v>543.5318932997908</v>
      </c>
      <c r="F28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8" s="25">
        <f ca="1">IF(PaymentSchedule3[[#This Row],[Payment Number]]&lt;&gt;"",PaymentSchedule3[[#This Row],[Total
Payment]]-PaymentSchedule3[[#This Row],[Interest]],"")</f>
        <v>373.85479478346645</v>
      </c>
      <c r="I288" s="25">
        <f ca="1">IF(PaymentSchedule3[[#This Row],[Payment Number]]&lt;&gt;"",PaymentSchedule3[[#This Row],[Beginning
Balance]]*(InterestRate/PaymentsPerYear),"")</f>
        <v>169.67709851632432</v>
      </c>
      <c r="J288" s="25">
        <f ca="1">IF(PaymentSchedule3[[#This Row],[Payment Number]]&lt;&gt;"",IF(PaymentSchedule3[[#This Row],[Scheduled Payment]]+PaymentSchedule3[[#This Row],[Extra
Payment]]&lt;=PaymentSchedule3[[#This Row],[Beginning
Balance]],PaymentSchedule3[[#This Row],[Beginning
Balance]]-PaymentSchedule3[[#This Row],[Principal]],0),"")</f>
        <v>40348.64884913437</v>
      </c>
      <c r="K288" s="25">
        <f ca="1">IF(PaymentSchedule3[[#This Row],[Payment Number]]&lt;&gt;"",SUM(INDEX(PaymentSchedule3[Interest],1,1):PaymentSchedule3[[#This Row],[Interest]]),"")</f>
        <v>86395.791933377739</v>
      </c>
      <c r="L288" s="49">
        <f ca="1">LoanAmount-PaymentSchedule3[[#This Row],[Ending
Balance]]</f>
        <v>60901.35115086563</v>
      </c>
      <c r="M288" s="49">
        <f t="shared" ca="1" si="4"/>
        <v>908.5318932997908</v>
      </c>
      <c r="N288" s="25">
        <f ca="1">PaymentSchedule3[[#This Row],[Payment Number]]*$M$19</f>
        <v>246212.14308424332</v>
      </c>
    </row>
    <row r="289" spans="2:14" ht="15.75" x14ac:dyDescent="0.25">
      <c r="B289" s="23">
        <f ca="1">IF(LoanIsGood,IF(ROW()-ROW(PaymentSchedule3[[#Headers],[Payment Number]])&gt;ScheduledNumberOfPayments,"",ROW()-ROW(PaymentSchedule3[[#Headers],[Payment Number]])),"")</f>
        <v>272</v>
      </c>
      <c r="C289" s="24">
        <f ca="1">IF(PaymentSchedule3[[#This Row],[Payment Number]]&lt;&gt;"",EOMONTH(LoanStartDate,ROW(PaymentSchedule3[[#This Row],[Payment Number]])-ROW(PaymentSchedule3[[#Headers],[Payment Number]])-2)+DAY(LoanStartDate),"")</f>
        <v>52883</v>
      </c>
      <c r="D289" s="25">
        <f ca="1">IF(PaymentSchedule3[[#This Row],[Payment Number]]&lt;&gt;"",IF(ROW()-ROW(PaymentSchedule3[[#Headers],[Beginning
Balance]])=1,LoanAmount,INDEX(PaymentSchedule3[Ending
Balance],ROW()-ROW(PaymentSchedule3[[#Headers],[Beginning
Balance]])-1)),"")</f>
        <v>40348.64884913437</v>
      </c>
      <c r="E289" s="25">
        <f ca="1">IF(PaymentSchedule3[[#This Row],[Payment Number]]&lt;&gt;"",ScheduledPayment,"")</f>
        <v>543.5318932997908</v>
      </c>
      <c r="F28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89" s="25">
        <f ca="1">IF(PaymentSchedule3[[#This Row],[Payment Number]]&lt;&gt;"",PaymentSchedule3[[#This Row],[Total
Payment]]-PaymentSchedule3[[#This Row],[Interest]],"")</f>
        <v>375.41252309506422</v>
      </c>
      <c r="I289" s="25">
        <f ca="1">IF(PaymentSchedule3[[#This Row],[Payment Number]]&lt;&gt;"",PaymentSchedule3[[#This Row],[Beginning
Balance]]*(InterestRate/PaymentsPerYear),"")</f>
        <v>168.11937020472655</v>
      </c>
      <c r="J289" s="25">
        <f ca="1">IF(PaymentSchedule3[[#This Row],[Payment Number]]&lt;&gt;"",IF(PaymentSchedule3[[#This Row],[Scheduled Payment]]+PaymentSchedule3[[#This Row],[Extra
Payment]]&lt;=PaymentSchedule3[[#This Row],[Beginning
Balance]],PaymentSchedule3[[#This Row],[Beginning
Balance]]-PaymentSchedule3[[#This Row],[Principal]],0),"")</f>
        <v>39973.236326039303</v>
      </c>
      <c r="K289" s="25">
        <f ca="1">IF(PaymentSchedule3[[#This Row],[Payment Number]]&lt;&gt;"",SUM(INDEX(PaymentSchedule3[Interest],1,1):PaymentSchedule3[[#This Row],[Interest]]),"")</f>
        <v>86563.91130358247</v>
      </c>
      <c r="L289" s="49">
        <f ca="1">LoanAmount-PaymentSchedule3[[#This Row],[Ending
Balance]]</f>
        <v>61276.763673960697</v>
      </c>
      <c r="M289" s="49">
        <f t="shared" ca="1" si="4"/>
        <v>908.5318932997908</v>
      </c>
      <c r="N289" s="25">
        <f ca="1">PaymentSchedule3[[#This Row],[Payment Number]]*$M$19</f>
        <v>247120.67497754309</v>
      </c>
    </row>
    <row r="290" spans="2:14" ht="15.75" x14ac:dyDescent="0.25">
      <c r="B290" s="23">
        <f ca="1">IF(LoanIsGood,IF(ROW()-ROW(PaymentSchedule3[[#Headers],[Payment Number]])&gt;ScheduledNumberOfPayments,"",ROW()-ROW(PaymentSchedule3[[#Headers],[Payment Number]])),"")</f>
        <v>273</v>
      </c>
      <c r="C290" s="24">
        <f ca="1">IF(PaymentSchedule3[[#This Row],[Payment Number]]&lt;&gt;"",EOMONTH(LoanStartDate,ROW(PaymentSchedule3[[#This Row],[Payment Number]])-ROW(PaymentSchedule3[[#Headers],[Payment Number]])-2)+DAY(LoanStartDate),"")</f>
        <v>52914</v>
      </c>
      <c r="D290" s="25">
        <f ca="1">IF(PaymentSchedule3[[#This Row],[Payment Number]]&lt;&gt;"",IF(ROW()-ROW(PaymentSchedule3[[#Headers],[Beginning
Balance]])=1,LoanAmount,INDEX(PaymentSchedule3[Ending
Balance],ROW()-ROW(PaymentSchedule3[[#Headers],[Beginning
Balance]])-1)),"")</f>
        <v>39973.236326039303</v>
      </c>
      <c r="E290" s="25">
        <f ca="1">IF(PaymentSchedule3[[#This Row],[Payment Number]]&lt;&gt;"",ScheduledPayment,"")</f>
        <v>543.5318932997908</v>
      </c>
      <c r="F29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0" s="25">
        <f ca="1">IF(PaymentSchedule3[[#This Row],[Payment Number]]&lt;&gt;"",PaymentSchedule3[[#This Row],[Total
Payment]]-PaymentSchedule3[[#This Row],[Interest]],"")</f>
        <v>376.97674194129371</v>
      </c>
      <c r="I290" s="25">
        <f ca="1">IF(PaymentSchedule3[[#This Row],[Payment Number]]&lt;&gt;"",PaymentSchedule3[[#This Row],[Beginning
Balance]]*(InterestRate/PaymentsPerYear),"")</f>
        <v>166.55515135849708</v>
      </c>
      <c r="J290" s="25">
        <f ca="1">IF(PaymentSchedule3[[#This Row],[Payment Number]]&lt;&gt;"",IF(PaymentSchedule3[[#This Row],[Scheduled Payment]]+PaymentSchedule3[[#This Row],[Extra
Payment]]&lt;=PaymentSchedule3[[#This Row],[Beginning
Balance]],PaymentSchedule3[[#This Row],[Beginning
Balance]]-PaymentSchedule3[[#This Row],[Principal]],0),"")</f>
        <v>39596.259584098007</v>
      </c>
      <c r="K290" s="25">
        <f ca="1">IF(PaymentSchedule3[[#This Row],[Payment Number]]&lt;&gt;"",SUM(INDEX(PaymentSchedule3[Interest],1,1):PaymentSchedule3[[#This Row],[Interest]]),"")</f>
        <v>86730.466454940964</v>
      </c>
      <c r="L290" s="49">
        <f ca="1">LoanAmount-PaymentSchedule3[[#This Row],[Ending
Balance]]</f>
        <v>61653.740415901993</v>
      </c>
      <c r="M290" s="49">
        <f t="shared" ca="1" si="4"/>
        <v>908.5318932997908</v>
      </c>
      <c r="N290" s="25">
        <f ca="1">PaymentSchedule3[[#This Row],[Payment Number]]*$M$19</f>
        <v>248029.2068708429</v>
      </c>
    </row>
    <row r="291" spans="2:14" ht="15.75" x14ac:dyDescent="0.25">
      <c r="B291" s="23">
        <f ca="1">IF(LoanIsGood,IF(ROW()-ROW(PaymentSchedule3[[#Headers],[Payment Number]])&gt;ScheduledNumberOfPayments,"",ROW()-ROW(PaymentSchedule3[[#Headers],[Payment Number]])),"")</f>
        <v>274</v>
      </c>
      <c r="C291" s="24">
        <f ca="1">IF(PaymentSchedule3[[#This Row],[Payment Number]]&lt;&gt;"",EOMONTH(LoanStartDate,ROW(PaymentSchedule3[[#This Row],[Payment Number]])-ROW(PaymentSchedule3[[#Headers],[Payment Number]])-2)+DAY(LoanStartDate),"")</f>
        <v>52944</v>
      </c>
      <c r="D291" s="25">
        <f ca="1">IF(PaymentSchedule3[[#This Row],[Payment Number]]&lt;&gt;"",IF(ROW()-ROW(PaymentSchedule3[[#Headers],[Beginning
Balance]])=1,LoanAmount,INDEX(PaymentSchedule3[Ending
Balance],ROW()-ROW(PaymentSchedule3[[#Headers],[Beginning
Balance]])-1)),"")</f>
        <v>39596.259584098007</v>
      </c>
      <c r="E291" s="25">
        <f ca="1">IF(PaymentSchedule3[[#This Row],[Payment Number]]&lt;&gt;"",ScheduledPayment,"")</f>
        <v>543.5318932997908</v>
      </c>
      <c r="F29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1" s="25">
        <f ca="1">IF(PaymentSchedule3[[#This Row],[Payment Number]]&lt;&gt;"",PaymentSchedule3[[#This Row],[Total
Payment]]-PaymentSchedule3[[#This Row],[Interest]],"")</f>
        <v>378.54747836604906</v>
      </c>
      <c r="I291" s="25">
        <f ca="1">IF(PaymentSchedule3[[#This Row],[Payment Number]]&lt;&gt;"",PaymentSchedule3[[#This Row],[Beginning
Balance]]*(InterestRate/PaymentsPerYear),"")</f>
        <v>164.9844149337417</v>
      </c>
      <c r="J291" s="25">
        <f ca="1">IF(PaymentSchedule3[[#This Row],[Payment Number]]&lt;&gt;"",IF(PaymentSchedule3[[#This Row],[Scheduled Payment]]+PaymentSchedule3[[#This Row],[Extra
Payment]]&lt;=PaymentSchedule3[[#This Row],[Beginning
Balance]],PaymentSchedule3[[#This Row],[Beginning
Balance]]-PaymentSchedule3[[#This Row],[Principal]],0),"")</f>
        <v>39217.71210573196</v>
      </c>
      <c r="K291" s="25">
        <f ca="1">IF(PaymentSchedule3[[#This Row],[Payment Number]]&lt;&gt;"",SUM(INDEX(PaymentSchedule3[Interest],1,1):PaymentSchedule3[[#This Row],[Interest]]),"")</f>
        <v>86895.450869874709</v>
      </c>
      <c r="L291" s="49">
        <f ca="1">LoanAmount-PaymentSchedule3[[#This Row],[Ending
Balance]]</f>
        <v>62032.28789426804</v>
      </c>
      <c r="M291" s="49">
        <f t="shared" ca="1" si="4"/>
        <v>908.5318932997908</v>
      </c>
      <c r="N291" s="25">
        <f ca="1">PaymentSchedule3[[#This Row],[Payment Number]]*$M$19</f>
        <v>248937.73876414268</v>
      </c>
    </row>
    <row r="292" spans="2:14" ht="15.75" x14ac:dyDescent="0.25">
      <c r="B292" s="23">
        <f ca="1">IF(LoanIsGood,IF(ROW()-ROW(PaymentSchedule3[[#Headers],[Payment Number]])&gt;ScheduledNumberOfPayments,"",ROW()-ROW(PaymentSchedule3[[#Headers],[Payment Number]])),"")</f>
        <v>275</v>
      </c>
      <c r="C292" s="24">
        <f ca="1">IF(PaymentSchedule3[[#This Row],[Payment Number]]&lt;&gt;"",EOMONTH(LoanStartDate,ROW(PaymentSchedule3[[#This Row],[Payment Number]])-ROW(PaymentSchedule3[[#Headers],[Payment Number]])-2)+DAY(LoanStartDate),"")</f>
        <v>52975</v>
      </c>
      <c r="D292" s="25">
        <f ca="1">IF(PaymentSchedule3[[#This Row],[Payment Number]]&lt;&gt;"",IF(ROW()-ROW(PaymentSchedule3[[#Headers],[Beginning
Balance]])=1,LoanAmount,INDEX(PaymentSchedule3[Ending
Balance],ROW()-ROW(PaymentSchedule3[[#Headers],[Beginning
Balance]])-1)),"")</f>
        <v>39217.71210573196</v>
      </c>
      <c r="E292" s="25">
        <f ca="1">IF(PaymentSchedule3[[#This Row],[Payment Number]]&lt;&gt;"",ScheduledPayment,"")</f>
        <v>543.5318932997908</v>
      </c>
      <c r="F29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2" s="25">
        <f ca="1">IF(PaymentSchedule3[[#This Row],[Payment Number]]&lt;&gt;"",PaymentSchedule3[[#This Row],[Total
Payment]]-PaymentSchedule3[[#This Row],[Interest]],"")</f>
        <v>380.12475952590762</v>
      </c>
      <c r="I292" s="25">
        <f ca="1">IF(PaymentSchedule3[[#This Row],[Payment Number]]&lt;&gt;"",PaymentSchedule3[[#This Row],[Beginning
Balance]]*(InterestRate/PaymentsPerYear),"")</f>
        <v>163.40713377388317</v>
      </c>
      <c r="J292" s="25">
        <f ca="1">IF(PaymentSchedule3[[#This Row],[Payment Number]]&lt;&gt;"",IF(PaymentSchedule3[[#This Row],[Scheduled Payment]]+PaymentSchedule3[[#This Row],[Extra
Payment]]&lt;=PaymentSchedule3[[#This Row],[Beginning
Balance]],PaymentSchedule3[[#This Row],[Beginning
Balance]]-PaymentSchedule3[[#This Row],[Principal]],0),"")</f>
        <v>38837.587346206055</v>
      </c>
      <c r="K292" s="25">
        <f ca="1">IF(PaymentSchedule3[[#This Row],[Payment Number]]&lt;&gt;"",SUM(INDEX(PaymentSchedule3[Interest],1,1):PaymentSchedule3[[#This Row],[Interest]]),"")</f>
        <v>87058.858003648595</v>
      </c>
      <c r="L292" s="49">
        <f ca="1">LoanAmount-PaymentSchedule3[[#This Row],[Ending
Balance]]</f>
        <v>62412.412653793945</v>
      </c>
      <c r="M292" s="49">
        <f t="shared" ca="1" si="4"/>
        <v>908.5318932997908</v>
      </c>
      <c r="N292" s="25">
        <f ca="1">PaymentSchedule3[[#This Row],[Payment Number]]*$M$19</f>
        <v>249846.27065744248</v>
      </c>
    </row>
    <row r="293" spans="2:14" ht="15.75" x14ac:dyDescent="0.25">
      <c r="B293" s="23">
        <f ca="1">IF(LoanIsGood,IF(ROW()-ROW(PaymentSchedule3[[#Headers],[Payment Number]])&gt;ScheduledNumberOfPayments,"",ROW()-ROW(PaymentSchedule3[[#Headers],[Payment Number]])),"")</f>
        <v>276</v>
      </c>
      <c r="C293" s="24">
        <f ca="1">IF(PaymentSchedule3[[#This Row],[Payment Number]]&lt;&gt;"",EOMONTH(LoanStartDate,ROW(PaymentSchedule3[[#This Row],[Payment Number]])-ROW(PaymentSchedule3[[#Headers],[Payment Number]])-2)+DAY(LoanStartDate),"")</f>
        <v>53006</v>
      </c>
      <c r="D293" s="25">
        <f ca="1">IF(PaymentSchedule3[[#This Row],[Payment Number]]&lt;&gt;"",IF(ROW()-ROW(PaymentSchedule3[[#Headers],[Beginning
Balance]])=1,LoanAmount,INDEX(PaymentSchedule3[Ending
Balance],ROW()-ROW(PaymentSchedule3[[#Headers],[Beginning
Balance]])-1)),"")</f>
        <v>38837.587346206055</v>
      </c>
      <c r="E293" s="25">
        <f ca="1">IF(PaymentSchedule3[[#This Row],[Payment Number]]&lt;&gt;"",ScheduledPayment,"")</f>
        <v>543.5318932997908</v>
      </c>
      <c r="F29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3" s="25">
        <f ca="1">IF(PaymentSchedule3[[#This Row],[Payment Number]]&lt;&gt;"",PaymentSchedule3[[#This Row],[Total
Payment]]-PaymentSchedule3[[#This Row],[Interest]],"")</f>
        <v>381.7086126905989</v>
      </c>
      <c r="I293" s="25">
        <f ca="1">IF(PaymentSchedule3[[#This Row],[Payment Number]]&lt;&gt;"",PaymentSchedule3[[#This Row],[Beginning
Balance]]*(InterestRate/PaymentsPerYear),"")</f>
        <v>161.8232806091919</v>
      </c>
      <c r="J293" s="25">
        <f ca="1">IF(PaymentSchedule3[[#This Row],[Payment Number]]&lt;&gt;"",IF(PaymentSchedule3[[#This Row],[Scheduled Payment]]+PaymentSchedule3[[#This Row],[Extra
Payment]]&lt;=PaymentSchedule3[[#This Row],[Beginning
Balance]],PaymentSchedule3[[#This Row],[Beginning
Balance]]-PaymentSchedule3[[#This Row],[Principal]],0),"")</f>
        <v>38455.878733515456</v>
      </c>
      <c r="K293" s="25">
        <f ca="1">IF(PaymentSchedule3[[#This Row],[Payment Number]]&lt;&gt;"",SUM(INDEX(PaymentSchedule3[Interest],1,1):PaymentSchedule3[[#This Row],[Interest]]),"")</f>
        <v>87220.681284257793</v>
      </c>
      <c r="L293" s="49">
        <f ca="1">LoanAmount-PaymentSchedule3[[#This Row],[Ending
Balance]]</f>
        <v>62794.121266484544</v>
      </c>
      <c r="M293" s="49">
        <f t="shared" ca="1" si="4"/>
        <v>908.5318932997908</v>
      </c>
      <c r="N293" s="25">
        <f ca="1">PaymentSchedule3[[#This Row],[Payment Number]]*$M$19</f>
        <v>250754.80255074226</v>
      </c>
    </row>
    <row r="294" spans="2:14" ht="15.75" x14ac:dyDescent="0.25">
      <c r="B294" s="23">
        <f ca="1">IF(LoanIsGood,IF(ROW()-ROW(PaymentSchedule3[[#Headers],[Payment Number]])&gt;ScheduledNumberOfPayments,"",ROW()-ROW(PaymentSchedule3[[#Headers],[Payment Number]])),"")</f>
        <v>277</v>
      </c>
      <c r="C294" s="24">
        <f ca="1">IF(PaymentSchedule3[[#This Row],[Payment Number]]&lt;&gt;"",EOMONTH(LoanStartDate,ROW(PaymentSchedule3[[#This Row],[Payment Number]])-ROW(PaymentSchedule3[[#Headers],[Payment Number]])-2)+DAY(LoanStartDate),"")</f>
        <v>53034</v>
      </c>
      <c r="D294" s="25">
        <f ca="1">IF(PaymentSchedule3[[#This Row],[Payment Number]]&lt;&gt;"",IF(ROW()-ROW(PaymentSchedule3[[#Headers],[Beginning
Balance]])=1,LoanAmount,INDEX(PaymentSchedule3[Ending
Balance],ROW()-ROW(PaymentSchedule3[[#Headers],[Beginning
Balance]])-1)),"")</f>
        <v>38455.878733515456</v>
      </c>
      <c r="E294" s="25">
        <f ca="1">IF(PaymentSchedule3[[#This Row],[Payment Number]]&lt;&gt;"",ScheduledPayment,"")</f>
        <v>543.5318932997908</v>
      </c>
      <c r="F29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4" s="25">
        <f ca="1">IF(PaymentSchedule3[[#This Row],[Payment Number]]&lt;&gt;"",PaymentSchedule3[[#This Row],[Total
Payment]]-PaymentSchedule3[[#This Row],[Interest]],"")</f>
        <v>383.29906524347643</v>
      </c>
      <c r="I294" s="25">
        <f ca="1">IF(PaymentSchedule3[[#This Row],[Payment Number]]&lt;&gt;"",PaymentSchedule3[[#This Row],[Beginning
Balance]]*(InterestRate/PaymentsPerYear),"")</f>
        <v>160.23282805631439</v>
      </c>
      <c r="J294" s="25">
        <f ca="1">IF(PaymentSchedule3[[#This Row],[Payment Number]]&lt;&gt;"",IF(PaymentSchedule3[[#This Row],[Scheduled Payment]]+PaymentSchedule3[[#This Row],[Extra
Payment]]&lt;=PaymentSchedule3[[#This Row],[Beginning
Balance]],PaymentSchedule3[[#This Row],[Beginning
Balance]]-PaymentSchedule3[[#This Row],[Principal]],0),"")</f>
        <v>38072.579668271981</v>
      </c>
      <c r="K294" s="25">
        <f ca="1">IF(PaymentSchedule3[[#This Row],[Payment Number]]&lt;&gt;"",SUM(INDEX(PaymentSchedule3[Interest],1,1):PaymentSchedule3[[#This Row],[Interest]]),"")</f>
        <v>87380.914112314102</v>
      </c>
      <c r="L294" s="49">
        <f ca="1">LoanAmount-PaymentSchedule3[[#This Row],[Ending
Balance]]</f>
        <v>63177.420331728019</v>
      </c>
      <c r="M294" s="49">
        <f t="shared" ca="1" si="4"/>
        <v>908.5318932997908</v>
      </c>
      <c r="N294" s="25">
        <f ca="1">PaymentSchedule3[[#This Row],[Payment Number]]*$M$19</f>
        <v>251663.33444404206</v>
      </c>
    </row>
    <row r="295" spans="2:14" ht="15.75" x14ac:dyDescent="0.25">
      <c r="B295" s="23">
        <f ca="1">IF(LoanIsGood,IF(ROW()-ROW(PaymentSchedule3[[#Headers],[Payment Number]])&gt;ScheduledNumberOfPayments,"",ROW()-ROW(PaymentSchedule3[[#Headers],[Payment Number]])),"")</f>
        <v>278</v>
      </c>
      <c r="C295" s="24">
        <f ca="1">IF(PaymentSchedule3[[#This Row],[Payment Number]]&lt;&gt;"",EOMONTH(LoanStartDate,ROW(PaymentSchedule3[[#This Row],[Payment Number]])-ROW(PaymentSchedule3[[#Headers],[Payment Number]])-2)+DAY(LoanStartDate),"")</f>
        <v>53065</v>
      </c>
      <c r="D295" s="25">
        <f ca="1">IF(PaymentSchedule3[[#This Row],[Payment Number]]&lt;&gt;"",IF(ROW()-ROW(PaymentSchedule3[[#Headers],[Beginning
Balance]])=1,LoanAmount,INDEX(PaymentSchedule3[Ending
Balance],ROW()-ROW(PaymentSchedule3[[#Headers],[Beginning
Balance]])-1)),"")</f>
        <v>38072.579668271981</v>
      </c>
      <c r="E295" s="25">
        <f ca="1">IF(PaymentSchedule3[[#This Row],[Payment Number]]&lt;&gt;"",ScheduledPayment,"")</f>
        <v>543.5318932997908</v>
      </c>
      <c r="F29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5" s="25">
        <f ca="1">IF(PaymentSchedule3[[#This Row],[Payment Number]]&lt;&gt;"",PaymentSchedule3[[#This Row],[Total
Payment]]-PaymentSchedule3[[#This Row],[Interest]],"")</f>
        <v>384.8961446819909</v>
      </c>
      <c r="I295" s="25">
        <f ca="1">IF(PaymentSchedule3[[#This Row],[Payment Number]]&lt;&gt;"",PaymentSchedule3[[#This Row],[Beginning
Balance]]*(InterestRate/PaymentsPerYear),"")</f>
        <v>158.63574861779992</v>
      </c>
      <c r="J295" s="25">
        <f ca="1">IF(PaymentSchedule3[[#This Row],[Payment Number]]&lt;&gt;"",IF(PaymentSchedule3[[#This Row],[Scheduled Payment]]+PaymentSchedule3[[#This Row],[Extra
Payment]]&lt;=PaymentSchedule3[[#This Row],[Beginning
Balance]],PaymentSchedule3[[#This Row],[Beginning
Balance]]-PaymentSchedule3[[#This Row],[Principal]],0),"")</f>
        <v>37687.683523589993</v>
      </c>
      <c r="K295" s="25">
        <f ca="1">IF(PaymentSchedule3[[#This Row],[Payment Number]]&lt;&gt;"",SUM(INDEX(PaymentSchedule3[Interest],1,1):PaymentSchedule3[[#This Row],[Interest]]),"")</f>
        <v>87539.549860931904</v>
      </c>
      <c r="L295" s="49">
        <f ca="1">LoanAmount-PaymentSchedule3[[#This Row],[Ending
Balance]]</f>
        <v>63562.316476410007</v>
      </c>
      <c r="M295" s="49">
        <f t="shared" ca="1" si="4"/>
        <v>908.5318932997908</v>
      </c>
      <c r="N295" s="25">
        <f ca="1">PaymentSchedule3[[#This Row],[Payment Number]]*$M$19</f>
        <v>252571.86633734184</v>
      </c>
    </row>
    <row r="296" spans="2:14" ht="15.75" x14ac:dyDescent="0.25">
      <c r="B296" s="23">
        <f ca="1">IF(LoanIsGood,IF(ROW()-ROW(PaymentSchedule3[[#Headers],[Payment Number]])&gt;ScheduledNumberOfPayments,"",ROW()-ROW(PaymentSchedule3[[#Headers],[Payment Number]])),"")</f>
        <v>279</v>
      </c>
      <c r="C296" s="24">
        <f ca="1">IF(PaymentSchedule3[[#This Row],[Payment Number]]&lt;&gt;"",EOMONTH(LoanStartDate,ROW(PaymentSchedule3[[#This Row],[Payment Number]])-ROW(PaymentSchedule3[[#Headers],[Payment Number]])-2)+DAY(LoanStartDate),"")</f>
        <v>53095</v>
      </c>
      <c r="D296" s="25">
        <f ca="1">IF(PaymentSchedule3[[#This Row],[Payment Number]]&lt;&gt;"",IF(ROW()-ROW(PaymentSchedule3[[#Headers],[Beginning
Balance]])=1,LoanAmount,INDEX(PaymentSchedule3[Ending
Balance],ROW()-ROW(PaymentSchedule3[[#Headers],[Beginning
Balance]])-1)),"")</f>
        <v>37687.683523589993</v>
      </c>
      <c r="E296" s="25">
        <f ca="1">IF(PaymentSchedule3[[#This Row],[Payment Number]]&lt;&gt;"",ScheduledPayment,"")</f>
        <v>543.5318932997908</v>
      </c>
      <c r="F29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6" s="25">
        <f ca="1">IF(PaymentSchedule3[[#This Row],[Payment Number]]&lt;&gt;"",PaymentSchedule3[[#This Row],[Total
Payment]]-PaymentSchedule3[[#This Row],[Interest]],"")</f>
        <v>386.49987861816584</v>
      </c>
      <c r="I296" s="25">
        <f ca="1">IF(PaymentSchedule3[[#This Row],[Payment Number]]&lt;&gt;"",PaymentSchedule3[[#This Row],[Beginning
Balance]]*(InterestRate/PaymentsPerYear),"")</f>
        <v>157.03201468162496</v>
      </c>
      <c r="J296" s="25">
        <f ca="1">IF(PaymentSchedule3[[#This Row],[Payment Number]]&lt;&gt;"",IF(PaymentSchedule3[[#This Row],[Scheduled Payment]]+PaymentSchedule3[[#This Row],[Extra
Payment]]&lt;=PaymentSchedule3[[#This Row],[Beginning
Balance]],PaymentSchedule3[[#This Row],[Beginning
Balance]]-PaymentSchedule3[[#This Row],[Principal]],0),"")</f>
        <v>37301.183644971825</v>
      </c>
      <c r="K296" s="25">
        <f ca="1">IF(PaymentSchedule3[[#This Row],[Payment Number]]&lt;&gt;"",SUM(INDEX(PaymentSchedule3[Interest],1,1):PaymentSchedule3[[#This Row],[Interest]]),"")</f>
        <v>87696.581875613527</v>
      </c>
      <c r="L296" s="49">
        <f ca="1">LoanAmount-PaymentSchedule3[[#This Row],[Ending
Balance]]</f>
        <v>63948.816355028175</v>
      </c>
      <c r="M296" s="49">
        <f t="shared" ca="1" si="4"/>
        <v>908.5318932997908</v>
      </c>
      <c r="N296" s="25">
        <f ca="1">PaymentSchedule3[[#This Row],[Payment Number]]*$M$19</f>
        <v>253480.39823064164</v>
      </c>
    </row>
    <row r="297" spans="2:14" ht="15.75" x14ac:dyDescent="0.25">
      <c r="B297" s="23">
        <f ca="1">IF(LoanIsGood,IF(ROW()-ROW(PaymentSchedule3[[#Headers],[Payment Number]])&gt;ScheduledNumberOfPayments,"",ROW()-ROW(PaymentSchedule3[[#Headers],[Payment Number]])),"")</f>
        <v>280</v>
      </c>
      <c r="C297" s="24">
        <f ca="1">IF(PaymentSchedule3[[#This Row],[Payment Number]]&lt;&gt;"",EOMONTH(LoanStartDate,ROW(PaymentSchedule3[[#This Row],[Payment Number]])-ROW(PaymentSchedule3[[#Headers],[Payment Number]])-2)+DAY(LoanStartDate),"")</f>
        <v>53126</v>
      </c>
      <c r="D297" s="25">
        <f ca="1">IF(PaymentSchedule3[[#This Row],[Payment Number]]&lt;&gt;"",IF(ROW()-ROW(PaymentSchedule3[[#Headers],[Beginning
Balance]])=1,LoanAmount,INDEX(PaymentSchedule3[Ending
Balance],ROW()-ROW(PaymentSchedule3[[#Headers],[Beginning
Balance]])-1)),"")</f>
        <v>37301.183644971825</v>
      </c>
      <c r="E297" s="25">
        <f ca="1">IF(PaymentSchedule3[[#This Row],[Payment Number]]&lt;&gt;"",ScheduledPayment,"")</f>
        <v>543.5318932997908</v>
      </c>
      <c r="F29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7" s="25">
        <f ca="1">IF(PaymentSchedule3[[#This Row],[Payment Number]]&lt;&gt;"",PaymentSchedule3[[#This Row],[Total
Payment]]-PaymentSchedule3[[#This Row],[Interest]],"")</f>
        <v>388.11029477907482</v>
      </c>
      <c r="I297" s="25">
        <f ca="1">IF(PaymentSchedule3[[#This Row],[Payment Number]]&lt;&gt;"",PaymentSchedule3[[#This Row],[Beginning
Balance]]*(InterestRate/PaymentsPerYear),"")</f>
        <v>155.42159852071595</v>
      </c>
      <c r="J297" s="25">
        <f ca="1">IF(PaymentSchedule3[[#This Row],[Payment Number]]&lt;&gt;"",IF(PaymentSchedule3[[#This Row],[Scheduled Payment]]+PaymentSchedule3[[#This Row],[Extra
Payment]]&lt;=PaymentSchedule3[[#This Row],[Beginning
Balance]],PaymentSchedule3[[#This Row],[Beginning
Balance]]-PaymentSchedule3[[#This Row],[Principal]],0),"")</f>
        <v>36913.073350192753</v>
      </c>
      <c r="K297" s="25">
        <f ca="1">IF(PaymentSchedule3[[#This Row],[Payment Number]]&lt;&gt;"",SUM(INDEX(PaymentSchedule3[Interest],1,1):PaymentSchedule3[[#This Row],[Interest]]),"")</f>
        <v>87852.003474134239</v>
      </c>
      <c r="L297" s="49">
        <f ca="1">LoanAmount-PaymentSchedule3[[#This Row],[Ending
Balance]]</f>
        <v>64336.926649807247</v>
      </c>
      <c r="M297" s="49">
        <f t="shared" ca="1" si="4"/>
        <v>908.5318932997908</v>
      </c>
      <c r="N297" s="25">
        <f ca="1">PaymentSchedule3[[#This Row],[Payment Number]]*$M$19</f>
        <v>254388.93012394142</v>
      </c>
    </row>
    <row r="298" spans="2:14" ht="15.75" x14ac:dyDescent="0.25">
      <c r="B298" s="23">
        <f ca="1">IF(LoanIsGood,IF(ROW()-ROW(PaymentSchedule3[[#Headers],[Payment Number]])&gt;ScheduledNumberOfPayments,"",ROW()-ROW(PaymentSchedule3[[#Headers],[Payment Number]])),"")</f>
        <v>281</v>
      </c>
      <c r="C298" s="24">
        <f ca="1">IF(PaymentSchedule3[[#This Row],[Payment Number]]&lt;&gt;"",EOMONTH(LoanStartDate,ROW(PaymentSchedule3[[#This Row],[Payment Number]])-ROW(PaymentSchedule3[[#Headers],[Payment Number]])-2)+DAY(LoanStartDate),"")</f>
        <v>53156</v>
      </c>
      <c r="D298" s="25">
        <f ca="1">IF(PaymentSchedule3[[#This Row],[Payment Number]]&lt;&gt;"",IF(ROW()-ROW(PaymentSchedule3[[#Headers],[Beginning
Balance]])=1,LoanAmount,INDEX(PaymentSchedule3[Ending
Balance],ROW()-ROW(PaymentSchedule3[[#Headers],[Beginning
Balance]])-1)),"")</f>
        <v>36913.073350192753</v>
      </c>
      <c r="E298" s="25">
        <f ca="1">IF(PaymentSchedule3[[#This Row],[Payment Number]]&lt;&gt;"",ScheduledPayment,"")</f>
        <v>543.5318932997908</v>
      </c>
      <c r="F29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8" s="25">
        <f ca="1">IF(PaymentSchedule3[[#This Row],[Payment Number]]&lt;&gt;"",PaymentSchedule3[[#This Row],[Total
Payment]]-PaymentSchedule3[[#This Row],[Interest]],"")</f>
        <v>389.72742100732103</v>
      </c>
      <c r="I298" s="25">
        <f ca="1">IF(PaymentSchedule3[[#This Row],[Payment Number]]&lt;&gt;"",PaymentSchedule3[[#This Row],[Beginning
Balance]]*(InterestRate/PaymentsPerYear),"")</f>
        <v>153.8044722924698</v>
      </c>
      <c r="J298" s="25">
        <f ca="1">IF(PaymentSchedule3[[#This Row],[Payment Number]]&lt;&gt;"",IF(PaymentSchedule3[[#This Row],[Scheduled Payment]]+PaymentSchedule3[[#This Row],[Extra
Payment]]&lt;=PaymentSchedule3[[#This Row],[Beginning
Balance]],PaymentSchedule3[[#This Row],[Beginning
Balance]]-PaymentSchedule3[[#This Row],[Principal]],0),"")</f>
        <v>36523.345929185431</v>
      </c>
      <c r="K298" s="25">
        <f ca="1">IF(PaymentSchedule3[[#This Row],[Payment Number]]&lt;&gt;"",SUM(INDEX(PaymentSchedule3[Interest],1,1):PaymentSchedule3[[#This Row],[Interest]]),"")</f>
        <v>88005.807946426707</v>
      </c>
      <c r="L298" s="49">
        <f ca="1">LoanAmount-PaymentSchedule3[[#This Row],[Ending
Balance]]</f>
        <v>64726.654070814569</v>
      </c>
      <c r="M298" s="49">
        <f t="shared" ca="1" si="4"/>
        <v>908.5318932997908</v>
      </c>
      <c r="N298" s="25">
        <f ca="1">PaymentSchedule3[[#This Row],[Payment Number]]*$M$19</f>
        <v>255297.46201724123</v>
      </c>
    </row>
    <row r="299" spans="2:14" ht="15.75" x14ac:dyDescent="0.25">
      <c r="B299" s="23">
        <f ca="1">IF(LoanIsGood,IF(ROW()-ROW(PaymentSchedule3[[#Headers],[Payment Number]])&gt;ScheduledNumberOfPayments,"",ROW()-ROW(PaymentSchedule3[[#Headers],[Payment Number]])),"")</f>
        <v>282</v>
      </c>
      <c r="C299" s="24">
        <f ca="1">IF(PaymentSchedule3[[#This Row],[Payment Number]]&lt;&gt;"",EOMONTH(LoanStartDate,ROW(PaymentSchedule3[[#This Row],[Payment Number]])-ROW(PaymentSchedule3[[#Headers],[Payment Number]])-2)+DAY(LoanStartDate),"")</f>
        <v>53187</v>
      </c>
      <c r="D299" s="25">
        <f ca="1">IF(PaymentSchedule3[[#This Row],[Payment Number]]&lt;&gt;"",IF(ROW()-ROW(PaymentSchedule3[[#Headers],[Beginning
Balance]])=1,LoanAmount,INDEX(PaymentSchedule3[Ending
Balance],ROW()-ROW(PaymentSchedule3[[#Headers],[Beginning
Balance]])-1)),"")</f>
        <v>36523.345929185431</v>
      </c>
      <c r="E299" s="25">
        <f ca="1">IF(PaymentSchedule3[[#This Row],[Payment Number]]&lt;&gt;"",ScheduledPayment,"")</f>
        <v>543.5318932997908</v>
      </c>
      <c r="F29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299" s="25">
        <f ca="1">IF(PaymentSchedule3[[#This Row],[Payment Number]]&lt;&gt;"",PaymentSchedule3[[#This Row],[Total
Payment]]-PaymentSchedule3[[#This Row],[Interest]],"")</f>
        <v>391.35128526151817</v>
      </c>
      <c r="I299" s="25">
        <f ca="1">IF(PaymentSchedule3[[#This Row],[Payment Number]]&lt;&gt;"",PaymentSchedule3[[#This Row],[Beginning
Balance]]*(InterestRate/PaymentsPerYear),"")</f>
        <v>152.18060803827262</v>
      </c>
      <c r="J299" s="25">
        <f ca="1">IF(PaymentSchedule3[[#This Row],[Payment Number]]&lt;&gt;"",IF(PaymentSchedule3[[#This Row],[Scheduled Payment]]+PaymentSchedule3[[#This Row],[Extra
Payment]]&lt;=PaymentSchedule3[[#This Row],[Beginning
Balance]],PaymentSchedule3[[#This Row],[Beginning
Balance]]-PaymentSchedule3[[#This Row],[Principal]],0),"")</f>
        <v>36131.994643923914</v>
      </c>
      <c r="K299" s="25">
        <f ca="1">IF(PaymentSchedule3[[#This Row],[Payment Number]]&lt;&gt;"",SUM(INDEX(PaymentSchedule3[Interest],1,1):PaymentSchedule3[[#This Row],[Interest]]),"")</f>
        <v>88157.988554464973</v>
      </c>
      <c r="L299" s="49">
        <f ca="1">LoanAmount-PaymentSchedule3[[#This Row],[Ending
Balance]]</f>
        <v>65118.005356076086</v>
      </c>
      <c r="M299" s="49">
        <f t="shared" ca="1" si="4"/>
        <v>908.5318932997908</v>
      </c>
      <c r="N299" s="25">
        <f ca="1">PaymentSchedule3[[#This Row],[Payment Number]]*$M$19</f>
        <v>256205.993910541</v>
      </c>
    </row>
    <row r="300" spans="2:14" ht="15.75" x14ac:dyDescent="0.25">
      <c r="B300" s="23">
        <f ca="1">IF(LoanIsGood,IF(ROW()-ROW(PaymentSchedule3[[#Headers],[Payment Number]])&gt;ScheduledNumberOfPayments,"",ROW()-ROW(PaymentSchedule3[[#Headers],[Payment Number]])),"")</f>
        <v>283</v>
      </c>
      <c r="C300" s="24">
        <f ca="1">IF(PaymentSchedule3[[#This Row],[Payment Number]]&lt;&gt;"",EOMONTH(LoanStartDate,ROW(PaymentSchedule3[[#This Row],[Payment Number]])-ROW(PaymentSchedule3[[#Headers],[Payment Number]])-2)+DAY(LoanStartDate),"")</f>
        <v>53218</v>
      </c>
      <c r="D300" s="25">
        <f ca="1">IF(PaymentSchedule3[[#This Row],[Payment Number]]&lt;&gt;"",IF(ROW()-ROW(PaymentSchedule3[[#Headers],[Beginning
Balance]])=1,LoanAmount,INDEX(PaymentSchedule3[Ending
Balance],ROW()-ROW(PaymentSchedule3[[#Headers],[Beginning
Balance]])-1)),"")</f>
        <v>36131.994643923914</v>
      </c>
      <c r="E300" s="25">
        <f ca="1">IF(PaymentSchedule3[[#This Row],[Payment Number]]&lt;&gt;"",ScheduledPayment,"")</f>
        <v>543.5318932997908</v>
      </c>
      <c r="F30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0" s="25">
        <f ca="1">IF(PaymentSchedule3[[#This Row],[Payment Number]]&lt;&gt;"",PaymentSchedule3[[#This Row],[Total
Payment]]-PaymentSchedule3[[#This Row],[Interest]],"")</f>
        <v>392.98191561677447</v>
      </c>
      <c r="I300" s="25">
        <f ca="1">IF(PaymentSchedule3[[#This Row],[Payment Number]]&lt;&gt;"",PaymentSchedule3[[#This Row],[Beginning
Balance]]*(InterestRate/PaymentsPerYear),"")</f>
        <v>150.54997768301629</v>
      </c>
      <c r="J300" s="25">
        <f ca="1">IF(PaymentSchedule3[[#This Row],[Payment Number]]&lt;&gt;"",IF(PaymentSchedule3[[#This Row],[Scheduled Payment]]+PaymentSchedule3[[#This Row],[Extra
Payment]]&lt;=PaymentSchedule3[[#This Row],[Beginning
Balance]],PaymentSchedule3[[#This Row],[Beginning
Balance]]-PaymentSchedule3[[#This Row],[Principal]],0),"")</f>
        <v>35739.012728307142</v>
      </c>
      <c r="K300" s="25">
        <f ca="1">IF(PaymentSchedule3[[#This Row],[Payment Number]]&lt;&gt;"",SUM(INDEX(PaymentSchedule3[Interest],1,1):PaymentSchedule3[[#This Row],[Interest]]),"")</f>
        <v>88308.538532147984</v>
      </c>
      <c r="L300" s="49">
        <f ca="1">LoanAmount-PaymentSchedule3[[#This Row],[Ending
Balance]]</f>
        <v>65510.987271692858</v>
      </c>
      <c r="M300" s="49">
        <f t="shared" ca="1" si="4"/>
        <v>908.5318932997908</v>
      </c>
      <c r="N300" s="25">
        <f ca="1">PaymentSchedule3[[#This Row],[Payment Number]]*$M$19</f>
        <v>257114.52580384081</v>
      </c>
    </row>
    <row r="301" spans="2:14" ht="15.75" x14ac:dyDescent="0.25">
      <c r="B301" s="23">
        <f ca="1">IF(LoanIsGood,IF(ROW()-ROW(PaymentSchedule3[[#Headers],[Payment Number]])&gt;ScheduledNumberOfPayments,"",ROW()-ROW(PaymentSchedule3[[#Headers],[Payment Number]])),"")</f>
        <v>284</v>
      </c>
      <c r="C301" s="24">
        <f ca="1">IF(PaymentSchedule3[[#This Row],[Payment Number]]&lt;&gt;"",EOMONTH(LoanStartDate,ROW(PaymentSchedule3[[#This Row],[Payment Number]])-ROW(PaymentSchedule3[[#Headers],[Payment Number]])-2)+DAY(LoanStartDate),"")</f>
        <v>53248</v>
      </c>
      <c r="D301" s="25">
        <f ca="1">IF(PaymentSchedule3[[#This Row],[Payment Number]]&lt;&gt;"",IF(ROW()-ROW(PaymentSchedule3[[#Headers],[Beginning
Balance]])=1,LoanAmount,INDEX(PaymentSchedule3[Ending
Balance],ROW()-ROW(PaymentSchedule3[[#Headers],[Beginning
Balance]])-1)),"")</f>
        <v>35739.012728307142</v>
      </c>
      <c r="E301" s="25">
        <f ca="1">IF(PaymentSchedule3[[#This Row],[Payment Number]]&lt;&gt;"",ScheduledPayment,"")</f>
        <v>543.5318932997908</v>
      </c>
      <c r="F30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1" s="25">
        <f ca="1">IF(PaymentSchedule3[[#This Row],[Payment Number]]&lt;&gt;"",PaymentSchedule3[[#This Row],[Total
Payment]]-PaymentSchedule3[[#This Row],[Interest]],"")</f>
        <v>394.6193402651777</v>
      </c>
      <c r="I301" s="25">
        <f ca="1">IF(PaymentSchedule3[[#This Row],[Payment Number]]&lt;&gt;"",PaymentSchedule3[[#This Row],[Beginning
Balance]]*(InterestRate/PaymentsPerYear),"")</f>
        <v>148.9125530346131</v>
      </c>
      <c r="J301" s="25">
        <f ca="1">IF(PaymentSchedule3[[#This Row],[Payment Number]]&lt;&gt;"",IF(PaymentSchedule3[[#This Row],[Scheduled Payment]]+PaymentSchedule3[[#This Row],[Extra
Payment]]&lt;=PaymentSchedule3[[#This Row],[Beginning
Balance]],PaymentSchedule3[[#This Row],[Beginning
Balance]]-PaymentSchedule3[[#This Row],[Principal]],0),"")</f>
        <v>35344.393388041964</v>
      </c>
      <c r="K301" s="25">
        <f ca="1">IF(PaymentSchedule3[[#This Row],[Payment Number]]&lt;&gt;"",SUM(INDEX(PaymentSchedule3[Interest],1,1):PaymentSchedule3[[#This Row],[Interest]]),"")</f>
        <v>88457.451085182591</v>
      </c>
      <c r="L301" s="49">
        <f ca="1">LoanAmount-PaymentSchedule3[[#This Row],[Ending
Balance]]</f>
        <v>65905.606611958036</v>
      </c>
      <c r="M301" s="49">
        <f t="shared" ca="1" si="4"/>
        <v>908.5318932997908</v>
      </c>
      <c r="N301" s="25">
        <f ca="1">PaymentSchedule3[[#This Row],[Payment Number]]*$M$19</f>
        <v>258023.05769714058</v>
      </c>
    </row>
    <row r="302" spans="2:14" ht="15.75" x14ac:dyDescent="0.25">
      <c r="B302" s="23">
        <f ca="1">IF(LoanIsGood,IF(ROW()-ROW(PaymentSchedule3[[#Headers],[Payment Number]])&gt;ScheduledNumberOfPayments,"",ROW()-ROW(PaymentSchedule3[[#Headers],[Payment Number]])),"")</f>
        <v>285</v>
      </c>
      <c r="C302" s="24">
        <f ca="1">IF(PaymentSchedule3[[#This Row],[Payment Number]]&lt;&gt;"",EOMONTH(LoanStartDate,ROW(PaymentSchedule3[[#This Row],[Payment Number]])-ROW(PaymentSchedule3[[#Headers],[Payment Number]])-2)+DAY(LoanStartDate),"")</f>
        <v>53279</v>
      </c>
      <c r="D302" s="25">
        <f ca="1">IF(PaymentSchedule3[[#This Row],[Payment Number]]&lt;&gt;"",IF(ROW()-ROW(PaymentSchedule3[[#Headers],[Beginning
Balance]])=1,LoanAmount,INDEX(PaymentSchedule3[Ending
Balance],ROW()-ROW(PaymentSchedule3[[#Headers],[Beginning
Balance]])-1)),"")</f>
        <v>35344.393388041964</v>
      </c>
      <c r="E302" s="25">
        <f ca="1">IF(PaymentSchedule3[[#This Row],[Payment Number]]&lt;&gt;"",ScheduledPayment,"")</f>
        <v>543.5318932997908</v>
      </c>
      <c r="F30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2" s="25">
        <f ca="1">IF(PaymentSchedule3[[#This Row],[Payment Number]]&lt;&gt;"",PaymentSchedule3[[#This Row],[Total
Payment]]-PaymentSchedule3[[#This Row],[Interest]],"")</f>
        <v>396.2635875162826</v>
      </c>
      <c r="I302" s="25">
        <f ca="1">IF(PaymentSchedule3[[#This Row],[Payment Number]]&lt;&gt;"",PaymentSchedule3[[#This Row],[Beginning
Balance]]*(InterestRate/PaymentsPerYear),"")</f>
        <v>147.2683057835082</v>
      </c>
      <c r="J302" s="25">
        <f ca="1">IF(PaymentSchedule3[[#This Row],[Payment Number]]&lt;&gt;"",IF(PaymentSchedule3[[#This Row],[Scheduled Payment]]+PaymentSchedule3[[#This Row],[Extra
Payment]]&lt;=PaymentSchedule3[[#This Row],[Beginning
Balance]],PaymentSchedule3[[#This Row],[Beginning
Balance]]-PaymentSchedule3[[#This Row],[Principal]],0),"")</f>
        <v>34948.129800525683</v>
      </c>
      <c r="K302" s="25">
        <f ca="1">IF(PaymentSchedule3[[#This Row],[Payment Number]]&lt;&gt;"",SUM(INDEX(PaymentSchedule3[Interest],1,1):PaymentSchedule3[[#This Row],[Interest]]),"")</f>
        <v>88604.7193909661</v>
      </c>
      <c r="L302" s="49">
        <f ca="1">LoanAmount-PaymentSchedule3[[#This Row],[Ending
Balance]]</f>
        <v>66301.870199474317</v>
      </c>
      <c r="M302" s="49">
        <f t="shared" ca="1" si="4"/>
        <v>908.5318932997908</v>
      </c>
      <c r="N302" s="25">
        <f ca="1">PaymentSchedule3[[#This Row],[Payment Number]]*$M$19</f>
        <v>258931.58959044039</v>
      </c>
    </row>
    <row r="303" spans="2:14" ht="15.75" x14ac:dyDescent="0.25">
      <c r="B303" s="23">
        <f ca="1">IF(LoanIsGood,IF(ROW()-ROW(PaymentSchedule3[[#Headers],[Payment Number]])&gt;ScheduledNumberOfPayments,"",ROW()-ROW(PaymentSchedule3[[#Headers],[Payment Number]])),"")</f>
        <v>286</v>
      </c>
      <c r="C303" s="24">
        <f ca="1">IF(PaymentSchedule3[[#This Row],[Payment Number]]&lt;&gt;"",EOMONTH(LoanStartDate,ROW(PaymentSchedule3[[#This Row],[Payment Number]])-ROW(PaymentSchedule3[[#Headers],[Payment Number]])-2)+DAY(LoanStartDate),"")</f>
        <v>53309</v>
      </c>
      <c r="D303" s="25">
        <f ca="1">IF(PaymentSchedule3[[#This Row],[Payment Number]]&lt;&gt;"",IF(ROW()-ROW(PaymentSchedule3[[#Headers],[Beginning
Balance]])=1,LoanAmount,INDEX(PaymentSchedule3[Ending
Balance],ROW()-ROW(PaymentSchedule3[[#Headers],[Beginning
Balance]])-1)),"")</f>
        <v>34948.129800525683</v>
      </c>
      <c r="E303" s="25">
        <f ca="1">IF(PaymentSchedule3[[#This Row],[Payment Number]]&lt;&gt;"",ScheduledPayment,"")</f>
        <v>543.5318932997908</v>
      </c>
      <c r="F30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3" s="25">
        <f ca="1">IF(PaymentSchedule3[[#This Row],[Payment Number]]&lt;&gt;"",PaymentSchedule3[[#This Row],[Total
Payment]]-PaymentSchedule3[[#This Row],[Interest]],"")</f>
        <v>397.91468579760044</v>
      </c>
      <c r="I303" s="25">
        <f ca="1">IF(PaymentSchedule3[[#This Row],[Payment Number]]&lt;&gt;"",PaymentSchedule3[[#This Row],[Beginning
Balance]]*(InterestRate/PaymentsPerYear),"")</f>
        <v>145.61720750219035</v>
      </c>
      <c r="J303" s="25">
        <f ca="1">IF(PaymentSchedule3[[#This Row],[Payment Number]]&lt;&gt;"",IF(PaymentSchedule3[[#This Row],[Scheduled Payment]]+PaymentSchedule3[[#This Row],[Extra
Payment]]&lt;=PaymentSchedule3[[#This Row],[Beginning
Balance]],PaymentSchedule3[[#This Row],[Beginning
Balance]]-PaymentSchedule3[[#This Row],[Principal]],0),"")</f>
        <v>34550.215114728082</v>
      </c>
      <c r="K303" s="25">
        <f ca="1">IF(PaymentSchedule3[[#This Row],[Payment Number]]&lt;&gt;"",SUM(INDEX(PaymentSchedule3[Interest],1,1):PaymentSchedule3[[#This Row],[Interest]]),"")</f>
        <v>88750.33659846829</v>
      </c>
      <c r="L303" s="49">
        <f ca="1">LoanAmount-PaymentSchedule3[[#This Row],[Ending
Balance]]</f>
        <v>66699.784885271918</v>
      </c>
      <c r="M303" s="49">
        <f t="shared" ca="1" si="4"/>
        <v>908.5318932997908</v>
      </c>
      <c r="N303" s="25">
        <f ca="1">PaymentSchedule3[[#This Row],[Payment Number]]*$M$19</f>
        <v>259840.12148374016</v>
      </c>
    </row>
    <row r="304" spans="2:14" ht="15.75" x14ac:dyDescent="0.25">
      <c r="B304" s="23">
        <f ca="1">IF(LoanIsGood,IF(ROW()-ROW(PaymentSchedule3[[#Headers],[Payment Number]])&gt;ScheduledNumberOfPayments,"",ROW()-ROW(PaymentSchedule3[[#Headers],[Payment Number]])),"")</f>
        <v>287</v>
      </c>
      <c r="C304" s="24">
        <f ca="1">IF(PaymentSchedule3[[#This Row],[Payment Number]]&lt;&gt;"",EOMONTH(LoanStartDate,ROW(PaymentSchedule3[[#This Row],[Payment Number]])-ROW(PaymentSchedule3[[#Headers],[Payment Number]])-2)+DAY(LoanStartDate),"")</f>
        <v>53340</v>
      </c>
      <c r="D304" s="25">
        <f ca="1">IF(PaymentSchedule3[[#This Row],[Payment Number]]&lt;&gt;"",IF(ROW()-ROW(PaymentSchedule3[[#Headers],[Beginning
Balance]])=1,LoanAmount,INDEX(PaymentSchedule3[Ending
Balance],ROW()-ROW(PaymentSchedule3[[#Headers],[Beginning
Balance]])-1)),"")</f>
        <v>34550.215114728082</v>
      </c>
      <c r="E304" s="25">
        <f ca="1">IF(PaymentSchedule3[[#This Row],[Payment Number]]&lt;&gt;"",ScheduledPayment,"")</f>
        <v>543.5318932997908</v>
      </c>
      <c r="F30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4" s="25">
        <f ca="1">IF(PaymentSchedule3[[#This Row],[Payment Number]]&lt;&gt;"",PaymentSchedule3[[#This Row],[Total
Payment]]-PaymentSchedule3[[#This Row],[Interest]],"")</f>
        <v>399.57266365509042</v>
      </c>
      <c r="I304" s="25">
        <f ca="1">IF(PaymentSchedule3[[#This Row],[Payment Number]]&lt;&gt;"",PaymentSchedule3[[#This Row],[Beginning
Balance]]*(InterestRate/PaymentsPerYear),"")</f>
        <v>143.95922964470034</v>
      </c>
      <c r="J304" s="25">
        <f ca="1">IF(PaymentSchedule3[[#This Row],[Payment Number]]&lt;&gt;"",IF(PaymentSchedule3[[#This Row],[Scheduled Payment]]+PaymentSchedule3[[#This Row],[Extra
Payment]]&lt;=PaymentSchedule3[[#This Row],[Beginning
Balance]],PaymentSchedule3[[#This Row],[Beginning
Balance]]-PaymentSchedule3[[#This Row],[Principal]],0),"")</f>
        <v>34150.642451072992</v>
      </c>
      <c r="K304" s="25">
        <f ca="1">IF(PaymentSchedule3[[#This Row],[Payment Number]]&lt;&gt;"",SUM(INDEX(PaymentSchedule3[Interest],1,1):PaymentSchedule3[[#This Row],[Interest]]),"")</f>
        <v>88894.295828112983</v>
      </c>
      <c r="L304" s="49">
        <f ca="1">LoanAmount-PaymentSchedule3[[#This Row],[Ending
Balance]]</f>
        <v>67099.357548927015</v>
      </c>
      <c r="M304" s="49">
        <f t="shared" ca="1" si="4"/>
        <v>908.5318932997908</v>
      </c>
      <c r="N304" s="25">
        <f ca="1">PaymentSchedule3[[#This Row],[Payment Number]]*$M$19</f>
        <v>260748.65337703997</v>
      </c>
    </row>
    <row r="305" spans="2:14" ht="15.75" x14ac:dyDescent="0.25">
      <c r="B305" s="23">
        <f ca="1">IF(LoanIsGood,IF(ROW()-ROW(PaymentSchedule3[[#Headers],[Payment Number]])&gt;ScheduledNumberOfPayments,"",ROW()-ROW(PaymentSchedule3[[#Headers],[Payment Number]])),"")</f>
        <v>288</v>
      </c>
      <c r="C305" s="24">
        <f ca="1">IF(PaymentSchedule3[[#This Row],[Payment Number]]&lt;&gt;"",EOMONTH(LoanStartDate,ROW(PaymentSchedule3[[#This Row],[Payment Number]])-ROW(PaymentSchedule3[[#Headers],[Payment Number]])-2)+DAY(LoanStartDate),"")</f>
        <v>53371</v>
      </c>
      <c r="D305" s="25">
        <f ca="1">IF(PaymentSchedule3[[#This Row],[Payment Number]]&lt;&gt;"",IF(ROW()-ROW(PaymentSchedule3[[#Headers],[Beginning
Balance]])=1,LoanAmount,INDEX(PaymentSchedule3[Ending
Balance],ROW()-ROW(PaymentSchedule3[[#Headers],[Beginning
Balance]])-1)),"")</f>
        <v>34150.642451072992</v>
      </c>
      <c r="E305" s="25">
        <f ca="1">IF(PaymentSchedule3[[#This Row],[Payment Number]]&lt;&gt;"",ScheduledPayment,"")</f>
        <v>543.5318932997908</v>
      </c>
      <c r="F30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5" s="25">
        <f ca="1">IF(PaymentSchedule3[[#This Row],[Payment Number]]&lt;&gt;"",PaymentSchedule3[[#This Row],[Total
Payment]]-PaymentSchedule3[[#This Row],[Interest]],"")</f>
        <v>401.2375497536533</v>
      </c>
      <c r="I305" s="25">
        <f ca="1">IF(PaymentSchedule3[[#This Row],[Payment Number]]&lt;&gt;"",PaymentSchedule3[[#This Row],[Beginning
Balance]]*(InterestRate/PaymentsPerYear),"")</f>
        <v>142.29434354613747</v>
      </c>
      <c r="J305" s="25">
        <f ca="1">IF(PaymentSchedule3[[#This Row],[Payment Number]]&lt;&gt;"",IF(PaymentSchedule3[[#This Row],[Scheduled Payment]]+PaymentSchedule3[[#This Row],[Extra
Payment]]&lt;=PaymentSchedule3[[#This Row],[Beginning
Balance]],PaymentSchedule3[[#This Row],[Beginning
Balance]]-PaymentSchedule3[[#This Row],[Principal]],0),"")</f>
        <v>33749.404901319336</v>
      </c>
      <c r="K305" s="25">
        <f ca="1">IF(PaymentSchedule3[[#This Row],[Payment Number]]&lt;&gt;"",SUM(INDEX(PaymentSchedule3[Interest],1,1):PaymentSchedule3[[#This Row],[Interest]]),"")</f>
        <v>89036.590171659118</v>
      </c>
      <c r="L305" s="49">
        <f ca="1">LoanAmount-PaymentSchedule3[[#This Row],[Ending
Balance]]</f>
        <v>67500.595098680671</v>
      </c>
      <c r="M305" s="49">
        <f t="shared" ca="1" si="4"/>
        <v>908.5318932997908</v>
      </c>
      <c r="N305" s="25">
        <f ca="1">PaymentSchedule3[[#This Row],[Payment Number]]*$M$19</f>
        <v>261657.18527033975</v>
      </c>
    </row>
    <row r="306" spans="2:14" ht="15.75" x14ac:dyDescent="0.25">
      <c r="B306" s="23">
        <f ca="1">IF(LoanIsGood,IF(ROW()-ROW(PaymentSchedule3[[#Headers],[Payment Number]])&gt;ScheduledNumberOfPayments,"",ROW()-ROW(PaymentSchedule3[[#Headers],[Payment Number]])),"")</f>
        <v>289</v>
      </c>
      <c r="C306" s="24">
        <f ca="1">IF(PaymentSchedule3[[#This Row],[Payment Number]]&lt;&gt;"",EOMONTH(LoanStartDate,ROW(PaymentSchedule3[[#This Row],[Payment Number]])-ROW(PaymentSchedule3[[#Headers],[Payment Number]])-2)+DAY(LoanStartDate),"")</f>
        <v>53399</v>
      </c>
      <c r="D306" s="25">
        <f ca="1">IF(PaymentSchedule3[[#This Row],[Payment Number]]&lt;&gt;"",IF(ROW()-ROW(PaymentSchedule3[[#Headers],[Beginning
Balance]])=1,LoanAmount,INDEX(PaymentSchedule3[Ending
Balance],ROW()-ROW(PaymentSchedule3[[#Headers],[Beginning
Balance]])-1)),"")</f>
        <v>33749.404901319336</v>
      </c>
      <c r="E306" s="25">
        <f ca="1">IF(PaymentSchedule3[[#This Row],[Payment Number]]&lt;&gt;"",ScheduledPayment,"")</f>
        <v>543.5318932997908</v>
      </c>
      <c r="F30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6" s="25">
        <f ca="1">IF(PaymentSchedule3[[#This Row],[Payment Number]]&lt;&gt;"",PaymentSchedule3[[#This Row],[Total
Payment]]-PaymentSchedule3[[#This Row],[Interest]],"")</f>
        <v>402.90937287762688</v>
      </c>
      <c r="I306" s="25">
        <f ca="1">IF(PaymentSchedule3[[#This Row],[Payment Number]]&lt;&gt;"",PaymentSchedule3[[#This Row],[Beginning
Balance]]*(InterestRate/PaymentsPerYear),"")</f>
        <v>140.62252042216389</v>
      </c>
      <c r="J306" s="25">
        <f ca="1">IF(PaymentSchedule3[[#This Row],[Payment Number]]&lt;&gt;"",IF(PaymentSchedule3[[#This Row],[Scheduled Payment]]+PaymentSchedule3[[#This Row],[Extra
Payment]]&lt;=PaymentSchedule3[[#This Row],[Beginning
Balance]],PaymentSchedule3[[#This Row],[Beginning
Balance]]-PaymentSchedule3[[#This Row],[Principal]],0),"")</f>
        <v>33346.495528441708</v>
      </c>
      <c r="K306" s="25">
        <f ca="1">IF(PaymentSchedule3[[#This Row],[Payment Number]]&lt;&gt;"",SUM(INDEX(PaymentSchedule3[Interest],1,1):PaymentSchedule3[[#This Row],[Interest]]),"")</f>
        <v>89177.212692081288</v>
      </c>
      <c r="L306" s="49">
        <f ca="1">LoanAmount-PaymentSchedule3[[#This Row],[Ending
Balance]]</f>
        <v>67903.504471558292</v>
      </c>
      <c r="M306" s="49">
        <f t="shared" ca="1" si="4"/>
        <v>908.5318932997908</v>
      </c>
      <c r="N306" s="25">
        <f ca="1">PaymentSchedule3[[#This Row],[Payment Number]]*$M$19</f>
        <v>262565.71716363955</v>
      </c>
    </row>
    <row r="307" spans="2:14" ht="15.75" x14ac:dyDescent="0.25">
      <c r="B307" s="23">
        <f ca="1">IF(LoanIsGood,IF(ROW()-ROW(PaymentSchedule3[[#Headers],[Payment Number]])&gt;ScheduledNumberOfPayments,"",ROW()-ROW(PaymentSchedule3[[#Headers],[Payment Number]])),"")</f>
        <v>290</v>
      </c>
      <c r="C307" s="24">
        <f ca="1">IF(PaymentSchedule3[[#This Row],[Payment Number]]&lt;&gt;"",EOMONTH(LoanStartDate,ROW(PaymentSchedule3[[#This Row],[Payment Number]])-ROW(PaymentSchedule3[[#Headers],[Payment Number]])-2)+DAY(LoanStartDate),"")</f>
        <v>53430</v>
      </c>
      <c r="D307" s="25">
        <f ca="1">IF(PaymentSchedule3[[#This Row],[Payment Number]]&lt;&gt;"",IF(ROW()-ROW(PaymentSchedule3[[#Headers],[Beginning
Balance]])=1,LoanAmount,INDEX(PaymentSchedule3[Ending
Balance],ROW()-ROW(PaymentSchedule3[[#Headers],[Beginning
Balance]])-1)),"")</f>
        <v>33346.495528441708</v>
      </c>
      <c r="E307" s="25">
        <f ca="1">IF(PaymentSchedule3[[#This Row],[Payment Number]]&lt;&gt;"",ScheduledPayment,"")</f>
        <v>543.5318932997908</v>
      </c>
      <c r="F30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7" s="25">
        <f ca="1">IF(PaymentSchedule3[[#This Row],[Payment Number]]&lt;&gt;"",PaymentSchedule3[[#This Row],[Total
Payment]]-PaymentSchedule3[[#This Row],[Interest]],"")</f>
        <v>404.58816193128371</v>
      </c>
      <c r="I307" s="25">
        <f ca="1">IF(PaymentSchedule3[[#This Row],[Payment Number]]&lt;&gt;"",PaymentSchedule3[[#This Row],[Beginning
Balance]]*(InterestRate/PaymentsPerYear),"")</f>
        <v>138.94373136850712</v>
      </c>
      <c r="J307" s="25">
        <f ca="1">IF(PaymentSchedule3[[#This Row],[Payment Number]]&lt;&gt;"",IF(PaymentSchedule3[[#This Row],[Scheduled Payment]]+PaymentSchedule3[[#This Row],[Extra
Payment]]&lt;=PaymentSchedule3[[#This Row],[Beginning
Balance]],PaymentSchedule3[[#This Row],[Beginning
Balance]]-PaymentSchedule3[[#This Row],[Principal]],0),"")</f>
        <v>32941.907366510422</v>
      </c>
      <c r="K307" s="25">
        <f ca="1">IF(PaymentSchedule3[[#This Row],[Payment Number]]&lt;&gt;"",SUM(INDEX(PaymentSchedule3[Interest],1,1):PaymentSchedule3[[#This Row],[Interest]]),"")</f>
        <v>89316.156423449793</v>
      </c>
      <c r="L307" s="49">
        <f ca="1">LoanAmount-PaymentSchedule3[[#This Row],[Ending
Balance]]</f>
        <v>68308.092633489578</v>
      </c>
      <c r="M307" s="49">
        <f t="shared" ca="1" si="4"/>
        <v>908.5318932997908</v>
      </c>
      <c r="N307" s="25">
        <f ca="1">PaymentSchedule3[[#This Row],[Payment Number]]*$M$19</f>
        <v>263474.24905693933</v>
      </c>
    </row>
    <row r="308" spans="2:14" ht="15.75" x14ac:dyDescent="0.25">
      <c r="B308" s="23">
        <f ca="1">IF(LoanIsGood,IF(ROW()-ROW(PaymentSchedule3[[#Headers],[Payment Number]])&gt;ScheduledNumberOfPayments,"",ROW()-ROW(PaymentSchedule3[[#Headers],[Payment Number]])),"")</f>
        <v>291</v>
      </c>
      <c r="C308" s="24">
        <f ca="1">IF(PaymentSchedule3[[#This Row],[Payment Number]]&lt;&gt;"",EOMONTH(LoanStartDate,ROW(PaymentSchedule3[[#This Row],[Payment Number]])-ROW(PaymentSchedule3[[#Headers],[Payment Number]])-2)+DAY(LoanStartDate),"")</f>
        <v>53460</v>
      </c>
      <c r="D308" s="25">
        <f ca="1">IF(PaymentSchedule3[[#This Row],[Payment Number]]&lt;&gt;"",IF(ROW()-ROW(PaymentSchedule3[[#Headers],[Beginning
Balance]])=1,LoanAmount,INDEX(PaymentSchedule3[Ending
Balance],ROW()-ROW(PaymentSchedule3[[#Headers],[Beginning
Balance]])-1)),"")</f>
        <v>32941.907366510422</v>
      </c>
      <c r="E308" s="25">
        <f ca="1">IF(PaymentSchedule3[[#This Row],[Payment Number]]&lt;&gt;"",ScheduledPayment,"")</f>
        <v>543.5318932997908</v>
      </c>
      <c r="F30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8" s="25">
        <f ca="1">IF(PaymentSchedule3[[#This Row],[Payment Number]]&lt;&gt;"",PaymentSchedule3[[#This Row],[Total
Payment]]-PaymentSchedule3[[#This Row],[Interest]],"")</f>
        <v>406.2739459393307</v>
      </c>
      <c r="I308" s="25">
        <f ca="1">IF(PaymentSchedule3[[#This Row],[Payment Number]]&lt;&gt;"",PaymentSchedule3[[#This Row],[Beginning
Balance]]*(InterestRate/PaymentsPerYear),"")</f>
        <v>137.25794736046009</v>
      </c>
      <c r="J308" s="25">
        <f ca="1">IF(PaymentSchedule3[[#This Row],[Payment Number]]&lt;&gt;"",IF(PaymentSchedule3[[#This Row],[Scheduled Payment]]+PaymentSchedule3[[#This Row],[Extra
Payment]]&lt;=PaymentSchedule3[[#This Row],[Beginning
Balance]],PaymentSchedule3[[#This Row],[Beginning
Balance]]-PaymentSchedule3[[#This Row],[Principal]],0),"")</f>
        <v>32535.633420571092</v>
      </c>
      <c r="K308" s="25">
        <f ca="1">IF(PaymentSchedule3[[#This Row],[Payment Number]]&lt;&gt;"",SUM(INDEX(PaymentSchedule3[Interest],1,1):PaymentSchedule3[[#This Row],[Interest]]),"")</f>
        <v>89453.414370810249</v>
      </c>
      <c r="L308" s="49">
        <f ca="1">LoanAmount-PaymentSchedule3[[#This Row],[Ending
Balance]]</f>
        <v>68714.366579428912</v>
      </c>
      <c r="M308" s="49">
        <f t="shared" ca="1" si="4"/>
        <v>908.5318932997908</v>
      </c>
      <c r="N308" s="25">
        <f ca="1">PaymentSchedule3[[#This Row],[Payment Number]]*$M$19</f>
        <v>264382.7809502391</v>
      </c>
    </row>
    <row r="309" spans="2:14" ht="15.75" x14ac:dyDescent="0.25">
      <c r="B309" s="23">
        <f ca="1">IF(LoanIsGood,IF(ROW()-ROW(PaymentSchedule3[[#Headers],[Payment Number]])&gt;ScheduledNumberOfPayments,"",ROW()-ROW(PaymentSchedule3[[#Headers],[Payment Number]])),"")</f>
        <v>292</v>
      </c>
      <c r="C309" s="24">
        <f ca="1">IF(PaymentSchedule3[[#This Row],[Payment Number]]&lt;&gt;"",EOMONTH(LoanStartDate,ROW(PaymentSchedule3[[#This Row],[Payment Number]])-ROW(PaymentSchedule3[[#Headers],[Payment Number]])-2)+DAY(LoanStartDate),"")</f>
        <v>53491</v>
      </c>
      <c r="D309" s="25">
        <f ca="1">IF(PaymentSchedule3[[#This Row],[Payment Number]]&lt;&gt;"",IF(ROW()-ROW(PaymentSchedule3[[#Headers],[Beginning
Balance]])=1,LoanAmount,INDEX(PaymentSchedule3[Ending
Balance],ROW()-ROW(PaymentSchedule3[[#Headers],[Beginning
Balance]])-1)),"")</f>
        <v>32535.633420571092</v>
      </c>
      <c r="E309" s="25">
        <f ca="1">IF(PaymentSchedule3[[#This Row],[Payment Number]]&lt;&gt;"",ScheduledPayment,"")</f>
        <v>543.5318932997908</v>
      </c>
      <c r="F30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09" s="25">
        <f ca="1">IF(PaymentSchedule3[[#This Row],[Payment Number]]&lt;&gt;"",PaymentSchedule3[[#This Row],[Total
Payment]]-PaymentSchedule3[[#This Row],[Interest]],"")</f>
        <v>407.96675404741126</v>
      </c>
      <c r="I309" s="25">
        <f ca="1">IF(PaymentSchedule3[[#This Row],[Payment Number]]&lt;&gt;"",PaymentSchedule3[[#This Row],[Beginning
Balance]]*(InterestRate/PaymentsPerYear),"")</f>
        <v>135.56513925237954</v>
      </c>
      <c r="J309" s="25">
        <f ca="1">IF(PaymentSchedule3[[#This Row],[Payment Number]]&lt;&gt;"",IF(PaymentSchedule3[[#This Row],[Scheduled Payment]]+PaymentSchedule3[[#This Row],[Extra
Payment]]&lt;=PaymentSchedule3[[#This Row],[Beginning
Balance]],PaymentSchedule3[[#This Row],[Beginning
Balance]]-PaymentSchedule3[[#This Row],[Principal]],0),"")</f>
        <v>32127.666666523681</v>
      </c>
      <c r="K309" s="25">
        <f ca="1">IF(PaymentSchedule3[[#This Row],[Payment Number]]&lt;&gt;"",SUM(INDEX(PaymentSchedule3[Interest],1,1):PaymentSchedule3[[#This Row],[Interest]]),"")</f>
        <v>89588.979510062622</v>
      </c>
      <c r="L309" s="49">
        <f ca="1">LoanAmount-PaymentSchedule3[[#This Row],[Ending
Balance]]</f>
        <v>69122.333333476316</v>
      </c>
      <c r="M309" s="49">
        <f t="shared" ca="1" si="4"/>
        <v>908.5318932997908</v>
      </c>
      <c r="N309" s="25">
        <f ca="1">PaymentSchedule3[[#This Row],[Payment Number]]*$M$19</f>
        <v>265291.31284353894</v>
      </c>
    </row>
    <row r="310" spans="2:14" ht="15.75" x14ac:dyDescent="0.25">
      <c r="B310" s="23">
        <f ca="1">IF(LoanIsGood,IF(ROW()-ROW(PaymentSchedule3[[#Headers],[Payment Number]])&gt;ScheduledNumberOfPayments,"",ROW()-ROW(PaymentSchedule3[[#Headers],[Payment Number]])),"")</f>
        <v>293</v>
      </c>
      <c r="C310" s="24">
        <f ca="1">IF(PaymentSchedule3[[#This Row],[Payment Number]]&lt;&gt;"",EOMONTH(LoanStartDate,ROW(PaymentSchedule3[[#This Row],[Payment Number]])-ROW(PaymentSchedule3[[#Headers],[Payment Number]])-2)+DAY(LoanStartDate),"")</f>
        <v>53521</v>
      </c>
      <c r="D310" s="25">
        <f ca="1">IF(PaymentSchedule3[[#This Row],[Payment Number]]&lt;&gt;"",IF(ROW()-ROW(PaymentSchedule3[[#Headers],[Beginning
Balance]])=1,LoanAmount,INDEX(PaymentSchedule3[Ending
Balance],ROW()-ROW(PaymentSchedule3[[#Headers],[Beginning
Balance]])-1)),"")</f>
        <v>32127.666666523681</v>
      </c>
      <c r="E310" s="25">
        <f ca="1">IF(PaymentSchedule3[[#This Row],[Payment Number]]&lt;&gt;"",ScheduledPayment,"")</f>
        <v>543.5318932997908</v>
      </c>
      <c r="F31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0" s="25">
        <f ca="1">IF(PaymentSchedule3[[#This Row],[Payment Number]]&lt;&gt;"",PaymentSchedule3[[#This Row],[Total
Payment]]-PaymentSchedule3[[#This Row],[Interest]],"")</f>
        <v>409.66661552260882</v>
      </c>
      <c r="I310" s="25">
        <f ca="1">IF(PaymentSchedule3[[#This Row],[Payment Number]]&lt;&gt;"",PaymentSchedule3[[#This Row],[Beginning
Balance]]*(InterestRate/PaymentsPerYear),"")</f>
        <v>133.865277777182</v>
      </c>
      <c r="J310" s="25">
        <f ca="1">IF(PaymentSchedule3[[#This Row],[Payment Number]]&lt;&gt;"",IF(PaymentSchedule3[[#This Row],[Scheduled Payment]]+PaymentSchedule3[[#This Row],[Extra
Payment]]&lt;=PaymentSchedule3[[#This Row],[Beginning
Balance]],PaymentSchedule3[[#This Row],[Beginning
Balance]]-PaymentSchedule3[[#This Row],[Principal]],0),"")</f>
        <v>31718.000051001072</v>
      </c>
      <c r="K310" s="25">
        <f ca="1">IF(PaymentSchedule3[[#This Row],[Payment Number]]&lt;&gt;"",SUM(INDEX(PaymentSchedule3[Interest],1,1):PaymentSchedule3[[#This Row],[Interest]]),"")</f>
        <v>89722.8447878398</v>
      </c>
      <c r="L310" s="49">
        <f ca="1">LoanAmount-PaymentSchedule3[[#This Row],[Ending
Balance]]</f>
        <v>69531.999948998928</v>
      </c>
      <c r="M310" s="49">
        <f t="shared" ca="1" si="4"/>
        <v>908.5318932997908</v>
      </c>
      <c r="N310" s="25">
        <f ca="1">PaymentSchedule3[[#This Row],[Payment Number]]*$M$19</f>
        <v>266199.84473683871</v>
      </c>
    </row>
    <row r="311" spans="2:14" ht="15.75" x14ac:dyDescent="0.25">
      <c r="B311" s="23">
        <f ca="1">IF(LoanIsGood,IF(ROW()-ROW(PaymentSchedule3[[#Headers],[Payment Number]])&gt;ScheduledNumberOfPayments,"",ROW()-ROW(PaymentSchedule3[[#Headers],[Payment Number]])),"")</f>
        <v>294</v>
      </c>
      <c r="C311" s="24">
        <f ca="1">IF(PaymentSchedule3[[#This Row],[Payment Number]]&lt;&gt;"",EOMONTH(LoanStartDate,ROW(PaymentSchedule3[[#This Row],[Payment Number]])-ROW(PaymentSchedule3[[#Headers],[Payment Number]])-2)+DAY(LoanStartDate),"")</f>
        <v>53552</v>
      </c>
      <c r="D311" s="25">
        <f ca="1">IF(PaymentSchedule3[[#This Row],[Payment Number]]&lt;&gt;"",IF(ROW()-ROW(PaymentSchedule3[[#Headers],[Beginning
Balance]])=1,LoanAmount,INDEX(PaymentSchedule3[Ending
Balance],ROW()-ROW(PaymentSchedule3[[#Headers],[Beginning
Balance]])-1)),"")</f>
        <v>31718.000051001072</v>
      </c>
      <c r="E311" s="25">
        <f ca="1">IF(PaymentSchedule3[[#This Row],[Payment Number]]&lt;&gt;"",ScheduledPayment,"")</f>
        <v>543.5318932997908</v>
      </c>
      <c r="F31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1" s="25">
        <f ca="1">IF(PaymentSchedule3[[#This Row],[Payment Number]]&lt;&gt;"",PaymentSchedule3[[#This Row],[Total
Payment]]-PaymentSchedule3[[#This Row],[Interest]],"")</f>
        <v>411.37355975395303</v>
      </c>
      <c r="I311" s="25">
        <f ca="1">IF(PaymentSchedule3[[#This Row],[Payment Number]]&lt;&gt;"",PaymentSchedule3[[#This Row],[Beginning
Balance]]*(InterestRate/PaymentsPerYear),"")</f>
        <v>132.15833354583779</v>
      </c>
      <c r="J311" s="25">
        <f ca="1">IF(PaymentSchedule3[[#This Row],[Payment Number]]&lt;&gt;"",IF(PaymentSchedule3[[#This Row],[Scheduled Payment]]+PaymentSchedule3[[#This Row],[Extra
Payment]]&lt;=PaymentSchedule3[[#This Row],[Beginning
Balance]],PaymentSchedule3[[#This Row],[Beginning
Balance]]-PaymentSchedule3[[#This Row],[Principal]],0),"")</f>
        <v>31306.62649124712</v>
      </c>
      <c r="K311" s="25">
        <f ca="1">IF(PaymentSchedule3[[#This Row],[Payment Number]]&lt;&gt;"",SUM(INDEX(PaymentSchedule3[Interest],1,1):PaymentSchedule3[[#This Row],[Interest]]),"")</f>
        <v>89855.003121385642</v>
      </c>
      <c r="L311" s="49">
        <f ca="1">LoanAmount-PaymentSchedule3[[#This Row],[Ending
Balance]]</f>
        <v>69943.373508752877</v>
      </c>
      <c r="M311" s="49">
        <f t="shared" ca="1" si="4"/>
        <v>908.5318932997908</v>
      </c>
      <c r="N311" s="25">
        <f ca="1">PaymentSchedule3[[#This Row],[Payment Number]]*$M$19</f>
        <v>267108.37663013849</v>
      </c>
    </row>
    <row r="312" spans="2:14" ht="15.75" x14ac:dyDescent="0.25">
      <c r="B312" s="23">
        <f ca="1">IF(LoanIsGood,IF(ROW()-ROW(PaymentSchedule3[[#Headers],[Payment Number]])&gt;ScheduledNumberOfPayments,"",ROW()-ROW(PaymentSchedule3[[#Headers],[Payment Number]])),"")</f>
        <v>295</v>
      </c>
      <c r="C312" s="24">
        <f ca="1">IF(PaymentSchedule3[[#This Row],[Payment Number]]&lt;&gt;"",EOMONTH(LoanStartDate,ROW(PaymentSchedule3[[#This Row],[Payment Number]])-ROW(PaymentSchedule3[[#Headers],[Payment Number]])-2)+DAY(LoanStartDate),"")</f>
        <v>53583</v>
      </c>
      <c r="D312" s="25">
        <f ca="1">IF(PaymentSchedule3[[#This Row],[Payment Number]]&lt;&gt;"",IF(ROW()-ROW(PaymentSchedule3[[#Headers],[Beginning
Balance]])=1,LoanAmount,INDEX(PaymentSchedule3[Ending
Balance],ROW()-ROW(PaymentSchedule3[[#Headers],[Beginning
Balance]])-1)),"")</f>
        <v>31306.62649124712</v>
      </c>
      <c r="E312" s="25">
        <f ca="1">IF(PaymentSchedule3[[#This Row],[Payment Number]]&lt;&gt;"",ScheduledPayment,"")</f>
        <v>543.5318932997908</v>
      </c>
      <c r="F31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2" s="25">
        <f ca="1">IF(PaymentSchedule3[[#This Row],[Payment Number]]&lt;&gt;"",PaymentSchedule3[[#This Row],[Total
Payment]]-PaymentSchedule3[[#This Row],[Interest]],"")</f>
        <v>413.08761625292777</v>
      </c>
      <c r="I312" s="25">
        <f ca="1">IF(PaymentSchedule3[[#This Row],[Payment Number]]&lt;&gt;"",PaymentSchedule3[[#This Row],[Beginning
Balance]]*(InterestRate/PaymentsPerYear),"")</f>
        <v>130.44427704686299</v>
      </c>
      <c r="J312" s="25">
        <f ca="1">IF(PaymentSchedule3[[#This Row],[Payment Number]]&lt;&gt;"",IF(PaymentSchedule3[[#This Row],[Scheduled Payment]]+PaymentSchedule3[[#This Row],[Extra
Payment]]&lt;=PaymentSchedule3[[#This Row],[Beginning
Balance]],PaymentSchedule3[[#This Row],[Beginning
Balance]]-PaymentSchedule3[[#This Row],[Principal]],0),"")</f>
        <v>30893.538874994192</v>
      </c>
      <c r="K312" s="25">
        <f ca="1">IF(PaymentSchedule3[[#This Row],[Payment Number]]&lt;&gt;"",SUM(INDEX(PaymentSchedule3[Interest],1,1):PaymentSchedule3[[#This Row],[Interest]]),"")</f>
        <v>89985.447398432501</v>
      </c>
      <c r="L312" s="49">
        <f ca="1">LoanAmount-PaymentSchedule3[[#This Row],[Ending
Balance]]</f>
        <v>70356.461125005808</v>
      </c>
      <c r="M312" s="49">
        <f t="shared" ca="1" si="4"/>
        <v>908.5318932997908</v>
      </c>
      <c r="N312" s="25">
        <f ca="1">PaymentSchedule3[[#This Row],[Payment Number]]*$M$19</f>
        <v>268016.90852343827</v>
      </c>
    </row>
    <row r="313" spans="2:14" ht="15.75" x14ac:dyDescent="0.25">
      <c r="B313" s="23">
        <f ca="1">IF(LoanIsGood,IF(ROW()-ROW(PaymentSchedule3[[#Headers],[Payment Number]])&gt;ScheduledNumberOfPayments,"",ROW()-ROW(PaymentSchedule3[[#Headers],[Payment Number]])),"")</f>
        <v>296</v>
      </c>
      <c r="C313" s="24">
        <f ca="1">IF(PaymentSchedule3[[#This Row],[Payment Number]]&lt;&gt;"",EOMONTH(LoanStartDate,ROW(PaymentSchedule3[[#This Row],[Payment Number]])-ROW(PaymentSchedule3[[#Headers],[Payment Number]])-2)+DAY(LoanStartDate),"")</f>
        <v>53613</v>
      </c>
      <c r="D313" s="25">
        <f ca="1">IF(PaymentSchedule3[[#This Row],[Payment Number]]&lt;&gt;"",IF(ROW()-ROW(PaymentSchedule3[[#Headers],[Beginning
Balance]])=1,LoanAmount,INDEX(PaymentSchedule3[Ending
Balance],ROW()-ROW(PaymentSchedule3[[#Headers],[Beginning
Balance]])-1)),"")</f>
        <v>30893.538874994192</v>
      </c>
      <c r="E313" s="25">
        <f ca="1">IF(PaymentSchedule3[[#This Row],[Payment Number]]&lt;&gt;"",ScheduledPayment,"")</f>
        <v>543.5318932997908</v>
      </c>
      <c r="F31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3" s="25">
        <f ca="1">IF(PaymentSchedule3[[#This Row],[Payment Number]]&lt;&gt;"",PaymentSchedule3[[#This Row],[Total
Payment]]-PaymentSchedule3[[#This Row],[Interest]],"")</f>
        <v>414.8088146539817</v>
      </c>
      <c r="I313" s="25">
        <f ca="1">IF(PaymentSchedule3[[#This Row],[Payment Number]]&lt;&gt;"",PaymentSchedule3[[#This Row],[Beginning
Balance]]*(InterestRate/PaymentsPerYear),"")</f>
        <v>128.72307864580912</v>
      </c>
      <c r="J313" s="25">
        <f ca="1">IF(PaymentSchedule3[[#This Row],[Payment Number]]&lt;&gt;"",IF(PaymentSchedule3[[#This Row],[Scheduled Payment]]+PaymentSchedule3[[#This Row],[Extra
Payment]]&lt;=PaymentSchedule3[[#This Row],[Beginning
Balance]],PaymentSchedule3[[#This Row],[Beginning
Balance]]-PaymentSchedule3[[#This Row],[Principal]],0),"")</f>
        <v>30478.730060340211</v>
      </c>
      <c r="K313" s="25">
        <f ca="1">IF(PaymentSchedule3[[#This Row],[Payment Number]]&lt;&gt;"",SUM(INDEX(PaymentSchedule3[Interest],1,1):PaymentSchedule3[[#This Row],[Interest]]),"")</f>
        <v>90114.170477078311</v>
      </c>
      <c r="L313" s="49">
        <f ca="1">LoanAmount-PaymentSchedule3[[#This Row],[Ending
Balance]]</f>
        <v>70771.269939659789</v>
      </c>
      <c r="M313" s="49">
        <f t="shared" ca="1" si="4"/>
        <v>908.5318932997908</v>
      </c>
      <c r="N313" s="25">
        <f ca="1">PaymentSchedule3[[#This Row],[Payment Number]]*$M$19</f>
        <v>268925.4404167381</v>
      </c>
    </row>
    <row r="314" spans="2:14" ht="15.75" x14ac:dyDescent="0.25">
      <c r="B314" s="23">
        <f ca="1">IF(LoanIsGood,IF(ROW()-ROW(PaymentSchedule3[[#Headers],[Payment Number]])&gt;ScheduledNumberOfPayments,"",ROW()-ROW(PaymentSchedule3[[#Headers],[Payment Number]])),"")</f>
        <v>297</v>
      </c>
      <c r="C314" s="24">
        <f ca="1">IF(PaymentSchedule3[[#This Row],[Payment Number]]&lt;&gt;"",EOMONTH(LoanStartDate,ROW(PaymentSchedule3[[#This Row],[Payment Number]])-ROW(PaymentSchedule3[[#Headers],[Payment Number]])-2)+DAY(LoanStartDate),"")</f>
        <v>53644</v>
      </c>
      <c r="D314" s="25">
        <f ca="1">IF(PaymentSchedule3[[#This Row],[Payment Number]]&lt;&gt;"",IF(ROW()-ROW(PaymentSchedule3[[#Headers],[Beginning
Balance]])=1,LoanAmount,INDEX(PaymentSchedule3[Ending
Balance],ROW()-ROW(PaymentSchedule3[[#Headers],[Beginning
Balance]])-1)),"")</f>
        <v>30478.730060340211</v>
      </c>
      <c r="E314" s="25">
        <f ca="1">IF(PaymentSchedule3[[#This Row],[Payment Number]]&lt;&gt;"",ScheduledPayment,"")</f>
        <v>543.5318932997908</v>
      </c>
      <c r="F31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4" s="25">
        <f ca="1">IF(PaymentSchedule3[[#This Row],[Payment Number]]&lt;&gt;"",PaymentSchedule3[[#This Row],[Total
Payment]]-PaymentSchedule3[[#This Row],[Interest]],"")</f>
        <v>416.53718471503993</v>
      </c>
      <c r="I314" s="25">
        <f ca="1">IF(PaymentSchedule3[[#This Row],[Payment Number]]&lt;&gt;"",PaymentSchedule3[[#This Row],[Beginning
Balance]]*(InterestRate/PaymentsPerYear),"")</f>
        <v>126.99470858475088</v>
      </c>
      <c r="J314" s="25">
        <f ca="1">IF(PaymentSchedule3[[#This Row],[Payment Number]]&lt;&gt;"",IF(PaymentSchedule3[[#This Row],[Scheduled Payment]]+PaymentSchedule3[[#This Row],[Extra
Payment]]&lt;=PaymentSchedule3[[#This Row],[Beginning
Balance]],PaymentSchedule3[[#This Row],[Beginning
Balance]]-PaymentSchedule3[[#This Row],[Principal]],0),"")</f>
        <v>30062.192875625173</v>
      </c>
      <c r="K314" s="25">
        <f ca="1">IF(PaymentSchedule3[[#This Row],[Payment Number]]&lt;&gt;"",SUM(INDEX(PaymentSchedule3[Interest],1,1):PaymentSchedule3[[#This Row],[Interest]]),"")</f>
        <v>90241.165185663063</v>
      </c>
      <c r="L314" s="49">
        <f ca="1">LoanAmount-PaymentSchedule3[[#This Row],[Ending
Balance]]</f>
        <v>71187.807124374827</v>
      </c>
      <c r="M314" s="49">
        <f t="shared" ca="1" si="4"/>
        <v>908.5318932997908</v>
      </c>
      <c r="N314" s="25">
        <f ca="1">PaymentSchedule3[[#This Row],[Payment Number]]*$M$19</f>
        <v>269833.97231003788</v>
      </c>
    </row>
    <row r="315" spans="2:14" ht="15.75" x14ac:dyDescent="0.25">
      <c r="B315" s="23">
        <f ca="1">IF(LoanIsGood,IF(ROW()-ROW(PaymentSchedule3[[#Headers],[Payment Number]])&gt;ScheduledNumberOfPayments,"",ROW()-ROW(PaymentSchedule3[[#Headers],[Payment Number]])),"")</f>
        <v>298</v>
      </c>
      <c r="C315" s="24">
        <f ca="1">IF(PaymentSchedule3[[#This Row],[Payment Number]]&lt;&gt;"",EOMONTH(LoanStartDate,ROW(PaymentSchedule3[[#This Row],[Payment Number]])-ROW(PaymentSchedule3[[#Headers],[Payment Number]])-2)+DAY(LoanStartDate),"")</f>
        <v>53674</v>
      </c>
      <c r="D315" s="25">
        <f ca="1">IF(PaymentSchedule3[[#This Row],[Payment Number]]&lt;&gt;"",IF(ROW()-ROW(PaymentSchedule3[[#Headers],[Beginning
Balance]])=1,LoanAmount,INDEX(PaymentSchedule3[Ending
Balance],ROW()-ROW(PaymentSchedule3[[#Headers],[Beginning
Balance]])-1)),"")</f>
        <v>30062.192875625173</v>
      </c>
      <c r="E315" s="25">
        <f ca="1">IF(PaymentSchedule3[[#This Row],[Payment Number]]&lt;&gt;"",ScheduledPayment,"")</f>
        <v>543.5318932997908</v>
      </c>
      <c r="F31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5" s="25">
        <f ca="1">IF(PaymentSchedule3[[#This Row],[Payment Number]]&lt;&gt;"",PaymentSchedule3[[#This Row],[Total
Payment]]-PaymentSchedule3[[#This Row],[Interest]],"")</f>
        <v>418.27275631801922</v>
      </c>
      <c r="I315" s="25">
        <f ca="1">IF(PaymentSchedule3[[#This Row],[Payment Number]]&lt;&gt;"",PaymentSchedule3[[#This Row],[Beginning
Balance]]*(InterestRate/PaymentsPerYear),"")</f>
        <v>125.25913698177155</v>
      </c>
      <c r="J315" s="25">
        <f ca="1">IF(PaymentSchedule3[[#This Row],[Payment Number]]&lt;&gt;"",IF(PaymentSchedule3[[#This Row],[Scheduled Payment]]+PaymentSchedule3[[#This Row],[Extra
Payment]]&lt;=PaymentSchedule3[[#This Row],[Beginning
Balance]],PaymentSchedule3[[#This Row],[Beginning
Balance]]-PaymentSchedule3[[#This Row],[Principal]],0),"")</f>
        <v>29643.920119307153</v>
      </c>
      <c r="K315" s="25">
        <f ca="1">IF(PaymentSchedule3[[#This Row],[Payment Number]]&lt;&gt;"",SUM(INDEX(PaymentSchedule3[Interest],1,1):PaymentSchedule3[[#This Row],[Interest]]),"")</f>
        <v>90366.424322644831</v>
      </c>
      <c r="L315" s="49">
        <f ca="1">LoanAmount-PaymentSchedule3[[#This Row],[Ending
Balance]]</f>
        <v>71606.079880692851</v>
      </c>
      <c r="M315" s="49">
        <f t="shared" ca="1" si="4"/>
        <v>908.5318932997908</v>
      </c>
      <c r="N315" s="25">
        <f ca="1">PaymentSchedule3[[#This Row],[Payment Number]]*$M$19</f>
        <v>270742.50420333765</v>
      </c>
    </row>
    <row r="316" spans="2:14" ht="15.75" x14ac:dyDescent="0.25">
      <c r="B316" s="23">
        <f ca="1">IF(LoanIsGood,IF(ROW()-ROW(PaymentSchedule3[[#Headers],[Payment Number]])&gt;ScheduledNumberOfPayments,"",ROW()-ROW(PaymentSchedule3[[#Headers],[Payment Number]])),"")</f>
        <v>299</v>
      </c>
      <c r="C316" s="24">
        <f ca="1">IF(PaymentSchedule3[[#This Row],[Payment Number]]&lt;&gt;"",EOMONTH(LoanStartDate,ROW(PaymentSchedule3[[#This Row],[Payment Number]])-ROW(PaymentSchedule3[[#Headers],[Payment Number]])-2)+DAY(LoanStartDate),"")</f>
        <v>53705</v>
      </c>
      <c r="D316" s="25">
        <f ca="1">IF(PaymentSchedule3[[#This Row],[Payment Number]]&lt;&gt;"",IF(ROW()-ROW(PaymentSchedule3[[#Headers],[Beginning
Balance]])=1,LoanAmount,INDEX(PaymentSchedule3[Ending
Balance],ROW()-ROW(PaymentSchedule3[[#Headers],[Beginning
Balance]])-1)),"")</f>
        <v>29643.920119307153</v>
      </c>
      <c r="E316" s="25">
        <f ca="1">IF(PaymentSchedule3[[#This Row],[Payment Number]]&lt;&gt;"",ScheduledPayment,"")</f>
        <v>543.5318932997908</v>
      </c>
      <c r="F31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6" s="25">
        <f ca="1">IF(PaymentSchedule3[[#This Row],[Payment Number]]&lt;&gt;"",PaymentSchedule3[[#This Row],[Total
Payment]]-PaymentSchedule3[[#This Row],[Interest]],"")</f>
        <v>420.01555946934434</v>
      </c>
      <c r="I316" s="25">
        <f ca="1">IF(PaymentSchedule3[[#This Row],[Payment Number]]&lt;&gt;"",PaymentSchedule3[[#This Row],[Beginning
Balance]]*(InterestRate/PaymentsPerYear),"")</f>
        <v>123.51633383044647</v>
      </c>
      <c r="J316" s="25">
        <f ca="1">IF(PaymentSchedule3[[#This Row],[Payment Number]]&lt;&gt;"",IF(PaymentSchedule3[[#This Row],[Scheduled Payment]]+PaymentSchedule3[[#This Row],[Extra
Payment]]&lt;=PaymentSchedule3[[#This Row],[Beginning
Balance]],PaymentSchedule3[[#This Row],[Beginning
Balance]]-PaymentSchedule3[[#This Row],[Principal]],0),"")</f>
        <v>29223.904559837807</v>
      </c>
      <c r="K316" s="25">
        <f ca="1">IF(PaymentSchedule3[[#This Row],[Payment Number]]&lt;&gt;"",SUM(INDEX(PaymentSchedule3[Interest],1,1):PaymentSchedule3[[#This Row],[Interest]]),"")</f>
        <v>90489.940656475272</v>
      </c>
      <c r="L316" s="49">
        <f ca="1">LoanAmount-PaymentSchedule3[[#This Row],[Ending
Balance]]</f>
        <v>72026.0954401622</v>
      </c>
      <c r="M316" s="49">
        <f t="shared" ca="1" si="4"/>
        <v>908.5318932997908</v>
      </c>
      <c r="N316" s="25">
        <f ca="1">PaymentSchedule3[[#This Row],[Payment Number]]*$M$19</f>
        <v>271651.03609663743</v>
      </c>
    </row>
    <row r="317" spans="2:14" ht="15.75" x14ac:dyDescent="0.25">
      <c r="B317" s="23">
        <f ca="1">IF(LoanIsGood,IF(ROW()-ROW(PaymentSchedule3[[#Headers],[Payment Number]])&gt;ScheduledNumberOfPayments,"",ROW()-ROW(PaymentSchedule3[[#Headers],[Payment Number]])),"")</f>
        <v>300</v>
      </c>
      <c r="C317" s="24">
        <f ca="1">IF(PaymentSchedule3[[#This Row],[Payment Number]]&lt;&gt;"",EOMONTH(LoanStartDate,ROW(PaymentSchedule3[[#This Row],[Payment Number]])-ROW(PaymentSchedule3[[#Headers],[Payment Number]])-2)+DAY(LoanStartDate),"")</f>
        <v>53736</v>
      </c>
      <c r="D317" s="25">
        <f ca="1">IF(PaymentSchedule3[[#This Row],[Payment Number]]&lt;&gt;"",IF(ROW()-ROW(PaymentSchedule3[[#Headers],[Beginning
Balance]])=1,LoanAmount,INDEX(PaymentSchedule3[Ending
Balance],ROW()-ROW(PaymentSchedule3[[#Headers],[Beginning
Balance]])-1)),"")</f>
        <v>29223.904559837807</v>
      </c>
      <c r="E317" s="25">
        <f ca="1">IF(PaymentSchedule3[[#This Row],[Payment Number]]&lt;&gt;"",ScheduledPayment,"")</f>
        <v>543.5318932997908</v>
      </c>
      <c r="F31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7" s="25">
        <f ca="1">IF(PaymentSchedule3[[#This Row],[Payment Number]]&lt;&gt;"",PaymentSchedule3[[#This Row],[Total
Payment]]-PaymentSchedule3[[#This Row],[Interest]],"")</f>
        <v>421.76562430046658</v>
      </c>
      <c r="I317" s="25">
        <f ca="1">IF(PaymentSchedule3[[#This Row],[Payment Number]]&lt;&gt;"",PaymentSchedule3[[#This Row],[Beginning
Balance]]*(InterestRate/PaymentsPerYear),"")</f>
        <v>121.7662689993242</v>
      </c>
      <c r="J317" s="25">
        <f ca="1">IF(PaymentSchedule3[[#This Row],[Payment Number]]&lt;&gt;"",IF(PaymentSchedule3[[#This Row],[Scheduled Payment]]+PaymentSchedule3[[#This Row],[Extra
Payment]]&lt;=PaymentSchedule3[[#This Row],[Beginning
Balance]],PaymentSchedule3[[#This Row],[Beginning
Balance]]-PaymentSchedule3[[#This Row],[Principal]],0),"")</f>
        <v>28802.138935537339</v>
      </c>
      <c r="K317" s="25">
        <f ca="1">IF(PaymentSchedule3[[#This Row],[Payment Number]]&lt;&gt;"",SUM(INDEX(PaymentSchedule3[Interest],1,1):PaymentSchedule3[[#This Row],[Interest]]),"")</f>
        <v>90611.706925474602</v>
      </c>
      <c r="L317" s="49">
        <f ca="1">LoanAmount-PaymentSchedule3[[#This Row],[Ending
Balance]]</f>
        <v>72447.861064462661</v>
      </c>
      <c r="M317" s="49">
        <f t="shared" ca="1" si="4"/>
        <v>908.5318932997908</v>
      </c>
      <c r="N317" s="25">
        <f ca="1">PaymentSchedule3[[#This Row],[Payment Number]]*$M$19</f>
        <v>272559.56798993726</v>
      </c>
    </row>
    <row r="318" spans="2:14" ht="15.75" x14ac:dyDescent="0.25">
      <c r="B318" s="23">
        <f ca="1">IF(LoanIsGood,IF(ROW()-ROW(PaymentSchedule3[[#Headers],[Payment Number]])&gt;ScheduledNumberOfPayments,"",ROW()-ROW(PaymentSchedule3[[#Headers],[Payment Number]])),"")</f>
        <v>301</v>
      </c>
      <c r="C318" s="24">
        <f ca="1">IF(PaymentSchedule3[[#This Row],[Payment Number]]&lt;&gt;"",EOMONTH(LoanStartDate,ROW(PaymentSchedule3[[#This Row],[Payment Number]])-ROW(PaymentSchedule3[[#Headers],[Payment Number]])-2)+DAY(LoanStartDate),"")</f>
        <v>53764</v>
      </c>
      <c r="D318" s="25">
        <f ca="1">IF(PaymentSchedule3[[#This Row],[Payment Number]]&lt;&gt;"",IF(ROW()-ROW(PaymentSchedule3[[#Headers],[Beginning
Balance]])=1,LoanAmount,INDEX(PaymentSchedule3[Ending
Balance],ROW()-ROW(PaymentSchedule3[[#Headers],[Beginning
Balance]])-1)),"")</f>
        <v>28802.138935537339</v>
      </c>
      <c r="E318" s="25">
        <f ca="1">IF(PaymentSchedule3[[#This Row],[Payment Number]]&lt;&gt;"",ScheduledPayment,"")</f>
        <v>543.5318932997908</v>
      </c>
      <c r="F31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8" s="25">
        <f ca="1">IF(PaymentSchedule3[[#This Row],[Payment Number]]&lt;&gt;"",PaymentSchedule3[[#This Row],[Total
Payment]]-PaymentSchedule3[[#This Row],[Interest]],"")</f>
        <v>423.52298106838521</v>
      </c>
      <c r="I318" s="25">
        <f ca="1">IF(PaymentSchedule3[[#This Row],[Payment Number]]&lt;&gt;"",PaymentSchedule3[[#This Row],[Beginning
Balance]]*(InterestRate/PaymentsPerYear),"")</f>
        <v>120.00891223140557</v>
      </c>
      <c r="J318" s="25">
        <f ca="1">IF(PaymentSchedule3[[#This Row],[Payment Number]]&lt;&gt;"",IF(PaymentSchedule3[[#This Row],[Scheduled Payment]]+PaymentSchedule3[[#This Row],[Extra
Payment]]&lt;=PaymentSchedule3[[#This Row],[Beginning
Balance]],PaymentSchedule3[[#This Row],[Beginning
Balance]]-PaymentSchedule3[[#This Row],[Principal]],0),"")</f>
        <v>28378.615954468954</v>
      </c>
      <c r="K318" s="25">
        <f ca="1">IF(PaymentSchedule3[[#This Row],[Payment Number]]&lt;&gt;"",SUM(INDEX(PaymentSchedule3[Interest],1,1):PaymentSchedule3[[#This Row],[Interest]]),"")</f>
        <v>90731.715837706011</v>
      </c>
      <c r="L318" s="49">
        <f ca="1">LoanAmount-PaymentSchedule3[[#This Row],[Ending
Balance]]</f>
        <v>72871.384045531042</v>
      </c>
      <c r="M318" s="49">
        <f t="shared" ca="1" si="4"/>
        <v>908.5318932997908</v>
      </c>
      <c r="N318" s="25">
        <f ca="1">PaymentSchedule3[[#This Row],[Payment Number]]*$M$19</f>
        <v>273468.09988323704</v>
      </c>
    </row>
    <row r="319" spans="2:14" ht="15.75" x14ac:dyDescent="0.25">
      <c r="B319" s="23">
        <f ca="1">IF(LoanIsGood,IF(ROW()-ROW(PaymentSchedule3[[#Headers],[Payment Number]])&gt;ScheduledNumberOfPayments,"",ROW()-ROW(PaymentSchedule3[[#Headers],[Payment Number]])),"")</f>
        <v>302</v>
      </c>
      <c r="C319" s="24">
        <f ca="1">IF(PaymentSchedule3[[#This Row],[Payment Number]]&lt;&gt;"",EOMONTH(LoanStartDate,ROW(PaymentSchedule3[[#This Row],[Payment Number]])-ROW(PaymentSchedule3[[#Headers],[Payment Number]])-2)+DAY(LoanStartDate),"")</f>
        <v>53795</v>
      </c>
      <c r="D319" s="25">
        <f ca="1">IF(PaymentSchedule3[[#This Row],[Payment Number]]&lt;&gt;"",IF(ROW()-ROW(PaymentSchedule3[[#Headers],[Beginning
Balance]])=1,LoanAmount,INDEX(PaymentSchedule3[Ending
Balance],ROW()-ROW(PaymentSchedule3[[#Headers],[Beginning
Balance]])-1)),"")</f>
        <v>28378.615954468954</v>
      </c>
      <c r="E319" s="25">
        <f ca="1">IF(PaymentSchedule3[[#This Row],[Payment Number]]&lt;&gt;"",ScheduledPayment,"")</f>
        <v>543.5318932997908</v>
      </c>
      <c r="F31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19" s="25">
        <f ca="1">IF(PaymentSchedule3[[#This Row],[Payment Number]]&lt;&gt;"",PaymentSchedule3[[#This Row],[Total
Payment]]-PaymentSchedule3[[#This Row],[Interest]],"")</f>
        <v>425.28766015617015</v>
      </c>
      <c r="I319" s="25">
        <f ca="1">IF(PaymentSchedule3[[#This Row],[Payment Number]]&lt;&gt;"",PaymentSchedule3[[#This Row],[Beginning
Balance]]*(InterestRate/PaymentsPerYear),"")</f>
        <v>118.24423314362065</v>
      </c>
      <c r="J319" s="25">
        <f ca="1">IF(PaymentSchedule3[[#This Row],[Payment Number]]&lt;&gt;"",IF(PaymentSchedule3[[#This Row],[Scheduled Payment]]+PaymentSchedule3[[#This Row],[Extra
Payment]]&lt;=PaymentSchedule3[[#This Row],[Beginning
Balance]],PaymentSchedule3[[#This Row],[Beginning
Balance]]-PaymentSchedule3[[#This Row],[Principal]],0),"")</f>
        <v>27953.328294312785</v>
      </c>
      <c r="K319" s="25">
        <f ca="1">IF(PaymentSchedule3[[#This Row],[Payment Number]]&lt;&gt;"",SUM(INDEX(PaymentSchedule3[Interest],1,1):PaymentSchedule3[[#This Row],[Interest]]),"")</f>
        <v>90849.960070849629</v>
      </c>
      <c r="L319" s="49">
        <f ca="1">LoanAmount-PaymentSchedule3[[#This Row],[Ending
Balance]]</f>
        <v>73296.671705687215</v>
      </c>
      <c r="M319" s="49">
        <f t="shared" ca="1" si="4"/>
        <v>908.5318932997908</v>
      </c>
      <c r="N319" s="25">
        <f ca="1">PaymentSchedule3[[#This Row],[Payment Number]]*$M$19</f>
        <v>274376.63177653681</v>
      </c>
    </row>
    <row r="320" spans="2:14" ht="15.75" x14ac:dyDescent="0.25">
      <c r="B320" s="23">
        <f ca="1">IF(LoanIsGood,IF(ROW()-ROW(PaymentSchedule3[[#Headers],[Payment Number]])&gt;ScheduledNumberOfPayments,"",ROW()-ROW(PaymentSchedule3[[#Headers],[Payment Number]])),"")</f>
        <v>303</v>
      </c>
      <c r="C320" s="24">
        <f ca="1">IF(PaymentSchedule3[[#This Row],[Payment Number]]&lt;&gt;"",EOMONTH(LoanStartDate,ROW(PaymentSchedule3[[#This Row],[Payment Number]])-ROW(PaymentSchedule3[[#Headers],[Payment Number]])-2)+DAY(LoanStartDate),"")</f>
        <v>53825</v>
      </c>
      <c r="D320" s="25">
        <f ca="1">IF(PaymentSchedule3[[#This Row],[Payment Number]]&lt;&gt;"",IF(ROW()-ROW(PaymentSchedule3[[#Headers],[Beginning
Balance]])=1,LoanAmount,INDEX(PaymentSchedule3[Ending
Balance],ROW()-ROW(PaymentSchedule3[[#Headers],[Beginning
Balance]])-1)),"")</f>
        <v>27953.328294312785</v>
      </c>
      <c r="E320" s="25">
        <f ca="1">IF(PaymentSchedule3[[#This Row],[Payment Number]]&lt;&gt;"",ScheduledPayment,"")</f>
        <v>543.5318932997908</v>
      </c>
      <c r="F32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0" s="25">
        <f ca="1">IF(PaymentSchedule3[[#This Row],[Payment Number]]&lt;&gt;"",PaymentSchedule3[[#This Row],[Total
Payment]]-PaymentSchedule3[[#This Row],[Interest]],"")</f>
        <v>427.05969207348755</v>
      </c>
      <c r="I320" s="25">
        <f ca="1">IF(PaymentSchedule3[[#This Row],[Payment Number]]&lt;&gt;"",PaymentSchedule3[[#This Row],[Beginning
Balance]]*(InterestRate/PaymentsPerYear),"")</f>
        <v>116.47220122630327</v>
      </c>
      <c r="J320" s="25">
        <f ca="1">IF(PaymentSchedule3[[#This Row],[Payment Number]]&lt;&gt;"",IF(PaymentSchedule3[[#This Row],[Scheduled Payment]]+PaymentSchedule3[[#This Row],[Extra
Payment]]&lt;=PaymentSchedule3[[#This Row],[Beginning
Balance]],PaymentSchedule3[[#This Row],[Beginning
Balance]]-PaymentSchedule3[[#This Row],[Principal]],0),"")</f>
        <v>27526.268602239299</v>
      </c>
      <c r="K320" s="25">
        <f ca="1">IF(PaymentSchedule3[[#This Row],[Payment Number]]&lt;&gt;"",SUM(INDEX(PaymentSchedule3[Interest],1,1):PaymentSchedule3[[#This Row],[Interest]]),"")</f>
        <v>90966.432272075937</v>
      </c>
      <c r="L320" s="49">
        <f ca="1">LoanAmount-PaymentSchedule3[[#This Row],[Ending
Balance]]</f>
        <v>73723.731397760697</v>
      </c>
      <c r="M320" s="49">
        <f t="shared" ca="1" si="4"/>
        <v>908.5318932997908</v>
      </c>
      <c r="N320" s="25">
        <f ca="1">PaymentSchedule3[[#This Row],[Payment Number]]*$M$19</f>
        <v>275285.16366983659</v>
      </c>
    </row>
    <row r="321" spans="2:14" ht="15.75" x14ac:dyDescent="0.25">
      <c r="B321" s="23">
        <f ca="1">IF(LoanIsGood,IF(ROW()-ROW(PaymentSchedule3[[#Headers],[Payment Number]])&gt;ScheduledNumberOfPayments,"",ROW()-ROW(PaymentSchedule3[[#Headers],[Payment Number]])),"")</f>
        <v>304</v>
      </c>
      <c r="C321" s="24">
        <f ca="1">IF(PaymentSchedule3[[#This Row],[Payment Number]]&lt;&gt;"",EOMONTH(LoanStartDate,ROW(PaymentSchedule3[[#This Row],[Payment Number]])-ROW(PaymentSchedule3[[#Headers],[Payment Number]])-2)+DAY(LoanStartDate),"")</f>
        <v>53856</v>
      </c>
      <c r="D321" s="25">
        <f ca="1">IF(PaymentSchedule3[[#This Row],[Payment Number]]&lt;&gt;"",IF(ROW()-ROW(PaymentSchedule3[[#Headers],[Beginning
Balance]])=1,LoanAmount,INDEX(PaymentSchedule3[Ending
Balance],ROW()-ROW(PaymentSchedule3[[#Headers],[Beginning
Balance]])-1)),"")</f>
        <v>27526.268602239299</v>
      </c>
      <c r="E321" s="25">
        <f ca="1">IF(PaymentSchedule3[[#This Row],[Payment Number]]&lt;&gt;"",ScheduledPayment,"")</f>
        <v>543.5318932997908</v>
      </c>
      <c r="F32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1" s="25">
        <f ca="1">IF(PaymentSchedule3[[#This Row],[Payment Number]]&lt;&gt;"",PaymentSchedule3[[#This Row],[Total
Payment]]-PaymentSchedule3[[#This Row],[Interest]],"")</f>
        <v>428.83910745712706</v>
      </c>
      <c r="I321" s="25">
        <f ca="1">IF(PaymentSchedule3[[#This Row],[Payment Number]]&lt;&gt;"",PaymentSchedule3[[#This Row],[Beginning
Balance]]*(InterestRate/PaymentsPerYear),"")</f>
        <v>114.69278584266374</v>
      </c>
      <c r="J321" s="25">
        <f ca="1">IF(PaymentSchedule3[[#This Row],[Payment Number]]&lt;&gt;"",IF(PaymentSchedule3[[#This Row],[Scheduled Payment]]+PaymentSchedule3[[#This Row],[Extra
Payment]]&lt;=PaymentSchedule3[[#This Row],[Beginning
Balance]],PaymentSchedule3[[#This Row],[Beginning
Balance]]-PaymentSchedule3[[#This Row],[Principal]],0),"")</f>
        <v>27097.429494782173</v>
      </c>
      <c r="K321" s="25">
        <f ca="1">IF(PaymentSchedule3[[#This Row],[Payment Number]]&lt;&gt;"",SUM(INDEX(PaymentSchedule3[Interest],1,1):PaymentSchedule3[[#This Row],[Interest]]),"")</f>
        <v>91081.125057918602</v>
      </c>
      <c r="L321" s="49">
        <f ca="1">LoanAmount-PaymentSchedule3[[#This Row],[Ending
Balance]]</f>
        <v>74152.570505217824</v>
      </c>
      <c r="M321" s="49">
        <f t="shared" ca="1" si="4"/>
        <v>908.5318932997908</v>
      </c>
      <c r="N321" s="25">
        <f ca="1">PaymentSchedule3[[#This Row],[Payment Number]]*$M$19</f>
        <v>276193.69556313643</v>
      </c>
    </row>
    <row r="322" spans="2:14" ht="15.75" x14ac:dyDescent="0.25">
      <c r="B322" s="23">
        <f ca="1">IF(LoanIsGood,IF(ROW()-ROW(PaymentSchedule3[[#Headers],[Payment Number]])&gt;ScheduledNumberOfPayments,"",ROW()-ROW(PaymentSchedule3[[#Headers],[Payment Number]])),"")</f>
        <v>305</v>
      </c>
      <c r="C322" s="24">
        <f ca="1">IF(PaymentSchedule3[[#This Row],[Payment Number]]&lt;&gt;"",EOMONTH(LoanStartDate,ROW(PaymentSchedule3[[#This Row],[Payment Number]])-ROW(PaymentSchedule3[[#Headers],[Payment Number]])-2)+DAY(LoanStartDate),"")</f>
        <v>53886</v>
      </c>
      <c r="D322" s="25">
        <f ca="1">IF(PaymentSchedule3[[#This Row],[Payment Number]]&lt;&gt;"",IF(ROW()-ROW(PaymentSchedule3[[#Headers],[Beginning
Balance]])=1,LoanAmount,INDEX(PaymentSchedule3[Ending
Balance],ROW()-ROW(PaymentSchedule3[[#Headers],[Beginning
Balance]])-1)),"")</f>
        <v>27097.429494782173</v>
      </c>
      <c r="E322" s="25">
        <f ca="1">IF(PaymentSchedule3[[#This Row],[Payment Number]]&lt;&gt;"",ScheduledPayment,"")</f>
        <v>543.5318932997908</v>
      </c>
      <c r="F32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2" s="25">
        <f ca="1">IF(PaymentSchedule3[[#This Row],[Payment Number]]&lt;&gt;"",PaymentSchedule3[[#This Row],[Total
Payment]]-PaymentSchedule3[[#This Row],[Interest]],"")</f>
        <v>430.62593707153172</v>
      </c>
      <c r="I322" s="25">
        <f ca="1">IF(PaymentSchedule3[[#This Row],[Payment Number]]&lt;&gt;"",PaymentSchedule3[[#This Row],[Beginning
Balance]]*(InterestRate/PaymentsPerYear),"")</f>
        <v>112.90595622825906</v>
      </c>
      <c r="J322" s="25">
        <f ca="1">IF(PaymentSchedule3[[#This Row],[Payment Number]]&lt;&gt;"",IF(PaymentSchedule3[[#This Row],[Scheduled Payment]]+PaymentSchedule3[[#This Row],[Extra
Payment]]&lt;=PaymentSchedule3[[#This Row],[Beginning
Balance]],PaymentSchedule3[[#This Row],[Beginning
Balance]]-PaymentSchedule3[[#This Row],[Principal]],0),"")</f>
        <v>26666.803557710642</v>
      </c>
      <c r="K322" s="25">
        <f ca="1">IF(PaymentSchedule3[[#This Row],[Payment Number]]&lt;&gt;"",SUM(INDEX(PaymentSchedule3[Interest],1,1):PaymentSchedule3[[#This Row],[Interest]]),"")</f>
        <v>91194.031014146865</v>
      </c>
      <c r="L322" s="49">
        <f ca="1">LoanAmount-PaymentSchedule3[[#This Row],[Ending
Balance]]</f>
        <v>74583.196442289365</v>
      </c>
      <c r="M322" s="49">
        <f t="shared" ca="1" si="4"/>
        <v>908.5318932997908</v>
      </c>
      <c r="N322" s="25">
        <f ca="1">PaymentSchedule3[[#This Row],[Payment Number]]*$M$19</f>
        <v>277102.2274564362</v>
      </c>
    </row>
    <row r="323" spans="2:14" ht="15.75" x14ac:dyDescent="0.25">
      <c r="B323" s="23">
        <f ca="1">IF(LoanIsGood,IF(ROW()-ROW(PaymentSchedule3[[#Headers],[Payment Number]])&gt;ScheduledNumberOfPayments,"",ROW()-ROW(PaymentSchedule3[[#Headers],[Payment Number]])),"")</f>
        <v>306</v>
      </c>
      <c r="C323" s="24">
        <f ca="1">IF(PaymentSchedule3[[#This Row],[Payment Number]]&lt;&gt;"",EOMONTH(LoanStartDate,ROW(PaymentSchedule3[[#This Row],[Payment Number]])-ROW(PaymentSchedule3[[#Headers],[Payment Number]])-2)+DAY(LoanStartDate),"")</f>
        <v>53917</v>
      </c>
      <c r="D323" s="25">
        <f ca="1">IF(PaymentSchedule3[[#This Row],[Payment Number]]&lt;&gt;"",IF(ROW()-ROW(PaymentSchedule3[[#Headers],[Beginning
Balance]])=1,LoanAmount,INDEX(PaymentSchedule3[Ending
Balance],ROW()-ROW(PaymentSchedule3[[#Headers],[Beginning
Balance]])-1)),"")</f>
        <v>26666.803557710642</v>
      </c>
      <c r="E323" s="25">
        <f ca="1">IF(PaymentSchedule3[[#This Row],[Payment Number]]&lt;&gt;"",ScheduledPayment,"")</f>
        <v>543.5318932997908</v>
      </c>
      <c r="F32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3" s="25">
        <f ca="1">IF(PaymentSchedule3[[#This Row],[Payment Number]]&lt;&gt;"",PaymentSchedule3[[#This Row],[Total
Payment]]-PaymentSchedule3[[#This Row],[Interest]],"")</f>
        <v>432.42021180932977</v>
      </c>
      <c r="I323" s="25">
        <f ca="1">IF(PaymentSchedule3[[#This Row],[Payment Number]]&lt;&gt;"",PaymentSchedule3[[#This Row],[Beginning
Balance]]*(InterestRate/PaymentsPerYear),"")</f>
        <v>111.11168149046101</v>
      </c>
      <c r="J323" s="25">
        <f ca="1">IF(PaymentSchedule3[[#This Row],[Payment Number]]&lt;&gt;"",IF(PaymentSchedule3[[#This Row],[Scheduled Payment]]+PaymentSchedule3[[#This Row],[Extra
Payment]]&lt;=PaymentSchedule3[[#This Row],[Beginning
Balance]],PaymentSchedule3[[#This Row],[Beginning
Balance]]-PaymentSchedule3[[#This Row],[Principal]],0),"")</f>
        <v>26234.383345901311</v>
      </c>
      <c r="K323" s="25">
        <f ca="1">IF(PaymentSchedule3[[#This Row],[Payment Number]]&lt;&gt;"",SUM(INDEX(PaymentSchedule3[Interest],1,1):PaymentSchedule3[[#This Row],[Interest]]),"")</f>
        <v>91305.142695637333</v>
      </c>
      <c r="L323" s="49">
        <f ca="1">LoanAmount-PaymentSchedule3[[#This Row],[Ending
Balance]]</f>
        <v>75015.616654098689</v>
      </c>
      <c r="M323" s="49">
        <f t="shared" ca="1" si="4"/>
        <v>908.5318932997908</v>
      </c>
      <c r="N323" s="25">
        <f ca="1">PaymentSchedule3[[#This Row],[Payment Number]]*$M$19</f>
        <v>278010.75934973598</v>
      </c>
    </row>
    <row r="324" spans="2:14" ht="15.75" x14ac:dyDescent="0.25">
      <c r="B324" s="23">
        <f ca="1">IF(LoanIsGood,IF(ROW()-ROW(PaymentSchedule3[[#Headers],[Payment Number]])&gt;ScheduledNumberOfPayments,"",ROW()-ROW(PaymentSchedule3[[#Headers],[Payment Number]])),"")</f>
        <v>307</v>
      </c>
      <c r="C324" s="24">
        <f ca="1">IF(PaymentSchedule3[[#This Row],[Payment Number]]&lt;&gt;"",EOMONTH(LoanStartDate,ROW(PaymentSchedule3[[#This Row],[Payment Number]])-ROW(PaymentSchedule3[[#Headers],[Payment Number]])-2)+DAY(LoanStartDate),"")</f>
        <v>53948</v>
      </c>
      <c r="D324" s="25">
        <f ca="1">IF(PaymentSchedule3[[#This Row],[Payment Number]]&lt;&gt;"",IF(ROW()-ROW(PaymentSchedule3[[#Headers],[Beginning
Balance]])=1,LoanAmount,INDEX(PaymentSchedule3[Ending
Balance],ROW()-ROW(PaymentSchedule3[[#Headers],[Beginning
Balance]])-1)),"")</f>
        <v>26234.383345901311</v>
      </c>
      <c r="E324" s="25">
        <f ca="1">IF(PaymentSchedule3[[#This Row],[Payment Number]]&lt;&gt;"",ScheduledPayment,"")</f>
        <v>543.5318932997908</v>
      </c>
      <c r="F32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4" s="25">
        <f ca="1">IF(PaymentSchedule3[[#This Row],[Payment Number]]&lt;&gt;"",PaymentSchedule3[[#This Row],[Total
Payment]]-PaymentSchedule3[[#This Row],[Interest]],"")</f>
        <v>434.22196269186867</v>
      </c>
      <c r="I324" s="25">
        <f ca="1">IF(PaymentSchedule3[[#This Row],[Payment Number]]&lt;&gt;"",PaymentSchedule3[[#This Row],[Beginning
Balance]]*(InterestRate/PaymentsPerYear),"")</f>
        <v>109.30993060792213</v>
      </c>
      <c r="J324" s="25">
        <f ca="1">IF(PaymentSchedule3[[#This Row],[Payment Number]]&lt;&gt;"",IF(PaymentSchedule3[[#This Row],[Scheduled Payment]]+PaymentSchedule3[[#This Row],[Extra
Payment]]&lt;=PaymentSchedule3[[#This Row],[Beginning
Balance]],PaymentSchedule3[[#This Row],[Beginning
Balance]]-PaymentSchedule3[[#This Row],[Principal]],0),"")</f>
        <v>25800.161383209441</v>
      </c>
      <c r="K324" s="25">
        <f ca="1">IF(PaymentSchedule3[[#This Row],[Payment Number]]&lt;&gt;"",SUM(INDEX(PaymentSchedule3[Interest],1,1):PaymentSchedule3[[#This Row],[Interest]]),"")</f>
        <v>91414.452626245256</v>
      </c>
      <c r="L324" s="49">
        <f ca="1">LoanAmount-PaymentSchedule3[[#This Row],[Ending
Balance]]</f>
        <v>75449.838616790556</v>
      </c>
      <c r="M324" s="49">
        <f t="shared" ca="1" si="4"/>
        <v>908.5318932997908</v>
      </c>
      <c r="N324" s="25">
        <f ca="1">PaymentSchedule3[[#This Row],[Payment Number]]*$M$19</f>
        <v>278919.29124303575</v>
      </c>
    </row>
    <row r="325" spans="2:14" ht="15.75" x14ac:dyDescent="0.25">
      <c r="B325" s="23">
        <f ca="1">IF(LoanIsGood,IF(ROW()-ROW(PaymentSchedule3[[#Headers],[Payment Number]])&gt;ScheduledNumberOfPayments,"",ROW()-ROW(PaymentSchedule3[[#Headers],[Payment Number]])),"")</f>
        <v>308</v>
      </c>
      <c r="C325" s="24">
        <f ca="1">IF(PaymentSchedule3[[#This Row],[Payment Number]]&lt;&gt;"",EOMONTH(LoanStartDate,ROW(PaymentSchedule3[[#This Row],[Payment Number]])-ROW(PaymentSchedule3[[#Headers],[Payment Number]])-2)+DAY(LoanStartDate),"")</f>
        <v>53978</v>
      </c>
      <c r="D325" s="25">
        <f ca="1">IF(PaymentSchedule3[[#This Row],[Payment Number]]&lt;&gt;"",IF(ROW()-ROW(PaymentSchedule3[[#Headers],[Beginning
Balance]])=1,LoanAmount,INDEX(PaymentSchedule3[Ending
Balance],ROW()-ROW(PaymentSchedule3[[#Headers],[Beginning
Balance]])-1)),"")</f>
        <v>25800.161383209441</v>
      </c>
      <c r="E325" s="25">
        <f ca="1">IF(PaymentSchedule3[[#This Row],[Payment Number]]&lt;&gt;"",ScheduledPayment,"")</f>
        <v>543.5318932997908</v>
      </c>
      <c r="F32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5" s="25">
        <f ca="1">IF(PaymentSchedule3[[#This Row],[Payment Number]]&lt;&gt;"",PaymentSchedule3[[#This Row],[Total
Payment]]-PaymentSchedule3[[#This Row],[Interest]],"")</f>
        <v>436.03122086975145</v>
      </c>
      <c r="I325" s="25">
        <f ca="1">IF(PaymentSchedule3[[#This Row],[Payment Number]]&lt;&gt;"",PaymentSchedule3[[#This Row],[Beginning
Balance]]*(InterestRate/PaymentsPerYear),"")</f>
        <v>107.50067243003933</v>
      </c>
      <c r="J325" s="25">
        <f ca="1">IF(PaymentSchedule3[[#This Row],[Payment Number]]&lt;&gt;"",IF(PaymentSchedule3[[#This Row],[Scheduled Payment]]+PaymentSchedule3[[#This Row],[Extra
Payment]]&lt;=PaymentSchedule3[[#This Row],[Beginning
Balance]],PaymentSchedule3[[#This Row],[Beginning
Balance]]-PaymentSchedule3[[#This Row],[Principal]],0),"")</f>
        <v>25364.13016233969</v>
      </c>
      <c r="K325" s="25">
        <f ca="1">IF(PaymentSchedule3[[#This Row],[Payment Number]]&lt;&gt;"",SUM(INDEX(PaymentSchedule3[Interest],1,1):PaymentSchedule3[[#This Row],[Interest]]),"")</f>
        <v>91521.953298675289</v>
      </c>
      <c r="L325" s="49">
        <f ca="1">LoanAmount-PaymentSchedule3[[#This Row],[Ending
Balance]]</f>
        <v>75885.869837660313</v>
      </c>
      <c r="M325" s="49">
        <f t="shared" ca="1" si="4"/>
        <v>908.5318932997908</v>
      </c>
      <c r="N325" s="25">
        <f ca="1">PaymentSchedule3[[#This Row],[Payment Number]]*$M$19</f>
        <v>279827.82313633559</v>
      </c>
    </row>
    <row r="326" spans="2:14" ht="15.75" x14ac:dyDescent="0.25">
      <c r="B326" s="23">
        <f ca="1">IF(LoanIsGood,IF(ROW()-ROW(PaymentSchedule3[[#Headers],[Payment Number]])&gt;ScheduledNumberOfPayments,"",ROW()-ROW(PaymentSchedule3[[#Headers],[Payment Number]])),"")</f>
        <v>309</v>
      </c>
      <c r="C326" s="24">
        <f ca="1">IF(PaymentSchedule3[[#This Row],[Payment Number]]&lt;&gt;"",EOMONTH(LoanStartDate,ROW(PaymentSchedule3[[#This Row],[Payment Number]])-ROW(PaymentSchedule3[[#Headers],[Payment Number]])-2)+DAY(LoanStartDate),"")</f>
        <v>54009</v>
      </c>
      <c r="D326" s="25">
        <f ca="1">IF(PaymentSchedule3[[#This Row],[Payment Number]]&lt;&gt;"",IF(ROW()-ROW(PaymentSchedule3[[#Headers],[Beginning
Balance]])=1,LoanAmount,INDEX(PaymentSchedule3[Ending
Balance],ROW()-ROW(PaymentSchedule3[[#Headers],[Beginning
Balance]])-1)),"")</f>
        <v>25364.13016233969</v>
      </c>
      <c r="E326" s="25">
        <f ca="1">IF(PaymentSchedule3[[#This Row],[Payment Number]]&lt;&gt;"",ScheduledPayment,"")</f>
        <v>543.5318932997908</v>
      </c>
      <c r="F32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6" s="25">
        <f ca="1">IF(PaymentSchedule3[[#This Row],[Payment Number]]&lt;&gt;"",PaymentSchedule3[[#This Row],[Total
Payment]]-PaymentSchedule3[[#This Row],[Interest]],"")</f>
        <v>437.84801762337543</v>
      </c>
      <c r="I326" s="25">
        <f ca="1">IF(PaymentSchedule3[[#This Row],[Payment Number]]&lt;&gt;"",PaymentSchedule3[[#This Row],[Beginning
Balance]]*(InterestRate/PaymentsPerYear),"")</f>
        <v>105.68387567641537</v>
      </c>
      <c r="J326" s="25">
        <f ca="1">IF(PaymentSchedule3[[#This Row],[Payment Number]]&lt;&gt;"",IF(PaymentSchedule3[[#This Row],[Scheduled Payment]]+PaymentSchedule3[[#This Row],[Extra
Payment]]&lt;=PaymentSchedule3[[#This Row],[Beginning
Balance]],PaymentSchedule3[[#This Row],[Beginning
Balance]]-PaymentSchedule3[[#This Row],[Principal]],0),"")</f>
        <v>24926.282144716315</v>
      </c>
      <c r="K326" s="25">
        <f ca="1">IF(PaymentSchedule3[[#This Row],[Payment Number]]&lt;&gt;"",SUM(INDEX(PaymentSchedule3[Interest],1,1):PaymentSchedule3[[#This Row],[Interest]]),"")</f>
        <v>91627.637174351708</v>
      </c>
      <c r="L326" s="49">
        <f ca="1">LoanAmount-PaymentSchedule3[[#This Row],[Ending
Balance]]</f>
        <v>76323.717855283685</v>
      </c>
      <c r="M326" s="49">
        <f t="shared" ca="1" si="4"/>
        <v>908.5318932997908</v>
      </c>
      <c r="N326" s="25">
        <f ca="1">PaymentSchedule3[[#This Row],[Payment Number]]*$M$19</f>
        <v>280736.35502963536</v>
      </c>
    </row>
    <row r="327" spans="2:14" ht="15.75" x14ac:dyDescent="0.25">
      <c r="B327" s="23">
        <f ca="1">IF(LoanIsGood,IF(ROW()-ROW(PaymentSchedule3[[#Headers],[Payment Number]])&gt;ScheduledNumberOfPayments,"",ROW()-ROW(PaymentSchedule3[[#Headers],[Payment Number]])),"")</f>
        <v>310</v>
      </c>
      <c r="C327" s="24">
        <f ca="1">IF(PaymentSchedule3[[#This Row],[Payment Number]]&lt;&gt;"",EOMONTH(LoanStartDate,ROW(PaymentSchedule3[[#This Row],[Payment Number]])-ROW(PaymentSchedule3[[#Headers],[Payment Number]])-2)+DAY(LoanStartDate),"")</f>
        <v>54039</v>
      </c>
      <c r="D327" s="25">
        <f ca="1">IF(PaymentSchedule3[[#This Row],[Payment Number]]&lt;&gt;"",IF(ROW()-ROW(PaymentSchedule3[[#Headers],[Beginning
Balance]])=1,LoanAmount,INDEX(PaymentSchedule3[Ending
Balance],ROW()-ROW(PaymentSchedule3[[#Headers],[Beginning
Balance]])-1)),"")</f>
        <v>24926.282144716315</v>
      </c>
      <c r="E327" s="25">
        <f ca="1">IF(PaymentSchedule3[[#This Row],[Payment Number]]&lt;&gt;"",ScheduledPayment,"")</f>
        <v>543.5318932997908</v>
      </c>
      <c r="F32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7" s="25">
        <f ca="1">IF(PaymentSchedule3[[#This Row],[Payment Number]]&lt;&gt;"",PaymentSchedule3[[#This Row],[Total
Payment]]-PaymentSchedule3[[#This Row],[Interest]],"")</f>
        <v>439.67238436347282</v>
      </c>
      <c r="I327" s="25">
        <f ca="1">IF(PaymentSchedule3[[#This Row],[Payment Number]]&lt;&gt;"",PaymentSchedule3[[#This Row],[Beginning
Balance]]*(InterestRate/PaymentsPerYear),"")</f>
        <v>103.85950893631798</v>
      </c>
      <c r="J327" s="25">
        <f ca="1">IF(PaymentSchedule3[[#This Row],[Payment Number]]&lt;&gt;"",IF(PaymentSchedule3[[#This Row],[Scheduled Payment]]+PaymentSchedule3[[#This Row],[Extra
Payment]]&lt;=PaymentSchedule3[[#This Row],[Beginning
Balance]],PaymentSchedule3[[#This Row],[Beginning
Balance]]-PaymentSchedule3[[#This Row],[Principal]],0),"")</f>
        <v>24486.609760352843</v>
      </c>
      <c r="K327" s="25">
        <f ca="1">IF(PaymentSchedule3[[#This Row],[Payment Number]]&lt;&gt;"",SUM(INDEX(PaymentSchedule3[Interest],1,1):PaymentSchedule3[[#This Row],[Interest]]),"")</f>
        <v>91731.496683288031</v>
      </c>
      <c r="L327" s="49">
        <f ca="1">LoanAmount-PaymentSchedule3[[#This Row],[Ending
Balance]]</f>
        <v>76763.390239647153</v>
      </c>
      <c r="M327" s="49">
        <f t="shared" ca="1" si="4"/>
        <v>908.5318932997908</v>
      </c>
      <c r="N327" s="25">
        <f ca="1">PaymentSchedule3[[#This Row],[Payment Number]]*$M$19</f>
        <v>281644.88692293514</v>
      </c>
    </row>
    <row r="328" spans="2:14" ht="15.75" x14ac:dyDescent="0.25">
      <c r="B328" s="23">
        <f ca="1">IF(LoanIsGood,IF(ROW()-ROW(PaymentSchedule3[[#Headers],[Payment Number]])&gt;ScheduledNumberOfPayments,"",ROW()-ROW(PaymentSchedule3[[#Headers],[Payment Number]])),"")</f>
        <v>311</v>
      </c>
      <c r="C328" s="24">
        <f ca="1">IF(PaymentSchedule3[[#This Row],[Payment Number]]&lt;&gt;"",EOMONTH(LoanStartDate,ROW(PaymentSchedule3[[#This Row],[Payment Number]])-ROW(PaymentSchedule3[[#Headers],[Payment Number]])-2)+DAY(LoanStartDate),"")</f>
        <v>54070</v>
      </c>
      <c r="D328" s="25">
        <f ca="1">IF(PaymentSchedule3[[#This Row],[Payment Number]]&lt;&gt;"",IF(ROW()-ROW(PaymentSchedule3[[#Headers],[Beginning
Balance]])=1,LoanAmount,INDEX(PaymentSchedule3[Ending
Balance],ROW()-ROW(PaymentSchedule3[[#Headers],[Beginning
Balance]])-1)),"")</f>
        <v>24486.609760352843</v>
      </c>
      <c r="E328" s="25">
        <f ca="1">IF(PaymentSchedule3[[#This Row],[Payment Number]]&lt;&gt;"",ScheduledPayment,"")</f>
        <v>543.5318932997908</v>
      </c>
      <c r="F32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8" s="25">
        <f ca="1">IF(PaymentSchedule3[[#This Row],[Payment Number]]&lt;&gt;"",PaymentSchedule3[[#This Row],[Total
Payment]]-PaymentSchedule3[[#This Row],[Interest]],"")</f>
        <v>441.50435263165394</v>
      </c>
      <c r="I328" s="25">
        <f ca="1">IF(PaymentSchedule3[[#This Row],[Payment Number]]&lt;&gt;"",PaymentSchedule3[[#This Row],[Beginning
Balance]]*(InterestRate/PaymentsPerYear),"")</f>
        <v>102.02754066813685</v>
      </c>
      <c r="J328" s="25">
        <f ca="1">IF(PaymentSchedule3[[#This Row],[Payment Number]]&lt;&gt;"",IF(PaymentSchedule3[[#This Row],[Scheduled Payment]]+PaymentSchedule3[[#This Row],[Extra
Payment]]&lt;=PaymentSchedule3[[#This Row],[Beginning
Balance]],PaymentSchedule3[[#This Row],[Beginning
Balance]]-PaymentSchedule3[[#This Row],[Principal]],0),"")</f>
        <v>24045.105407721188</v>
      </c>
      <c r="K328" s="25">
        <f ca="1">IF(PaymentSchedule3[[#This Row],[Payment Number]]&lt;&gt;"",SUM(INDEX(PaymentSchedule3[Interest],1,1):PaymentSchedule3[[#This Row],[Interest]]),"")</f>
        <v>91833.524223956163</v>
      </c>
      <c r="L328" s="49">
        <f ca="1">LoanAmount-PaymentSchedule3[[#This Row],[Ending
Balance]]</f>
        <v>77204.894592278812</v>
      </c>
      <c r="M328" s="49">
        <f t="shared" ca="1" si="4"/>
        <v>908.5318932997908</v>
      </c>
      <c r="N328" s="25">
        <f ca="1">PaymentSchedule3[[#This Row],[Payment Number]]*$M$19</f>
        <v>282553.41881623492</v>
      </c>
    </row>
    <row r="329" spans="2:14" ht="15.75" x14ac:dyDescent="0.25">
      <c r="B329" s="23">
        <f ca="1">IF(LoanIsGood,IF(ROW()-ROW(PaymentSchedule3[[#Headers],[Payment Number]])&gt;ScheduledNumberOfPayments,"",ROW()-ROW(PaymentSchedule3[[#Headers],[Payment Number]])),"")</f>
        <v>312</v>
      </c>
      <c r="C329" s="24">
        <f ca="1">IF(PaymentSchedule3[[#This Row],[Payment Number]]&lt;&gt;"",EOMONTH(LoanStartDate,ROW(PaymentSchedule3[[#This Row],[Payment Number]])-ROW(PaymentSchedule3[[#Headers],[Payment Number]])-2)+DAY(LoanStartDate),"")</f>
        <v>54101</v>
      </c>
      <c r="D329" s="25">
        <f ca="1">IF(PaymentSchedule3[[#This Row],[Payment Number]]&lt;&gt;"",IF(ROW()-ROW(PaymentSchedule3[[#Headers],[Beginning
Balance]])=1,LoanAmount,INDEX(PaymentSchedule3[Ending
Balance],ROW()-ROW(PaymentSchedule3[[#Headers],[Beginning
Balance]])-1)),"")</f>
        <v>24045.105407721188</v>
      </c>
      <c r="E329" s="25">
        <f ca="1">IF(PaymentSchedule3[[#This Row],[Payment Number]]&lt;&gt;"",ScheduledPayment,"")</f>
        <v>543.5318932997908</v>
      </c>
      <c r="F32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29" s="25">
        <f ca="1">IF(PaymentSchedule3[[#This Row],[Payment Number]]&lt;&gt;"",PaymentSchedule3[[#This Row],[Total
Payment]]-PaymentSchedule3[[#This Row],[Interest]],"")</f>
        <v>443.34395410095249</v>
      </c>
      <c r="I329" s="25">
        <f ca="1">IF(PaymentSchedule3[[#This Row],[Payment Number]]&lt;&gt;"",PaymentSchedule3[[#This Row],[Beginning
Balance]]*(InterestRate/PaymentsPerYear),"")</f>
        <v>100.18793919883828</v>
      </c>
      <c r="J329" s="25">
        <f ca="1">IF(PaymentSchedule3[[#This Row],[Payment Number]]&lt;&gt;"",IF(PaymentSchedule3[[#This Row],[Scheduled Payment]]+PaymentSchedule3[[#This Row],[Extra
Payment]]&lt;=PaymentSchedule3[[#This Row],[Beginning
Balance]],PaymentSchedule3[[#This Row],[Beginning
Balance]]-PaymentSchedule3[[#This Row],[Principal]],0),"")</f>
        <v>23601.761453620235</v>
      </c>
      <c r="K329" s="25">
        <f ca="1">IF(PaymentSchedule3[[#This Row],[Payment Number]]&lt;&gt;"",SUM(INDEX(PaymentSchedule3[Interest],1,1):PaymentSchedule3[[#This Row],[Interest]]),"")</f>
        <v>91933.712163154996</v>
      </c>
      <c r="L329" s="49">
        <f ca="1">LoanAmount-PaymentSchedule3[[#This Row],[Ending
Balance]]</f>
        <v>77648.238546379769</v>
      </c>
      <c r="M329" s="49">
        <f t="shared" ca="1" si="4"/>
        <v>908.5318932997908</v>
      </c>
      <c r="N329" s="25">
        <f ca="1">PaymentSchedule3[[#This Row],[Payment Number]]*$M$19</f>
        <v>283461.95070953475</v>
      </c>
    </row>
    <row r="330" spans="2:14" ht="15.75" x14ac:dyDescent="0.25">
      <c r="B330" s="23">
        <f ca="1">IF(LoanIsGood,IF(ROW()-ROW(PaymentSchedule3[[#Headers],[Payment Number]])&gt;ScheduledNumberOfPayments,"",ROW()-ROW(PaymentSchedule3[[#Headers],[Payment Number]])),"")</f>
        <v>313</v>
      </c>
      <c r="C330" s="24">
        <f ca="1">IF(PaymentSchedule3[[#This Row],[Payment Number]]&lt;&gt;"",EOMONTH(LoanStartDate,ROW(PaymentSchedule3[[#This Row],[Payment Number]])-ROW(PaymentSchedule3[[#Headers],[Payment Number]])-2)+DAY(LoanStartDate),"")</f>
        <v>54130</v>
      </c>
      <c r="D330" s="25">
        <f ca="1">IF(PaymentSchedule3[[#This Row],[Payment Number]]&lt;&gt;"",IF(ROW()-ROW(PaymentSchedule3[[#Headers],[Beginning
Balance]])=1,LoanAmount,INDEX(PaymentSchedule3[Ending
Balance],ROW()-ROW(PaymentSchedule3[[#Headers],[Beginning
Balance]])-1)),"")</f>
        <v>23601.761453620235</v>
      </c>
      <c r="E330" s="25">
        <f ca="1">IF(PaymentSchedule3[[#This Row],[Payment Number]]&lt;&gt;"",ScheduledPayment,"")</f>
        <v>543.5318932997908</v>
      </c>
      <c r="F33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0" s="25">
        <f ca="1">IF(PaymentSchedule3[[#This Row],[Payment Number]]&lt;&gt;"",PaymentSchedule3[[#This Row],[Total
Payment]]-PaymentSchedule3[[#This Row],[Interest]],"")</f>
        <v>445.19122057637315</v>
      </c>
      <c r="I330" s="25">
        <f ca="1">IF(PaymentSchedule3[[#This Row],[Payment Number]]&lt;&gt;"",PaymentSchedule3[[#This Row],[Beginning
Balance]]*(InterestRate/PaymentsPerYear),"")</f>
        <v>98.34067272341764</v>
      </c>
      <c r="J330" s="25">
        <f ca="1">IF(PaymentSchedule3[[#This Row],[Payment Number]]&lt;&gt;"",IF(PaymentSchedule3[[#This Row],[Scheduled Payment]]+PaymentSchedule3[[#This Row],[Extra
Payment]]&lt;=PaymentSchedule3[[#This Row],[Beginning
Balance]],PaymentSchedule3[[#This Row],[Beginning
Balance]]-PaymentSchedule3[[#This Row],[Principal]],0),"")</f>
        <v>23156.570233043862</v>
      </c>
      <c r="K330" s="25">
        <f ca="1">IF(PaymentSchedule3[[#This Row],[Payment Number]]&lt;&gt;"",SUM(INDEX(PaymentSchedule3[Interest],1,1):PaymentSchedule3[[#This Row],[Interest]]),"")</f>
        <v>92032.052835878407</v>
      </c>
      <c r="L330" s="49">
        <f ca="1">LoanAmount-PaymentSchedule3[[#This Row],[Ending
Balance]]</f>
        <v>78093.429766956135</v>
      </c>
      <c r="M330" s="49">
        <f t="shared" ca="1" si="4"/>
        <v>908.5318932997908</v>
      </c>
      <c r="N330" s="25">
        <f ca="1">PaymentSchedule3[[#This Row],[Payment Number]]*$M$19</f>
        <v>284370.48260283453</v>
      </c>
    </row>
    <row r="331" spans="2:14" ht="15.75" x14ac:dyDescent="0.25">
      <c r="B331" s="23">
        <f ca="1">IF(LoanIsGood,IF(ROW()-ROW(PaymentSchedule3[[#Headers],[Payment Number]])&gt;ScheduledNumberOfPayments,"",ROW()-ROW(PaymentSchedule3[[#Headers],[Payment Number]])),"")</f>
        <v>314</v>
      </c>
      <c r="C331" s="24">
        <f ca="1">IF(PaymentSchedule3[[#This Row],[Payment Number]]&lt;&gt;"",EOMONTH(LoanStartDate,ROW(PaymentSchedule3[[#This Row],[Payment Number]])-ROW(PaymentSchedule3[[#Headers],[Payment Number]])-2)+DAY(LoanStartDate),"")</f>
        <v>54161</v>
      </c>
      <c r="D331" s="25">
        <f ca="1">IF(PaymentSchedule3[[#This Row],[Payment Number]]&lt;&gt;"",IF(ROW()-ROW(PaymentSchedule3[[#Headers],[Beginning
Balance]])=1,LoanAmount,INDEX(PaymentSchedule3[Ending
Balance],ROW()-ROW(PaymentSchedule3[[#Headers],[Beginning
Balance]])-1)),"")</f>
        <v>23156.570233043862</v>
      </c>
      <c r="E331" s="25">
        <f ca="1">IF(PaymentSchedule3[[#This Row],[Payment Number]]&lt;&gt;"",ScheduledPayment,"")</f>
        <v>543.5318932997908</v>
      </c>
      <c r="F33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1" s="25">
        <f ca="1">IF(PaymentSchedule3[[#This Row],[Payment Number]]&lt;&gt;"",PaymentSchedule3[[#This Row],[Total
Payment]]-PaymentSchedule3[[#This Row],[Interest]],"")</f>
        <v>447.04618399544137</v>
      </c>
      <c r="I331" s="25">
        <f ca="1">IF(PaymentSchedule3[[#This Row],[Payment Number]]&lt;&gt;"",PaymentSchedule3[[#This Row],[Beginning
Balance]]*(InterestRate/PaymentsPerYear),"")</f>
        <v>96.485709304349427</v>
      </c>
      <c r="J331" s="25">
        <f ca="1">IF(PaymentSchedule3[[#This Row],[Payment Number]]&lt;&gt;"",IF(PaymentSchedule3[[#This Row],[Scheduled Payment]]+PaymentSchedule3[[#This Row],[Extra
Payment]]&lt;=PaymentSchedule3[[#This Row],[Beginning
Balance]],PaymentSchedule3[[#This Row],[Beginning
Balance]]-PaymentSchedule3[[#This Row],[Principal]],0),"")</f>
        <v>22709.524049048421</v>
      </c>
      <c r="K331" s="25">
        <f ca="1">IF(PaymentSchedule3[[#This Row],[Payment Number]]&lt;&gt;"",SUM(INDEX(PaymentSchedule3[Interest],1,1):PaymentSchedule3[[#This Row],[Interest]]),"")</f>
        <v>92128.538545182761</v>
      </c>
      <c r="L331" s="49">
        <f ca="1">LoanAmount-PaymentSchedule3[[#This Row],[Ending
Balance]]</f>
        <v>78540.475950951572</v>
      </c>
      <c r="M331" s="49">
        <f t="shared" ca="1" si="4"/>
        <v>908.5318932997908</v>
      </c>
      <c r="N331" s="25">
        <f ca="1">PaymentSchedule3[[#This Row],[Payment Number]]*$M$19</f>
        <v>285279.0144961343</v>
      </c>
    </row>
    <row r="332" spans="2:14" ht="15.75" x14ac:dyDescent="0.25">
      <c r="B332" s="23">
        <f ca="1">IF(LoanIsGood,IF(ROW()-ROW(PaymentSchedule3[[#Headers],[Payment Number]])&gt;ScheduledNumberOfPayments,"",ROW()-ROW(PaymentSchedule3[[#Headers],[Payment Number]])),"")</f>
        <v>315</v>
      </c>
      <c r="C332" s="24">
        <f ca="1">IF(PaymentSchedule3[[#This Row],[Payment Number]]&lt;&gt;"",EOMONTH(LoanStartDate,ROW(PaymentSchedule3[[#This Row],[Payment Number]])-ROW(PaymentSchedule3[[#Headers],[Payment Number]])-2)+DAY(LoanStartDate),"")</f>
        <v>54191</v>
      </c>
      <c r="D332" s="25">
        <f ca="1">IF(PaymentSchedule3[[#This Row],[Payment Number]]&lt;&gt;"",IF(ROW()-ROW(PaymentSchedule3[[#Headers],[Beginning
Balance]])=1,LoanAmount,INDEX(PaymentSchedule3[Ending
Balance],ROW()-ROW(PaymentSchedule3[[#Headers],[Beginning
Balance]])-1)),"")</f>
        <v>22709.524049048421</v>
      </c>
      <c r="E332" s="25">
        <f ca="1">IF(PaymentSchedule3[[#This Row],[Payment Number]]&lt;&gt;"",ScheduledPayment,"")</f>
        <v>543.5318932997908</v>
      </c>
      <c r="F33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2" s="25">
        <f ca="1">IF(PaymentSchedule3[[#This Row],[Payment Number]]&lt;&gt;"",PaymentSchedule3[[#This Row],[Total
Payment]]-PaymentSchedule3[[#This Row],[Interest]],"")</f>
        <v>448.90887642875572</v>
      </c>
      <c r="I332" s="25">
        <f ca="1">IF(PaymentSchedule3[[#This Row],[Payment Number]]&lt;&gt;"",PaymentSchedule3[[#This Row],[Beginning
Balance]]*(InterestRate/PaymentsPerYear),"")</f>
        <v>94.623016871035091</v>
      </c>
      <c r="J332" s="25">
        <f ca="1">IF(PaymentSchedule3[[#This Row],[Payment Number]]&lt;&gt;"",IF(PaymentSchedule3[[#This Row],[Scheduled Payment]]+PaymentSchedule3[[#This Row],[Extra
Payment]]&lt;=PaymentSchedule3[[#This Row],[Beginning
Balance]],PaymentSchedule3[[#This Row],[Beginning
Balance]]-PaymentSchedule3[[#This Row],[Principal]],0),"")</f>
        <v>22260.615172619666</v>
      </c>
      <c r="K332" s="25">
        <f ca="1">IF(PaymentSchedule3[[#This Row],[Payment Number]]&lt;&gt;"",SUM(INDEX(PaymentSchedule3[Interest],1,1):PaymentSchedule3[[#This Row],[Interest]]),"")</f>
        <v>92223.161562053792</v>
      </c>
      <c r="L332" s="49">
        <f ca="1">LoanAmount-PaymentSchedule3[[#This Row],[Ending
Balance]]</f>
        <v>78989.384827380331</v>
      </c>
      <c r="M332" s="49">
        <f t="shared" ca="1" si="4"/>
        <v>908.5318932997908</v>
      </c>
      <c r="N332" s="25">
        <f ca="1">PaymentSchedule3[[#This Row],[Payment Number]]*$M$19</f>
        <v>286187.54638943408</v>
      </c>
    </row>
    <row r="333" spans="2:14" ht="15.75" x14ac:dyDescent="0.25">
      <c r="B333" s="23">
        <f ca="1">IF(LoanIsGood,IF(ROW()-ROW(PaymentSchedule3[[#Headers],[Payment Number]])&gt;ScheduledNumberOfPayments,"",ROW()-ROW(PaymentSchedule3[[#Headers],[Payment Number]])),"")</f>
        <v>316</v>
      </c>
      <c r="C333" s="24">
        <f ca="1">IF(PaymentSchedule3[[#This Row],[Payment Number]]&lt;&gt;"",EOMONTH(LoanStartDate,ROW(PaymentSchedule3[[#This Row],[Payment Number]])-ROW(PaymentSchedule3[[#Headers],[Payment Number]])-2)+DAY(LoanStartDate),"")</f>
        <v>54222</v>
      </c>
      <c r="D333" s="25">
        <f ca="1">IF(PaymentSchedule3[[#This Row],[Payment Number]]&lt;&gt;"",IF(ROW()-ROW(PaymentSchedule3[[#Headers],[Beginning
Balance]])=1,LoanAmount,INDEX(PaymentSchedule3[Ending
Balance],ROW()-ROW(PaymentSchedule3[[#Headers],[Beginning
Balance]])-1)),"")</f>
        <v>22260.615172619666</v>
      </c>
      <c r="E333" s="25">
        <f ca="1">IF(PaymentSchedule3[[#This Row],[Payment Number]]&lt;&gt;"",ScheduledPayment,"")</f>
        <v>543.5318932997908</v>
      </c>
      <c r="F33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3" s="25">
        <f ca="1">IF(PaymentSchedule3[[#This Row],[Payment Number]]&lt;&gt;"",PaymentSchedule3[[#This Row],[Total
Payment]]-PaymentSchedule3[[#This Row],[Interest]],"")</f>
        <v>450.77933008054219</v>
      </c>
      <c r="I333" s="25">
        <f ca="1">IF(PaymentSchedule3[[#This Row],[Payment Number]]&lt;&gt;"",PaymentSchedule3[[#This Row],[Beginning
Balance]]*(InterestRate/PaymentsPerYear),"")</f>
        <v>92.7525632192486</v>
      </c>
      <c r="J333" s="25">
        <f ca="1">IF(PaymentSchedule3[[#This Row],[Payment Number]]&lt;&gt;"",IF(PaymentSchedule3[[#This Row],[Scheduled Payment]]+PaymentSchedule3[[#This Row],[Extra
Payment]]&lt;=PaymentSchedule3[[#This Row],[Beginning
Balance]],PaymentSchedule3[[#This Row],[Beginning
Balance]]-PaymentSchedule3[[#This Row],[Principal]],0),"")</f>
        <v>21809.835842539123</v>
      </c>
      <c r="K333" s="25">
        <f ca="1">IF(PaymentSchedule3[[#This Row],[Payment Number]]&lt;&gt;"",SUM(INDEX(PaymentSchedule3[Interest],1,1):PaymentSchedule3[[#This Row],[Interest]]),"")</f>
        <v>92315.914125273048</v>
      </c>
      <c r="L333" s="49">
        <f ca="1">LoanAmount-PaymentSchedule3[[#This Row],[Ending
Balance]]</f>
        <v>79440.16415746088</v>
      </c>
      <c r="M333" s="49">
        <f t="shared" ca="1" si="4"/>
        <v>908.5318932997908</v>
      </c>
      <c r="N333" s="25">
        <f ca="1">PaymentSchedule3[[#This Row],[Payment Number]]*$M$19</f>
        <v>287096.07828273391</v>
      </c>
    </row>
    <row r="334" spans="2:14" ht="15.75" x14ac:dyDescent="0.25">
      <c r="B334" s="23">
        <f ca="1">IF(LoanIsGood,IF(ROW()-ROW(PaymentSchedule3[[#Headers],[Payment Number]])&gt;ScheduledNumberOfPayments,"",ROW()-ROW(PaymentSchedule3[[#Headers],[Payment Number]])),"")</f>
        <v>317</v>
      </c>
      <c r="C334" s="24">
        <f ca="1">IF(PaymentSchedule3[[#This Row],[Payment Number]]&lt;&gt;"",EOMONTH(LoanStartDate,ROW(PaymentSchedule3[[#This Row],[Payment Number]])-ROW(PaymentSchedule3[[#Headers],[Payment Number]])-2)+DAY(LoanStartDate),"")</f>
        <v>54252</v>
      </c>
      <c r="D334" s="25">
        <f ca="1">IF(PaymentSchedule3[[#This Row],[Payment Number]]&lt;&gt;"",IF(ROW()-ROW(PaymentSchedule3[[#Headers],[Beginning
Balance]])=1,LoanAmount,INDEX(PaymentSchedule3[Ending
Balance],ROW()-ROW(PaymentSchedule3[[#Headers],[Beginning
Balance]])-1)),"")</f>
        <v>21809.835842539123</v>
      </c>
      <c r="E334" s="25">
        <f ca="1">IF(PaymentSchedule3[[#This Row],[Payment Number]]&lt;&gt;"",ScheduledPayment,"")</f>
        <v>543.5318932997908</v>
      </c>
      <c r="F33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4" s="25">
        <f ca="1">IF(PaymentSchedule3[[#This Row],[Payment Number]]&lt;&gt;"",PaymentSchedule3[[#This Row],[Total
Payment]]-PaymentSchedule3[[#This Row],[Interest]],"")</f>
        <v>452.65757728921113</v>
      </c>
      <c r="I334" s="25">
        <f ca="1">IF(PaymentSchedule3[[#This Row],[Payment Number]]&lt;&gt;"",PaymentSchedule3[[#This Row],[Beginning
Balance]]*(InterestRate/PaymentsPerYear),"")</f>
        <v>90.874316010579676</v>
      </c>
      <c r="J334" s="25">
        <f ca="1">IF(PaymentSchedule3[[#This Row],[Payment Number]]&lt;&gt;"",IF(PaymentSchedule3[[#This Row],[Scheduled Payment]]+PaymentSchedule3[[#This Row],[Extra
Payment]]&lt;=PaymentSchedule3[[#This Row],[Beginning
Balance]],PaymentSchedule3[[#This Row],[Beginning
Balance]]-PaymentSchedule3[[#This Row],[Principal]],0),"")</f>
        <v>21357.178265249913</v>
      </c>
      <c r="K334" s="25">
        <f ca="1">IF(PaymentSchedule3[[#This Row],[Payment Number]]&lt;&gt;"",SUM(INDEX(PaymentSchedule3[Interest],1,1):PaymentSchedule3[[#This Row],[Interest]]),"")</f>
        <v>92406.788441283628</v>
      </c>
      <c r="L334" s="49">
        <f ca="1">LoanAmount-PaymentSchedule3[[#This Row],[Ending
Balance]]</f>
        <v>79892.82173475009</v>
      </c>
      <c r="M334" s="49">
        <f t="shared" ca="1" si="4"/>
        <v>908.5318932997908</v>
      </c>
      <c r="N334" s="25">
        <f ca="1">PaymentSchedule3[[#This Row],[Payment Number]]*$M$19</f>
        <v>288004.61017603369</v>
      </c>
    </row>
    <row r="335" spans="2:14" ht="15.75" x14ac:dyDescent="0.25">
      <c r="B335" s="23">
        <f ca="1">IF(LoanIsGood,IF(ROW()-ROW(PaymentSchedule3[[#Headers],[Payment Number]])&gt;ScheduledNumberOfPayments,"",ROW()-ROW(PaymentSchedule3[[#Headers],[Payment Number]])),"")</f>
        <v>318</v>
      </c>
      <c r="C335" s="24">
        <f ca="1">IF(PaymentSchedule3[[#This Row],[Payment Number]]&lt;&gt;"",EOMONTH(LoanStartDate,ROW(PaymentSchedule3[[#This Row],[Payment Number]])-ROW(PaymentSchedule3[[#Headers],[Payment Number]])-2)+DAY(LoanStartDate),"")</f>
        <v>54283</v>
      </c>
      <c r="D335" s="25">
        <f ca="1">IF(PaymentSchedule3[[#This Row],[Payment Number]]&lt;&gt;"",IF(ROW()-ROW(PaymentSchedule3[[#Headers],[Beginning
Balance]])=1,LoanAmount,INDEX(PaymentSchedule3[Ending
Balance],ROW()-ROW(PaymentSchedule3[[#Headers],[Beginning
Balance]])-1)),"")</f>
        <v>21357.178265249913</v>
      </c>
      <c r="E335" s="25">
        <f ca="1">IF(PaymentSchedule3[[#This Row],[Payment Number]]&lt;&gt;"",ScheduledPayment,"")</f>
        <v>543.5318932997908</v>
      </c>
      <c r="F33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5" s="25">
        <f ca="1">IF(PaymentSchedule3[[#This Row],[Payment Number]]&lt;&gt;"",PaymentSchedule3[[#This Row],[Total
Payment]]-PaymentSchedule3[[#This Row],[Interest]],"")</f>
        <v>454.54365052791616</v>
      </c>
      <c r="I335" s="25">
        <f ca="1">IF(PaymentSchedule3[[#This Row],[Payment Number]]&lt;&gt;"",PaymentSchedule3[[#This Row],[Beginning
Balance]]*(InterestRate/PaymentsPerYear),"")</f>
        <v>88.988242771874638</v>
      </c>
      <c r="J335" s="25">
        <f ca="1">IF(PaymentSchedule3[[#This Row],[Payment Number]]&lt;&gt;"",IF(PaymentSchedule3[[#This Row],[Scheduled Payment]]+PaymentSchedule3[[#This Row],[Extra
Payment]]&lt;=PaymentSchedule3[[#This Row],[Beginning
Balance]],PaymentSchedule3[[#This Row],[Beginning
Balance]]-PaymentSchedule3[[#This Row],[Principal]],0),"")</f>
        <v>20902.634614721996</v>
      </c>
      <c r="K335" s="25">
        <f ca="1">IF(PaymentSchedule3[[#This Row],[Payment Number]]&lt;&gt;"",SUM(INDEX(PaymentSchedule3[Interest],1,1):PaymentSchedule3[[#This Row],[Interest]]),"")</f>
        <v>92495.776684055498</v>
      </c>
      <c r="L335" s="49">
        <f ca="1">LoanAmount-PaymentSchedule3[[#This Row],[Ending
Balance]]</f>
        <v>80347.365385278012</v>
      </c>
      <c r="M335" s="49">
        <f t="shared" ca="1" si="4"/>
        <v>908.5318932997908</v>
      </c>
      <c r="N335" s="25">
        <f ca="1">PaymentSchedule3[[#This Row],[Payment Number]]*$M$19</f>
        <v>288913.14206933347</v>
      </c>
    </row>
    <row r="336" spans="2:14" ht="15.75" x14ac:dyDescent="0.25">
      <c r="B336" s="23">
        <f ca="1">IF(LoanIsGood,IF(ROW()-ROW(PaymentSchedule3[[#Headers],[Payment Number]])&gt;ScheduledNumberOfPayments,"",ROW()-ROW(PaymentSchedule3[[#Headers],[Payment Number]])),"")</f>
        <v>319</v>
      </c>
      <c r="C336" s="24">
        <f ca="1">IF(PaymentSchedule3[[#This Row],[Payment Number]]&lt;&gt;"",EOMONTH(LoanStartDate,ROW(PaymentSchedule3[[#This Row],[Payment Number]])-ROW(PaymentSchedule3[[#Headers],[Payment Number]])-2)+DAY(LoanStartDate),"")</f>
        <v>54314</v>
      </c>
      <c r="D336" s="25">
        <f ca="1">IF(PaymentSchedule3[[#This Row],[Payment Number]]&lt;&gt;"",IF(ROW()-ROW(PaymentSchedule3[[#Headers],[Beginning
Balance]])=1,LoanAmount,INDEX(PaymentSchedule3[Ending
Balance],ROW()-ROW(PaymentSchedule3[[#Headers],[Beginning
Balance]])-1)),"")</f>
        <v>20902.634614721996</v>
      </c>
      <c r="E336" s="25">
        <f ca="1">IF(PaymentSchedule3[[#This Row],[Payment Number]]&lt;&gt;"",ScheduledPayment,"")</f>
        <v>543.5318932997908</v>
      </c>
      <c r="F33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6" s="25">
        <f ca="1">IF(PaymentSchedule3[[#This Row],[Payment Number]]&lt;&gt;"",PaymentSchedule3[[#This Row],[Total
Payment]]-PaymentSchedule3[[#This Row],[Interest]],"")</f>
        <v>456.43758240511579</v>
      </c>
      <c r="I336" s="25">
        <f ca="1">IF(PaymentSchedule3[[#This Row],[Payment Number]]&lt;&gt;"",PaymentSchedule3[[#This Row],[Beginning
Balance]]*(InterestRate/PaymentsPerYear),"")</f>
        <v>87.094310894674976</v>
      </c>
      <c r="J336" s="25">
        <f ca="1">IF(PaymentSchedule3[[#This Row],[Payment Number]]&lt;&gt;"",IF(PaymentSchedule3[[#This Row],[Scheduled Payment]]+PaymentSchedule3[[#This Row],[Extra
Payment]]&lt;=PaymentSchedule3[[#This Row],[Beginning
Balance]],PaymentSchedule3[[#This Row],[Beginning
Balance]]-PaymentSchedule3[[#This Row],[Principal]],0),"")</f>
        <v>20446.197032316879</v>
      </c>
      <c r="K336" s="25">
        <f ca="1">IF(PaymentSchedule3[[#This Row],[Payment Number]]&lt;&gt;"",SUM(INDEX(PaymentSchedule3[Interest],1,1):PaymentSchedule3[[#This Row],[Interest]]),"")</f>
        <v>92582.870994950179</v>
      </c>
      <c r="L336" s="49">
        <f ca="1">LoanAmount-PaymentSchedule3[[#This Row],[Ending
Balance]]</f>
        <v>80803.802967683121</v>
      </c>
      <c r="M336" s="49">
        <f t="shared" ca="1" si="4"/>
        <v>908.5318932997908</v>
      </c>
      <c r="N336" s="25">
        <f ca="1">PaymentSchedule3[[#This Row],[Payment Number]]*$M$19</f>
        <v>289821.67396263324</v>
      </c>
    </row>
    <row r="337" spans="2:14" ht="15.75" x14ac:dyDescent="0.25">
      <c r="B337" s="23">
        <f ca="1">IF(LoanIsGood,IF(ROW()-ROW(PaymentSchedule3[[#Headers],[Payment Number]])&gt;ScheduledNumberOfPayments,"",ROW()-ROW(PaymentSchedule3[[#Headers],[Payment Number]])),"")</f>
        <v>320</v>
      </c>
      <c r="C337" s="24">
        <f ca="1">IF(PaymentSchedule3[[#This Row],[Payment Number]]&lt;&gt;"",EOMONTH(LoanStartDate,ROW(PaymentSchedule3[[#This Row],[Payment Number]])-ROW(PaymentSchedule3[[#Headers],[Payment Number]])-2)+DAY(LoanStartDate),"")</f>
        <v>54344</v>
      </c>
      <c r="D337" s="25">
        <f ca="1">IF(PaymentSchedule3[[#This Row],[Payment Number]]&lt;&gt;"",IF(ROW()-ROW(PaymentSchedule3[[#Headers],[Beginning
Balance]])=1,LoanAmount,INDEX(PaymentSchedule3[Ending
Balance],ROW()-ROW(PaymentSchedule3[[#Headers],[Beginning
Balance]])-1)),"")</f>
        <v>20446.197032316879</v>
      </c>
      <c r="E337" s="25">
        <f ca="1">IF(PaymentSchedule3[[#This Row],[Payment Number]]&lt;&gt;"",ScheduledPayment,"")</f>
        <v>543.5318932997908</v>
      </c>
      <c r="F33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7" s="25">
        <f ca="1">IF(PaymentSchedule3[[#This Row],[Payment Number]]&lt;&gt;"",PaymentSchedule3[[#This Row],[Total
Payment]]-PaymentSchedule3[[#This Row],[Interest]],"")</f>
        <v>458.33940566513712</v>
      </c>
      <c r="I337" s="25">
        <f ca="1">IF(PaymentSchedule3[[#This Row],[Payment Number]]&lt;&gt;"",PaymentSchedule3[[#This Row],[Beginning
Balance]]*(InterestRate/PaymentsPerYear),"")</f>
        <v>85.192487634653659</v>
      </c>
      <c r="J337" s="25">
        <f ca="1">IF(PaymentSchedule3[[#This Row],[Payment Number]]&lt;&gt;"",IF(PaymentSchedule3[[#This Row],[Scheduled Payment]]+PaymentSchedule3[[#This Row],[Extra
Payment]]&lt;=PaymentSchedule3[[#This Row],[Beginning
Balance]],PaymentSchedule3[[#This Row],[Beginning
Balance]]-PaymentSchedule3[[#This Row],[Principal]],0),"")</f>
        <v>19987.857626651741</v>
      </c>
      <c r="K337" s="25">
        <f ca="1">IF(PaymentSchedule3[[#This Row],[Payment Number]]&lt;&gt;"",SUM(INDEX(PaymentSchedule3[Interest],1,1):PaymentSchedule3[[#This Row],[Interest]]),"")</f>
        <v>92668.063482584839</v>
      </c>
      <c r="L337" s="49">
        <f ca="1">LoanAmount-PaymentSchedule3[[#This Row],[Ending
Balance]]</f>
        <v>81262.142373348266</v>
      </c>
      <c r="M337" s="49">
        <f t="shared" ca="1" si="4"/>
        <v>908.5318932997908</v>
      </c>
      <c r="N337" s="25">
        <f ca="1">PaymentSchedule3[[#This Row],[Payment Number]]*$M$19</f>
        <v>290730.20585593308</v>
      </c>
    </row>
    <row r="338" spans="2:14" ht="15.75" x14ac:dyDescent="0.25">
      <c r="B338" s="23">
        <f ca="1">IF(LoanIsGood,IF(ROW()-ROW(PaymentSchedule3[[#Headers],[Payment Number]])&gt;ScheduledNumberOfPayments,"",ROW()-ROW(PaymentSchedule3[[#Headers],[Payment Number]])),"")</f>
        <v>321</v>
      </c>
      <c r="C338" s="24">
        <f ca="1">IF(PaymentSchedule3[[#This Row],[Payment Number]]&lt;&gt;"",EOMONTH(LoanStartDate,ROW(PaymentSchedule3[[#This Row],[Payment Number]])-ROW(PaymentSchedule3[[#Headers],[Payment Number]])-2)+DAY(LoanStartDate),"")</f>
        <v>54375</v>
      </c>
      <c r="D338" s="25">
        <f ca="1">IF(PaymentSchedule3[[#This Row],[Payment Number]]&lt;&gt;"",IF(ROW()-ROW(PaymentSchedule3[[#Headers],[Beginning
Balance]])=1,LoanAmount,INDEX(PaymentSchedule3[Ending
Balance],ROW()-ROW(PaymentSchedule3[[#Headers],[Beginning
Balance]])-1)),"")</f>
        <v>19987.857626651741</v>
      </c>
      <c r="E338" s="25">
        <f ca="1">IF(PaymentSchedule3[[#This Row],[Payment Number]]&lt;&gt;"",ScheduledPayment,"")</f>
        <v>543.5318932997908</v>
      </c>
      <c r="F33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8" s="25">
        <f ca="1">IF(PaymentSchedule3[[#This Row],[Payment Number]]&lt;&gt;"",PaymentSchedule3[[#This Row],[Total
Payment]]-PaymentSchedule3[[#This Row],[Interest]],"")</f>
        <v>460.24915318874184</v>
      </c>
      <c r="I338" s="25">
        <f ca="1">IF(PaymentSchedule3[[#This Row],[Payment Number]]&lt;&gt;"",PaymentSchedule3[[#This Row],[Beginning
Balance]]*(InterestRate/PaymentsPerYear),"")</f>
        <v>83.282740111048923</v>
      </c>
      <c r="J338" s="25">
        <f ca="1">IF(PaymentSchedule3[[#This Row],[Payment Number]]&lt;&gt;"",IF(PaymentSchedule3[[#This Row],[Scheduled Payment]]+PaymentSchedule3[[#This Row],[Extra
Payment]]&lt;=PaymentSchedule3[[#This Row],[Beginning
Balance]],PaymentSchedule3[[#This Row],[Beginning
Balance]]-PaymentSchedule3[[#This Row],[Principal]],0),"")</f>
        <v>19527.608473462999</v>
      </c>
      <c r="K338" s="25">
        <f ca="1">IF(PaymentSchedule3[[#This Row],[Payment Number]]&lt;&gt;"",SUM(INDEX(PaymentSchedule3[Interest],1,1):PaymentSchedule3[[#This Row],[Interest]]),"")</f>
        <v>92751.346222695895</v>
      </c>
      <c r="L338" s="49">
        <f ca="1">LoanAmount-PaymentSchedule3[[#This Row],[Ending
Balance]]</f>
        <v>81722.391526537001</v>
      </c>
      <c r="M338" s="49">
        <f t="shared" ref="M338:M401" ca="1" si="5">G339+$N$7+N$8+$N$9</f>
        <v>908.5318932997908</v>
      </c>
      <c r="N338" s="25">
        <f ca="1">PaymentSchedule3[[#This Row],[Payment Number]]*$M$19</f>
        <v>291638.73774923285</v>
      </c>
    </row>
    <row r="339" spans="2:14" ht="15.75" x14ac:dyDescent="0.25">
      <c r="B339" s="23">
        <f ca="1">IF(LoanIsGood,IF(ROW()-ROW(PaymentSchedule3[[#Headers],[Payment Number]])&gt;ScheduledNumberOfPayments,"",ROW()-ROW(PaymentSchedule3[[#Headers],[Payment Number]])),"")</f>
        <v>322</v>
      </c>
      <c r="C339" s="24">
        <f ca="1">IF(PaymentSchedule3[[#This Row],[Payment Number]]&lt;&gt;"",EOMONTH(LoanStartDate,ROW(PaymentSchedule3[[#This Row],[Payment Number]])-ROW(PaymentSchedule3[[#Headers],[Payment Number]])-2)+DAY(LoanStartDate),"")</f>
        <v>54405</v>
      </c>
      <c r="D339" s="25">
        <f ca="1">IF(PaymentSchedule3[[#This Row],[Payment Number]]&lt;&gt;"",IF(ROW()-ROW(PaymentSchedule3[[#Headers],[Beginning
Balance]])=1,LoanAmount,INDEX(PaymentSchedule3[Ending
Balance],ROW()-ROW(PaymentSchedule3[[#Headers],[Beginning
Balance]])-1)),"")</f>
        <v>19527.608473462999</v>
      </c>
      <c r="E339" s="25">
        <f ca="1">IF(PaymentSchedule3[[#This Row],[Payment Number]]&lt;&gt;"",ScheduledPayment,"")</f>
        <v>543.5318932997908</v>
      </c>
      <c r="F33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39" s="25">
        <f ca="1">IF(PaymentSchedule3[[#This Row],[Payment Number]]&lt;&gt;"",PaymentSchedule3[[#This Row],[Total
Payment]]-PaymentSchedule3[[#This Row],[Interest]],"")</f>
        <v>462.16685799369498</v>
      </c>
      <c r="I339" s="25">
        <f ca="1">IF(PaymentSchedule3[[#This Row],[Payment Number]]&lt;&gt;"",PaymentSchedule3[[#This Row],[Beginning
Balance]]*(InterestRate/PaymentsPerYear),"")</f>
        <v>81.36503530609582</v>
      </c>
      <c r="J339" s="25">
        <f ca="1">IF(PaymentSchedule3[[#This Row],[Payment Number]]&lt;&gt;"",IF(PaymentSchedule3[[#This Row],[Scheduled Payment]]+PaymentSchedule3[[#This Row],[Extra
Payment]]&lt;=PaymentSchedule3[[#This Row],[Beginning
Balance]],PaymentSchedule3[[#This Row],[Beginning
Balance]]-PaymentSchedule3[[#This Row],[Principal]],0),"")</f>
        <v>19065.441615469303</v>
      </c>
      <c r="K339" s="25">
        <f ca="1">IF(PaymentSchedule3[[#This Row],[Payment Number]]&lt;&gt;"",SUM(INDEX(PaymentSchedule3[Interest],1,1):PaymentSchedule3[[#This Row],[Interest]]),"")</f>
        <v>92832.711258001989</v>
      </c>
      <c r="L339" s="49">
        <f ca="1">LoanAmount-PaymentSchedule3[[#This Row],[Ending
Balance]]</f>
        <v>82184.558384530697</v>
      </c>
      <c r="M339" s="49">
        <f t="shared" ca="1" si="5"/>
        <v>908.5318932997908</v>
      </c>
      <c r="N339" s="25">
        <f ca="1">PaymentSchedule3[[#This Row],[Payment Number]]*$M$19</f>
        <v>292547.26964253263</v>
      </c>
    </row>
    <row r="340" spans="2:14" ht="15.75" x14ac:dyDescent="0.25">
      <c r="B340" s="23">
        <f ca="1">IF(LoanIsGood,IF(ROW()-ROW(PaymentSchedule3[[#Headers],[Payment Number]])&gt;ScheduledNumberOfPayments,"",ROW()-ROW(PaymentSchedule3[[#Headers],[Payment Number]])),"")</f>
        <v>323</v>
      </c>
      <c r="C340" s="24">
        <f ca="1">IF(PaymentSchedule3[[#This Row],[Payment Number]]&lt;&gt;"",EOMONTH(LoanStartDate,ROW(PaymentSchedule3[[#This Row],[Payment Number]])-ROW(PaymentSchedule3[[#Headers],[Payment Number]])-2)+DAY(LoanStartDate),"")</f>
        <v>54436</v>
      </c>
      <c r="D340" s="25">
        <f ca="1">IF(PaymentSchedule3[[#This Row],[Payment Number]]&lt;&gt;"",IF(ROW()-ROW(PaymentSchedule3[[#Headers],[Beginning
Balance]])=1,LoanAmount,INDEX(PaymentSchedule3[Ending
Balance],ROW()-ROW(PaymentSchedule3[[#Headers],[Beginning
Balance]])-1)),"")</f>
        <v>19065.441615469303</v>
      </c>
      <c r="E340" s="25">
        <f ca="1">IF(PaymentSchedule3[[#This Row],[Payment Number]]&lt;&gt;"",ScheduledPayment,"")</f>
        <v>543.5318932997908</v>
      </c>
      <c r="F34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0" s="25">
        <f ca="1">IF(PaymentSchedule3[[#This Row],[Payment Number]]&lt;&gt;"",PaymentSchedule3[[#This Row],[Total
Payment]]-PaymentSchedule3[[#This Row],[Interest]],"")</f>
        <v>464.09255323533534</v>
      </c>
      <c r="I340" s="25">
        <f ca="1">IF(PaymentSchedule3[[#This Row],[Payment Number]]&lt;&gt;"",PaymentSchedule3[[#This Row],[Beginning
Balance]]*(InterestRate/PaymentsPerYear),"")</f>
        <v>79.439340064455422</v>
      </c>
      <c r="J340" s="25">
        <f ca="1">IF(PaymentSchedule3[[#This Row],[Payment Number]]&lt;&gt;"",IF(PaymentSchedule3[[#This Row],[Scheduled Payment]]+PaymentSchedule3[[#This Row],[Extra
Payment]]&lt;=PaymentSchedule3[[#This Row],[Beginning
Balance]],PaymentSchedule3[[#This Row],[Beginning
Balance]]-PaymentSchedule3[[#This Row],[Principal]],0),"")</f>
        <v>18601.349062233967</v>
      </c>
      <c r="K340" s="25">
        <f ca="1">IF(PaymentSchedule3[[#This Row],[Payment Number]]&lt;&gt;"",SUM(INDEX(PaymentSchedule3[Interest],1,1):PaymentSchedule3[[#This Row],[Interest]]),"")</f>
        <v>92912.150598066451</v>
      </c>
      <c r="L340" s="49">
        <f ca="1">LoanAmount-PaymentSchedule3[[#This Row],[Ending
Balance]]</f>
        <v>82648.65093776604</v>
      </c>
      <c r="M340" s="49">
        <f t="shared" ca="1" si="5"/>
        <v>908.5318932997908</v>
      </c>
      <c r="N340" s="25">
        <f ca="1">PaymentSchedule3[[#This Row],[Payment Number]]*$M$19</f>
        <v>293455.8015358324</v>
      </c>
    </row>
    <row r="341" spans="2:14" ht="15.75" x14ac:dyDescent="0.25">
      <c r="B341" s="23">
        <f ca="1">IF(LoanIsGood,IF(ROW()-ROW(PaymentSchedule3[[#Headers],[Payment Number]])&gt;ScheduledNumberOfPayments,"",ROW()-ROW(PaymentSchedule3[[#Headers],[Payment Number]])),"")</f>
        <v>324</v>
      </c>
      <c r="C341" s="24">
        <f ca="1">IF(PaymentSchedule3[[#This Row],[Payment Number]]&lt;&gt;"",EOMONTH(LoanStartDate,ROW(PaymentSchedule3[[#This Row],[Payment Number]])-ROW(PaymentSchedule3[[#Headers],[Payment Number]])-2)+DAY(LoanStartDate),"")</f>
        <v>54467</v>
      </c>
      <c r="D341" s="25">
        <f ca="1">IF(PaymentSchedule3[[#This Row],[Payment Number]]&lt;&gt;"",IF(ROW()-ROW(PaymentSchedule3[[#Headers],[Beginning
Balance]])=1,LoanAmount,INDEX(PaymentSchedule3[Ending
Balance],ROW()-ROW(PaymentSchedule3[[#Headers],[Beginning
Balance]])-1)),"")</f>
        <v>18601.349062233967</v>
      </c>
      <c r="E341" s="25">
        <f ca="1">IF(PaymentSchedule3[[#This Row],[Payment Number]]&lt;&gt;"",ScheduledPayment,"")</f>
        <v>543.5318932997908</v>
      </c>
      <c r="F34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1" s="25">
        <f ca="1">IF(PaymentSchedule3[[#This Row],[Payment Number]]&lt;&gt;"",PaymentSchedule3[[#This Row],[Total
Payment]]-PaymentSchedule3[[#This Row],[Interest]],"")</f>
        <v>466.02627220714925</v>
      </c>
      <c r="I341" s="25">
        <f ca="1">IF(PaymentSchedule3[[#This Row],[Payment Number]]&lt;&gt;"",PaymentSchedule3[[#This Row],[Beginning
Balance]]*(InterestRate/PaymentsPerYear),"")</f>
        <v>77.505621092641533</v>
      </c>
      <c r="J341" s="25">
        <f ca="1">IF(PaymentSchedule3[[#This Row],[Payment Number]]&lt;&gt;"",IF(PaymentSchedule3[[#This Row],[Scheduled Payment]]+PaymentSchedule3[[#This Row],[Extra
Payment]]&lt;=PaymentSchedule3[[#This Row],[Beginning
Balance]],PaymentSchedule3[[#This Row],[Beginning
Balance]]-PaymentSchedule3[[#This Row],[Principal]],0),"")</f>
        <v>18135.322790026818</v>
      </c>
      <c r="K341" s="48">
        <f ca="1">IF(PaymentSchedule3[[#This Row],[Payment Number]]&lt;&gt;"",SUM(INDEX(PaymentSchedule3[Interest],1,1):PaymentSchedule3[[#This Row],[Interest]]),"")</f>
        <v>92989.656219159093</v>
      </c>
      <c r="L341" s="49">
        <f ca="1">LoanAmount-PaymentSchedule3[[#This Row],[Ending
Balance]]</f>
        <v>83114.67720997319</v>
      </c>
      <c r="M341" s="49">
        <f t="shared" ca="1" si="5"/>
        <v>908.5318932997908</v>
      </c>
      <c r="N341" s="25">
        <f ca="1">PaymentSchedule3[[#This Row],[Payment Number]]*$M$19</f>
        <v>294364.33342913224</v>
      </c>
    </row>
    <row r="342" spans="2:14" ht="15.75" x14ac:dyDescent="0.25">
      <c r="B342" s="23">
        <f ca="1">IF(LoanIsGood,IF(ROW()-ROW(PaymentSchedule3[[#Headers],[Payment Number]])&gt;ScheduledNumberOfPayments,"",ROW()-ROW(PaymentSchedule3[[#Headers],[Payment Number]])),"")</f>
        <v>325</v>
      </c>
      <c r="C342" s="24">
        <f ca="1">IF(PaymentSchedule3[[#This Row],[Payment Number]]&lt;&gt;"",EOMONTH(LoanStartDate,ROW(PaymentSchedule3[[#This Row],[Payment Number]])-ROW(PaymentSchedule3[[#Headers],[Payment Number]])-2)+DAY(LoanStartDate),"")</f>
        <v>54495</v>
      </c>
      <c r="D342" s="25">
        <f ca="1">IF(PaymentSchedule3[[#This Row],[Payment Number]]&lt;&gt;"",IF(ROW()-ROW(PaymentSchedule3[[#Headers],[Beginning
Balance]])=1,LoanAmount,INDEX(PaymentSchedule3[Ending
Balance],ROW()-ROW(PaymentSchedule3[[#Headers],[Beginning
Balance]])-1)),"")</f>
        <v>18135.322790026818</v>
      </c>
      <c r="E342" s="25">
        <f ca="1">IF(PaymentSchedule3[[#This Row],[Payment Number]]&lt;&gt;"",ScheduledPayment,"")</f>
        <v>543.5318932997908</v>
      </c>
      <c r="F34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2" s="25">
        <f ca="1">IF(PaymentSchedule3[[#This Row],[Payment Number]]&lt;&gt;"",PaymentSchedule3[[#This Row],[Total
Payment]]-PaymentSchedule3[[#This Row],[Interest]],"")</f>
        <v>467.96804834134571</v>
      </c>
      <c r="I342" s="25">
        <f ca="1">IF(PaymentSchedule3[[#This Row],[Payment Number]]&lt;&gt;"",PaymentSchedule3[[#This Row],[Beginning
Balance]]*(InterestRate/PaymentsPerYear),"")</f>
        <v>75.563844958445074</v>
      </c>
      <c r="J342" s="50">
        <f ca="1">IF(PaymentSchedule3[[#This Row],[Payment Number]]&lt;&gt;"",IF(PaymentSchedule3[[#This Row],[Scheduled Payment]]+PaymentSchedule3[[#This Row],[Extra
Payment]]&lt;=PaymentSchedule3[[#This Row],[Beginning
Balance]],PaymentSchedule3[[#This Row],[Beginning
Balance]]-PaymentSchedule3[[#This Row],[Principal]],0),"")</f>
        <v>17667.354741685471</v>
      </c>
      <c r="K342" s="19">
        <f ca="1">IF(PaymentSchedule3[[#This Row],[Payment Number]]&lt;&gt;"",SUM(INDEX(PaymentSchedule3[Interest],1,1):PaymentSchedule3[[#This Row],[Interest]]),"")</f>
        <v>93065.220064117544</v>
      </c>
      <c r="L342" s="49">
        <f ca="1">LoanAmount-PaymentSchedule3[[#This Row],[Ending
Balance]]</f>
        <v>83582.645258314529</v>
      </c>
      <c r="M342" s="49">
        <f t="shared" ref="M342:M376" ca="1" si="6">G343+$N$7+N$8+$N$9</f>
        <v>908.5318932997908</v>
      </c>
      <c r="N342" s="25">
        <f ca="1">PaymentSchedule3[[#This Row],[Payment Number]]*$M$19</f>
        <v>295272.86532243202</v>
      </c>
    </row>
    <row r="343" spans="2:14" ht="15.75" x14ac:dyDescent="0.25">
      <c r="B343" s="23">
        <f ca="1">IF(LoanIsGood,IF(ROW()-ROW(PaymentSchedule3[[#Headers],[Payment Number]])&gt;ScheduledNumberOfPayments,"",ROW()-ROW(PaymentSchedule3[[#Headers],[Payment Number]])),"")</f>
        <v>326</v>
      </c>
      <c r="C343" s="24">
        <f ca="1">IF(PaymentSchedule3[[#This Row],[Payment Number]]&lt;&gt;"",EOMONTH(LoanStartDate,ROW(PaymentSchedule3[[#This Row],[Payment Number]])-ROW(PaymentSchedule3[[#Headers],[Payment Number]])-2)+DAY(LoanStartDate),"")</f>
        <v>54526</v>
      </c>
      <c r="D343" s="25">
        <f ca="1">IF(PaymentSchedule3[[#This Row],[Payment Number]]&lt;&gt;"",IF(ROW()-ROW(PaymentSchedule3[[#Headers],[Beginning
Balance]])=1,LoanAmount,INDEX(PaymentSchedule3[Ending
Balance],ROW()-ROW(PaymentSchedule3[[#Headers],[Beginning
Balance]])-1)),"")</f>
        <v>17667.354741685471</v>
      </c>
      <c r="E343" s="25">
        <f ca="1">IF(PaymentSchedule3[[#This Row],[Payment Number]]&lt;&gt;"",ScheduledPayment,"")</f>
        <v>543.5318932997908</v>
      </c>
      <c r="F34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3" s="25">
        <f ca="1">IF(PaymentSchedule3[[#This Row],[Payment Number]]&lt;&gt;"",PaymentSchedule3[[#This Row],[Total
Payment]]-PaymentSchedule3[[#This Row],[Interest]],"")</f>
        <v>469.91791520943468</v>
      </c>
      <c r="I343" s="25">
        <f ca="1">IF(PaymentSchedule3[[#This Row],[Payment Number]]&lt;&gt;"",PaymentSchedule3[[#This Row],[Beginning
Balance]]*(InterestRate/PaymentsPerYear),"")</f>
        <v>73.613978090356127</v>
      </c>
      <c r="J343" s="50">
        <f ca="1">IF(PaymentSchedule3[[#This Row],[Payment Number]]&lt;&gt;"",IF(PaymentSchedule3[[#This Row],[Scheduled Payment]]+PaymentSchedule3[[#This Row],[Extra
Payment]]&lt;=PaymentSchedule3[[#This Row],[Beginning
Balance]],PaymentSchedule3[[#This Row],[Beginning
Balance]]-PaymentSchedule3[[#This Row],[Principal]],0),"")</f>
        <v>17197.436826476038</v>
      </c>
      <c r="K343" s="19">
        <f ca="1">IF(PaymentSchedule3[[#This Row],[Payment Number]]&lt;&gt;"",SUM(INDEX(PaymentSchedule3[Interest],1,1):PaymentSchedule3[[#This Row],[Interest]]),"")</f>
        <v>93138.834042207905</v>
      </c>
      <c r="L343" s="49">
        <f ca="1">LoanAmount-PaymentSchedule3[[#This Row],[Ending
Balance]]</f>
        <v>84052.563173523959</v>
      </c>
      <c r="M343" s="49">
        <f t="shared" ca="1" si="6"/>
        <v>908.5318932997908</v>
      </c>
      <c r="N343" s="25">
        <f ca="1">PaymentSchedule3[[#This Row],[Payment Number]]*$M$19</f>
        <v>296181.39721573179</v>
      </c>
    </row>
    <row r="344" spans="2:14" ht="15.75" x14ac:dyDescent="0.25">
      <c r="B344" s="23">
        <f ca="1">IF(LoanIsGood,IF(ROW()-ROW(PaymentSchedule3[[#Headers],[Payment Number]])&gt;ScheduledNumberOfPayments,"",ROW()-ROW(PaymentSchedule3[[#Headers],[Payment Number]])),"")</f>
        <v>327</v>
      </c>
      <c r="C344" s="24">
        <f ca="1">IF(PaymentSchedule3[[#This Row],[Payment Number]]&lt;&gt;"",EOMONTH(LoanStartDate,ROW(PaymentSchedule3[[#This Row],[Payment Number]])-ROW(PaymentSchedule3[[#Headers],[Payment Number]])-2)+DAY(LoanStartDate),"")</f>
        <v>54556</v>
      </c>
      <c r="D344" s="25">
        <f ca="1">IF(PaymentSchedule3[[#This Row],[Payment Number]]&lt;&gt;"",IF(ROW()-ROW(PaymentSchedule3[[#Headers],[Beginning
Balance]])=1,LoanAmount,INDEX(PaymentSchedule3[Ending
Balance],ROW()-ROW(PaymentSchedule3[[#Headers],[Beginning
Balance]])-1)),"")</f>
        <v>17197.436826476038</v>
      </c>
      <c r="E344" s="25">
        <f ca="1">IF(PaymentSchedule3[[#This Row],[Payment Number]]&lt;&gt;"",ScheduledPayment,"")</f>
        <v>543.5318932997908</v>
      </c>
      <c r="F34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4" s="25">
        <f ca="1">IF(PaymentSchedule3[[#This Row],[Payment Number]]&lt;&gt;"",PaymentSchedule3[[#This Row],[Total
Payment]]-PaymentSchedule3[[#This Row],[Interest]],"")</f>
        <v>471.87590652280733</v>
      </c>
      <c r="I344" s="25">
        <f ca="1">IF(PaymentSchedule3[[#This Row],[Payment Number]]&lt;&gt;"",PaymentSchedule3[[#This Row],[Beginning
Balance]]*(InterestRate/PaymentsPerYear),"")</f>
        <v>71.655986776983497</v>
      </c>
      <c r="J344" s="50">
        <f ca="1">IF(PaymentSchedule3[[#This Row],[Payment Number]]&lt;&gt;"",IF(PaymentSchedule3[[#This Row],[Scheduled Payment]]+PaymentSchedule3[[#This Row],[Extra
Payment]]&lt;=PaymentSchedule3[[#This Row],[Beginning
Balance]],PaymentSchedule3[[#This Row],[Beginning
Balance]]-PaymentSchedule3[[#This Row],[Principal]],0),"")</f>
        <v>16725.56091995323</v>
      </c>
      <c r="K344" s="19">
        <f ca="1">IF(PaymentSchedule3[[#This Row],[Payment Number]]&lt;&gt;"",SUM(INDEX(PaymentSchedule3[Interest],1,1):PaymentSchedule3[[#This Row],[Interest]]),"")</f>
        <v>93210.490028984888</v>
      </c>
      <c r="L344" s="49">
        <f ca="1">LoanAmount-PaymentSchedule3[[#This Row],[Ending
Balance]]</f>
        <v>84524.439080046766</v>
      </c>
      <c r="M344" s="49">
        <f t="shared" ca="1" si="6"/>
        <v>908.5318932997908</v>
      </c>
      <c r="N344" s="25">
        <f ca="1">PaymentSchedule3[[#This Row],[Payment Number]]*$M$19</f>
        <v>297089.92910903157</v>
      </c>
    </row>
    <row r="345" spans="2:14" ht="15.75" x14ac:dyDescent="0.25">
      <c r="B345" s="23">
        <f ca="1">IF(LoanIsGood,IF(ROW()-ROW(PaymentSchedule3[[#Headers],[Payment Number]])&gt;ScheduledNumberOfPayments,"",ROW()-ROW(PaymentSchedule3[[#Headers],[Payment Number]])),"")</f>
        <v>328</v>
      </c>
      <c r="C345" s="24">
        <f ca="1">IF(PaymentSchedule3[[#This Row],[Payment Number]]&lt;&gt;"",EOMONTH(LoanStartDate,ROW(PaymentSchedule3[[#This Row],[Payment Number]])-ROW(PaymentSchedule3[[#Headers],[Payment Number]])-2)+DAY(LoanStartDate),"")</f>
        <v>54587</v>
      </c>
      <c r="D345" s="25">
        <f ca="1">IF(PaymentSchedule3[[#This Row],[Payment Number]]&lt;&gt;"",IF(ROW()-ROW(PaymentSchedule3[[#Headers],[Beginning
Balance]])=1,LoanAmount,INDEX(PaymentSchedule3[Ending
Balance],ROW()-ROW(PaymentSchedule3[[#Headers],[Beginning
Balance]])-1)),"")</f>
        <v>16725.56091995323</v>
      </c>
      <c r="E345" s="25">
        <f ca="1">IF(PaymentSchedule3[[#This Row],[Payment Number]]&lt;&gt;"",ScheduledPayment,"")</f>
        <v>543.5318932997908</v>
      </c>
      <c r="F34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5" s="25">
        <f ca="1">IF(PaymentSchedule3[[#This Row],[Payment Number]]&lt;&gt;"",PaymentSchedule3[[#This Row],[Total
Payment]]-PaymentSchedule3[[#This Row],[Interest]],"")</f>
        <v>473.84205613331903</v>
      </c>
      <c r="I345" s="25">
        <f ca="1">IF(PaymentSchedule3[[#This Row],[Payment Number]]&lt;&gt;"",PaymentSchedule3[[#This Row],[Beginning
Balance]]*(InterestRate/PaymentsPerYear),"")</f>
        <v>69.68983716647179</v>
      </c>
      <c r="J345" s="50">
        <f ca="1">IF(PaymentSchedule3[[#This Row],[Payment Number]]&lt;&gt;"",IF(PaymentSchedule3[[#This Row],[Scheduled Payment]]+PaymentSchedule3[[#This Row],[Extra
Payment]]&lt;=PaymentSchedule3[[#This Row],[Beginning
Balance]],PaymentSchedule3[[#This Row],[Beginning
Balance]]-PaymentSchedule3[[#This Row],[Principal]],0),"")</f>
        <v>16251.718863819911</v>
      </c>
      <c r="K345" s="19">
        <f ca="1">IF(PaymentSchedule3[[#This Row],[Payment Number]]&lt;&gt;"",SUM(INDEX(PaymentSchedule3[Interest],1,1):PaymentSchedule3[[#This Row],[Interest]]),"")</f>
        <v>93280.17986615136</v>
      </c>
      <c r="L345" s="49">
        <f ca="1">LoanAmount-PaymentSchedule3[[#This Row],[Ending
Balance]]</f>
        <v>84998.281136180085</v>
      </c>
      <c r="M345" s="49">
        <f t="shared" ca="1" si="6"/>
        <v>908.5318932997908</v>
      </c>
      <c r="N345" s="25">
        <f ca="1">PaymentSchedule3[[#This Row],[Payment Number]]*$M$19</f>
        <v>297998.4610023314</v>
      </c>
    </row>
    <row r="346" spans="2:14" ht="15.75" x14ac:dyDescent="0.25">
      <c r="B346" s="23">
        <f ca="1">IF(LoanIsGood,IF(ROW()-ROW(PaymentSchedule3[[#Headers],[Payment Number]])&gt;ScheduledNumberOfPayments,"",ROW()-ROW(PaymentSchedule3[[#Headers],[Payment Number]])),"")</f>
        <v>329</v>
      </c>
      <c r="C346" s="24">
        <f ca="1">IF(PaymentSchedule3[[#This Row],[Payment Number]]&lt;&gt;"",EOMONTH(LoanStartDate,ROW(PaymentSchedule3[[#This Row],[Payment Number]])-ROW(PaymentSchedule3[[#Headers],[Payment Number]])-2)+DAY(LoanStartDate),"")</f>
        <v>54617</v>
      </c>
      <c r="D346" s="25">
        <f ca="1">IF(PaymentSchedule3[[#This Row],[Payment Number]]&lt;&gt;"",IF(ROW()-ROW(PaymentSchedule3[[#Headers],[Beginning
Balance]])=1,LoanAmount,INDEX(PaymentSchedule3[Ending
Balance],ROW()-ROW(PaymentSchedule3[[#Headers],[Beginning
Balance]])-1)),"")</f>
        <v>16251.718863819911</v>
      </c>
      <c r="E346" s="25">
        <f ca="1">IF(PaymentSchedule3[[#This Row],[Payment Number]]&lt;&gt;"",ScheduledPayment,"")</f>
        <v>543.5318932997908</v>
      </c>
      <c r="F34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6" s="25">
        <f ca="1">IF(PaymentSchedule3[[#This Row],[Payment Number]]&lt;&gt;"",PaymentSchedule3[[#This Row],[Total
Payment]]-PaymentSchedule3[[#This Row],[Interest]],"")</f>
        <v>475.81639803387452</v>
      </c>
      <c r="I346" s="25">
        <f ca="1">IF(PaymentSchedule3[[#This Row],[Payment Number]]&lt;&gt;"",PaymentSchedule3[[#This Row],[Beginning
Balance]]*(InterestRate/PaymentsPerYear),"")</f>
        <v>67.715495265916303</v>
      </c>
      <c r="J346" s="50">
        <f ca="1">IF(PaymentSchedule3[[#This Row],[Payment Number]]&lt;&gt;"",IF(PaymentSchedule3[[#This Row],[Scheduled Payment]]+PaymentSchedule3[[#This Row],[Extra
Payment]]&lt;=PaymentSchedule3[[#This Row],[Beginning
Balance]],PaymentSchedule3[[#This Row],[Beginning
Balance]]-PaymentSchedule3[[#This Row],[Principal]],0),"")</f>
        <v>15775.902465786037</v>
      </c>
      <c r="K346" s="19">
        <f ca="1">IF(PaymentSchedule3[[#This Row],[Payment Number]]&lt;&gt;"",SUM(INDEX(PaymentSchedule3[Interest],1,1):PaymentSchedule3[[#This Row],[Interest]]),"")</f>
        <v>93347.895361417279</v>
      </c>
      <c r="L346" s="49">
        <f ca="1">LoanAmount-PaymentSchedule3[[#This Row],[Ending
Balance]]</f>
        <v>85474.097534213957</v>
      </c>
      <c r="M346" s="49">
        <f t="shared" ca="1" si="6"/>
        <v>908.5318932997908</v>
      </c>
      <c r="N346" s="25">
        <f ca="1">PaymentSchedule3[[#This Row],[Payment Number]]*$M$19</f>
        <v>298906.99289563118</v>
      </c>
    </row>
    <row r="347" spans="2:14" ht="15.75" x14ac:dyDescent="0.25">
      <c r="B347" s="23">
        <f ca="1">IF(LoanIsGood,IF(ROW()-ROW(PaymentSchedule3[[#Headers],[Payment Number]])&gt;ScheduledNumberOfPayments,"",ROW()-ROW(PaymentSchedule3[[#Headers],[Payment Number]])),"")</f>
        <v>330</v>
      </c>
      <c r="C347" s="24">
        <f ca="1">IF(PaymentSchedule3[[#This Row],[Payment Number]]&lt;&gt;"",EOMONTH(LoanStartDate,ROW(PaymentSchedule3[[#This Row],[Payment Number]])-ROW(PaymentSchedule3[[#Headers],[Payment Number]])-2)+DAY(LoanStartDate),"")</f>
        <v>54648</v>
      </c>
      <c r="D347" s="25">
        <f ca="1">IF(PaymentSchedule3[[#This Row],[Payment Number]]&lt;&gt;"",IF(ROW()-ROW(PaymentSchedule3[[#Headers],[Beginning
Balance]])=1,LoanAmount,INDEX(PaymentSchedule3[Ending
Balance],ROW()-ROW(PaymentSchedule3[[#Headers],[Beginning
Balance]])-1)),"")</f>
        <v>15775.902465786037</v>
      </c>
      <c r="E347" s="25">
        <f ca="1">IF(PaymentSchedule3[[#This Row],[Payment Number]]&lt;&gt;"",ScheduledPayment,"")</f>
        <v>543.5318932997908</v>
      </c>
      <c r="F34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7" s="25">
        <f ca="1">IF(PaymentSchedule3[[#This Row],[Payment Number]]&lt;&gt;"",PaymentSchedule3[[#This Row],[Total
Payment]]-PaymentSchedule3[[#This Row],[Interest]],"")</f>
        <v>477.79896635901565</v>
      </c>
      <c r="I347" s="25">
        <f ca="1">IF(PaymentSchedule3[[#This Row],[Payment Number]]&lt;&gt;"",PaymentSchedule3[[#This Row],[Beginning
Balance]]*(InterestRate/PaymentsPerYear),"")</f>
        <v>65.732926940775158</v>
      </c>
      <c r="J347" s="50">
        <f ca="1">IF(PaymentSchedule3[[#This Row],[Payment Number]]&lt;&gt;"",IF(PaymentSchedule3[[#This Row],[Scheduled Payment]]+PaymentSchedule3[[#This Row],[Extra
Payment]]&lt;=PaymentSchedule3[[#This Row],[Beginning
Balance]],PaymentSchedule3[[#This Row],[Beginning
Balance]]-PaymentSchedule3[[#This Row],[Principal]],0),"")</f>
        <v>15298.103499427021</v>
      </c>
      <c r="K347" s="19">
        <f ca="1">IF(PaymentSchedule3[[#This Row],[Payment Number]]&lt;&gt;"",SUM(INDEX(PaymentSchedule3[Interest],1,1):PaymentSchedule3[[#This Row],[Interest]]),"")</f>
        <v>93413.628288358057</v>
      </c>
      <c r="L347" s="49">
        <f ca="1">LoanAmount-PaymentSchedule3[[#This Row],[Ending
Balance]]</f>
        <v>85951.896500572984</v>
      </c>
      <c r="M347" s="49">
        <f t="shared" ca="1" si="6"/>
        <v>908.5318932997908</v>
      </c>
      <c r="N347" s="25">
        <f ca="1">PaymentSchedule3[[#This Row],[Payment Number]]*$M$19</f>
        <v>299815.52478893095</v>
      </c>
    </row>
    <row r="348" spans="2:14" ht="15.75" x14ac:dyDescent="0.25">
      <c r="B348" s="23">
        <f ca="1">IF(LoanIsGood,IF(ROW()-ROW(PaymentSchedule3[[#Headers],[Payment Number]])&gt;ScheduledNumberOfPayments,"",ROW()-ROW(PaymentSchedule3[[#Headers],[Payment Number]])),"")</f>
        <v>331</v>
      </c>
      <c r="C348" s="24">
        <f ca="1">IF(PaymentSchedule3[[#This Row],[Payment Number]]&lt;&gt;"",EOMONTH(LoanStartDate,ROW(PaymentSchedule3[[#This Row],[Payment Number]])-ROW(PaymentSchedule3[[#Headers],[Payment Number]])-2)+DAY(LoanStartDate),"")</f>
        <v>54679</v>
      </c>
      <c r="D348" s="25">
        <f ca="1">IF(PaymentSchedule3[[#This Row],[Payment Number]]&lt;&gt;"",IF(ROW()-ROW(PaymentSchedule3[[#Headers],[Beginning
Balance]])=1,LoanAmount,INDEX(PaymentSchedule3[Ending
Balance],ROW()-ROW(PaymentSchedule3[[#Headers],[Beginning
Balance]])-1)),"")</f>
        <v>15298.103499427021</v>
      </c>
      <c r="E348" s="25">
        <f ca="1">IF(PaymentSchedule3[[#This Row],[Payment Number]]&lt;&gt;"",ScheduledPayment,"")</f>
        <v>543.5318932997908</v>
      </c>
      <c r="F34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8" s="25">
        <f ca="1">IF(PaymentSchedule3[[#This Row],[Payment Number]]&lt;&gt;"",PaymentSchedule3[[#This Row],[Total
Payment]]-PaymentSchedule3[[#This Row],[Interest]],"")</f>
        <v>479.78979538551152</v>
      </c>
      <c r="I348" s="25">
        <f ca="1">IF(PaymentSchedule3[[#This Row],[Payment Number]]&lt;&gt;"",PaymentSchedule3[[#This Row],[Beginning
Balance]]*(InterestRate/PaymentsPerYear),"")</f>
        <v>63.742097914279256</v>
      </c>
      <c r="J348" s="50">
        <f ca="1">IF(PaymentSchedule3[[#This Row],[Payment Number]]&lt;&gt;"",IF(PaymentSchedule3[[#This Row],[Scheduled Payment]]+PaymentSchedule3[[#This Row],[Extra
Payment]]&lt;=PaymentSchedule3[[#This Row],[Beginning
Balance]],PaymentSchedule3[[#This Row],[Beginning
Balance]]-PaymentSchedule3[[#This Row],[Principal]],0),"")</f>
        <v>14818.313704041509</v>
      </c>
      <c r="K348" s="19">
        <f ca="1">IF(PaymentSchedule3[[#This Row],[Payment Number]]&lt;&gt;"",SUM(INDEX(PaymentSchedule3[Interest],1,1):PaymentSchedule3[[#This Row],[Interest]]),"")</f>
        <v>93477.370386272334</v>
      </c>
      <c r="L348" s="49">
        <f ca="1">LoanAmount-PaymentSchedule3[[#This Row],[Ending
Balance]]</f>
        <v>86431.686295958498</v>
      </c>
      <c r="M348" s="49">
        <f t="shared" ca="1" si="6"/>
        <v>908.5318932997908</v>
      </c>
      <c r="N348" s="25">
        <f ca="1">PaymentSchedule3[[#This Row],[Payment Number]]*$M$19</f>
        <v>300724.05668223073</v>
      </c>
    </row>
    <row r="349" spans="2:14" ht="15.75" x14ac:dyDescent="0.25">
      <c r="B349" s="23">
        <f ca="1">IF(LoanIsGood,IF(ROW()-ROW(PaymentSchedule3[[#Headers],[Payment Number]])&gt;ScheduledNumberOfPayments,"",ROW()-ROW(PaymentSchedule3[[#Headers],[Payment Number]])),"")</f>
        <v>332</v>
      </c>
      <c r="C349" s="24">
        <f ca="1">IF(PaymentSchedule3[[#This Row],[Payment Number]]&lt;&gt;"",EOMONTH(LoanStartDate,ROW(PaymentSchedule3[[#This Row],[Payment Number]])-ROW(PaymentSchedule3[[#Headers],[Payment Number]])-2)+DAY(LoanStartDate),"")</f>
        <v>54709</v>
      </c>
      <c r="D349" s="25">
        <f ca="1">IF(PaymentSchedule3[[#This Row],[Payment Number]]&lt;&gt;"",IF(ROW()-ROW(PaymentSchedule3[[#Headers],[Beginning
Balance]])=1,LoanAmount,INDEX(PaymentSchedule3[Ending
Balance],ROW()-ROW(PaymentSchedule3[[#Headers],[Beginning
Balance]])-1)),"")</f>
        <v>14818.313704041509</v>
      </c>
      <c r="E349" s="25">
        <f ca="1">IF(PaymentSchedule3[[#This Row],[Payment Number]]&lt;&gt;"",ScheduledPayment,"")</f>
        <v>543.5318932997908</v>
      </c>
      <c r="F34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49" s="25">
        <f ca="1">IF(PaymentSchedule3[[#This Row],[Payment Number]]&lt;&gt;"",PaymentSchedule3[[#This Row],[Total
Payment]]-PaymentSchedule3[[#This Row],[Interest]],"")</f>
        <v>481.78891953295118</v>
      </c>
      <c r="I349" s="25">
        <f ca="1">IF(PaymentSchedule3[[#This Row],[Payment Number]]&lt;&gt;"",PaymentSchedule3[[#This Row],[Beginning
Balance]]*(InterestRate/PaymentsPerYear),"")</f>
        <v>61.742973766839619</v>
      </c>
      <c r="J349" s="50">
        <f ca="1">IF(PaymentSchedule3[[#This Row],[Payment Number]]&lt;&gt;"",IF(PaymentSchedule3[[#This Row],[Scheduled Payment]]+PaymentSchedule3[[#This Row],[Extra
Payment]]&lt;=PaymentSchedule3[[#This Row],[Beginning
Balance]],PaymentSchedule3[[#This Row],[Beginning
Balance]]-PaymentSchedule3[[#This Row],[Principal]],0),"")</f>
        <v>14336.524784508558</v>
      </c>
      <c r="K349" s="19">
        <f ca="1">IF(PaymentSchedule3[[#This Row],[Payment Number]]&lt;&gt;"",SUM(INDEX(PaymentSchedule3[Interest],1,1):PaymentSchedule3[[#This Row],[Interest]]),"")</f>
        <v>93539.113360039177</v>
      </c>
      <c r="L349" s="49">
        <f ca="1">LoanAmount-PaymentSchedule3[[#This Row],[Ending
Balance]]</f>
        <v>86913.475215491446</v>
      </c>
      <c r="M349" s="49">
        <f t="shared" ca="1" si="6"/>
        <v>908.5318932997908</v>
      </c>
      <c r="N349" s="25">
        <f ca="1">PaymentSchedule3[[#This Row],[Payment Number]]*$M$19</f>
        <v>301632.58857553056</v>
      </c>
    </row>
    <row r="350" spans="2:14" ht="15.75" x14ac:dyDescent="0.25">
      <c r="B350" s="23">
        <f ca="1">IF(LoanIsGood,IF(ROW()-ROW(PaymentSchedule3[[#Headers],[Payment Number]])&gt;ScheduledNumberOfPayments,"",ROW()-ROW(PaymentSchedule3[[#Headers],[Payment Number]])),"")</f>
        <v>333</v>
      </c>
      <c r="C350" s="24">
        <f ca="1">IF(PaymentSchedule3[[#This Row],[Payment Number]]&lt;&gt;"",EOMONTH(LoanStartDate,ROW(PaymentSchedule3[[#This Row],[Payment Number]])-ROW(PaymentSchedule3[[#Headers],[Payment Number]])-2)+DAY(LoanStartDate),"")</f>
        <v>54740</v>
      </c>
      <c r="D350" s="25">
        <f ca="1">IF(PaymentSchedule3[[#This Row],[Payment Number]]&lt;&gt;"",IF(ROW()-ROW(PaymentSchedule3[[#Headers],[Beginning
Balance]])=1,LoanAmount,INDEX(PaymentSchedule3[Ending
Balance],ROW()-ROW(PaymentSchedule3[[#Headers],[Beginning
Balance]])-1)),"")</f>
        <v>14336.524784508558</v>
      </c>
      <c r="E350" s="25">
        <f ca="1">IF(PaymentSchedule3[[#This Row],[Payment Number]]&lt;&gt;"",ScheduledPayment,"")</f>
        <v>543.5318932997908</v>
      </c>
      <c r="F35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0" s="25">
        <f ca="1">IF(PaymentSchedule3[[#This Row],[Payment Number]]&lt;&gt;"",PaymentSchedule3[[#This Row],[Total
Payment]]-PaymentSchedule3[[#This Row],[Interest]],"")</f>
        <v>483.79637336433848</v>
      </c>
      <c r="I350" s="25">
        <f ca="1">IF(PaymentSchedule3[[#This Row],[Payment Number]]&lt;&gt;"",PaymentSchedule3[[#This Row],[Beginning
Balance]]*(InterestRate/PaymentsPerYear),"")</f>
        <v>59.735519935452324</v>
      </c>
      <c r="J350" s="50">
        <f ca="1">IF(PaymentSchedule3[[#This Row],[Payment Number]]&lt;&gt;"",IF(PaymentSchedule3[[#This Row],[Scheduled Payment]]+PaymentSchedule3[[#This Row],[Extra
Payment]]&lt;=PaymentSchedule3[[#This Row],[Beginning
Balance]],PaymentSchedule3[[#This Row],[Beginning
Balance]]-PaymentSchedule3[[#This Row],[Principal]],0),"")</f>
        <v>13852.728411144219</v>
      </c>
      <c r="K350" s="19">
        <f ca="1">IF(PaymentSchedule3[[#This Row],[Payment Number]]&lt;&gt;"",SUM(INDEX(PaymentSchedule3[Interest],1,1):PaymentSchedule3[[#This Row],[Interest]]),"")</f>
        <v>93598.848879974626</v>
      </c>
      <c r="L350" s="49">
        <f ca="1">LoanAmount-PaymentSchedule3[[#This Row],[Ending
Balance]]</f>
        <v>87397.271588855787</v>
      </c>
      <c r="M350" s="49">
        <f t="shared" ca="1" si="6"/>
        <v>908.5318932997908</v>
      </c>
      <c r="N350" s="25">
        <f ca="1">PaymentSchedule3[[#This Row],[Payment Number]]*$M$19</f>
        <v>302541.12046883034</v>
      </c>
    </row>
    <row r="351" spans="2:14" ht="15.75" x14ac:dyDescent="0.25">
      <c r="B351" s="23">
        <f ca="1">IF(LoanIsGood,IF(ROW()-ROW(PaymentSchedule3[[#Headers],[Payment Number]])&gt;ScheduledNumberOfPayments,"",ROW()-ROW(PaymentSchedule3[[#Headers],[Payment Number]])),"")</f>
        <v>334</v>
      </c>
      <c r="C351" s="24">
        <f ca="1">IF(PaymentSchedule3[[#This Row],[Payment Number]]&lt;&gt;"",EOMONTH(LoanStartDate,ROW(PaymentSchedule3[[#This Row],[Payment Number]])-ROW(PaymentSchedule3[[#Headers],[Payment Number]])-2)+DAY(LoanStartDate),"")</f>
        <v>54770</v>
      </c>
      <c r="D351" s="25">
        <f ca="1">IF(PaymentSchedule3[[#This Row],[Payment Number]]&lt;&gt;"",IF(ROW()-ROW(PaymentSchedule3[[#Headers],[Beginning
Balance]])=1,LoanAmount,INDEX(PaymentSchedule3[Ending
Balance],ROW()-ROW(PaymentSchedule3[[#Headers],[Beginning
Balance]])-1)),"")</f>
        <v>13852.728411144219</v>
      </c>
      <c r="E351" s="25">
        <f ca="1">IF(PaymentSchedule3[[#This Row],[Payment Number]]&lt;&gt;"",ScheduledPayment,"")</f>
        <v>543.5318932997908</v>
      </c>
      <c r="F35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1" s="25">
        <f ca="1">IF(PaymentSchedule3[[#This Row],[Payment Number]]&lt;&gt;"",PaymentSchedule3[[#This Row],[Total
Payment]]-PaymentSchedule3[[#This Row],[Interest]],"")</f>
        <v>485.81219158668989</v>
      </c>
      <c r="I351" s="25">
        <f ca="1">IF(PaymentSchedule3[[#This Row],[Payment Number]]&lt;&gt;"",PaymentSchedule3[[#This Row],[Beginning
Balance]]*(InterestRate/PaymentsPerYear),"")</f>
        <v>57.71970171310091</v>
      </c>
      <c r="J351" s="50">
        <f ca="1">IF(PaymentSchedule3[[#This Row],[Payment Number]]&lt;&gt;"",IF(PaymentSchedule3[[#This Row],[Scheduled Payment]]+PaymentSchedule3[[#This Row],[Extra
Payment]]&lt;=PaymentSchedule3[[#This Row],[Beginning
Balance]],PaymentSchedule3[[#This Row],[Beginning
Balance]]-PaymentSchedule3[[#This Row],[Principal]],0),"")</f>
        <v>13366.916219557528</v>
      </c>
      <c r="K351" s="19">
        <f ca="1">IF(PaymentSchedule3[[#This Row],[Payment Number]]&lt;&gt;"",SUM(INDEX(PaymentSchedule3[Interest],1,1):PaymentSchedule3[[#This Row],[Interest]]),"")</f>
        <v>93656.568581687723</v>
      </c>
      <c r="L351" s="49">
        <f ca="1">LoanAmount-PaymentSchedule3[[#This Row],[Ending
Balance]]</f>
        <v>87883.083780442466</v>
      </c>
      <c r="M351" s="49">
        <f t="shared" ca="1" si="6"/>
        <v>908.5318932997908</v>
      </c>
      <c r="N351" s="25">
        <f ca="1">PaymentSchedule3[[#This Row],[Payment Number]]*$M$19</f>
        <v>303449.65236213012</v>
      </c>
    </row>
    <row r="352" spans="2:14" ht="15.75" x14ac:dyDescent="0.25">
      <c r="B352" s="23">
        <f ca="1">IF(LoanIsGood,IF(ROW()-ROW(PaymentSchedule3[[#Headers],[Payment Number]])&gt;ScheduledNumberOfPayments,"",ROW()-ROW(PaymentSchedule3[[#Headers],[Payment Number]])),"")</f>
        <v>335</v>
      </c>
      <c r="C352" s="24">
        <f ca="1">IF(PaymentSchedule3[[#This Row],[Payment Number]]&lt;&gt;"",EOMONTH(LoanStartDate,ROW(PaymentSchedule3[[#This Row],[Payment Number]])-ROW(PaymentSchedule3[[#Headers],[Payment Number]])-2)+DAY(LoanStartDate),"")</f>
        <v>54801</v>
      </c>
      <c r="D352" s="25">
        <f ca="1">IF(PaymentSchedule3[[#This Row],[Payment Number]]&lt;&gt;"",IF(ROW()-ROW(PaymentSchedule3[[#Headers],[Beginning
Balance]])=1,LoanAmount,INDEX(PaymentSchedule3[Ending
Balance],ROW()-ROW(PaymentSchedule3[[#Headers],[Beginning
Balance]])-1)),"")</f>
        <v>13366.916219557528</v>
      </c>
      <c r="E352" s="25">
        <f ca="1">IF(PaymentSchedule3[[#This Row],[Payment Number]]&lt;&gt;"",ScheduledPayment,"")</f>
        <v>543.5318932997908</v>
      </c>
      <c r="F35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2" s="25">
        <f ca="1">IF(PaymentSchedule3[[#This Row],[Payment Number]]&lt;&gt;"",PaymentSchedule3[[#This Row],[Total
Payment]]-PaymentSchedule3[[#This Row],[Interest]],"")</f>
        <v>487.8364090516344</v>
      </c>
      <c r="I352" s="25">
        <f ca="1">IF(PaymentSchedule3[[#This Row],[Payment Number]]&lt;&gt;"",PaymentSchedule3[[#This Row],[Beginning
Balance]]*(InterestRate/PaymentsPerYear),"")</f>
        <v>55.695484248156369</v>
      </c>
      <c r="J352" s="50">
        <f ca="1">IF(PaymentSchedule3[[#This Row],[Payment Number]]&lt;&gt;"",IF(PaymentSchedule3[[#This Row],[Scheduled Payment]]+PaymentSchedule3[[#This Row],[Extra
Payment]]&lt;=PaymentSchedule3[[#This Row],[Beginning
Balance]],PaymentSchedule3[[#This Row],[Beginning
Balance]]-PaymentSchedule3[[#This Row],[Principal]],0),"")</f>
        <v>12879.079810505893</v>
      </c>
      <c r="K352" s="19">
        <f ca="1">IF(PaymentSchedule3[[#This Row],[Payment Number]]&lt;&gt;"",SUM(INDEX(PaymentSchedule3[Interest],1,1):PaymentSchedule3[[#This Row],[Interest]]),"")</f>
        <v>93712.264065935873</v>
      </c>
      <c r="L352" s="49">
        <f ca="1">LoanAmount-PaymentSchedule3[[#This Row],[Ending
Balance]]</f>
        <v>88370.920189494107</v>
      </c>
      <c r="M352" s="49">
        <f t="shared" ca="1" si="6"/>
        <v>908.5318932997908</v>
      </c>
      <c r="N352" s="25">
        <f ca="1">PaymentSchedule3[[#This Row],[Payment Number]]*$M$19</f>
        <v>304358.18425542989</v>
      </c>
    </row>
    <row r="353" spans="2:14" ht="15.75" x14ac:dyDescent="0.25">
      <c r="B353" s="23">
        <f ca="1">IF(LoanIsGood,IF(ROW()-ROW(PaymentSchedule3[[#Headers],[Payment Number]])&gt;ScheduledNumberOfPayments,"",ROW()-ROW(PaymentSchedule3[[#Headers],[Payment Number]])),"")</f>
        <v>336</v>
      </c>
      <c r="C353" s="24">
        <f ca="1">IF(PaymentSchedule3[[#This Row],[Payment Number]]&lt;&gt;"",EOMONTH(LoanStartDate,ROW(PaymentSchedule3[[#This Row],[Payment Number]])-ROW(PaymentSchedule3[[#Headers],[Payment Number]])-2)+DAY(LoanStartDate),"")</f>
        <v>54832</v>
      </c>
      <c r="D353" s="25">
        <f ca="1">IF(PaymentSchedule3[[#This Row],[Payment Number]]&lt;&gt;"",IF(ROW()-ROW(PaymentSchedule3[[#Headers],[Beginning
Balance]])=1,LoanAmount,INDEX(PaymentSchedule3[Ending
Balance],ROW()-ROW(PaymentSchedule3[[#Headers],[Beginning
Balance]])-1)),"")</f>
        <v>12879.079810505893</v>
      </c>
      <c r="E353" s="25">
        <f ca="1">IF(PaymentSchedule3[[#This Row],[Payment Number]]&lt;&gt;"",ScheduledPayment,"")</f>
        <v>543.5318932997908</v>
      </c>
      <c r="F35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3" s="25">
        <f ca="1">IF(PaymentSchedule3[[#This Row],[Payment Number]]&lt;&gt;"",PaymentSchedule3[[#This Row],[Total
Payment]]-PaymentSchedule3[[#This Row],[Interest]],"")</f>
        <v>489.86906075601621</v>
      </c>
      <c r="I353" s="25">
        <f ca="1">IF(PaymentSchedule3[[#This Row],[Payment Number]]&lt;&gt;"",PaymentSchedule3[[#This Row],[Beginning
Balance]]*(InterestRate/PaymentsPerYear),"")</f>
        <v>53.662832543774556</v>
      </c>
      <c r="J353" s="50">
        <f ca="1">IF(PaymentSchedule3[[#This Row],[Payment Number]]&lt;&gt;"",IF(PaymentSchedule3[[#This Row],[Scheduled Payment]]+PaymentSchedule3[[#This Row],[Extra
Payment]]&lt;=PaymentSchedule3[[#This Row],[Beginning
Balance]],PaymentSchedule3[[#This Row],[Beginning
Balance]]-PaymentSchedule3[[#This Row],[Principal]],0),"")</f>
        <v>12389.210749749876</v>
      </c>
      <c r="K353" s="19">
        <f ca="1">IF(PaymentSchedule3[[#This Row],[Payment Number]]&lt;&gt;"",SUM(INDEX(PaymentSchedule3[Interest],1,1):PaymentSchedule3[[#This Row],[Interest]]),"")</f>
        <v>93765.926898479651</v>
      </c>
      <c r="L353" s="49">
        <f ca="1">LoanAmount-PaymentSchedule3[[#This Row],[Ending
Balance]]</f>
        <v>88860.78925025012</v>
      </c>
      <c r="M353" s="49">
        <f t="shared" ca="1" si="6"/>
        <v>908.5318932997908</v>
      </c>
      <c r="N353" s="25">
        <f ca="1">PaymentSchedule3[[#This Row],[Payment Number]]*$M$19</f>
        <v>305266.71614872973</v>
      </c>
    </row>
    <row r="354" spans="2:14" ht="15.75" x14ac:dyDescent="0.25">
      <c r="B354" s="23">
        <f ca="1">IF(LoanIsGood,IF(ROW()-ROW(PaymentSchedule3[[#Headers],[Payment Number]])&gt;ScheduledNumberOfPayments,"",ROW()-ROW(PaymentSchedule3[[#Headers],[Payment Number]])),"")</f>
        <v>337</v>
      </c>
      <c r="C354" s="24">
        <f ca="1">IF(PaymentSchedule3[[#This Row],[Payment Number]]&lt;&gt;"",EOMONTH(LoanStartDate,ROW(PaymentSchedule3[[#This Row],[Payment Number]])-ROW(PaymentSchedule3[[#Headers],[Payment Number]])-2)+DAY(LoanStartDate),"")</f>
        <v>54860</v>
      </c>
      <c r="D354" s="25">
        <f ca="1">IF(PaymentSchedule3[[#This Row],[Payment Number]]&lt;&gt;"",IF(ROW()-ROW(PaymentSchedule3[[#Headers],[Beginning
Balance]])=1,LoanAmount,INDEX(PaymentSchedule3[Ending
Balance],ROW()-ROW(PaymentSchedule3[[#Headers],[Beginning
Balance]])-1)),"")</f>
        <v>12389.210749749876</v>
      </c>
      <c r="E354" s="25">
        <f ca="1">IF(PaymentSchedule3[[#This Row],[Payment Number]]&lt;&gt;"",ScheduledPayment,"")</f>
        <v>543.5318932997908</v>
      </c>
      <c r="F35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4" s="25">
        <f ca="1">IF(PaymentSchedule3[[#This Row],[Payment Number]]&lt;&gt;"",PaymentSchedule3[[#This Row],[Total
Payment]]-PaymentSchedule3[[#This Row],[Interest]],"")</f>
        <v>491.91018184249964</v>
      </c>
      <c r="I354" s="25">
        <f ca="1">IF(PaymentSchedule3[[#This Row],[Payment Number]]&lt;&gt;"",PaymentSchedule3[[#This Row],[Beginning
Balance]]*(InterestRate/PaymentsPerYear),"")</f>
        <v>51.621711457291148</v>
      </c>
      <c r="J354" s="50">
        <f ca="1">IF(PaymentSchedule3[[#This Row],[Payment Number]]&lt;&gt;"",IF(PaymentSchedule3[[#This Row],[Scheduled Payment]]+PaymentSchedule3[[#This Row],[Extra
Payment]]&lt;=PaymentSchedule3[[#This Row],[Beginning
Balance]],PaymentSchedule3[[#This Row],[Beginning
Balance]]-PaymentSchedule3[[#This Row],[Principal]],0),"")</f>
        <v>11897.300567907378</v>
      </c>
      <c r="K354" s="19">
        <f ca="1">IF(PaymentSchedule3[[#This Row],[Payment Number]]&lt;&gt;"",SUM(INDEX(PaymentSchedule3[Interest],1,1):PaymentSchedule3[[#This Row],[Interest]]),"")</f>
        <v>93817.548609936945</v>
      </c>
      <c r="L354" s="49">
        <f ca="1">LoanAmount-PaymentSchedule3[[#This Row],[Ending
Balance]]</f>
        <v>89352.699432092617</v>
      </c>
      <c r="M354" s="49">
        <f t="shared" ca="1" si="6"/>
        <v>908.5318932997908</v>
      </c>
      <c r="N354" s="25">
        <f ca="1">PaymentSchedule3[[#This Row],[Payment Number]]*$M$19</f>
        <v>306175.2480420295</v>
      </c>
    </row>
    <row r="355" spans="2:14" ht="15.75" x14ac:dyDescent="0.25">
      <c r="B355" s="23">
        <f ca="1">IF(LoanIsGood,IF(ROW()-ROW(PaymentSchedule3[[#Headers],[Payment Number]])&gt;ScheduledNumberOfPayments,"",ROW()-ROW(PaymentSchedule3[[#Headers],[Payment Number]])),"")</f>
        <v>338</v>
      </c>
      <c r="C355" s="24">
        <f ca="1">IF(PaymentSchedule3[[#This Row],[Payment Number]]&lt;&gt;"",EOMONTH(LoanStartDate,ROW(PaymentSchedule3[[#This Row],[Payment Number]])-ROW(PaymentSchedule3[[#Headers],[Payment Number]])-2)+DAY(LoanStartDate),"")</f>
        <v>54891</v>
      </c>
      <c r="D355" s="25">
        <f ca="1">IF(PaymentSchedule3[[#This Row],[Payment Number]]&lt;&gt;"",IF(ROW()-ROW(PaymentSchedule3[[#Headers],[Beginning
Balance]])=1,LoanAmount,INDEX(PaymentSchedule3[Ending
Balance],ROW()-ROW(PaymentSchedule3[[#Headers],[Beginning
Balance]])-1)),"")</f>
        <v>11897.300567907378</v>
      </c>
      <c r="E355" s="25">
        <f ca="1">IF(PaymentSchedule3[[#This Row],[Payment Number]]&lt;&gt;"",ScheduledPayment,"")</f>
        <v>543.5318932997908</v>
      </c>
      <c r="F35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5" s="25">
        <f ca="1">IF(PaymentSchedule3[[#This Row],[Payment Number]]&lt;&gt;"",PaymentSchedule3[[#This Row],[Total
Payment]]-PaymentSchedule3[[#This Row],[Interest]],"")</f>
        <v>493.9598076001767</v>
      </c>
      <c r="I355" s="25">
        <f ca="1">IF(PaymentSchedule3[[#This Row],[Payment Number]]&lt;&gt;"",PaymentSchedule3[[#This Row],[Beginning
Balance]]*(InterestRate/PaymentsPerYear),"")</f>
        <v>49.572085699614071</v>
      </c>
      <c r="J355" s="50">
        <f ca="1">IF(PaymentSchedule3[[#This Row],[Payment Number]]&lt;&gt;"",IF(PaymentSchedule3[[#This Row],[Scheduled Payment]]+PaymentSchedule3[[#This Row],[Extra
Payment]]&lt;=PaymentSchedule3[[#This Row],[Beginning
Balance]],PaymentSchedule3[[#This Row],[Beginning
Balance]]-PaymentSchedule3[[#This Row],[Principal]],0),"")</f>
        <v>11403.340760307201</v>
      </c>
      <c r="K355" s="19">
        <f ca="1">IF(PaymentSchedule3[[#This Row],[Payment Number]]&lt;&gt;"",SUM(INDEX(PaymentSchedule3[Interest],1,1):PaymentSchedule3[[#This Row],[Interest]]),"")</f>
        <v>93867.120695636564</v>
      </c>
      <c r="L355" s="49">
        <f ca="1">LoanAmount-PaymentSchedule3[[#This Row],[Ending
Balance]]</f>
        <v>89846.659239692803</v>
      </c>
      <c r="M355" s="49">
        <f t="shared" ca="1" si="6"/>
        <v>908.5318932997908</v>
      </c>
      <c r="N355" s="25">
        <f ca="1">PaymentSchedule3[[#This Row],[Payment Number]]*$M$19</f>
        <v>307083.77993532928</v>
      </c>
    </row>
    <row r="356" spans="2:14" ht="15.75" x14ac:dyDescent="0.25">
      <c r="B356" s="23">
        <f ca="1">IF(LoanIsGood,IF(ROW()-ROW(PaymentSchedule3[[#Headers],[Payment Number]])&gt;ScheduledNumberOfPayments,"",ROW()-ROW(PaymentSchedule3[[#Headers],[Payment Number]])),"")</f>
        <v>339</v>
      </c>
      <c r="C356" s="24">
        <f ca="1">IF(PaymentSchedule3[[#This Row],[Payment Number]]&lt;&gt;"",EOMONTH(LoanStartDate,ROW(PaymentSchedule3[[#This Row],[Payment Number]])-ROW(PaymentSchedule3[[#Headers],[Payment Number]])-2)+DAY(LoanStartDate),"")</f>
        <v>54921</v>
      </c>
      <c r="D356" s="25">
        <f ca="1">IF(PaymentSchedule3[[#This Row],[Payment Number]]&lt;&gt;"",IF(ROW()-ROW(PaymentSchedule3[[#Headers],[Beginning
Balance]])=1,LoanAmount,INDEX(PaymentSchedule3[Ending
Balance],ROW()-ROW(PaymentSchedule3[[#Headers],[Beginning
Balance]])-1)),"")</f>
        <v>11403.340760307201</v>
      </c>
      <c r="E356" s="25">
        <f ca="1">IF(PaymentSchedule3[[#This Row],[Payment Number]]&lt;&gt;"",ScheduledPayment,"")</f>
        <v>543.5318932997908</v>
      </c>
      <c r="F35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6" s="25">
        <f ca="1">IF(PaymentSchedule3[[#This Row],[Payment Number]]&lt;&gt;"",PaymentSchedule3[[#This Row],[Total
Payment]]-PaymentSchedule3[[#This Row],[Interest]],"")</f>
        <v>496.01797346517748</v>
      </c>
      <c r="I356" s="25">
        <f ca="1">IF(PaymentSchedule3[[#This Row],[Payment Number]]&lt;&gt;"",PaymentSchedule3[[#This Row],[Beginning
Balance]]*(InterestRate/PaymentsPerYear),"")</f>
        <v>47.51391983461334</v>
      </c>
      <c r="J356" s="50">
        <f ca="1">IF(PaymentSchedule3[[#This Row],[Payment Number]]&lt;&gt;"",IF(PaymentSchedule3[[#This Row],[Scheduled Payment]]+PaymentSchedule3[[#This Row],[Extra
Payment]]&lt;=PaymentSchedule3[[#This Row],[Beginning
Balance]],PaymentSchedule3[[#This Row],[Beginning
Balance]]-PaymentSchedule3[[#This Row],[Principal]],0),"")</f>
        <v>10907.322786842024</v>
      </c>
      <c r="K356" s="19">
        <f ca="1">IF(PaymentSchedule3[[#This Row],[Payment Number]]&lt;&gt;"",SUM(INDEX(PaymentSchedule3[Interest],1,1):PaymentSchedule3[[#This Row],[Interest]]),"")</f>
        <v>93914.634615471179</v>
      </c>
      <c r="L356" s="49">
        <f ca="1">LoanAmount-PaymentSchedule3[[#This Row],[Ending
Balance]]</f>
        <v>90342.677213157978</v>
      </c>
      <c r="M356" s="49">
        <f t="shared" ca="1" si="6"/>
        <v>908.5318932997908</v>
      </c>
      <c r="N356" s="25">
        <f ca="1">PaymentSchedule3[[#This Row],[Payment Number]]*$M$19</f>
        <v>307992.31182862906</v>
      </c>
    </row>
    <row r="357" spans="2:14" ht="15.75" x14ac:dyDescent="0.25">
      <c r="B357" s="23">
        <f ca="1">IF(LoanIsGood,IF(ROW()-ROW(PaymentSchedule3[[#Headers],[Payment Number]])&gt;ScheduledNumberOfPayments,"",ROW()-ROW(PaymentSchedule3[[#Headers],[Payment Number]])),"")</f>
        <v>340</v>
      </c>
      <c r="C357" s="24">
        <f ca="1">IF(PaymentSchedule3[[#This Row],[Payment Number]]&lt;&gt;"",EOMONTH(LoanStartDate,ROW(PaymentSchedule3[[#This Row],[Payment Number]])-ROW(PaymentSchedule3[[#Headers],[Payment Number]])-2)+DAY(LoanStartDate),"")</f>
        <v>54952</v>
      </c>
      <c r="D357" s="25">
        <f ca="1">IF(PaymentSchedule3[[#This Row],[Payment Number]]&lt;&gt;"",IF(ROW()-ROW(PaymentSchedule3[[#Headers],[Beginning
Balance]])=1,LoanAmount,INDEX(PaymentSchedule3[Ending
Balance],ROW()-ROW(PaymentSchedule3[[#Headers],[Beginning
Balance]])-1)),"")</f>
        <v>10907.322786842024</v>
      </c>
      <c r="E357" s="25">
        <f ca="1">IF(PaymentSchedule3[[#This Row],[Payment Number]]&lt;&gt;"",ScheduledPayment,"")</f>
        <v>543.5318932997908</v>
      </c>
      <c r="F35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7" s="25">
        <f ca="1">IF(PaymentSchedule3[[#This Row],[Payment Number]]&lt;&gt;"",PaymentSchedule3[[#This Row],[Total
Payment]]-PaymentSchedule3[[#This Row],[Interest]],"")</f>
        <v>498.08471502128236</v>
      </c>
      <c r="I357" s="25">
        <f ca="1">IF(PaymentSchedule3[[#This Row],[Payment Number]]&lt;&gt;"",PaymentSchedule3[[#This Row],[Beginning
Balance]]*(InterestRate/PaymentsPerYear),"")</f>
        <v>45.447178278508432</v>
      </c>
      <c r="J357" s="50">
        <f ca="1">IF(PaymentSchedule3[[#This Row],[Payment Number]]&lt;&gt;"",IF(PaymentSchedule3[[#This Row],[Scheduled Payment]]+PaymentSchedule3[[#This Row],[Extra
Payment]]&lt;=PaymentSchedule3[[#This Row],[Beginning
Balance]],PaymentSchedule3[[#This Row],[Beginning
Balance]]-PaymentSchedule3[[#This Row],[Principal]],0),"")</f>
        <v>10409.238071820741</v>
      </c>
      <c r="K357" s="19">
        <f ca="1">IF(PaymentSchedule3[[#This Row],[Payment Number]]&lt;&gt;"",SUM(INDEX(PaymentSchedule3[Interest],1,1):PaymentSchedule3[[#This Row],[Interest]]),"")</f>
        <v>93960.08179374969</v>
      </c>
      <c r="L357" s="49">
        <f ca="1">LoanAmount-PaymentSchedule3[[#This Row],[Ending
Balance]]</f>
        <v>90840.761928179258</v>
      </c>
      <c r="M357" s="49">
        <f t="shared" ca="1" si="6"/>
        <v>908.5318932997908</v>
      </c>
      <c r="N357" s="25">
        <f ca="1">PaymentSchedule3[[#This Row],[Payment Number]]*$M$19</f>
        <v>308900.84372192889</v>
      </c>
    </row>
    <row r="358" spans="2:14" ht="15.75" x14ac:dyDescent="0.25">
      <c r="B358" s="23">
        <f ca="1">IF(LoanIsGood,IF(ROW()-ROW(PaymentSchedule3[[#Headers],[Payment Number]])&gt;ScheduledNumberOfPayments,"",ROW()-ROW(PaymentSchedule3[[#Headers],[Payment Number]])),"")</f>
        <v>341</v>
      </c>
      <c r="C358" s="24">
        <f ca="1">IF(PaymentSchedule3[[#This Row],[Payment Number]]&lt;&gt;"",EOMONTH(LoanStartDate,ROW(PaymentSchedule3[[#This Row],[Payment Number]])-ROW(PaymentSchedule3[[#Headers],[Payment Number]])-2)+DAY(LoanStartDate),"")</f>
        <v>54982</v>
      </c>
      <c r="D358" s="25">
        <f ca="1">IF(PaymentSchedule3[[#This Row],[Payment Number]]&lt;&gt;"",IF(ROW()-ROW(PaymentSchedule3[[#Headers],[Beginning
Balance]])=1,LoanAmount,INDEX(PaymentSchedule3[Ending
Balance],ROW()-ROW(PaymentSchedule3[[#Headers],[Beginning
Balance]])-1)),"")</f>
        <v>10409.238071820741</v>
      </c>
      <c r="E358" s="25">
        <f ca="1">IF(PaymentSchedule3[[#This Row],[Payment Number]]&lt;&gt;"",ScheduledPayment,"")</f>
        <v>543.5318932997908</v>
      </c>
      <c r="F35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8" s="25">
        <f ca="1">IF(PaymentSchedule3[[#This Row],[Payment Number]]&lt;&gt;"",PaymentSchedule3[[#This Row],[Total
Payment]]-PaymentSchedule3[[#This Row],[Interest]],"")</f>
        <v>500.16006800053771</v>
      </c>
      <c r="I358" s="25">
        <f ca="1">IF(PaymentSchedule3[[#This Row],[Payment Number]]&lt;&gt;"",PaymentSchedule3[[#This Row],[Beginning
Balance]]*(InterestRate/PaymentsPerYear),"")</f>
        <v>43.371825299253082</v>
      </c>
      <c r="J358" s="50">
        <f ca="1">IF(PaymentSchedule3[[#This Row],[Payment Number]]&lt;&gt;"",IF(PaymentSchedule3[[#This Row],[Scheduled Payment]]+PaymentSchedule3[[#This Row],[Extra
Payment]]&lt;=PaymentSchedule3[[#This Row],[Beginning
Balance]],PaymentSchedule3[[#This Row],[Beginning
Balance]]-PaymentSchedule3[[#This Row],[Principal]],0),"")</f>
        <v>9909.0780038202029</v>
      </c>
      <c r="K358" s="19">
        <f ca="1">IF(PaymentSchedule3[[#This Row],[Payment Number]]&lt;&gt;"",SUM(INDEX(PaymentSchedule3[Interest],1,1):PaymentSchedule3[[#This Row],[Interest]]),"")</f>
        <v>94003.453619048945</v>
      </c>
      <c r="L358" s="49">
        <f ca="1">LoanAmount-PaymentSchedule3[[#This Row],[Ending
Balance]]</f>
        <v>91340.921996179793</v>
      </c>
      <c r="M358" s="49">
        <f t="shared" ca="1" si="6"/>
        <v>908.5318932997908</v>
      </c>
      <c r="N358" s="25">
        <f ca="1">PaymentSchedule3[[#This Row],[Payment Number]]*$M$19</f>
        <v>309809.37561522867</v>
      </c>
    </row>
    <row r="359" spans="2:14" ht="15.75" x14ac:dyDescent="0.25">
      <c r="B359" s="23">
        <f ca="1">IF(LoanIsGood,IF(ROW()-ROW(PaymentSchedule3[[#Headers],[Payment Number]])&gt;ScheduledNumberOfPayments,"",ROW()-ROW(PaymentSchedule3[[#Headers],[Payment Number]])),"")</f>
        <v>342</v>
      </c>
      <c r="C359" s="24">
        <f ca="1">IF(PaymentSchedule3[[#This Row],[Payment Number]]&lt;&gt;"",EOMONTH(LoanStartDate,ROW(PaymentSchedule3[[#This Row],[Payment Number]])-ROW(PaymentSchedule3[[#Headers],[Payment Number]])-2)+DAY(LoanStartDate),"")</f>
        <v>55013</v>
      </c>
      <c r="D359" s="25">
        <f ca="1">IF(PaymentSchedule3[[#This Row],[Payment Number]]&lt;&gt;"",IF(ROW()-ROW(PaymentSchedule3[[#Headers],[Beginning
Balance]])=1,LoanAmount,INDEX(PaymentSchedule3[Ending
Balance],ROW()-ROW(PaymentSchedule3[[#Headers],[Beginning
Balance]])-1)),"")</f>
        <v>9909.0780038202029</v>
      </c>
      <c r="E359" s="25">
        <f ca="1">IF(PaymentSchedule3[[#This Row],[Payment Number]]&lt;&gt;"",ScheduledPayment,"")</f>
        <v>543.5318932997908</v>
      </c>
      <c r="F35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59" s="25">
        <f ca="1">IF(PaymentSchedule3[[#This Row],[Payment Number]]&lt;&gt;"",PaymentSchedule3[[#This Row],[Total
Payment]]-PaymentSchedule3[[#This Row],[Interest]],"")</f>
        <v>502.24406828387328</v>
      </c>
      <c r="I359" s="25">
        <f ca="1">IF(PaymentSchedule3[[#This Row],[Payment Number]]&lt;&gt;"",PaymentSchedule3[[#This Row],[Beginning
Balance]]*(InterestRate/PaymentsPerYear),"")</f>
        <v>41.287825015917512</v>
      </c>
      <c r="J359" s="50">
        <f ca="1">IF(PaymentSchedule3[[#This Row],[Payment Number]]&lt;&gt;"",IF(PaymentSchedule3[[#This Row],[Scheduled Payment]]+PaymentSchedule3[[#This Row],[Extra
Payment]]&lt;=PaymentSchedule3[[#This Row],[Beginning
Balance]],PaymentSchedule3[[#This Row],[Beginning
Balance]]-PaymentSchedule3[[#This Row],[Principal]],0),"")</f>
        <v>9406.8339355363296</v>
      </c>
      <c r="K359" s="19">
        <f ca="1">IF(PaymentSchedule3[[#This Row],[Payment Number]]&lt;&gt;"",SUM(INDEX(PaymentSchedule3[Interest],1,1):PaymentSchedule3[[#This Row],[Interest]]),"")</f>
        <v>94044.741444064857</v>
      </c>
      <c r="L359" s="49">
        <f ca="1">LoanAmount-PaymentSchedule3[[#This Row],[Ending
Balance]]</f>
        <v>91843.166064463672</v>
      </c>
      <c r="M359" s="49">
        <f t="shared" ca="1" si="6"/>
        <v>908.5318932997908</v>
      </c>
      <c r="N359" s="25">
        <f ca="1">PaymentSchedule3[[#This Row],[Payment Number]]*$M$19</f>
        <v>310717.90750852844</v>
      </c>
    </row>
    <row r="360" spans="2:14" ht="15.75" x14ac:dyDescent="0.25">
      <c r="B360" s="23">
        <f ca="1">IF(LoanIsGood,IF(ROW()-ROW(PaymentSchedule3[[#Headers],[Payment Number]])&gt;ScheduledNumberOfPayments,"",ROW()-ROW(PaymentSchedule3[[#Headers],[Payment Number]])),"")</f>
        <v>343</v>
      </c>
      <c r="C360" s="24">
        <f ca="1">IF(PaymentSchedule3[[#This Row],[Payment Number]]&lt;&gt;"",EOMONTH(LoanStartDate,ROW(PaymentSchedule3[[#This Row],[Payment Number]])-ROW(PaymentSchedule3[[#Headers],[Payment Number]])-2)+DAY(LoanStartDate),"")</f>
        <v>55044</v>
      </c>
      <c r="D360" s="25">
        <f ca="1">IF(PaymentSchedule3[[#This Row],[Payment Number]]&lt;&gt;"",IF(ROW()-ROW(PaymentSchedule3[[#Headers],[Beginning
Balance]])=1,LoanAmount,INDEX(PaymentSchedule3[Ending
Balance],ROW()-ROW(PaymentSchedule3[[#Headers],[Beginning
Balance]])-1)),"")</f>
        <v>9406.8339355363296</v>
      </c>
      <c r="E360" s="25">
        <f ca="1">IF(PaymentSchedule3[[#This Row],[Payment Number]]&lt;&gt;"",ScheduledPayment,"")</f>
        <v>543.5318932997908</v>
      </c>
      <c r="F36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0" s="25">
        <f ca="1">IF(PaymentSchedule3[[#This Row],[Payment Number]]&lt;&gt;"",PaymentSchedule3[[#This Row],[Total
Payment]]-PaymentSchedule3[[#This Row],[Interest]],"")</f>
        <v>504.33675190172278</v>
      </c>
      <c r="I360" s="25">
        <f ca="1">IF(PaymentSchedule3[[#This Row],[Payment Number]]&lt;&gt;"",PaymentSchedule3[[#This Row],[Beginning
Balance]]*(InterestRate/PaymentsPerYear),"")</f>
        <v>39.195141398068039</v>
      </c>
      <c r="J360" s="50">
        <f ca="1">IF(PaymentSchedule3[[#This Row],[Payment Number]]&lt;&gt;"",IF(PaymentSchedule3[[#This Row],[Scheduled Payment]]+PaymentSchedule3[[#This Row],[Extra
Payment]]&lt;=PaymentSchedule3[[#This Row],[Beginning
Balance]],PaymentSchedule3[[#This Row],[Beginning
Balance]]-PaymentSchedule3[[#This Row],[Principal]],0),"")</f>
        <v>8902.4971836346067</v>
      </c>
      <c r="K360" s="19">
        <f ca="1">IF(PaymentSchedule3[[#This Row],[Payment Number]]&lt;&gt;"",SUM(INDEX(PaymentSchedule3[Interest],1,1):PaymentSchedule3[[#This Row],[Interest]]),"")</f>
        <v>94083.936585462929</v>
      </c>
      <c r="L360" s="49">
        <f ca="1">LoanAmount-PaymentSchedule3[[#This Row],[Ending
Balance]]</f>
        <v>92347.502816365391</v>
      </c>
      <c r="M360" s="49">
        <f t="shared" ca="1" si="6"/>
        <v>908.5318932997908</v>
      </c>
      <c r="N360" s="25">
        <f ca="1">PaymentSchedule3[[#This Row],[Payment Number]]*$M$19</f>
        <v>311626.43940182822</v>
      </c>
    </row>
    <row r="361" spans="2:14" ht="15.75" x14ac:dyDescent="0.25">
      <c r="B361" s="23">
        <f ca="1">IF(LoanIsGood,IF(ROW()-ROW(PaymentSchedule3[[#Headers],[Payment Number]])&gt;ScheduledNumberOfPayments,"",ROW()-ROW(PaymentSchedule3[[#Headers],[Payment Number]])),"")</f>
        <v>344</v>
      </c>
      <c r="C361" s="24">
        <f ca="1">IF(PaymentSchedule3[[#This Row],[Payment Number]]&lt;&gt;"",EOMONTH(LoanStartDate,ROW(PaymentSchedule3[[#This Row],[Payment Number]])-ROW(PaymentSchedule3[[#Headers],[Payment Number]])-2)+DAY(LoanStartDate),"")</f>
        <v>55074</v>
      </c>
      <c r="D361" s="25">
        <f ca="1">IF(PaymentSchedule3[[#This Row],[Payment Number]]&lt;&gt;"",IF(ROW()-ROW(PaymentSchedule3[[#Headers],[Beginning
Balance]])=1,LoanAmount,INDEX(PaymentSchedule3[Ending
Balance],ROW()-ROW(PaymentSchedule3[[#Headers],[Beginning
Balance]])-1)),"")</f>
        <v>8902.4971836346067</v>
      </c>
      <c r="E361" s="25">
        <f ca="1">IF(PaymentSchedule3[[#This Row],[Payment Number]]&lt;&gt;"",ScheduledPayment,"")</f>
        <v>543.5318932997908</v>
      </c>
      <c r="F36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1" s="25">
        <f ca="1">IF(PaymentSchedule3[[#This Row],[Payment Number]]&lt;&gt;"",PaymentSchedule3[[#This Row],[Total
Payment]]-PaymentSchedule3[[#This Row],[Interest]],"")</f>
        <v>506.43815503464657</v>
      </c>
      <c r="I361" s="25">
        <f ca="1">IF(PaymentSchedule3[[#This Row],[Payment Number]]&lt;&gt;"",PaymentSchedule3[[#This Row],[Beginning
Balance]]*(InterestRate/PaymentsPerYear),"")</f>
        <v>37.093738265144196</v>
      </c>
      <c r="J361" s="50">
        <f ca="1">IF(PaymentSchedule3[[#This Row],[Payment Number]]&lt;&gt;"",IF(PaymentSchedule3[[#This Row],[Scheduled Payment]]+PaymentSchedule3[[#This Row],[Extra
Payment]]&lt;=PaymentSchedule3[[#This Row],[Beginning
Balance]],PaymentSchedule3[[#This Row],[Beginning
Balance]]-PaymentSchedule3[[#This Row],[Principal]],0),"")</f>
        <v>8396.0590285999606</v>
      </c>
      <c r="K361" s="19">
        <f ca="1">IF(PaymentSchedule3[[#This Row],[Payment Number]]&lt;&gt;"",SUM(INDEX(PaymentSchedule3[Interest],1,1):PaymentSchedule3[[#This Row],[Interest]]),"")</f>
        <v>94121.030323728075</v>
      </c>
      <c r="L361" s="49">
        <f ca="1">LoanAmount-PaymentSchedule3[[#This Row],[Ending
Balance]]</f>
        <v>92853.940971400036</v>
      </c>
      <c r="M361" s="49">
        <f t="shared" ca="1" si="6"/>
        <v>908.5318932997908</v>
      </c>
      <c r="N361" s="25">
        <f ca="1">PaymentSchedule3[[#This Row],[Payment Number]]*$M$19</f>
        <v>312534.97129512805</v>
      </c>
    </row>
    <row r="362" spans="2:14" ht="15.75" x14ac:dyDescent="0.25">
      <c r="B362" s="23">
        <f ca="1">IF(LoanIsGood,IF(ROW()-ROW(PaymentSchedule3[[#Headers],[Payment Number]])&gt;ScheduledNumberOfPayments,"",ROW()-ROW(PaymentSchedule3[[#Headers],[Payment Number]])),"")</f>
        <v>345</v>
      </c>
      <c r="C362" s="24">
        <f ca="1">IF(PaymentSchedule3[[#This Row],[Payment Number]]&lt;&gt;"",EOMONTH(LoanStartDate,ROW(PaymentSchedule3[[#This Row],[Payment Number]])-ROW(PaymentSchedule3[[#Headers],[Payment Number]])-2)+DAY(LoanStartDate),"")</f>
        <v>55105</v>
      </c>
      <c r="D362" s="25">
        <f ca="1">IF(PaymentSchedule3[[#This Row],[Payment Number]]&lt;&gt;"",IF(ROW()-ROW(PaymentSchedule3[[#Headers],[Beginning
Balance]])=1,LoanAmount,INDEX(PaymentSchedule3[Ending
Balance],ROW()-ROW(PaymentSchedule3[[#Headers],[Beginning
Balance]])-1)),"")</f>
        <v>8396.0590285999606</v>
      </c>
      <c r="E362" s="25">
        <f ca="1">IF(PaymentSchedule3[[#This Row],[Payment Number]]&lt;&gt;"",ScheduledPayment,"")</f>
        <v>543.5318932997908</v>
      </c>
      <c r="F36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2" s="25">
        <f ca="1">IF(PaymentSchedule3[[#This Row],[Payment Number]]&lt;&gt;"",PaymentSchedule3[[#This Row],[Total
Payment]]-PaymentSchedule3[[#This Row],[Interest]],"")</f>
        <v>508.54831401395762</v>
      </c>
      <c r="I362" s="25">
        <f ca="1">IF(PaymentSchedule3[[#This Row],[Payment Number]]&lt;&gt;"",PaymentSchedule3[[#This Row],[Beginning
Balance]]*(InterestRate/PaymentsPerYear),"")</f>
        <v>34.983579285833166</v>
      </c>
      <c r="J362" s="50">
        <f ca="1">IF(PaymentSchedule3[[#This Row],[Payment Number]]&lt;&gt;"",IF(PaymentSchedule3[[#This Row],[Scheduled Payment]]+PaymentSchedule3[[#This Row],[Extra
Payment]]&lt;=PaymentSchedule3[[#This Row],[Beginning
Balance]],PaymentSchedule3[[#This Row],[Beginning
Balance]]-PaymentSchedule3[[#This Row],[Principal]],0),"")</f>
        <v>7887.5107145860029</v>
      </c>
      <c r="K362" s="19">
        <f ca="1">IF(PaymentSchedule3[[#This Row],[Payment Number]]&lt;&gt;"",SUM(INDEX(PaymentSchedule3[Interest],1,1):PaymentSchedule3[[#This Row],[Interest]]),"")</f>
        <v>94156.013903013911</v>
      </c>
      <c r="L362" s="49">
        <f ca="1">LoanAmount-PaymentSchedule3[[#This Row],[Ending
Balance]]</f>
        <v>93362.489285413991</v>
      </c>
      <c r="M362" s="49">
        <f t="shared" ca="1" si="6"/>
        <v>908.5318932997908</v>
      </c>
      <c r="N362" s="25">
        <f ca="1">PaymentSchedule3[[#This Row],[Payment Number]]*$M$19</f>
        <v>313443.50318842783</v>
      </c>
    </row>
    <row r="363" spans="2:14" ht="15.75" x14ac:dyDescent="0.25">
      <c r="B363" s="23">
        <f ca="1">IF(LoanIsGood,IF(ROW()-ROW(PaymentSchedule3[[#Headers],[Payment Number]])&gt;ScheduledNumberOfPayments,"",ROW()-ROW(PaymentSchedule3[[#Headers],[Payment Number]])),"")</f>
        <v>346</v>
      </c>
      <c r="C363" s="24">
        <f ca="1">IF(PaymentSchedule3[[#This Row],[Payment Number]]&lt;&gt;"",EOMONTH(LoanStartDate,ROW(PaymentSchedule3[[#This Row],[Payment Number]])-ROW(PaymentSchedule3[[#Headers],[Payment Number]])-2)+DAY(LoanStartDate),"")</f>
        <v>55135</v>
      </c>
      <c r="D363" s="25">
        <f ca="1">IF(PaymentSchedule3[[#This Row],[Payment Number]]&lt;&gt;"",IF(ROW()-ROW(PaymentSchedule3[[#Headers],[Beginning
Balance]])=1,LoanAmount,INDEX(PaymentSchedule3[Ending
Balance],ROW()-ROW(PaymentSchedule3[[#Headers],[Beginning
Balance]])-1)),"")</f>
        <v>7887.5107145860029</v>
      </c>
      <c r="E363" s="25">
        <f ca="1">IF(PaymentSchedule3[[#This Row],[Payment Number]]&lt;&gt;"",ScheduledPayment,"")</f>
        <v>543.5318932997908</v>
      </c>
      <c r="F36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3" s="25">
        <f ca="1">IF(PaymentSchedule3[[#This Row],[Payment Number]]&lt;&gt;"",PaymentSchedule3[[#This Row],[Total
Payment]]-PaymentSchedule3[[#This Row],[Interest]],"")</f>
        <v>510.66726532234912</v>
      </c>
      <c r="I363" s="25">
        <f ca="1">IF(PaymentSchedule3[[#This Row],[Payment Number]]&lt;&gt;"",PaymentSchedule3[[#This Row],[Beginning
Balance]]*(InterestRate/PaymentsPerYear),"")</f>
        <v>32.864627977441678</v>
      </c>
      <c r="J363" s="50">
        <f ca="1">IF(PaymentSchedule3[[#This Row],[Payment Number]]&lt;&gt;"",IF(PaymentSchedule3[[#This Row],[Scheduled Payment]]+PaymentSchedule3[[#This Row],[Extra
Payment]]&lt;=PaymentSchedule3[[#This Row],[Beginning
Balance]],PaymentSchedule3[[#This Row],[Beginning
Balance]]-PaymentSchedule3[[#This Row],[Principal]],0),"")</f>
        <v>7376.8434492636534</v>
      </c>
      <c r="K363" s="19">
        <f ca="1">IF(PaymentSchedule3[[#This Row],[Payment Number]]&lt;&gt;"",SUM(INDEX(PaymentSchedule3[Interest],1,1):PaymentSchedule3[[#This Row],[Interest]]),"")</f>
        <v>94188.878530991351</v>
      </c>
      <c r="L363" s="49">
        <f ca="1">LoanAmount-PaymentSchedule3[[#This Row],[Ending
Balance]]</f>
        <v>93873.156550736341</v>
      </c>
      <c r="M363" s="49">
        <f t="shared" ca="1" si="6"/>
        <v>908.5318932997908</v>
      </c>
      <c r="N363" s="25">
        <f ca="1">PaymentSchedule3[[#This Row],[Payment Number]]*$M$19</f>
        <v>314352.0350817276</v>
      </c>
    </row>
    <row r="364" spans="2:14" ht="15.75" x14ac:dyDescent="0.25">
      <c r="B364" s="23">
        <f ca="1">IF(LoanIsGood,IF(ROW()-ROW(PaymentSchedule3[[#Headers],[Payment Number]])&gt;ScheduledNumberOfPayments,"",ROW()-ROW(PaymentSchedule3[[#Headers],[Payment Number]])),"")</f>
        <v>347</v>
      </c>
      <c r="C364" s="24">
        <f ca="1">IF(PaymentSchedule3[[#This Row],[Payment Number]]&lt;&gt;"",EOMONTH(LoanStartDate,ROW(PaymentSchedule3[[#This Row],[Payment Number]])-ROW(PaymentSchedule3[[#Headers],[Payment Number]])-2)+DAY(LoanStartDate),"")</f>
        <v>55166</v>
      </c>
      <c r="D364" s="25">
        <f ca="1">IF(PaymentSchedule3[[#This Row],[Payment Number]]&lt;&gt;"",IF(ROW()-ROW(PaymentSchedule3[[#Headers],[Beginning
Balance]])=1,LoanAmount,INDEX(PaymentSchedule3[Ending
Balance],ROW()-ROW(PaymentSchedule3[[#Headers],[Beginning
Balance]])-1)),"")</f>
        <v>7376.8434492636534</v>
      </c>
      <c r="E364" s="25">
        <f ca="1">IF(PaymentSchedule3[[#This Row],[Payment Number]]&lt;&gt;"",ScheduledPayment,"")</f>
        <v>543.5318932997908</v>
      </c>
      <c r="F36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4" s="25">
        <f ca="1">IF(PaymentSchedule3[[#This Row],[Payment Number]]&lt;&gt;"",PaymentSchedule3[[#This Row],[Total
Payment]]-PaymentSchedule3[[#This Row],[Interest]],"")</f>
        <v>512.79504559452562</v>
      </c>
      <c r="I364" s="25">
        <f ca="1">IF(PaymentSchedule3[[#This Row],[Payment Number]]&lt;&gt;"",PaymentSchedule3[[#This Row],[Beginning
Balance]]*(InterestRate/PaymentsPerYear),"")</f>
        <v>30.736847705265223</v>
      </c>
      <c r="J364" s="50">
        <f ca="1">IF(PaymentSchedule3[[#This Row],[Payment Number]]&lt;&gt;"",IF(PaymentSchedule3[[#This Row],[Scheduled Payment]]+PaymentSchedule3[[#This Row],[Extra
Payment]]&lt;=PaymentSchedule3[[#This Row],[Beginning
Balance]],PaymentSchedule3[[#This Row],[Beginning
Balance]]-PaymentSchedule3[[#This Row],[Principal]],0),"")</f>
        <v>6864.0484036691278</v>
      </c>
      <c r="K364" s="19">
        <f ca="1">IF(PaymentSchedule3[[#This Row],[Payment Number]]&lt;&gt;"",SUM(INDEX(PaymentSchedule3[Interest],1,1):PaymentSchedule3[[#This Row],[Interest]]),"")</f>
        <v>94219.615378696617</v>
      </c>
      <c r="L364" s="49">
        <f ca="1">LoanAmount-PaymentSchedule3[[#This Row],[Ending
Balance]]</f>
        <v>94385.951596330866</v>
      </c>
      <c r="M364" s="49">
        <f t="shared" ca="1" si="6"/>
        <v>908.5318932997908</v>
      </c>
      <c r="N364" s="25">
        <f ca="1">PaymentSchedule3[[#This Row],[Payment Number]]*$M$19</f>
        <v>315260.56697502738</v>
      </c>
    </row>
    <row r="365" spans="2:14" ht="15.75" x14ac:dyDescent="0.25">
      <c r="B365" s="23">
        <f ca="1">IF(LoanIsGood,IF(ROW()-ROW(PaymentSchedule3[[#Headers],[Payment Number]])&gt;ScheduledNumberOfPayments,"",ROW()-ROW(PaymentSchedule3[[#Headers],[Payment Number]])),"")</f>
        <v>348</v>
      </c>
      <c r="C365" s="24">
        <f ca="1">IF(PaymentSchedule3[[#This Row],[Payment Number]]&lt;&gt;"",EOMONTH(LoanStartDate,ROW(PaymentSchedule3[[#This Row],[Payment Number]])-ROW(PaymentSchedule3[[#Headers],[Payment Number]])-2)+DAY(LoanStartDate),"")</f>
        <v>55197</v>
      </c>
      <c r="D365" s="25">
        <f ca="1">IF(PaymentSchedule3[[#This Row],[Payment Number]]&lt;&gt;"",IF(ROW()-ROW(PaymentSchedule3[[#Headers],[Beginning
Balance]])=1,LoanAmount,INDEX(PaymentSchedule3[Ending
Balance],ROW()-ROW(PaymentSchedule3[[#Headers],[Beginning
Balance]])-1)),"")</f>
        <v>6864.0484036691278</v>
      </c>
      <c r="E365" s="25">
        <f ca="1">IF(PaymentSchedule3[[#This Row],[Payment Number]]&lt;&gt;"",ScheduledPayment,"")</f>
        <v>543.5318932997908</v>
      </c>
      <c r="F36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5" s="25">
        <f ca="1">IF(PaymentSchedule3[[#This Row],[Payment Number]]&lt;&gt;"",PaymentSchedule3[[#This Row],[Total
Payment]]-PaymentSchedule3[[#This Row],[Interest]],"")</f>
        <v>514.93169161783612</v>
      </c>
      <c r="I365" s="25">
        <f ca="1">IF(PaymentSchedule3[[#This Row],[Payment Number]]&lt;&gt;"",PaymentSchedule3[[#This Row],[Beginning
Balance]]*(InterestRate/PaymentsPerYear),"")</f>
        <v>28.600201681954697</v>
      </c>
      <c r="J365" s="50">
        <f ca="1">IF(PaymentSchedule3[[#This Row],[Payment Number]]&lt;&gt;"",IF(PaymentSchedule3[[#This Row],[Scheduled Payment]]+PaymentSchedule3[[#This Row],[Extra
Payment]]&lt;=PaymentSchedule3[[#This Row],[Beginning
Balance]],PaymentSchedule3[[#This Row],[Beginning
Balance]]-PaymentSchedule3[[#This Row],[Principal]],0),"")</f>
        <v>6349.1167120512919</v>
      </c>
      <c r="K365" s="19">
        <f ca="1">IF(PaymentSchedule3[[#This Row],[Payment Number]]&lt;&gt;"",SUM(INDEX(PaymentSchedule3[Interest],1,1):PaymentSchedule3[[#This Row],[Interest]]),"")</f>
        <v>94248.215580378572</v>
      </c>
      <c r="L365" s="49">
        <f ca="1">LoanAmount-PaymentSchedule3[[#This Row],[Ending
Balance]]</f>
        <v>94900.883287948702</v>
      </c>
      <c r="M365" s="49">
        <f t="shared" ca="1" si="6"/>
        <v>908.5318932997908</v>
      </c>
      <c r="N365" s="25">
        <f ca="1">PaymentSchedule3[[#This Row],[Payment Number]]*$M$19</f>
        <v>316169.09886832722</v>
      </c>
    </row>
    <row r="366" spans="2:14" ht="15.75" x14ac:dyDescent="0.25">
      <c r="B366" s="23">
        <f ca="1">IF(LoanIsGood,IF(ROW()-ROW(PaymentSchedule3[[#Headers],[Payment Number]])&gt;ScheduledNumberOfPayments,"",ROW()-ROW(PaymentSchedule3[[#Headers],[Payment Number]])),"")</f>
        <v>349</v>
      </c>
      <c r="C366" s="24">
        <f ca="1">IF(PaymentSchedule3[[#This Row],[Payment Number]]&lt;&gt;"",EOMONTH(LoanStartDate,ROW(PaymentSchedule3[[#This Row],[Payment Number]])-ROW(PaymentSchedule3[[#Headers],[Payment Number]])-2)+DAY(LoanStartDate),"")</f>
        <v>55225</v>
      </c>
      <c r="D366" s="25">
        <f ca="1">IF(PaymentSchedule3[[#This Row],[Payment Number]]&lt;&gt;"",IF(ROW()-ROW(PaymentSchedule3[[#Headers],[Beginning
Balance]])=1,LoanAmount,INDEX(PaymentSchedule3[Ending
Balance],ROW()-ROW(PaymentSchedule3[[#Headers],[Beginning
Balance]])-1)),"")</f>
        <v>6349.1167120512919</v>
      </c>
      <c r="E366" s="25">
        <f ca="1">IF(PaymentSchedule3[[#This Row],[Payment Number]]&lt;&gt;"",ScheduledPayment,"")</f>
        <v>543.5318932997908</v>
      </c>
      <c r="F36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6" s="25">
        <f ca="1">IF(PaymentSchedule3[[#This Row],[Payment Number]]&lt;&gt;"",PaymentSchedule3[[#This Row],[Total
Payment]]-PaymentSchedule3[[#This Row],[Interest]],"")</f>
        <v>517.07724033291038</v>
      </c>
      <c r="I366" s="25">
        <f ca="1">IF(PaymentSchedule3[[#This Row],[Payment Number]]&lt;&gt;"",PaymentSchedule3[[#This Row],[Beginning
Balance]]*(InterestRate/PaymentsPerYear),"")</f>
        <v>26.454652966880381</v>
      </c>
      <c r="J366" s="50">
        <f ca="1">IF(PaymentSchedule3[[#This Row],[Payment Number]]&lt;&gt;"",IF(PaymentSchedule3[[#This Row],[Scheduled Payment]]+PaymentSchedule3[[#This Row],[Extra
Payment]]&lt;=PaymentSchedule3[[#This Row],[Beginning
Balance]],PaymentSchedule3[[#This Row],[Beginning
Balance]]-PaymentSchedule3[[#This Row],[Principal]],0),"")</f>
        <v>5832.0394717183817</v>
      </c>
      <c r="K366" s="19">
        <f ca="1">IF(PaymentSchedule3[[#This Row],[Payment Number]]&lt;&gt;"",SUM(INDEX(PaymentSchedule3[Interest],1,1):PaymentSchedule3[[#This Row],[Interest]]),"")</f>
        <v>94274.670233345445</v>
      </c>
      <c r="L366" s="49">
        <f ca="1">LoanAmount-PaymentSchedule3[[#This Row],[Ending
Balance]]</f>
        <v>95417.960528281619</v>
      </c>
      <c r="M366" s="49">
        <f t="shared" ca="1" si="6"/>
        <v>908.5318932997908</v>
      </c>
      <c r="N366" s="25">
        <f ca="1">PaymentSchedule3[[#This Row],[Payment Number]]*$M$19</f>
        <v>317077.63076162699</v>
      </c>
    </row>
    <row r="367" spans="2:14" ht="15.75" x14ac:dyDescent="0.25">
      <c r="B367" s="23">
        <f ca="1">IF(LoanIsGood,IF(ROW()-ROW(PaymentSchedule3[[#Headers],[Payment Number]])&gt;ScheduledNumberOfPayments,"",ROW()-ROW(PaymentSchedule3[[#Headers],[Payment Number]])),"")</f>
        <v>350</v>
      </c>
      <c r="C367" s="24">
        <f ca="1">IF(PaymentSchedule3[[#This Row],[Payment Number]]&lt;&gt;"",EOMONTH(LoanStartDate,ROW(PaymentSchedule3[[#This Row],[Payment Number]])-ROW(PaymentSchedule3[[#Headers],[Payment Number]])-2)+DAY(LoanStartDate),"")</f>
        <v>55256</v>
      </c>
      <c r="D367" s="25">
        <f ca="1">IF(PaymentSchedule3[[#This Row],[Payment Number]]&lt;&gt;"",IF(ROW()-ROW(PaymentSchedule3[[#Headers],[Beginning
Balance]])=1,LoanAmount,INDEX(PaymentSchedule3[Ending
Balance],ROW()-ROW(PaymentSchedule3[[#Headers],[Beginning
Balance]])-1)),"")</f>
        <v>5832.0394717183817</v>
      </c>
      <c r="E367" s="25">
        <f ca="1">IF(PaymentSchedule3[[#This Row],[Payment Number]]&lt;&gt;"",ScheduledPayment,"")</f>
        <v>543.5318932997908</v>
      </c>
      <c r="F36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7" s="25">
        <f ca="1">IF(PaymentSchedule3[[#This Row],[Payment Number]]&lt;&gt;"",PaymentSchedule3[[#This Row],[Total
Payment]]-PaymentSchedule3[[#This Row],[Interest]],"")</f>
        <v>519.23172883429754</v>
      </c>
      <c r="I367" s="25">
        <f ca="1">IF(PaymentSchedule3[[#This Row],[Payment Number]]&lt;&gt;"",PaymentSchedule3[[#This Row],[Beginning
Balance]]*(InterestRate/PaymentsPerYear),"")</f>
        <v>24.300164465493257</v>
      </c>
      <c r="J367" s="50">
        <f ca="1">IF(PaymentSchedule3[[#This Row],[Payment Number]]&lt;&gt;"",IF(PaymentSchedule3[[#This Row],[Scheduled Payment]]+PaymentSchedule3[[#This Row],[Extra
Payment]]&lt;=PaymentSchedule3[[#This Row],[Beginning
Balance]],PaymentSchedule3[[#This Row],[Beginning
Balance]]-PaymentSchedule3[[#This Row],[Principal]],0),"")</f>
        <v>5312.8077428840843</v>
      </c>
      <c r="K367" s="19">
        <f ca="1">IF(PaymentSchedule3[[#This Row],[Payment Number]]&lt;&gt;"",SUM(INDEX(PaymentSchedule3[Interest],1,1):PaymentSchedule3[[#This Row],[Interest]]),"")</f>
        <v>94298.970397810932</v>
      </c>
      <c r="L367" s="49">
        <f ca="1">LoanAmount-PaymentSchedule3[[#This Row],[Ending
Balance]]</f>
        <v>95937.192257115908</v>
      </c>
      <c r="M367" s="49">
        <f t="shared" ca="1" si="6"/>
        <v>908.5318932997908</v>
      </c>
      <c r="N367" s="25">
        <f ca="1">PaymentSchedule3[[#This Row],[Payment Number]]*$M$19</f>
        <v>317986.16265492677</v>
      </c>
    </row>
    <row r="368" spans="2:14" ht="15.75" x14ac:dyDescent="0.25">
      <c r="B368" s="23">
        <f ca="1">IF(LoanIsGood,IF(ROW()-ROW(PaymentSchedule3[[#Headers],[Payment Number]])&gt;ScheduledNumberOfPayments,"",ROW()-ROW(PaymentSchedule3[[#Headers],[Payment Number]])),"")</f>
        <v>351</v>
      </c>
      <c r="C368" s="24">
        <f ca="1">IF(PaymentSchedule3[[#This Row],[Payment Number]]&lt;&gt;"",EOMONTH(LoanStartDate,ROW(PaymentSchedule3[[#This Row],[Payment Number]])-ROW(PaymentSchedule3[[#Headers],[Payment Number]])-2)+DAY(LoanStartDate),"")</f>
        <v>55286</v>
      </c>
      <c r="D368" s="25">
        <f ca="1">IF(PaymentSchedule3[[#This Row],[Payment Number]]&lt;&gt;"",IF(ROW()-ROW(PaymentSchedule3[[#Headers],[Beginning
Balance]])=1,LoanAmount,INDEX(PaymentSchedule3[Ending
Balance],ROW()-ROW(PaymentSchedule3[[#Headers],[Beginning
Balance]])-1)),"")</f>
        <v>5312.8077428840843</v>
      </c>
      <c r="E368" s="25">
        <f ca="1">IF(PaymentSchedule3[[#This Row],[Payment Number]]&lt;&gt;"",ScheduledPayment,"")</f>
        <v>543.5318932997908</v>
      </c>
      <c r="F368"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8"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8" s="25">
        <f ca="1">IF(PaymentSchedule3[[#This Row],[Payment Number]]&lt;&gt;"",PaymentSchedule3[[#This Row],[Total
Payment]]-PaymentSchedule3[[#This Row],[Interest]],"")</f>
        <v>521.3951943711071</v>
      </c>
      <c r="I368" s="25">
        <f ca="1">IF(PaymentSchedule3[[#This Row],[Payment Number]]&lt;&gt;"",PaymentSchedule3[[#This Row],[Beginning
Balance]]*(InterestRate/PaymentsPerYear),"")</f>
        <v>22.136698928683685</v>
      </c>
      <c r="J368" s="50">
        <f ca="1">IF(PaymentSchedule3[[#This Row],[Payment Number]]&lt;&gt;"",IF(PaymentSchedule3[[#This Row],[Scheduled Payment]]+PaymentSchedule3[[#This Row],[Extra
Payment]]&lt;=PaymentSchedule3[[#This Row],[Beginning
Balance]],PaymentSchedule3[[#This Row],[Beginning
Balance]]-PaymentSchedule3[[#This Row],[Principal]],0),"")</f>
        <v>4791.4125485129771</v>
      </c>
      <c r="K368" s="19">
        <f ca="1">IF(PaymentSchedule3[[#This Row],[Payment Number]]&lt;&gt;"",SUM(INDEX(PaymentSchedule3[Interest],1,1):PaymentSchedule3[[#This Row],[Interest]]),"")</f>
        <v>94321.107096739623</v>
      </c>
      <c r="L368" s="49">
        <f ca="1">LoanAmount-PaymentSchedule3[[#This Row],[Ending
Balance]]</f>
        <v>96458.587451487023</v>
      </c>
      <c r="M368" s="49">
        <f t="shared" ca="1" si="6"/>
        <v>908.5318932997908</v>
      </c>
      <c r="N368" s="25">
        <f ca="1">PaymentSchedule3[[#This Row],[Payment Number]]*$M$19</f>
        <v>318894.69454822654</v>
      </c>
    </row>
    <row r="369" spans="2:14" ht="15.75" x14ac:dyDescent="0.25">
      <c r="B369" s="23">
        <f ca="1">IF(LoanIsGood,IF(ROW()-ROW(PaymentSchedule3[[#Headers],[Payment Number]])&gt;ScheduledNumberOfPayments,"",ROW()-ROW(PaymentSchedule3[[#Headers],[Payment Number]])),"")</f>
        <v>352</v>
      </c>
      <c r="C369" s="24">
        <f ca="1">IF(PaymentSchedule3[[#This Row],[Payment Number]]&lt;&gt;"",EOMONTH(LoanStartDate,ROW(PaymentSchedule3[[#This Row],[Payment Number]])-ROW(PaymentSchedule3[[#Headers],[Payment Number]])-2)+DAY(LoanStartDate),"")</f>
        <v>55317</v>
      </c>
      <c r="D369" s="25">
        <f ca="1">IF(PaymentSchedule3[[#This Row],[Payment Number]]&lt;&gt;"",IF(ROW()-ROW(PaymentSchedule3[[#Headers],[Beginning
Balance]])=1,LoanAmount,INDEX(PaymentSchedule3[Ending
Balance],ROW()-ROW(PaymentSchedule3[[#Headers],[Beginning
Balance]])-1)),"")</f>
        <v>4791.4125485129771</v>
      </c>
      <c r="E369" s="25">
        <f ca="1">IF(PaymentSchedule3[[#This Row],[Payment Number]]&lt;&gt;"",ScheduledPayment,"")</f>
        <v>543.5318932997908</v>
      </c>
      <c r="F369"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9"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69" s="25">
        <f ca="1">IF(PaymentSchedule3[[#This Row],[Payment Number]]&lt;&gt;"",PaymentSchedule3[[#This Row],[Total
Payment]]-PaymentSchedule3[[#This Row],[Interest]],"")</f>
        <v>523.56767434765334</v>
      </c>
      <c r="I369" s="25">
        <f ca="1">IF(PaymentSchedule3[[#This Row],[Payment Number]]&lt;&gt;"",PaymentSchedule3[[#This Row],[Beginning
Balance]]*(InterestRate/PaymentsPerYear),"")</f>
        <v>19.964218952137404</v>
      </c>
      <c r="J369" s="50">
        <f ca="1">IF(PaymentSchedule3[[#This Row],[Payment Number]]&lt;&gt;"",IF(PaymentSchedule3[[#This Row],[Scheduled Payment]]+PaymentSchedule3[[#This Row],[Extra
Payment]]&lt;=PaymentSchedule3[[#This Row],[Beginning
Balance]],PaymentSchedule3[[#This Row],[Beginning
Balance]]-PaymentSchedule3[[#This Row],[Principal]],0),"")</f>
        <v>4267.8448741653237</v>
      </c>
      <c r="K369" s="19">
        <f ca="1">IF(PaymentSchedule3[[#This Row],[Payment Number]]&lt;&gt;"",SUM(INDEX(PaymentSchedule3[Interest],1,1):PaymentSchedule3[[#This Row],[Interest]]),"")</f>
        <v>94341.071315691763</v>
      </c>
      <c r="L369" s="49">
        <f ca="1">LoanAmount-PaymentSchedule3[[#This Row],[Ending
Balance]]</f>
        <v>96982.155125834674</v>
      </c>
      <c r="M369" s="49">
        <f t="shared" ca="1" si="6"/>
        <v>908.5318932997908</v>
      </c>
      <c r="N369" s="25">
        <f ca="1">PaymentSchedule3[[#This Row],[Payment Number]]*$M$19</f>
        <v>319803.22644152638</v>
      </c>
    </row>
    <row r="370" spans="2:14" ht="15.75" x14ac:dyDescent="0.25">
      <c r="B370" s="23">
        <f ca="1">IF(LoanIsGood,IF(ROW()-ROW(PaymentSchedule3[[#Headers],[Payment Number]])&gt;ScheduledNumberOfPayments,"",ROW()-ROW(PaymentSchedule3[[#Headers],[Payment Number]])),"")</f>
        <v>353</v>
      </c>
      <c r="C370" s="24">
        <f ca="1">IF(PaymentSchedule3[[#This Row],[Payment Number]]&lt;&gt;"",EOMONTH(LoanStartDate,ROW(PaymentSchedule3[[#This Row],[Payment Number]])-ROW(PaymentSchedule3[[#Headers],[Payment Number]])-2)+DAY(LoanStartDate),"")</f>
        <v>55347</v>
      </c>
      <c r="D370" s="25">
        <f ca="1">IF(PaymentSchedule3[[#This Row],[Payment Number]]&lt;&gt;"",IF(ROW()-ROW(PaymentSchedule3[[#Headers],[Beginning
Balance]])=1,LoanAmount,INDEX(PaymentSchedule3[Ending
Balance],ROW()-ROW(PaymentSchedule3[[#Headers],[Beginning
Balance]])-1)),"")</f>
        <v>4267.8448741653237</v>
      </c>
      <c r="E370" s="25">
        <f ca="1">IF(PaymentSchedule3[[#This Row],[Payment Number]]&lt;&gt;"",ScheduledPayment,"")</f>
        <v>543.5318932997908</v>
      </c>
      <c r="F370"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0"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0" s="25">
        <f ca="1">IF(PaymentSchedule3[[#This Row],[Payment Number]]&lt;&gt;"",PaymentSchedule3[[#This Row],[Total
Payment]]-PaymentSchedule3[[#This Row],[Interest]],"")</f>
        <v>525.74920632410192</v>
      </c>
      <c r="I370" s="25">
        <f ca="1">IF(PaymentSchedule3[[#This Row],[Payment Number]]&lt;&gt;"",PaymentSchedule3[[#This Row],[Beginning
Balance]]*(InterestRate/PaymentsPerYear),"")</f>
        <v>17.782686975688847</v>
      </c>
      <c r="J370" s="50">
        <f ca="1">IF(PaymentSchedule3[[#This Row],[Payment Number]]&lt;&gt;"",IF(PaymentSchedule3[[#This Row],[Scheduled Payment]]+PaymentSchedule3[[#This Row],[Extra
Payment]]&lt;=PaymentSchedule3[[#This Row],[Beginning
Balance]],PaymentSchedule3[[#This Row],[Beginning
Balance]]-PaymentSchedule3[[#This Row],[Principal]],0),"")</f>
        <v>3742.0956678412217</v>
      </c>
      <c r="K370" s="19">
        <f ca="1">IF(PaymentSchedule3[[#This Row],[Payment Number]]&lt;&gt;"",SUM(INDEX(PaymentSchedule3[Interest],1,1):PaymentSchedule3[[#This Row],[Interest]]),"")</f>
        <v>94358.854002667445</v>
      </c>
      <c r="L370" s="49">
        <f ca="1">LoanAmount-PaymentSchedule3[[#This Row],[Ending
Balance]]</f>
        <v>97507.904332158781</v>
      </c>
      <c r="M370" s="49">
        <f t="shared" ca="1" si="6"/>
        <v>908.5318932997908</v>
      </c>
      <c r="N370" s="25">
        <f ca="1">PaymentSchedule3[[#This Row],[Payment Number]]*$M$19</f>
        <v>320711.75833482615</v>
      </c>
    </row>
    <row r="371" spans="2:14" ht="15.75" x14ac:dyDescent="0.25">
      <c r="B371" s="23">
        <f ca="1">IF(LoanIsGood,IF(ROW()-ROW(PaymentSchedule3[[#Headers],[Payment Number]])&gt;ScheduledNumberOfPayments,"",ROW()-ROW(PaymentSchedule3[[#Headers],[Payment Number]])),"")</f>
        <v>354</v>
      </c>
      <c r="C371" s="24">
        <f ca="1">IF(PaymentSchedule3[[#This Row],[Payment Number]]&lt;&gt;"",EOMONTH(LoanStartDate,ROW(PaymentSchedule3[[#This Row],[Payment Number]])-ROW(PaymentSchedule3[[#Headers],[Payment Number]])-2)+DAY(LoanStartDate),"")</f>
        <v>55378</v>
      </c>
      <c r="D371" s="25">
        <f ca="1">IF(PaymentSchedule3[[#This Row],[Payment Number]]&lt;&gt;"",IF(ROW()-ROW(PaymentSchedule3[[#Headers],[Beginning
Balance]])=1,LoanAmount,INDEX(PaymentSchedule3[Ending
Balance],ROW()-ROW(PaymentSchedule3[[#Headers],[Beginning
Balance]])-1)),"")</f>
        <v>3742.0956678412217</v>
      </c>
      <c r="E371" s="25">
        <f ca="1">IF(PaymentSchedule3[[#This Row],[Payment Number]]&lt;&gt;"",ScheduledPayment,"")</f>
        <v>543.5318932997908</v>
      </c>
      <c r="F371"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1"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1" s="25">
        <f ca="1">IF(PaymentSchedule3[[#This Row],[Payment Number]]&lt;&gt;"",PaymentSchedule3[[#This Row],[Total
Payment]]-PaymentSchedule3[[#This Row],[Interest]],"")</f>
        <v>527.939828017119</v>
      </c>
      <c r="I371" s="25">
        <f ca="1">IF(PaymentSchedule3[[#This Row],[Payment Number]]&lt;&gt;"",PaymentSchedule3[[#This Row],[Beginning
Balance]]*(InterestRate/PaymentsPerYear),"")</f>
        <v>15.592065282671756</v>
      </c>
      <c r="J371" s="50">
        <f ca="1">IF(PaymentSchedule3[[#This Row],[Payment Number]]&lt;&gt;"",IF(PaymentSchedule3[[#This Row],[Scheduled Payment]]+PaymentSchedule3[[#This Row],[Extra
Payment]]&lt;=PaymentSchedule3[[#This Row],[Beginning
Balance]],PaymentSchedule3[[#This Row],[Beginning
Balance]]-PaymentSchedule3[[#This Row],[Principal]],0),"")</f>
        <v>3214.1558398241027</v>
      </c>
      <c r="K371" s="19">
        <f ca="1">IF(PaymentSchedule3[[#This Row],[Payment Number]]&lt;&gt;"",SUM(INDEX(PaymentSchedule3[Interest],1,1):PaymentSchedule3[[#This Row],[Interest]]),"")</f>
        <v>94374.446067950121</v>
      </c>
      <c r="L371" s="49">
        <f ca="1">LoanAmount-PaymentSchedule3[[#This Row],[Ending
Balance]]</f>
        <v>98035.844160175897</v>
      </c>
      <c r="M371" s="49">
        <f t="shared" ca="1" si="6"/>
        <v>908.5318932997908</v>
      </c>
      <c r="N371" s="25">
        <f ca="1">PaymentSchedule3[[#This Row],[Payment Number]]*$M$19</f>
        <v>321620.29022812593</v>
      </c>
    </row>
    <row r="372" spans="2:14" ht="15.75" x14ac:dyDescent="0.25">
      <c r="B372" s="23">
        <f ca="1">IF(LoanIsGood,IF(ROW()-ROW(PaymentSchedule3[[#Headers],[Payment Number]])&gt;ScheduledNumberOfPayments,"",ROW()-ROW(PaymentSchedule3[[#Headers],[Payment Number]])),"")</f>
        <v>355</v>
      </c>
      <c r="C372" s="24">
        <f ca="1">IF(PaymentSchedule3[[#This Row],[Payment Number]]&lt;&gt;"",EOMONTH(LoanStartDate,ROW(PaymentSchedule3[[#This Row],[Payment Number]])-ROW(PaymentSchedule3[[#Headers],[Payment Number]])-2)+DAY(LoanStartDate),"")</f>
        <v>55409</v>
      </c>
      <c r="D372" s="25">
        <f ca="1">IF(PaymentSchedule3[[#This Row],[Payment Number]]&lt;&gt;"",IF(ROW()-ROW(PaymentSchedule3[[#Headers],[Beginning
Balance]])=1,LoanAmount,INDEX(PaymentSchedule3[Ending
Balance],ROW()-ROW(PaymentSchedule3[[#Headers],[Beginning
Balance]])-1)),"")</f>
        <v>3214.1558398241027</v>
      </c>
      <c r="E372" s="25">
        <f ca="1">IF(PaymentSchedule3[[#This Row],[Payment Number]]&lt;&gt;"",ScheduledPayment,"")</f>
        <v>543.5318932997908</v>
      </c>
      <c r="F372"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2"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2" s="25">
        <f ca="1">IF(PaymentSchedule3[[#This Row],[Payment Number]]&lt;&gt;"",PaymentSchedule3[[#This Row],[Total
Payment]]-PaymentSchedule3[[#This Row],[Interest]],"")</f>
        <v>530.13957730052368</v>
      </c>
      <c r="I372" s="25">
        <f ca="1">IF(PaymentSchedule3[[#This Row],[Payment Number]]&lt;&gt;"",PaymentSchedule3[[#This Row],[Beginning
Balance]]*(InterestRate/PaymentsPerYear),"")</f>
        <v>13.392315999267094</v>
      </c>
      <c r="J372" s="50">
        <f ca="1">IF(PaymentSchedule3[[#This Row],[Payment Number]]&lt;&gt;"",IF(PaymentSchedule3[[#This Row],[Scheduled Payment]]+PaymentSchedule3[[#This Row],[Extra
Payment]]&lt;=PaymentSchedule3[[#This Row],[Beginning
Balance]],PaymentSchedule3[[#This Row],[Beginning
Balance]]-PaymentSchedule3[[#This Row],[Principal]],0),"")</f>
        <v>2684.0162625235789</v>
      </c>
      <c r="K372" s="19">
        <f ca="1">IF(PaymentSchedule3[[#This Row],[Payment Number]]&lt;&gt;"",SUM(INDEX(PaymentSchedule3[Interest],1,1):PaymentSchedule3[[#This Row],[Interest]]),"")</f>
        <v>94387.838383949391</v>
      </c>
      <c r="L372" s="49">
        <f ca="1">LoanAmount-PaymentSchedule3[[#This Row],[Ending
Balance]]</f>
        <v>98565.983737476417</v>
      </c>
      <c r="M372" s="49">
        <f t="shared" ca="1" si="6"/>
        <v>908.5318932997908</v>
      </c>
      <c r="N372" s="25">
        <f ca="1">PaymentSchedule3[[#This Row],[Payment Number]]*$M$19</f>
        <v>322528.82212142571</v>
      </c>
    </row>
    <row r="373" spans="2:14" ht="15.75" x14ac:dyDescent="0.25">
      <c r="B373" s="23">
        <f ca="1">IF(LoanIsGood,IF(ROW()-ROW(PaymentSchedule3[[#Headers],[Payment Number]])&gt;ScheduledNumberOfPayments,"",ROW()-ROW(PaymentSchedule3[[#Headers],[Payment Number]])),"")</f>
        <v>356</v>
      </c>
      <c r="C373" s="24">
        <f ca="1">IF(PaymentSchedule3[[#This Row],[Payment Number]]&lt;&gt;"",EOMONTH(LoanStartDate,ROW(PaymentSchedule3[[#This Row],[Payment Number]])-ROW(PaymentSchedule3[[#Headers],[Payment Number]])-2)+DAY(LoanStartDate),"")</f>
        <v>55439</v>
      </c>
      <c r="D373" s="25">
        <f ca="1">IF(PaymentSchedule3[[#This Row],[Payment Number]]&lt;&gt;"",IF(ROW()-ROW(PaymentSchedule3[[#Headers],[Beginning
Balance]])=1,LoanAmount,INDEX(PaymentSchedule3[Ending
Balance],ROW()-ROW(PaymentSchedule3[[#Headers],[Beginning
Balance]])-1)),"")</f>
        <v>2684.0162625235789</v>
      </c>
      <c r="E373" s="25">
        <f ca="1">IF(PaymentSchedule3[[#This Row],[Payment Number]]&lt;&gt;"",ScheduledPayment,"")</f>
        <v>543.5318932997908</v>
      </c>
      <c r="F373"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3"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3" s="25">
        <f ca="1">IF(PaymentSchedule3[[#This Row],[Payment Number]]&lt;&gt;"",PaymentSchedule3[[#This Row],[Total
Payment]]-PaymentSchedule3[[#This Row],[Interest]],"")</f>
        <v>532.34849220594253</v>
      </c>
      <c r="I373" s="25">
        <f ca="1">IF(PaymentSchedule3[[#This Row],[Payment Number]]&lt;&gt;"",PaymentSchedule3[[#This Row],[Beginning
Balance]]*(InterestRate/PaymentsPerYear),"")</f>
        <v>11.183401093848245</v>
      </c>
      <c r="J373" s="50">
        <f ca="1">IF(PaymentSchedule3[[#This Row],[Payment Number]]&lt;&gt;"",IF(PaymentSchedule3[[#This Row],[Scheduled Payment]]+PaymentSchedule3[[#This Row],[Extra
Payment]]&lt;=PaymentSchedule3[[#This Row],[Beginning
Balance]],PaymentSchedule3[[#This Row],[Beginning
Balance]]-PaymentSchedule3[[#This Row],[Principal]],0),"")</f>
        <v>2151.6677703176365</v>
      </c>
      <c r="K373" s="19">
        <f ca="1">IF(PaymentSchedule3[[#This Row],[Payment Number]]&lt;&gt;"",SUM(INDEX(PaymentSchedule3[Interest],1,1):PaymentSchedule3[[#This Row],[Interest]]),"")</f>
        <v>94399.021785043238</v>
      </c>
      <c r="L373" s="49">
        <f ca="1">LoanAmount-PaymentSchedule3[[#This Row],[Ending
Balance]]</f>
        <v>99098.332229682361</v>
      </c>
      <c r="M373" s="49">
        <f t="shared" ca="1" si="6"/>
        <v>908.5318932997908</v>
      </c>
      <c r="N373" s="25">
        <f ca="1">PaymentSchedule3[[#This Row],[Payment Number]]*$M$19</f>
        <v>323437.35401472554</v>
      </c>
    </row>
    <row r="374" spans="2:14" ht="15.75" x14ac:dyDescent="0.25">
      <c r="B374" s="23">
        <f ca="1">IF(LoanIsGood,IF(ROW()-ROW(PaymentSchedule3[[#Headers],[Payment Number]])&gt;ScheduledNumberOfPayments,"",ROW()-ROW(PaymentSchedule3[[#Headers],[Payment Number]])),"")</f>
        <v>357</v>
      </c>
      <c r="C374" s="24">
        <f ca="1">IF(PaymentSchedule3[[#This Row],[Payment Number]]&lt;&gt;"",EOMONTH(LoanStartDate,ROW(PaymentSchedule3[[#This Row],[Payment Number]])-ROW(PaymentSchedule3[[#Headers],[Payment Number]])-2)+DAY(LoanStartDate),"")</f>
        <v>55470</v>
      </c>
      <c r="D374" s="25">
        <f ca="1">IF(PaymentSchedule3[[#This Row],[Payment Number]]&lt;&gt;"",IF(ROW()-ROW(PaymentSchedule3[[#Headers],[Beginning
Balance]])=1,LoanAmount,INDEX(PaymentSchedule3[Ending
Balance],ROW()-ROW(PaymentSchedule3[[#Headers],[Beginning
Balance]])-1)),"")</f>
        <v>2151.6677703176365</v>
      </c>
      <c r="E374" s="25">
        <f ca="1">IF(PaymentSchedule3[[#This Row],[Payment Number]]&lt;&gt;"",ScheduledPayment,"")</f>
        <v>543.5318932997908</v>
      </c>
      <c r="F374"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4"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4" s="25">
        <f ca="1">IF(PaymentSchedule3[[#This Row],[Payment Number]]&lt;&gt;"",PaymentSchedule3[[#This Row],[Total
Payment]]-PaymentSchedule3[[#This Row],[Interest]],"")</f>
        <v>534.56661092346735</v>
      </c>
      <c r="I374" s="25">
        <f ca="1">IF(PaymentSchedule3[[#This Row],[Payment Number]]&lt;&gt;"",PaymentSchedule3[[#This Row],[Beginning
Balance]]*(InterestRate/PaymentsPerYear),"")</f>
        <v>8.9652823763234846</v>
      </c>
      <c r="J374" s="50">
        <f ca="1">IF(PaymentSchedule3[[#This Row],[Payment Number]]&lt;&gt;"",IF(PaymentSchedule3[[#This Row],[Scheduled Payment]]+PaymentSchedule3[[#This Row],[Extra
Payment]]&lt;=PaymentSchedule3[[#This Row],[Beginning
Balance]],PaymentSchedule3[[#This Row],[Beginning
Balance]]-PaymentSchedule3[[#This Row],[Principal]],0),"")</f>
        <v>1617.1011593941691</v>
      </c>
      <c r="K374" s="19">
        <f ca="1">IF(PaymentSchedule3[[#This Row],[Payment Number]]&lt;&gt;"",SUM(INDEX(PaymentSchedule3[Interest],1,1):PaymentSchedule3[[#This Row],[Interest]]),"")</f>
        <v>94407.987067419555</v>
      </c>
      <c r="L374" s="49">
        <f ca="1">LoanAmount-PaymentSchedule3[[#This Row],[Ending
Balance]]</f>
        <v>99632.898840605834</v>
      </c>
      <c r="M374" s="49">
        <f t="shared" ca="1" si="6"/>
        <v>908.5318932997908</v>
      </c>
      <c r="N374" s="25">
        <f ca="1">PaymentSchedule3[[#This Row],[Payment Number]]*$M$19</f>
        <v>324345.88590802532</v>
      </c>
    </row>
    <row r="375" spans="2:14" ht="15.75" x14ac:dyDescent="0.25">
      <c r="B375" s="23">
        <f ca="1">IF(LoanIsGood,IF(ROW()-ROW(PaymentSchedule3[[#Headers],[Payment Number]])&gt;ScheduledNumberOfPayments,"",ROW()-ROW(PaymentSchedule3[[#Headers],[Payment Number]])),"")</f>
        <v>358</v>
      </c>
      <c r="C375" s="24">
        <f ca="1">IF(PaymentSchedule3[[#This Row],[Payment Number]]&lt;&gt;"",EOMONTH(LoanStartDate,ROW(PaymentSchedule3[[#This Row],[Payment Number]])-ROW(PaymentSchedule3[[#Headers],[Payment Number]])-2)+DAY(LoanStartDate),"")</f>
        <v>55500</v>
      </c>
      <c r="D375" s="25">
        <f ca="1">IF(PaymentSchedule3[[#This Row],[Payment Number]]&lt;&gt;"",IF(ROW()-ROW(PaymentSchedule3[[#Headers],[Beginning
Balance]])=1,LoanAmount,INDEX(PaymentSchedule3[Ending
Balance],ROW()-ROW(PaymentSchedule3[[#Headers],[Beginning
Balance]])-1)),"")</f>
        <v>1617.1011593941691</v>
      </c>
      <c r="E375" s="25">
        <f ca="1">IF(PaymentSchedule3[[#This Row],[Payment Number]]&lt;&gt;"",ScheduledPayment,"")</f>
        <v>543.5318932997908</v>
      </c>
      <c r="F375"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5"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5" s="25">
        <f ca="1">IF(PaymentSchedule3[[#This Row],[Payment Number]]&lt;&gt;"",PaymentSchedule3[[#This Row],[Total
Payment]]-PaymentSchedule3[[#This Row],[Interest]],"")</f>
        <v>536.79397180231513</v>
      </c>
      <c r="I375" s="25">
        <f ca="1">IF(PaymentSchedule3[[#This Row],[Payment Number]]&lt;&gt;"",PaymentSchedule3[[#This Row],[Beginning
Balance]]*(InterestRate/PaymentsPerYear),"")</f>
        <v>6.7379214974757042</v>
      </c>
      <c r="J375" s="50">
        <f ca="1">IF(PaymentSchedule3[[#This Row],[Payment Number]]&lt;&gt;"",IF(PaymentSchedule3[[#This Row],[Scheduled Payment]]+PaymentSchedule3[[#This Row],[Extra
Payment]]&lt;=PaymentSchedule3[[#This Row],[Beginning
Balance]],PaymentSchedule3[[#This Row],[Beginning
Balance]]-PaymentSchedule3[[#This Row],[Principal]],0),"")</f>
        <v>1080.307187591854</v>
      </c>
      <c r="K375" s="19">
        <f ca="1">IF(PaymentSchedule3[[#This Row],[Payment Number]]&lt;&gt;"",SUM(INDEX(PaymentSchedule3[Interest],1,1):PaymentSchedule3[[#This Row],[Interest]]),"")</f>
        <v>94414.724988917034</v>
      </c>
      <c r="L375" s="49">
        <f ca="1">LoanAmount-PaymentSchedule3[[#This Row],[Ending
Balance]]</f>
        <v>100169.69281240815</v>
      </c>
      <c r="M375" s="49">
        <f t="shared" ca="1" si="6"/>
        <v>908.5318932997908</v>
      </c>
      <c r="N375" s="25">
        <f ca="1">PaymentSchedule3[[#This Row],[Payment Number]]*$M$19</f>
        <v>325254.41780132509</v>
      </c>
    </row>
    <row r="376" spans="2:14" ht="15.75" x14ac:dyDescent="0.25">
      <c r="B376" s="23">
        <f ca="1">IF(LoanIsGood,IF(ROW()-ROW(PaymentSchedule3[[#Headers],[Payment Number]])&gt;ScheduledNumberOfPayments,"",ROW()-ROW(PaymentSchedule3[[#Headers],[Payment Number]])),"")</f>
        <v>359</v>
      </c>
      <c r="C376" s="24">
        <f ca="1">IF(PaymentSchedule3[[#This Row],[Payment Number]]&lt;&gt;"",EOMONTH(LoanStartDate,ROW(PaymentSchedule3[[#This Row],[Payment Number]])-ROW(PaymentSchedule3[[#Headers],[Payment Number]])-2)+DAY(LoanStartDate),"")</f>
        <v>55531</v>
      </c>
      <c r="D376" s="25">
        <f ca="1">IF(PaymentSchedule3[[#This Row],[Payment Number]]&lt;&gt;"",IF(ROW()-ROW(PaymentSchedule3[[#Headers],[Beginning
Balance]])=1,LoanAmount,INDEX(PaymentSchedule3[Ending
Balance],ROW()-ROW(PaymentSchedule3[[#Headers],[Beginning
Balance]])-1)),"")</f>
        <v>1080.307187591854</v>
      </c>
      <c r="E376" s="25">
        <f ca="1">IF(PaymentSchedule3[[#This Row],[Payment Number]]&lt;&gt;"",ScheduledPayment,"")</f>
        <v>543.5318932997908</v>
      </c>
      <c r="F376"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6"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543.5318932997908</v>
      </c>
      <c r="H376" s="25">
        <f ca="1">IF(PaymentSchedule3[[#This Row],[Payment Number]]&lt;&gt;"",PaymentSchedule3[[#This Row],[Total
Payment]]-PaymentSchedule3[[#This Row],[Interest]],"")</f>
        <v>539.03061335149141</v>
      </c>
      <c r="I376" s="25">
        <f ca="1">IF(PaymentSchedule3[[#This Row],[Payment Number]]&lt;&gt;"",PaymentSchedule3[[#This Row],[Beginning
Balance]]*(InterestRate/PaymentsPerYear),"")</f>
        <v>4.5012799482993913</v>
      </c>
      <c r="J376" s="50">
        <f ca="1">IF(PaymentSchedule3[[#This Row],[Payment Number]]&lt;&gt;"",IF(PaymentSchedule3[[#This Row],[Scheduled Payment]]+PaymentSchedule3[[#This Row],[Extra
Payment]]&lt;=PaymentSchedule3[[#This Row],[Beginning
Balance]],PaymentSchedule3[[#This Row],[Beginning
Balance]]-PaymentSchedule3[[#This Row],[Principal]],0),"")</f>
        <v>541.27657424036261</v>
      </c>
      <c r="K376" s="19">
        <f ca="1">IF(PaymentSchedule3[[#This Row],[Payment Number]]&lt;&gt;"",SUM(INDEX(PaymentSchedule3[Interest],1,1):PaymentSchedule3[[#This Row],[Interest]]),"")</f>
        <v>94419.226268865328</v>
      </c>
      <c r="L376" s="49">
        <f ca="1">LoanAmount-PaymentSchedule3[[#This Row],[Ending
Balance]]</f>
        <v>100708.72342575964</v>
      </c>
      <c r="M376" s="49">
        <f t="shared" ca="1" si="6"/>
        <v>906.27657424036261</v>
      </c>
      <c r="N376" s="25">
        <f ca="1">PaymentSchedule3[[#This Row],[Payment Number]]*$M$19</f>
        <v>326162.94969462487</v>
      </c>
    </row>
    <row r="377" spans="2:14" ht="15.75" x14ac:dyDescent="0.25">
      <c r="B377" s="23">
        <f ca="1">IF(LoanIsGood,IF(ROW()-ROW(PaymentSchedule3[[#Headers],[Payment Number]])&gt;ScheduledNumberOfPayments,"",ROW()-ROW(PaymentSchedule3[[#Headers],[Payment Number]])),"")</f>
        <v>360</v>
      </c>
      <c r="C377" s="24">
        <f ca="1">IF(PaymentSchedule3[[#This Row],[Payment Number]]&lt;&gt;"",EOMONTH(LoanStartDate,ROW(PaymentSchedule3[[#This Row],[Payment Number]])-ROW(PaymentSchedule3[[#Headers],[Payment Number]])-2)+DAY(LoanStartDate),"")</f>
        <v>55562</v>
      </c>
      <c r="D377" s="25">
        <f ca="1">IF(PaymentSchedule3[[#This Row],[Payment Number]]&lt;&gt;"",IF(ROW()-ROW(PaymentSchedule3[[#Headers],[Beginning
Balance]])=1,LoanAmount,INDEX(PaymentSchedule3[Ending
Balance],ROW()-ROW(PaymentSchedule3[[#Headers],[Beginning
Balance]])-1)),"")</f>
        <v>541.27657424036261</v>
      </c>
      <c r="E377" s="25">
        <f ca="1">IF(PaymentSchedule3[[#This Row],[Payment Number]]&lt;&gt;"",ScheduledPayment,"")</f>
        <v>543.5318932997908</v>
      </c>
      <c r="F377" s="25">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7" s="25">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541.27657424036261</v>
      </c>
      <c r="H377" s="25">
        <f ca="1">IF(PaymentSchedule3[[#This Row],[Payment Number]]&lt;&gt;"",PaymentSchedule3[[#This Row],[Total
Payment]]-PaymentSchedule3[[#This Row],[Interest]],"")</f>
        <v>539.02125518102775</v>
      </c>
      <c r="I377" s="25">
        <f ca="1">IF(PaymentSchedule3[[#This Row],[Payment Number]]&lt;&gt;"",PaymentSchedule3[[#This Row],[Beginning
Balance]]*(InterestRate/PaymentsPerYear),"")</f>
        <v>2.2553190593348442</v>
      </c>
      <c r="J377" s="50">
        <f ca="1">IF(PaymentSchedule3[[#This Row],[Payment Number]]&lt;&gt;"",IF(PaymentSchedule3[[#This Row],[Scheduled Payment]]+PaymentSchedule3[[#This Row],[Extra
Payment]]&lt;=PaymentSchedule3[[#This Row],[Beginning
Balance]],PaymentSchedule3[[#This Row],[Beginning
Balance]]-PaymentSchedule3[[#This Row],[Principal]],0),"")</f>
        <v>0</v>
      </c>
      <c r="K377" s="19">
        <f ca="1">IF(PaymentSchedule3[[#This Row],[Payment Number]]&lt;&gt;"",SUM(INDEX(PaymentSchedule3[Interest],1,1):PaymentSchedule3[[#This Row],[Interest]]),"")</f>
        <v>94421.48158792466</v>
      </c>
      <c r="L377" s="49">
        <f ca="1">LoanAmount-PaymentSchedule3[[#This Row],[Ending
Balance]]</f>
        <v>101250</v>
      </c>
      <c r="M377" s="49">
        <f ca="1">G377+$N$7+N$8+$N$9</f>
        <v>906.27657424036261</v>
      </c>
      <c r="N377" s="25">
        <f ca="1">PaymentSchedule3[[#This Row],[Payment Number]]*$M$19</f>
        <v>327071.4815879247</v>
      </c>
    </row>
    <row r="378" spans="2:14" ht="15.75" x14ac:dyDescent="0.25">
      <c r="B378" s="18" t="str">
        <f ca="1">IF(LoanIsGood,IF(ROW()-ROW(PaymentSchedule3[[#Headers],[Payment Number]])&gt;ScheduledNumberOfPayments,"",ROW()-ROW(PaymentSchedule3[[#Headers],[Payment Number]])),"")</f>
        <v/>
      </c>
      <c r="C378" s="9" t="str">
        <f ca="1">IF(PaymentSchedule3[[#This Row],[Payment Number]]&lt;&gt;"",EOMONTH(LoanStartDate,ROW(PaymentSchedule3[[#This Row],[Payment Number]])-ROW(PaymentSchedule3[[#Headers],[Payment Number]])-2)+DAY(LoanStartDate),"")</f>
        <v/>
      </c>
      <c r="D378" s="21" t="str">
        <f ca="1">IF(PaymentSchedule3[[#This Row],[Payment Number]]&lt;&gt;"",IF(ROW()-ROW(PaymentSchedule3[[#Headers],[Beginning
Balance]])=1,LoanAmount,INDEX(PaymentSchedule3[Ending
Balance],ROW()-ROW(PaymentSchedule3[[#Headers],[Beginning
Balance]])-1)),"")</f>
        <v/>
      </c>
      <c r="E378" s="21" t="str">
        <f ca="1">IF(PaymentSchedule3[[#This Row],[Payment Number]]&lt;&gt;"",ScheduledPayment,"")</f>
        <v/>
      </c>
      <c r="F378" s="21"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8" s="21"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8" s="21" t="str">
        <f ca="1">IF(PaymentSchedule3[[#This Row],[Payment Number]]&lt;&gt;"",PaymentSchedule3[[#This Row],[Total
Payment]]-PaymentSchedule3[[#This Row],[Interest]],"")</f>
        <v/>
      </c>
      <c r="I378" s="21" t="str">
        <f ca="1">IF(PaymentSchedule3[[#This Row],[Payment Number]]&lt;&gt;"",PaymentSchedule3[[#This Row],[Beginning
Balance]]*(InterestRate/PaymentsPerYear),"")</f>
        <v/>
      </c>
      <c r="J378" s="21" t="str">
        <f ca="1">IF(PaymentSchedule3[[#This Row],[Payment Number]]&lt;&gt;"",IF(PaymentSchedule3[[#This Row],[Scheduled Payment]]+PaymentSchedule3[[#This Row],[Extra
Payment]]&lt;=PaymentSchedule3[[#This Row],[Beginning
Balance]],PaymentSchedule3[[#This Row],[Beginning
Balance]]-PaymentSchedule3[[#This Row],[Principal]],0),"")</f>
        <v/>
      </c>
      <c r="K378" s="20" t="str">
        <f ca="1">IF(PaymentSchedule3[[#This Row],[Payment Number]]&lt;&gt;"",SUM(INDEX(PaymentSchedule3[Interest],1,1):PaymentSchedule3[[#This Row],[Interest]]),"")</f>
        <v/>
      </c>
      <c r="L378" s="26"/>
      <c r="M378" s="26"/>
    </row>
  </sheetData>
  <mergeCells count="26">
    <mergeCell ref="B9:D9"/>
    <mergeCell ref="B10:D10"/>
    <mergeCell ref="B15:D15"/>
    <mergeCell ref="G11:H11"/>
    <mergeCell ref="I11:K11"/>
    <mergeCell ref="I14:K14"/>
    <mergeCell ref="G15:H15"/>
    <mergeCell ref="I15:K15"/>
    <mergeCell ref="B12:D12"/>
    <mergeCell ref="G12:H12"/>
    <mergeCell ref="B13:D13"/>
    <mergeCell ref="I10:K10"/>
    <mergeCell ref="G10:H10"/>
    <mergeCell ref="I9:K9"/>
    <mergeCell ref="G9:H9"/>
    <mergeCell ref="I12:K12"/>
    <mergeCell ref="G7:H7"/>
    <mergeCell ref="I7:K7"/>
    <mergeCell ref="G8:H8"/>
    <mergeCell ref="I8:K8"/>
    <mergeCell ref="C2:K2"/>
    <mergeCell ref="B7:D7"/>
    <mergeCell ref="B8:D8"/>
    <mergeCell ref="B6:D6"/>
    <mergeCell ref="B5:D5"/>
    <mergeCell ref="G4:H4"/>
  </mergeCells>
  <phoneticPr fontId="28" type="noConversion"/>
  <conditionalFormatting sqref="B18:K378">
    <cfRule type="expression" dxfId="15" priority="2">
      <formula>($B18="")+(($D18=0)*($F18=0))</formula>
    </cfRule>
  </conditionalFormatting>
  <conditionalFormatting sqref="N18:N377">
    <cfRule type="expression" dxfId="14" priority="1">
      <formula>($B18="")+(($D18=0)*($F18=0))</formula>
    </cfRule>
  </conditionalFormatting>
  <dataValidations count="25">
    <dataValidation allowBlank="1" showInputMessage="1" showErrorMessage="1" prompt="Cumulative interest is automatically updated in this column" sqref="K17" xr:uid="{39FCF65A-8BF2-4A41-956A-9264E8590921}"/>
    <dataValidation allowBlank="1" showInputMessage="1" showErrorMessage="1" prompt="Ending balance is automatically updated in this column" sqref="J17" xr:uid="{9E9FE9EC-8AAF-4F4C-8DD9-0DD4E618C907}"/>
    <dataValidation allowBlank="1" showInputMessage="1" showErrorMessage="1" prompt="Interest is automatically updated in this column" sqref="I17" xr:uid="{46B3C13B-2AD3-488F-B3D3-CDE3BD29EE21}"/>
    <dataValidation allowBlank="1" showInputMessage="1" showErrorMessage="1" prompt="Principal is automatically updated in this column" sqref="H17" xr:uid="{06FC0B54-F6BE-4962-88AF-58C6CF8BFA28}"/>
    <dataValidation allowBlank="1" showInputMessage="1" showErrorMessage="1" prompt="Total payment is automatically updated in this column" sqref="G17" xr:uid="{879F7196-49CB-4D6D-AF3E-A97252EA5D0E}"/>
    <dataValidation allowBlank="1" showInputMessage="1" showErrorMessage="1" prompt="Extra payment is automatically updated in this column" sqref="F17" xr:uid="{9319C4EA-8B01-41B2-8CEC-4840852D26BD}"/>
    <dataValidation allowBlank="1" showInputMessage="1" showErrorMessage="1" prompt="Scheduled payment is automatically updated in this column" sqref="E17" xr:uid="{AC827F85-C60C-4034-B766-81C176B18CAB}"/>
    <dataValidation allowBlank="1" showInputMessage="1" showErrorMessage="1" prompt="Beginning balance is automatically updated in this column" sqref="D17" xr:uid="{2E0465BF-3149-4770-AEF5-578C39256318}"/>
    <dataValidation allowBlank="1" showInputMessage="1" showErrorMessage="1" prompt="Payment date is automatically updated in this column" sqref="C17" xr:uid="{325B9C27-C801-4377-A9FF-2E51A0980179}"/>
    <dataValidation allowBlank="1" showInputMessage="1" showErrorMessage="1" prompt="Payment number is automatically updated in this column" sqref="B17" xr:uid="{7CD0DAF3-B8F5-4728-9D9A-857ACB918E70}"/>
    <dataValidation allowBlank="1" showInputMessage="1" showErrorMessage="1" prompt="Automatically updated total early payments" sqref="I10" xr:uid="{3883319A-5381-4298-8BB5-27FAE8093B26}"/>
    <dataValidation allowBlank="1" showInputMessage="1" showErrorMessage="1" prompt="Automatically updated actual number of payments" sqref="I9" xr:uid="{600C4CB5-0E5A-4CEE-BC4A-375DABB3F52A}"/>
    <dataValidation allowBlank="1" showInputMessage="1" showErrorMessage="1" prompt="Automatically updated scheduled number of payments" sqref="I8" xr:uid="{9388C63A-AFBA-4C17-AB2F-0D309F8CB992}"/>
    <dataValidation allowBlank="1" showInputMessage="1" showErrorMessage="1" prompt="Automatically updated scheduled payment amount" sqref="I7" xr:uid="{F2DD4887-845B-455E-BAEB-57AC02B59F2F}"/>
    <dataValidation allowBlank="1" showInputMessage="1" showErrorMessage="1" prompt="Automatically calculated total interest" sqref="I11:I13" xr:uid="{B6A179D9-4B93-4C7C-810A-F12B7FC8EE4B}"/>
    <dataValidation allowBlank="1" showInputMessage="1" showErrorMessage="1" prompt="Enter the amount of extra payment in this cell" sqref="E15" xr:uid="{E7BD987D-D7CA-4DBA-99CC-298791804D75}"/>
    <dataValidation allowBlank="1" showInputMessage="1" showErrorMessage="1" prompt="Enter the start date of loan in this cell" sqref="E11:E13" xr:uid="{FC353A50-0E99-4F96-BF86-15FD00A62E5B}"/>
    <dataValidation allowBlank="1" showInputMessage="1" showErrorMessage="1" prompt="Enter the number of payments to be made in a year in this cell" sqref="E10" xr:uid="{6080DD76-3A8E-4C1B-8CE2-553DA61F4240}"/>
    <dataValidation allowBlank="1" showInputMessage="1" showErrorMessage="1" prompt="Enter loan period in years in this cell" sqref="E9" xr:uid="{0397BDA9-9E78-4890-A6B2-28C2D9B7E9A3}"/>
    <dataValidation allowBlank="1" showInputMessage="1" showErrorMessage="1" prompt="Enter interest rate to be paid annually in this cell" sqref="E8" xr:uid="{D4A44E56-2418-495E-9BCA-5BCFE5E96E74}"/>
    <dataValidation allowBlank="1" showInputMessage="1" showErrorMessage="1" prompt="Enter Loan Amount in this cell" sqref="E7" xr:uid="{A8FD2C6B-0619-4385-9C1B-BB9E89167B95}"/>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3A360FA2-AC80-4D4C-A182-5949DE831937}"/>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Loan Summary fields from I5 to I9 are automatically adjusted based on the values entered in cells E5 to E9. Enter the Lender's name in I11._x000a__x000a_Description of each value can be found in column I." sqref="G5:G6 M4:M6" xr:uid="{E66544D4-4148-4B97-A686-62F3E8BA6D42}"/>
  </dataValidations>
  <printOptions horizontalCentered="1"/>
  <pageMargins left="0.4" right="0.4" top="0.4" bottom="0.5" header="0.3" footer="0.3"/>
  <pageSetup scale="57"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1C916AAA-B92E-4B63-85B8-AAE6B615F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666D08-E803-410C-AADE-B689A81EAADD}">
  <ds:schemaRefs>
    <ds:schemaRef ds:uri="http://schemas.microsoft.com/sharepoint/v3/contenttype/forms"/>
  </ds:schemaRefs>
</ds:datastoreItem>
</file>

<file path=customXml/itemProps3.xml><?xml version="1.0" encoding="utf-8"?>
<ds:datastoreItem xmlns:ds="http://schemas.openxmlformats.org/officeDocument/2006/customXml" ds:itemID="{5C5FC484-22E1-46B8-AF82-A10C8B95E93A}">
  <ds:schemaRefs>
    <ds:schemaRef ds:uri="http://purl.org/dc/elements/1.1/"/>
    <ds:schemaRef ds:uri="http://schemas.microsoft.com/office/2006/metadata/propertie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71af3243-3dd4-4a8d-8c0d-dd76da1f02a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TM03986974</Template>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2020-08-04T04:24:44Z</dcterms:created>
  <dcterms:modified xsi:type="dcterms:W3CDTF">2022-03-13T17:48:25Z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