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inyoagllcmining-my.sharepoint.com/personal/crushinstone_inyoagllcmining_onmicrosoft_com/Documents/Documents/Darwin Operating Documents/"/>
    </mc:Choice>
  </mc:AlternateContent>
  <xr:revisionPtr revIDLastSave="0" documentId="8_{EB1AAA11-DB23-4FBE-9A3D-0C041B0062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shboard" sheetId="45" r:id="rId1"/>
    <sheet name="10 Year Pro Forma" sheetId="28" r:id="rId2"/>
    <sheet name="Sensitivity Analysis" sheetId="41" r:id="rId3"/>
    <sheet name="Ancillary Revenues" sheetId="43" r:id="rId4"/>
    <sheet name="Assumptions" sheetId="25" r:id="rId5"/>
    <sheet name="Ore Assumptions" sheetId="44" r:id="rId6"/>
    <sheet name="Commodity Prices" sheetId="33" r:id="rId7"/>
    <sheet name="Mining Cost Assumptions" sheetId="5" r:id="rId8"/>
    <sheet name="Combined CAPEX" sheetId="40" r:id="rId9"/>
    <sheet name="WS - CAPEX" sheetId="26" r:id="rId10"/>
    <sheet name="Darwin - CAPEX" sheetId="27" r:id="rId11"/>
    <sheet name="Depreciation" sheetId="38" r:id="rId12"/>
    <sheet name="Tungsten Model" sheetId="31" r:id="rId13"/>
    <sheet name="Metals Model" sheetId="32" r:id="rId14"/>
    <sheet name="CM Model" sheetId="34" r:id="rId15"/>
    <sheet name="Zinc Agra" sheetId="37" r:id="rId16"/>
    <sheet name="Production Schedule" sheetId="42" r:id="rId17"/>
    <sheet name="Mining Costs" sheetId="36" r:id="rId18"/>
    <sheet name="Debt Model" sheetId="39" r:id="rId19"/>
    <sheet name="Sheet 1" sheetId="17" state="hidden" r:id="rId20"/>
  </sheets>
  <externalReferences>
    <externalReference r:id="rId2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42" l="1"/>
  <c r="M36" i="42"/>
  <c r="L36" i="42"/>
  <c r="K36" i="42"/>
  <c r="J36" i="42"/>
  <c r="I36" i="42"/>
  <c r="H36" i="42"/>
  <c r="G36" i="42"/>
  <c r="F36" i="42"/>
  <c r="M40" i="42"/>
  <c r="L40" i="42"/>
  <c r="K40" i="42"/>
  <c r="J40" i="42"/>
  <c r="I40" i="42"/>
  <c r="H40" i="42"/>
  <c r="G40" i="42"/>
  <c r="F40" i="42"/>
  <c r="E40" i="42"/>
  <c r="M39" i="42"/>
  <c r="L39" i="42"/>
  <c r="K39" i="42"/>
  <c r="J39" i="42"/>
  <c r="I39" i="42"/>
  <c r="H39" i="42"/>
  <c r="G39" i="42"/>
  <c r="F39" i="42"/>
  <c r="E39" i="42"/>
  <c r="M52" i="42"/>
  <c r="M38" i="42" s="1"/>
  <c r="M24" i="42" s="1"/>
  <c r="L52" i="42"/>
  <c r="L38" i="42" s="1"/>
  <c r="L24" i="42" s="1"/>
  <c r="K52" i="42"/>
  <c r="K38" i="42" s="1"/>
  <c r="K24" i="42" s="1"/>
  <c r="J52" i="42"/>
  <c r="J38" i="42" s="1"/>
  <c r="J24" i="42" s="1"/>
  <c r="I52" i="42"/>
  <c r="I38" i="42" s="1"/>
  <c r="I24" i="42" s="1"/>
  <c r="H52" i="42"/>
  <c r="H38" i="42" s="1"/>
  <c r="H24" i="42" s="1"/>
  <c r="G52" i="42"/>
  <c r="G38" i="42" s="1"/>
  <c r="G24" i="42" s="1"/>
  <c r="F52" i="42"/>
  <c r="F38" i="42" s="1"/>
  <c r="F24" i="42" s="1"/>
  <c r="E52" i="42"/>
  <c r="E38" i="42" s="1"/>
  <c r="E24" i="42" s="1"/>
  <c r="M51" i="42"/>
  <c r="M37" i="42" s="1"/>
  <c r="M23" i="42" s="1"/>
  <c r="L51" i="42"/>
  <c r="L37" i="42" s="1"/>
  <c r="L23" i="42" s="1"/>
  <c r="K51" i="42"/>
  <c r="K37" i="42" s="1"/>
  <c r="K23" i="42" s="1"/>
  <c r="J51" i="42"/>
  <c r="J37" i="42" s="1"/>
  <c r="J23" i="42" s="1"/>
  <c r="I51" i="42"/>
  <c r="I37" i="42" s="1"/>
  <c r="I23" i="42" s="1"/>
  <c r="H51" i="42"/>
  <c r="H37" i="42" s="1"/>
  <c r="H23" i="42" s="1"/>
  <c r="G51" i="42"/>
  <c r="G37" i="42" s="1"/>
  <c r="G23" i="42" s="1"/>
  <c r="F51" i="42"/>
  <c r="F37" i="42" s="1"/>
  <c r="F23" i="42" s="1"/>
  <c r="E51" i="42"/>
  <c r="E37" i="42" s="1"/>
  <c r="E23" i="42" s="1"/>
  <c r="D52" i="42"/>
  <c r="D51" i="42"/>
  <c r="D50" i="42"/>
  <c r="E22" i="42"/>
  <c r="E36" i="42"/>
  <c r="D29" i="42"/>
  <c r="M50" i="42"/>
  <c r="L50" i="42"/>
  <c r="K50" i="42"/>
  <c r="J50" i="42"/>
  <c r="I50" i="42"/>
  <c r="H50" i="42"/>
  <c r="G50" i="42"/>
  <c r="F50" i="42"/>
  <c r="E50" i="42"/>
  <c r="M26" i="42"/>
  <c r="L26" i="42"/>
  <c r="K26" i="42"/>
  <c r="J26" i="42"/>
  <c r="I26" i="42"/>
  <c r="H26" i="42"/>
  <c r="G26" i="42"/>
  <c r="F26" i="42"/>
  <c r="E26" i="42"/>
  <c r="D26" i="42"/>
  <c r="M25" i="42"/>
  <c r="L25" i="42"/>
  <c r="K25" i="42"/>
  <c r="J25" i="42"/>
  <c r="I25" i="42"/>
  <c r="H25" i="42"/>
  <c r="G25" i="42"/>
  <c r="F25" i="42"/>
  <c r="E25" i="42"/>
  <c r="D25" i="42"/>
  <c r="G11" i="42"/>
  <c r="H11" i="42" s="1"/>
  <c r="F11" i="42"/>
  <c r="E11" i="42"/>
  <c r="DR12" i="32"/>
  <c r="DQ12" i="32"/>
  <c r="DP12" i="32"/>
  <c r="DO12" i="32"/>
  <c r="DN12" i="32"/>
  <c r="DM12" i="32"/>
  <c r="DL12" i="32"/>
  <c r="DK12" i="32"/>
  <c r="DJ12" i="32"/>
  <c r="DI12" i="32"/>
  <c r="DH12" i="32"/>
  <c r="DG12" i="32"/>
  <c r="DF12" i="32"/>
  <c r="DE12" i="32"/>
  <c r="DD12" i="32"/>
  <c r="DC12" i="32"/>
  <c r="DB12" i="32"/>
  <c r="DA12" i="32"/>
  <c r="CZ12" i="32"/>
  <c r="CY12" i="32"/>
  <c r="CX12" i="32"/>
  <c r="CW12" i="32"/>
  <c r="CV12" i="32"/>
  <c r="CU12" i="32"/>
  <c r="CT12" i="32"/>
  <c r="CS12" i="32"/>
  <c r="CR12" i="32"/>
  <c r="CQ12" i="32"/>
  <c r="CP12" i="32"/>
  <c r="CO12" i="32"/>
  <c r="CN12" i="32"/>
  <c r="CM12" i="32"/>
  <c r="CL12" i="32"/>
  <c r="CK12" i="32"/>
  <c r="CJ12" i="32"/>
  <c r="CI12" i="32"/>
  <c r="CH12" i="32"/>
  <c r="CG12" i="32"/>
  <c r="CF12" i="32"/>
  <c r="CE12" i="32"/>
  <c r="CD12" i="32"/>
  <c r="CC12" i="32"/>
  <c r="CB12" i="32"/>
  <c r="CA12" i="32"/>
  <c r="BZ12" i="32"/>
  <c r="BY12" i="32"/>
  <c r="BX12" i="32"/>
  <c r="BW12" i="32"/>
  <c r="BV12" i="32"/>
  <c r="BU12" i="32"/>
  <c r="BT12" i="32"/>
  <c r="BS12" i="32"/>
  <c r="BR12" i="32"/>
  <c r="BQ12" i="32"/>
  <c r="BP12" i="32"/>
  <c r="BO12" i="32"/>
  <c r="BN12" i="32"/>
  <c r="BM12" i="32"/>
  <c r="BL12" i="32"/>
  <c r="BK12" i="32"/>
  <c r="BJ12" i="32"/>
  <c r="BI12" i="32"/>
  <c r="BH12" i="32"/>
  <c r="BG12" i="32"/>
  <c r="BF12" i="32"/>
  <c r="BE12" i="32"/>
  <c r="BD12" i="32"/>
  <c r="BC12" i="32"/>
  <c r="BB12" i="32"/>
  <c r="BA12" i="32"/>
  <c r="AZ12" i="32"/>
  <c r="AY12" i="32"/>
  <c r="AX12" i="32"/>
  <c r="AW12" i="32"/>
  <c r="AV12" i="32"/>
  <c r="AU12" i="32"/>
  <c r="AT12" i="32"/>
  <c r="AS12" i="32"/>
  <c r="AR12" i="32"/>
  <c r="AQ12" i="32"/>
  <c r="AP12" i="32"/>
  <c r="AO12" i="32"/>
  <c r="AN12" i="32"/>
  <c r="AM12" i="32"/>
  <c r="AL12" i="32"/>
  <c r="AK12" i="32"/>
  <c r="AJ12" i="32"/>
  <c r="AI12" i="32"/>
  <c r="AH12" i="32"/>
  <c r="AG12" i="32"/>
  <c r="AF12" i="32"/>
  <c r="AE12" i="32"/>
  <c r="AD12" i="32"/>
  <c r="AC12" i="32"/>
  <c r="AB12" i="32"/>
  <c r="AA12" i="32"/>
  <c r="Z12" i="32"/>
  <c r="Y12" i="32"/>
  <c r="X12" i="32"/>
  <c r="W12" i="32"/>
  <c r="V12" i="32"/>
  <c r="U12" i="32"/>
  <c r="T12" i="32"/>
  <c r="S12" i="32"/>
  <c r="R12" i="32"/>
  <c r="Q12" i="32"/>
  <c r="P12" i="32"/>
  <c r="O12" i="32"/>
  <c r="N12" i="32"/>
  <c r="M12" i="32"/>
  <c r="L12" i="32"/>
  <c r="K12" i="32"/>
  <c r="J12" i="32"/>
  <c r="I12" i="32"/>
  <c r="H12" i="32"/>
  <c r="G12" i="32"/>
  <c r="F12" i="32"/>
  <c r="E12" i="32"/>
  <c r="D12" i="32"/>
  <c r="C12" i="32"/>
  <c r="M21" i="41"/>
  <c r="L21" i="41"/>
  <c r="K21" i="41"/>
  <c r="J21" i="41"/>
  <c r="I21" i="41"/>
  <c r="H21" i="41"/>
  <c r="G21" i="41"/>
  <c r="F21" i="41"/>
  <c r="E21" i="41"/>
  <c r="D21" i="41"/>
  <c r="L20" i="45"/>
  <c r="K20" i="45"/>
  <c r="J20" i="45"/>
  <c r="I20" i="45"/>
  <c r="H20" i="45"/>
  <c r="G20" i="45"/>
  <c r="F20" i="45"/>
  <c r="E20" i="45"/>
  <c r="D20" i="45"/>
  <c r="C20" i="45"/>
  <c r="H14" i="45"/>
  <c r="G14" i="45"/>
  <c r="F14" i="45"/>
  <c r="E14" i="45"/>
  <c r="D14" i="45"/>
  <c r="C14" i="45"/>
  <c r="J11" i="45"/>
  <c r="E11" i="45"/>
  <c r="E9" i="45"/>
  <c r="J10" i="45"/>
  <c r="J9" i="45"/>
  <c r="J8" i="45"/>
  <c r="J7" i="45"/>
  <c r="J6" i="45"/>
  <c r="F33" i="42"/>
  <c r="G33" i="42" s="1"/>
  <c r="H33" i="42" s="1"/>
  <c r="I33" i="42" s="1"/>
  <c r="J33" i="42" s="1"/>
  <c r="K33" i="42" s="1"/>
  <c r="F32" i="42"/>
  <c r="G32" i="42" s="1"/>
  <c r="H32" i="42" s="1"/>
  <c r="I32" i="42" s="1"/>
  <c r="J32" i="42" s="1"/>
  <c r="K32" i="42" s="1"/>
  <c r="L32" i="42" s="1"/>
  <c r="M32" i="42" s="1"/>
  <c r="F31" i="42"/>
  <c r="G31" i="42" s="1"/>
  <c r="H31" i="42" s="1"/>
  <c r="I31" i="42" s="1"/>
  <c r="J31" i="42" s="1"/>
  <c r="K31" i="42" s="1"/>
  <c r="L31" i="42" s="1"/>
  <c r="M31" i="42" s="1"/>
  <c r="F30" i="42"/>
  <c r="G30" i="42" s="1"/>
  <c r="H30" i="42" s="1"/>
  <c r="I30" i="42" s="1"/>
  <c r="J30" i="42" s="1"/>
  <c r="K30" i="42" s="1"/>
  <c r="L30" i="42" s="1"/>
  <c r="M30" i="42" s="1"/>
  <c r="E31" i="42"/>
  <c r="E32" i="42"/>
  <c r="E33" i="42"/>
  <c r="E30" i="42"/>
  <c r="D30" i="42"/>
  <c r="D31" i="42"/>
  <c r="D32" i="42"/>
  <c r="D33" i="42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D9" i="31"/>
  <c r="DC9" i="31"/>
  <c r="DB9" i="31"/>
  <c r="DA9" i="31"/>
  <c r="CZ9" i="31"/>
  <c r="CY9" i="31"/>
  <c r="CX9" i="31"/>
  <c r="CW9" i="31"/>
  <c r="CV9" i="31"/>
  <c r="CU9" i="31"/>
  <c r="CT9" i="31"/>
  <c r="CS9" i="31"/>
  <c r="CR9" i="31"/>
  <c r="CQ9" i="31"/>
  <c r="CP9" i="31"/>
  <c r="CO9" i="31"/>
  <c r="CN9" i="31"/>
  <c r="CM9" i="31"/>
  <c r="CL9" i="31"/>
  <c r="CK9" i="31"/>
  <c r="CJ9" i="31"/>
  <c r="CI9" i="31"/>
  <c r="CH9" i="31"/>
  <c r="CG9" i="31"/>
  <c r="CF9" i="31"/>
  <c r="CE9" i="31"/>
  <c r="CD9" i="31"/>
  <c r="CC9" i="31"/>
  <c r="CB9" i="31"/>
  <c r="CA9" i="31"/>
  <c r="BZ9" i="31"/>
  <c r="BY9" i="31"/>
  <c r="BX9" i="31"/>
  <c r="BW9" i="31"/>
  <c r="BV9" i="31"/>
  <c r="BU9" i="31"/>
  <c r="BT9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AU9" i="31"/>
  <c r="AT9" i="31"/>
  <c r="AS9" i="31"/>
  <c r="AR9" i="31"/>
  <c r="AQ9" i="31"/>
  <c r="AP9" i="31"/>
  <c r="AO9" i="31"/>
  <c r="AN9" i="31"/>
  <c r="AM9" i="31"/>
  <c r="AL9" i="31"/>
  <c r="AK9" i="31"/>
  <c r="AJ9" i="31"/>
  <c r="AI9" i="31"/>
  <c r="AH9" i="31"/>
  <c r="AG9" i="31"/>
  <c r="AF9" i="31"/>
  <c r="AE9" i="31"/>
  <c r="AD9" i="31"/>
  <c r="AC9" i="31"/>
  <c r="AB9" i="31"/>
  <c r="AA9" i="31"/>
  <c r="Z9" i="31"/>
  <c r="Y9" i="31"/>
  <c r="X9" i="31"/>
  <c r="W9" i="31"/>
  <c r="V9" i="31"/>
  <c r="U9" i="31"/>
  <c r="T9" i="31"/>
  <c r="S9" i="31"/>
  <c r="R9" i="31"/>
  <c r="Q9" i="31"/>
  <c r="P9" i="31"/>
  <c r="O9" i="31"/>
  <c r="N9" i="31"/>
  <c r="M9" i="31"/>
  <c r="L9" i="31"/>
  <c r="K9" i="31"/>
  <c r="J9" i="31"/>
  <c r="I9" i="31"/>
  <c r="H9" i="31"/>
  <c r="G9" i="31"/>
  <c r="F9" i="31"/>
  <c r="E9" i="31"/>
  <c r="D9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D8" i="31"/>
  <c r="DC8" i="31"/>
  <c r="DB8" i="31"/>
  <c r="DA8" i="31"/>
  <c r="CZ8" i="31"/>
  <c r="CY8" i="31"/>
  <c r="CX8" i="31"/>
  <c r="CW8" i="31"/>
  <c r="CV8" i="31"/>
  <c r="CU8" i="31"/>
  <c r="CT8" i="31"/>
  <c r="CS8" i="31"/>
  <c r="CR8" i="31"/>
  <c r="CQ8" i="31"/>
  <c r="CP8" i="31"/>
  <c r="CO8" i="31"/>
  <c r="CN8" i="31"/>
  <c r="CM8" i="31"/>
  <c r="CL8" i="31"/>
  <c r="CK8" i="31"/>
  <c r="CJ8" i="31"/>
  <c r="CI8" i="31"/>
  <c r="CH8" i="31"/>
  <c r="CG8" i="31"/>
  <c r="CF8" i="31"/>
  <c r="CE8" i="31"/>
  <c r="CD8" i="31"/>
  <c r="CC8" i="31"/>
  <c r="CB8" i="31"/>
  <c r="CA8" i="31"/>
  <c r="BZ8" i="31"/>
  <c r="BY8" i="31"/>
  <c r="BX8" i="31"/>
  <c r="BW8" i="31"/>
  <c r="BV8" i="31"/>
  <c r="BU8" i="31"/>
  <c r="BT8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AU8" i="31"/>
  <c r="AT8" i="31"/>
  <c r="AS8" i="31"/>
  <c r="AR8" i="31"/>
  <c r="AQ8" i="31"/>
  <c r="AP8" i="31"/>
  <c r="AO8" i="31"/>
  <c r="AN8" i="31"/>
  <c r="AM8" i="31"/>
  <c r="AL8" i="31"/>
  <c r="AK8" i="31"/>
  <c r="AJ8" i="31"/>
  <c r="AI8" i="31"/>
  <c r="AH8" i="31"/>
  <c r="AG8" i="31"/>
  <c r="AF8" i="31"/>
  <c r="AE8" i="31"/>
  <c r="AD8" i="31"/>
  <c r="AC8" i="31"/>
  <c r="AB8" i="31"/>
  <c r="AA8" i="31"/>
  <c r="Z8" i="31"/>
  <c r="Y8" i="31"/>
  <c r="X8" i="31"/>
  <c r="W8" i="31"/>
  <c r="V8" i="31"/>
  <c r="U8" i="31"/>
  <c r="T8" i="31"/>
  <c r="S8" i="31"/>
  <c r="R8" i="31"/>
  <c r="Q8" i="31"/>
  <c r="P8" i="31"/>
  <c r="O8" i="31"/>
  <c r="N8" i="31"/>
  <c r="M8" i="31"/>
  <c r="L8" i="31"/>
  <c r="K8" i="31"/>
  <c r="J8" i="31"/>
  <c r="I8" i="31"/>
  <c r="H8" i="31"/>
  <c r="G8" i="31"/>
  <c r="F8" i="31"/>
  <c r="E8" i="31"/>
  <c r="D8" i="31"/>
  <c r="C9" i="31"/>
  <c r="C8" i="31"/>
  <c r="C15" i="37"/>
  <c r="E7" i="32"/>
  <c r="E8" i="32"/>
  <c r="E6" i="32"/>
  <c r="K34" i="25"/>
  <c r="K35" i="25"/>
  <c r="K36" i="25"/>
  <c r="K37" i="25"/>
  <c r="K33" i="25"/>
  <c r="M33" i="25" s="1"/>
  <c r="I34" i="25"/>
  <c r="I35" i="25"/>
  <c r="I36" i="25"/>
  <c r="M36" i="25" s="1"/>
  <c r="I37" i="25"/>
  <c r="I33" i="25"/>
  <c r="I31" i="25"/>
  <c r="M37" i="25"/>
  <c r="L37" i="25"/>
  <c r="M35" i="25"/>
  <c r="M34" i="25"/>
  <c r="L34" i="25"/>
  <c r="D45" i="42"/>
  <c r="D38" i="42" s="1"/>
  <c r="D24" i="42" s="1"/>
  <c r="D46" i="42"/>
  <c r="D47" i="42"/>
  <c r="D44" i="42"/>
  <c r="C8" i="32"/>
  <c r="C7" i="32"/>
  <c r="C6" i="32"/>
  <c r="C33" i="25"/>
  <c r="E47" i="42"/>
  <c r="D14" i="25"/>
  <c r="D44" i="44"/>
  <c r="D7" i="32"/>
  <c r="D8" i="32"/>
  <c r="C34" i="25"/>
  <c r="C35" i="25"/>
  <c r="C36" i="25"/>
  <c r="C37" i="25"/>
  <c r="D45" i="44"/>
  <c r="E45" i="44"/>
  <c r="D46" i="44"/>
  <c r="E46" i="44"/>
  <c r="D47" i="44"/>
  <c r="E47" i="44"/>
  <c r="D48" i="44"/>
  <c r="E48" i="44"/>
  <c r="E44" i="44"/>
  <c r="C16" i="37"/>
  <c r="F8" i="25"/>
  <c r="C31" i="25"/>
  <c r="C25" i="25"/>
  <c r="C26" i="25"/>
  <c r="E26" i="25" s="1"/>
  <c r="C27" i="25"/>
  <c r="C28" i="25"/>
  <c r="C24" i="25"/>
  <c r="D37" i="42" l="1"/>
  <c r="D23" i="42" s="1"/>
  <c r="D39" i="42"/>
  <c r="D53" i="42"/>
  <c r="D40" i="42"/>
  <c r="D54" i="42" s="1"/>
  <c r="I11" i="42"/>
  <c r="C18" i="37"/>
  <c r="G6" i="32"/>
  <c r="G7" i="32"/>
  <c r="G8" i="32"/>
  <c r="K47" i="42"/>
  <c r="L33" i="42"/>
  <c r="L35" i="25"/>
  <c r="L33" i="25"/>
  <c r="L36" i="25"/>
  <c r="F8" i="32"/>
  <c r="F7" i="32"/>
  <c r="J47" i="42"/>
  <c r="I47" i="42"/>
  <c r="H47" i="42"/>
  <c r="G47" i="42"/>
  <c r="F47" i="42"/>
  <c r="C45" i="44"/>
  <c r="C46" i="44"/>
  <c r="C47" i="44"/>
  <c r="C48" i="44"/>
  <c r="C44" i="44"/>
  <c r="C30" i="44"/>
  <c r="C33" i="44" s="1"/>
  <c r="E33" i="44" s="1"/>
  <c r="F33" i="44" s="1"/>
  <c r="E27" i="44"/>
  <c r="F27" i="44" s="1"/>
  <c r="E26" i="44"/>
  <c r="F26" i="44" s="1"/>
  <c r="E24" i="44"/>
  <c r="F24" i="44" s="1"/>
  <c r="E23" i="44"/>
  <c r="F23" i="44" s="1"/>
  <c r="E16" i="44"/>
  <c r="F16" i="44" s="1"/>
  <c r="D6" i="44"/>
  <c r="D7" i="44"/>
  <c r="D5" i="44"/>
  <c r="C42" i="44" s="1"/>
  <c r="O17" i="44"/>
  <c r="T17" i="44" s="1" a="1"/>
  <c r="T17" i="44" s="1"/>
  <c r="O24" i="44"/>
  <c r="T24" i="44" s="1"/>
  <c r="E14" i="44"/>
  <c r="F14" i="44" s="1"/>
  <c r="E18" i="44"/>
  <c r="F18" i="44" s="1"/>
  <c r="E15" i="44"/>
  <c r="F15" i="44" s="1"/>
  <c r="E17" i="44"/>
  <c r="F17" i="44" s="1"/>
  <c r="C23" i="41"/>
  <c r="I6" i="25"/>
  <c r="D22" i="41"/>
  <c r="E22" i="41" s="1"/>
  <c r="F22" i="41" s="1"/>
  <c r="G22" i="41" s="1"/>
  <c r="H22" i="41" s="1"/>
  <c r="I22" i="41" s="1"/>
  <c r="J22" i="41" s="1"/>
  <c r="K22" i="41" s="1"/>
  <c r="L22" i="41" s="1"/>
  <c r="M22" i="41" s="1"/>
  <c r="C9" i="33"/>
  <c r="J11" i="42" l="1"/>
  <c r="M33" i="42"/>
  <c r="M47" i="42" s="1"/>
  <c r="L47" i="42"/>
  <c r="F47" i="44"/>
  <c r="F46" i="44"/>
  <c r="F45" i="44"/>
  <c r="I12" i="44"/>
  <c r="I21" i="44"/>
  <c r="I15" i="44"/>
  <c r="K15" i="44" s="1"/>
  <c r="L15" i="44" s="1"/>
  <c r="I24" i="44"/>
  <c r="K24" i="44" s="1"/>
  <c r="L24" i="44" s="1"/>
  <c r="I30" i="44"/>
  <c r="C32" i="44"/>
  <c r="E32" i="44" s="1"/>
  <c r="F32" i="44" s="1"/>
  <c r="C36" i="44"/>
  <c r="E36" i="44" s="1"/>
  <c r="F36" i="44" s="1"/>
  <c r="C35" i="44"/>
  <c r="E35" i="44" s="1"/>
  <c r="F35" i="44" s="1"/>
  <c r="P17" i="44" a="1"/>
  <c r="P17" i="44" s="1"/>
  <c r="Q17" i="44" a="1"/>
  <c r="Q17" i="44" s="1"/>
  <c r="R17" i="44" a="1"/>
  <c r="R17" i="44" s="1"/>
  <c r="S17" i="44" a="1"/>
  <c r="S17" i="44" s="1"/>
  <c r="P24" i="44"/>
  <c r="Q24" i="44"/>
  <c r="R24" i="44"/>
  <c r="S24" i="44"/>
  <c r="K46" i="42"/>
  <c r="K45" i="42"/>
  <c r="K44" i="42"/>
  <c r="C7" i="42"/>
  <c r="L14" i="42" s="1"/>
  <c r="D18" i="42"/>
  <c r="D19" i="42"/>
  <c r="G7" i="42"/>
  <c r="K11" i="42" l="1"/>
  <c r="I33" i="44"/>
  <c r="K33" i="44" s="1"/>
  <c r="L33" i="44" s="1"/>
  <c r="I23" i="44"/>
  <c r="K23" i="44" s="1"/>
  <c r="I17" i="44"/>
  <c r="I18" i="44"/>
  <c r="I14" i="44"/>
  <c r="K14" i="44" s="1"/>
  <c r="L14" i="44" s="1"/>
  <c r="I25" i="44"/>
  <c r="K25" i="44" s="1"/>
  <c r="L25" i="44" s="1"/>
  <c r="I16" i="44"/>
  <c r="I26" i="44"/>
  <c r="K26" i="44" s="1"/>
  <c r="L26" i="44" s="1"/>
  <c r="I27" i="44"/>
  <c r="K27" i="44" s="1"/>
  <c r="E34" i="25"/>
  <c r="E46" i="42"/>
  <c r="M46" i="42"/>
  <c r="F46" i="42"/>
  <c r="G46" i="42"/>
  <c r="I46" i="42"/>
  <c r="J46" i="42"/>
  <c r="L46" i="42"/>
  <c r="H46" i="42"/>
  <c r="E45" i="42"/>
  <c r="M45" i="42"/>
  <c r="G45" i="42"/>
  <c r="F45" i="42"/>
  <c r="I45" i="42"/>
  <c r="J45" i="42"/>
  <c r="L45" i="42"/>
  <c r="H45" i="42"/>
  <c r="M44" i="42"/>
  <c r="F44" i="42"/>
  <c r="G44" i="42"/>
  <c r="H44" i="42"/>
  <c r="J44" i="42"/>
  <c r="L44" i="42"/>
  <c r="E44" i="42"/>
  <c r="I44" i="42"/>
  <c r="F14" i="42"/>
  <c r="F15" i="42" s="1"/>
  <c r="G14" i="42"/>
  <c r="G15" i="42" s="1"/>
  <c r="L15" i="42"/>
  <c r="L16" i="42"/>
  <c r="E14" i="42"/>
  <c r="M14" i="42"/>
  <c r="H14" i="42"/>
  <c r="I14" i="42"/>
  <c r="J14" i="42"/>
  <c r="K14" i="42"/>
  <c r="G53" i="42" l="1"/>
  <c r="L11" i="42"/>
  <c r="L23" i="44"/>
  <c r="L27" i="44"/>
  <c r="C25" i="44"/>
  <c r="K18" i="44"/>
  <c r="L18" i="44" s="1"/>
  <c r="I36" i="44"/>
  <c r="K36" i="44" s="1"/>
  <c r="K17" i="44"/>
  <c r="L17" i="44" s="1"/>
  <c r="I35" i="44"/>
  <c r="K35" i="44" s="1"/>
  <c r="L35" i="44" s="1"/>
  <c r="K16" i="44"/>
  <c r="L16" i="44" s="1"/>
  <c r="I34" i="44"/>
  <c r="K34" i="44" s="1"/>
  <c r="L34" i="44" s="1"/>
  <c r="I32" i="44"/>
  <c r="K32" i="44" s="1"/>
  <c r="E25" i="44"/>
  <c r="F25" i="44" s="1"/>
  <c r="C34" i="44"/>
  <c r="E34" i="44" s="1"/>
  <c r="F34" i="44" s="1"/>
  <c r="F53" i="42"/>
  <c r="F54" i="42"/>
  <c r="C4" i="43"/>
  <c r="G16" i="42"/>
  <c r="F16" i="42"/>
  <c r="J15" i="42"/>
  <c r="J16" i="42"/>
  <c r="H15" i="42"/>
  <c r="H16" i="42"/>
  <c r="K16" i="42"/>
  <c r="K15" i="42"/>
  <c r="G54" i="42"/>
  <c r="I15" i="42"/>
  <c r="I16" i="42"/>
  <c r="M16" i="42"/>
  <c r="M15" i="42"/>
  <c r="E15" i="42"/>
  <c r="E16" i="42"/>
  <c r="N14" i="42"/>
  <c r="H53" i="42" l="1"/>
  <c r="M11" i="42"/>
  <c r="I54" i="42"/>
  <c r="L32" i="44"/>
  <c r="F44" i="44"/>
  <c r="L36" i="44"/>
  <c r="F48" i="44"/>
  <c r="E10" i="43"/>
  <c r="F10" i="43" s="1"/>
  <c r="E11" i="43"/>
  <c r="F11" i="43" s="1"/>
  <c r="E8" i="43"/>
  <c r="F8" i="43" s="1"/>
  <c r="E12" i="43"/>
  <c r="F12" i="43" s="1"/>
  <c r="E7" i="43"/>
  <c r="F7" i="43" s="1"/>
  <c r="E9" i="43"/>
  <c r="F9" i="43" s="1"/>
  <c r="E19" i="42"/>
  <c r="N16" i="42"/>
  <c r="N15" i="42"/>
  <c r="E18" i="42"/>
  <c r="H54" i="42"/>
  <c r="I53" i="42" l="1"/>
  <c r="J54" i="42"/>
  <c r="N44" i="42"/>
  <c r="N46" i="42"/>
  <c r="N45" i="42"/>
  <c r="F18" i="42"/>
  <c r="F19" i="42"/>
  <c r="J53" i="42" l="1"/>
  <c r="N50" i="42"/>
  <c r="G18" i="42"/>
  <c r="G19" i="42"/>
  <c r="K53" i="42" l="1"/>
  <c r="K54" i="42"/>
  <c r="M54" i="42"/>
  <c r="L54" i="42"/>
  <c r="H19" i="42"/>
  <c r="H18" i="42"/>
  <c r="M53" i="42" l="1"/>
  <c r="I18" i="42"/>
  <c r="I19" i="42"/>
  <c r="L53" i="42" l="1"/>
  <c r="N52" i="42"/>
  <c r="J19" i="42"/>
  <c r="J18" i="42"/>
  <c r="K18" i="42" l="1"/>
  <c r="K19" i="42"/>
  <c r="L19" i="42" l="1"/>
  <c r="L18" i="42"/>
  <c r="M19" i="42" l="1"/>
  <c r="M18" i="42"/>
  <c r="N47" i="42" l="1"/>
  <c r="B106" i="28"/>
  <c r="B107" i="28"/>
  <c r="B108" i="28"/>
  <c r="B109" i="28"/>
  <c r="B105" i="28"/>
  <c r="B100" i="28"/>
  <c r="B101" i="28"/>
  <c r="B102" i="28"/>
  <c r="B103" i="28"/>
  <c r="B99" i="28"/>
  <c r="B94" i="28"/>
  <c r="B95" i="28"/>
  <c r="B96" i="28"/>
  <c r="B97" i="28"/>
  <c r="B93" i="28"/>
  <c r="B88" i="28"/>
  <c r="B89" i="28"/>
  <c r="B90" i="28"/>
  <c r="B91" i="28"/>
  <c r="B87" i="28"/>
  <c r="B82" i="28"/>
  <c r="B83" i="28"/>
  <c r="B84" i="28"/>
  <c r="B85" i="28"/>
  <c r="B81" i="28"/>
  <c r="B76" i="28"/>
  <c r="B77" i="28" s="1"/>
  <c r="B78" i="28" s="1"/>
  <c r="B79" i="28" s="1"/>
  <c r="B69" i="28"/>
  <c r="B70" i="28" s="1"/>
  <c r="B71" i="28" s="1"/>
  <c r="B72" i="28" s="1"/>
  <c r="E12" i="41"/>
  <c r="F12" i="41" s="1"/>
  <c r="G12" i="41" s="1"/>
  <c r="H12" i="41" s="1"/>
  <c r="D61" i="28" l="1"/>
  <c r="C62" i="28"/>
  <c r="D62" i="28" l="1"/>
  <c r="E61" i="28"/>
  <c r="F61" i="28" s="1"/>
  <c r="G61" i="28" s="1"/>
  <c r="H61" i="28" s="1"/>
  <c r="I61" i="28" s="1"/>
  <c r="J61" i="28" s="1"/>
  <c r="K61" i="28" s="1"/>
  <c r="L61" i="28" s="1"/>
  <c r="L62" i="28" s="1"/>
  <c r="B5" i="34"/>
  <c r="B6" i="34"/>
  <c r="B7" i="34"/>
  <c r="B8" i="34"/>
  <c r="C44" i="28"/>
  <c r="J15" i="40"/>
  <c r="J16" i="40"/>
  <c r="I14" i="40"/>
  <c r="H14" i="40"/>
  <c r="G14" i="40"/>
  <c r="F14" i="40"/>
  <c r="E14" i="40"/>
  <c r="I13" i="40"/>
  <c r="H13" i="40"/>
  <c r="G13" i="40"/>
  <c r="F13" i="40"/>
  <c r="E13" i="40"/>
  <c r="I12" i="40"/>
  <c r="H12" i="40"/>
  <c r="G12" i="40"/>
  <c r="F12" i="40"/>
  <c r="E12" i="40"/>
  <c r="I11" i="40"/>
  <c r="H11" i="40"/>
  <c r="G11" i="40"/>
  <c r="F11" i="40"/>
  <c r="E11" i="40"/>
  <c r="D14" i="40"/>
  <c r="J14" i="40" s="1"/>
  <c r="D13" i="40"/>
  <c r="D12" i="40"/>
  <c r="D11" i="40"/>
  <c r="I10" i="40"/>
  <c r="H10" i="40"/>
  <c r="G10" i="40"/>
  <c r="F10" i="40"/>
  <c r="E10" i="40"/>
  <c r="D10" i="40"/>
  <c r="I9" i="40"/>
  <c r="H9" i="40"/>
  <c r="G9" i="40"/>
  <c r="F9" i="40"/>
  <c r="E9" i="40"/>
  <c r="I8" i="40"/>
  <c r="H8" i="40"/>
  <c r="G8" i="40"/>
  <c r="F8" i="40"/>
  <c r="E8" i="40"/>
  <c r="I7" i="40"/>
  <c r="H7" i="40"/>
  <c r="G7" i="40"/>
  <c r="F7" i="40"/>
  <c r="E7" i="40"/>
  <c r="D9" i="40"/>
  <c r="J9" i="40" s="1"/>
  <c r="D8" i="40"/>
  <c r="D7" i="40"/>
  <c r="I6" i="40"/>
  <c r="H6" i="40"/>
  <c r="G6" i="40"/>
  <c r="F6" i="40"/>
  <c r="E6" i="40"/>
  <c r="J6" i="40" s="1"/>
  <c r="C38" i="27"/>
  <c r="I38" i="27" s="1"/>
  <c r="C37" i="27"/>
  <c r="I37" i="27" s="1"/>
  <c r="I24" i="27"/>
  <c r="I23" i="27"/>
  <c r="I22" i="27"/>
  <c r="I18" i="27"/>
  <c r="I17" i="27"/>
  <c r="I16" i="27"/>
  <c r="I36" i="27"/>
  <c r="I35" i="27"/>
  <c r="I31" i="27"/>
  <c r="I30" i="27"/>
  <c r="I29" i="27"/>
  <c r="I28" i="27"/>
  <c r="I10" i="27"/>
  <c r="I11" i="27"/>
  <c r="I12" i="27"/>
  <c r="I9" i="27"/>
  <c r="C36" i="27"/>
  <c r="C35" i="27"/>
  <c r="H39" i="27"/>
  <c r="H41" i="27" s="1"/>
  <c r="H5" i="27" s="1"/>
  <c r="D6" i="40"/>
  <c r="F39" i="27"/>
  <c r="E39" i="27"/>
  <c r="D39" i="27"/>
  <c r="G39" i="27"/>
  <c r="G41" i="27" s="1"/>
  <c r="G5" i="27" s="1"/>
  <c r="J62" i="28" l="1"/>
  <c r="H62" i="28"/>
  <c r="G62" i="28"/>
  <c r="I62" i="28"/>
  <c r="K62" i="28"/>
  <c r="F62" i="28"/>
  <c r="E62" i="28"/>
  <c r="J13" i="40"/>
  <c r="J12" i="40"/>
  <c r="J7" i="40"/>
  <c r="J11" i="40"/>
  <c r="J8" i="40"/>
  <c r="J10" i="40"/>
  <c r="J17" i="40" s="1"/>
  <c r="C39" i="27"/>
  <c r="I39" i="27"/>
  <c r="D8" i="33" l="1"/>
  <c r="D9" i="33"/>
  <c r="D10" i="33"/>
  <c r="D11" i="33"/>
  <c r="D12" i="33"/>
  <c r="D13" i="33"/>
  <c r="D14" i="33"/>
  <c r="D15" i="33"/>
  <c r="D16" i="33"/>
  <c r="D17" i="33"/>
  <c r="D18" i="33"/>
  <c r="D19" i="33"/>
  <c r="D20" i="33"/>
  <c r="D21" i="33"/>
  <c r="D22" i="33"/>
  <c r="D7" i="33"/>
  <c r="F7" i="25"/>
  <c r="H12" i="38"/>
  <c r="I12" i="38"/>
  <c r="J12" i="38"/>
  <c r="K12" i="38"/>
  <c r="L12" i="38"/>
  <c r="M12" i="38"/>
  <c r="N12" i="38"/>
  <c r="O12" i="38"/>
  <c r="P12" i="38"/>
  <c r="Q12" i="38"/>
  <c r="H13" i="38"/>
  <c r="I13" i="38"/>
  <c r="J13" i="38"/>
  <c r="K13" i="38"/>
  <c r="L13" i="38"/>
  <c r="M13" i="38"/>
  <c r="N13" i="38"/>
  <c r="O13" i="38"/>
  <c r="P13" i="38"/>
  <c r="Q13" i="38"/>
  <c r="H14" i="38"/>
  <c r="I14" i="38"/>
  <c r="J14" i="38"/>
  <c r="K14" i="38"/>
  <c r="L14" i="38"/>
  <c r="M14" i="38"/>
  <c r="N14" i="38"/>
  <c r="O14" i="38"/>
  <c r="P14" i="38"/>
  <c r="Q14" i="38"/>
  <c r="H15" i="38"/>
  <c r="I15" i="38"/>
  <c r="J15" i="38"/>
  <c r="K15" i="38"/>
  <c r="L15" i="38"/>
  <c r="M15" i="38"/>
  <c r="N15" i="38"/>
  <c r="O15" i="38"/>
  <c r="P15" i="38"/>
  <c r="Q15" i="38"/>
  <c r="Q11" i="38"/>
  <c r="P11" i="38"/>
  <c r="O11" i="38"/>
  <c r="N11" i="38"/>
  <c r="M11" i="38"/>
  <c r="L11" i="38"/>
  <c r="K11" i="38"/>
  <c r="J11" i="38"/>
  <c r="I11" i="38"/>
  <c r="H11" i="38"/>
  <c r="H7" i="38"/>
  <c r="I7" i="38"/>
  <c r="J7" i="38"/>
  <c r="K7" i="38"/>
  <c r="L7" i="38"/>
  <c r="M7" i="38"/>
  <c r="N7" i="38"/>
  <c r="O7" i="38"/>
  <c r="P7" i="38"/>
  <c r="Q7" i="38"/>
  <c r="H8" i="38"/>
  <c r="I8" i="38"/>
  <c r="J8" i="38"/>
  <c r="K8" i="38"/>
  <c r="L8" i="38"/>
  <c r="M8" i="38"/>
  <c r="N8" i="38"/>
  <c r="O8" i="38"/>
  <c r="P8" i="38"/>
  <c r="Q8" i="38"/>
  <c r="H9" i="38"/>
  <c r="I9" i="38"/>
  <c r="J9" i="38"/>
  <c r="K9" i="38"/>
  <c r="L9" i="38"/>
  <c r="M9" i="38"/>
  <c r="N9" i="38"/>
  <c r="O9" i="38"/>
  <c r="P9" i="38"/>
  <c r="Q9" i="38"/>
  <c r="Q6" i="38"/>
  <c r="P6" i="38"/>
  <c r="O6" i="38"/>
  <c r="N6" i="38"/>
  <c r="M6" i="38"/>
  <c r="L6" i="38"/>
  <c r="K6" i="38"/>
  <c r="J6" i="38"/>
  <c r="I6" i="38"/>
  <c r="H6" i="38"/>
  <c r="B11" i="39"/>
  <c r="C5" i="39"/>
  <c r="C6" i="39"/>
  <c r="C7" i="39"/>
  <c r="C4" i="39"/>
  <c r="C49" i="28" s="1"/>
  <c r="L7" i="25"/>
  <c r="C8" i="39" s="1"/>
  <c r="I3" i="38"/>
  <c r="I4" i="38"/>
  <c r="J4" i="38" s="1"/>
  <c r="K4" i="38" s="1"/>
  <c r="L4" i="38" s="1"/>
  <c r="M4" i="38" s="1"/>
  <c r="N4" i="38" s="1"/>
  <c r="O4" i="38" s="1"/>
  <c r="P4" i="38" s="1"/>
  <c r="Q4" i="38" s="1"/>
  <c r="C11" i="37"/>
  <c r="F6" i="25"/>
  <c r="H17" i="38" l="1"/>
  <c r="C21" i="28"/>
  <c r="C38" i="28" s="1"/>
  <c r="J3" i="38"/>
  <c r="G11" i="39"/>
  <c r="B12" i="39"/>
  <c r="C11" i="39"/>
  <c r="E11" i="39" s="1"/>
  <c r="D11" i="39" l="1"/>
  <c r="F11" i="39" s="1"/>
  <c r="H11" i="39" s="1"/>
  <c r="I17" i="38"/>
  <c r="K3" i="38"/>
  <c r="G12" i="39"/>
  <c r="B13" i="39"/>
  <c r="J17" i="38" l="1"/>
  <c r="L3" i="38"/>
  <c r="I11" i="39"/>
  <c r="C12" i="39" s="1"/>
  <c r="D12" i="39" s="1"/>
  <c r="G13" i="39"/>
  <c r="B14" i="39"/>
  <c r="K17" i="38" l="1"/>
  <c r="M3" i="38"/>
  <c r="E12" i="39"/>
  <c r="F12" i="39" s="1"/>
  <c r="H12" i="39" s="1"/>
  <c r="G14" i="39"/>
  <c r="B15" i="39"/>
  <c r="B13" i="34"/>
  <c r="B19" i="34" s="1"/>
  <c r="B14" i="34"/>
  <c r="B20" i="34" s="1"/>
  <c r="B15" i="34"/>
  <c r="B21" i="34" s="1"/>
  <c r="B12" i="34"/>
  <c r="B18" i="34" s="1"/>
  <c r="E64" i="25"/>
  <c r="C5" i="34" s="1"/>
  <c r="F64" i="25"/>
  <c r="E65" i="25"/>
  <c r="C6" i="34" s="1"/>
  <c r="F65" i="25"/>
  <c r="E66" i="25"/>
  <c r="C7" i="34" s="1"/>
  <c r="F66" i="25"/>
  <c r="E67" i="25"/>
  <c r="C8" i="34" s="1"/>
  <c r="F67" i="25"/>
  <c r="D4" i="28"/>
  <c r="E36" i="25"/>
  <c r="E37" i="25"/>
  <c r="C14" i="37" s="1"/>
  <c r="C17" i="37" s="1"/>
  <c r="B21" i="32"/>
  <c r="B20" i="32"/>
  <c r="E35" i="25"/>
  <c r="E33" i="25"/>
  <c r="D6" i="32" s="1"/>
  <c r="F6" i="32" s="1"/>
  <c r="E25" i="25"/>
  <c r="E28" i="25"/>
  <c r="E24" i="25"/>
  <c r="E27" i="25"/>
  <c r="F34" i="25"/>
  <c r="F35" i="25"/>
  <c r="F36" i="25"/>
  <c r="F37" i="25"/>
  <c r="F33" i="25"/>
  <c r="N3" i="38" l="1"/>
  <c r="L17" i="38"/>
  <c r="I12" i="39"/>
  <c r="C13" i="39" s="1"/>
  <c r="D21" i="28"/>
  <c r="D38" i="28" s="1"/>
  <c r="G15" i="39"/>
  <c r="B16" i="39"/>
  <c r="E4" i="28"/>
  <c r="M17" i="38" l="1"/>
  <c r="O3" i="38"/>
  <c r="E13" i="39"/>
  <c r="D13" i="39"/>
  <c r="E21" i="28"/>
  <c r="E38" i="28" s="1"/>
  <c r="G16" i="39"/>
  <c r="B17" i="39"/>
  <c r="F4" i="28"/>
  <c r="N17" i="38" l="1"/>
  <c r="P3" i="38"/>
  <c r="F13" i="39"/>
  <c r="H13" i="39" s="1"/>
  <c r="I13" i="39" s="1"/>
  <c r="C14" i="39" s="1"/>
  <c r="F21" i="28"/>
  <c r="F38" i="28" s="1"/>
  <c r="G17" i="39"/>
  <c r="B18" i="39"/>
  <c r="G4" i="28"/>
  <c r="O17" i="38" l="1"/>
  <c r="Q3" i="38"/>
  <c r="D14" i="39"/>
  <c r="E14" i="39"/>
  <c r="G21" i="28"/>
  <c r="G38" i="28" s="1"/>
  <c r="G18" i="39"/>
  <c r="B19" i="39"/>
  <c r="H4" i="28"/>
  <c r="F14" i="39" l="1"/>
  <c r="H14" i="39" s="1"/>
  <c r="I14" i="39" s="1"/>
  <c r="C15" i="39" s="1"/>
  <c r="D15" i="39" s="1"/>
  <c r="P17" i="38"/>
  <c r="H21" i="28"/>
  <c r="H38" i="28" s="1"/>
  <c r="G19" i="39"/>
  <c r="B20" i="39"/>
  <c r="I4" i="28"/>
  <c r="E15" i="39" l="1"/>
  <c r="F15" i="39" s="1"/>
  <c r="H15" i="39" s="1"/>
  <c r="I15" i="39" s="1"/>
  <c r="C16" i="39" s="1"/>
  <c r="D16" i="39" s="1"/>
  <c r="Q17" i="38"/>
  <c r="I21" i="28"/>
  <c r="I38" i="28" s="1"/>
  <c r="G20" i="39"/>
  <c r="B21" i="39"/>
  <c r="J4" i="28"/>
  <c r="E16" i="39" l="1"/>
  <c r="F16" i="39" s="1"/>
  <c r="H16" i="39" s="1"/>
  <c r="J21" i="28"/>
  <c r="J38" i="28" s="1"/>
  <c r="G21" i="39"/>
  <c r="B22" i="39"/>
  <c r="K4" i="28"/>
  <c r="I16" i="39" l="1"/>
  <c r="C17" i="39" s="1"/>
  <c r="K21" i="28"/>
  <c r="K38" i="28" s="1"/>
  <c r="G22" i="39"/>
  <c r="B23" i="39"/>
  <c r="L4" i="28"/>
  <c r="D17" i="39" l="1"/>
  <c r="E17" i="39"/>
  <c r="L21" i="28"/>
  <c r="L38" i="28" s="1"/>
  <c r="G23" i="39"/>
  <c r="B24" i="39"/>
  <c r="F17" i="39" l="1"/>
  <c r="H17" i="39" s="1"/>
  <c r="I17" i="39" s="1"/>
  <c r="C18" i="39" s="1"/>
  <c r="D18" i="39" s="1"/>
  <c r="G24" i="39"/>
  <c r="B25" i="39"/>
  <c r="E18" i="39" l="1"/>
  <c r="F18" i="39" s="1"/>
  <c r="H18" i="39" s="1"/>
  <c r="I18" i="39" s="1"/>
  <c r="C19" i="39" s="1"/>
  <c r="G25" i="39"/>
  <c r="B26" i="39"/>
  <c r="D19" i="39" l="1"/>
  <c r="E19" i="39"/>
  <c r="G26" i="39"/>
  <c r="B27" i="39"/>
  <c r="F19" i="39" l="1"/>
  <c r="H19" i="39" s="1"/>
  <c r="I19" i="39" s="1"/>
  <c r="C20" i="39" s="1"/>
  <c r="D20" i="39" s="1"/>
  <c r="G27" i="39"/>
  <c r="B28" i="39"/>
  <c r="E20" i="39" l="1"/>
  <c r="F20" i="39" s="1"/>
  <c r="H20" i="39" s="1"/>
  <c r="I20" i="39" s="1"/>
  <c r="C21" i="39" s="1"/>
  <c r="D21" i="39" s="1"/>
  <c r="G28" i="39"/>
  <c r="B29" i="39"/>
  <c r="E21" i="39" l="1"/>
  <c r="F21" i="39" s="1"/>
  <c r="H21" i="39" s="1"/>
  <c r="I21" i="39" s="1"/>
  <c r="C22" i="39" s="1"/>
  <c r="D22" i="39" s="1"/>
  <c r="G29" i="39"/>
  <c r="B30" i="39"/>
  <c r="E22" i="39" l="1"/>
  <c r="F22" i="39" s="1"/>
  <c r="H22" i="39" s="1"/>
  <c r="I22" i="39" s="1"/>
  <c r="C23" i="39" s="1"/>
  <c r="E23" i="39" s="1"/>
  <c r="G30" i="39"/>
  <c r="B31" i="39"/>
  <c r="D23" i="39" l="1"/>
  <c r="F23" i="39" s="1"/>
  <c r="H23" i="39" s="1"/>
  <c r="I23" i="39" s="1"/>
  <c r="C24" i="39" s="1"/>
  <c r="D24" i="39" s="1"/>
  <c r="G31" i="39"/>
  <c r="B32" i="39"/>
  <c r="E24" i="39" l="1"/>
  <c r="F24" i="39" s="1"/>
  <c r="H24" i="39" s="1"/>
  <c r="I24" i="39" s="1"/>
  <c r="C25" i="39" s="1"/>
  <c r="D25" i="39" s="1"/>
  <c r="G32" i="39"/>
  <c r="B33" i="39"/>
  <c r="E25" i="39" l="1"/>
  <c r="F25" i="39" s="1"/>
  <c r="H25" i="39" s="1"/>
  <c r="I25" i="39" s="1"/>
  <c r="C26" i="39" s="1"/>
  <c r="D26" i="39" s="1"/>
  <c r="G33" i="39"/>
  <c r="B34" i="39"/>
  <c r="E26" i="39" l="1"/>
  <c r="F26" i="39" s="1"/>
  <c r="H26" i="39" s="1"/>
  <c r="I26" i="39" s="1"/>
  <c r="C27" i="39" s="1"/>
  <c r="D27" i="39" s="1"/>
  <c r="G34" i="39"/>
  <c r="B35" i="39"/>
  <c r="E27" i="39" l="1"/>
  <c r="F27" i="39" s="1"/>
  <c r="H27" i="39" s="1"/>
  <c r="I27" i="39" s="1"/>
  <c r="C28" i="39" s="1"/>
  <c r="D28" i="39" s="1"/>
  <c r="G35" i="39"/>
  <c r="B36" i="39"/>
  <c r="E28" i="39" l="1"/>
  <c r="F28" i="39" s="1"/>
  <c r="H28" i="39" s="1"/>
  <c r="I28" i="39" s="1"/>
  <c r="C29" i="39" s="1"/>
  <c r="D29" i="39" s="1"/>
  <c r="G36" i="39"/>
  <c r="B37" i="39"/>
  <c r="E29" i="39" l="1"/>
  <c r="F29" i="39" s="1"/>
  <c r="H29" i="39" s="1"/>
  <c r="I29" i="39" s="1"/>
  <c r="C30" i="39" s="1"/>
  <c r="D30" i="39" s="1"/>
  <c r="G37" i="39"/>
  <c r="B38" i="39"/>
  <c r="E30" i="39" l="1"/>
  <c r="F30" i="39" s="1"/>
  <c r="H30" i="39" s="1"/>
  <c r="I30" i="39" s="1"/>
  <c r="C31" i="39" s="1"/>
  <c r="D31" i="39" s="1"/>
  <c r="G38" i="39"/>
  <c r="B39" i="39"/>
  <c r="E31" i="39" l="1"/>
  <c r="F31" i="39" s="1"/>
  <c r="H31" i="39" s="1"/>
  <c r="I31" i="39" s="1"/>
  <c r="C32" i="39" s="1"/>
  <c r="D32" i="39" s="1"/>
  <c r="G39" i="39"/>
  <c r="B40" i="39"/>
  <c r="E32" i="39" l="1"/>
  <c r="F32" i="39" s="1"/>
  <c r="H32" i="39" s="1"/>
  <c r="I32" i="39" s="1"/>
  <c r="C33" i="39" s="1"/>
  <c r="D33" i="39" s="1"/>
  <c r="G40" i="39"/>
  <c r="B41" i="39"/>
  <c r="E33" i="39" l="1"/>
  <c r="F33" i="39" s="1"/>
  <c r="H33" i="39" s="1"/>
  <c r="I33" i="39" s="1"/>
  <c r="C34" i="39" s="1"/>
  <c r="D34" i="39" s="1"/>
  <c r="G41" i="39"/>
  <c r="B42" i="39"/>
  <c r="E34" i="39" l="1"/>
  <c r="F34" i="39" s="1"/>
  <c r="H34" i="39" s="1"/>
  <c r="I34" i="39" s="1"/>
  <c r="C35" i="39" s="1"/>
  <c r="D35" i="39" s="1"/>
  <c r="G42" i="39"/>
  <c r="B43" i="39"/>
  <c r="E35" i="39" l="1"/>
  <c r="F35" i="39" s="1"/>
  <c r="H35" i="39" s="1"/>
  <c r="I35" i="39" s="1"/>
  <c r="C36" i="39" s="1"/>
  <c r="D36" i="39" s="1"/>
  <c r="G43" i="39"/>
  <c r="B44" i="39"/>
  <c r="E36" i="39" l="1"/>
  <c r="F36" i="39" s="1"/>
  <c r="H36" i="39" s="1"/>
  <c r="I36" i="39" s="1"/>
  <c r="C37" i="39" s="1"/>
  <c r="D37" i="39" s="1"/>
  <c r="G44" i="39"/>
  <c r="B45" i="39"/>
  <c r="E37" i="39" l="1"/>
  <c r="F37" i="39" s="1"/>
  <c r="H37" i="39" s="1"/>
  <c r="I37" i="39" s="1"/>
  <c r="C38" i="39" s="1"/>
  <c r="D38" i="39" s="1"/>
  <c r="G45" i="39"/>
  <c r="B46" i="39"/>
  <c r="E38" i="39" l="1"/>
  <c r="F38" i="39" s="1"/>
  <c r="H38" i="39" s="1"/>
  <c r="I38" i="39" s="1"/>
  <c r="C39" i="39" s="1"/>
  <c r="D39" i="39" s="1"/>
  <c r="G46" i="39"/>
  <c r="B47" i="39"/>
  <c r="G47" i="39" s="1"/>
  <c r="E39" i="39" l="1"/>
  <c r="F39" i="39" s="1"/>
  <c r="H39" i="39" s="1"/>
  <c r="I39" i="39" s="1"/>
  <c r="C40" i="39" s="1"/>
  <c r="D40" i="39" s="1"/>
  <c r="B48" i="39"/>
  <c r="E40" i="39" l="1"/>
  <c r="F40" i="39" s="1"/>
  <c r="H40" i="39" s="1"/>
  <c r="I40" i="39" s="1"/>
  <c r="C41" i="39" s="1"/>
  <c r="D41" i="39" s="1"/>
  <c r="B49" i="39"/>
  <c r="G48" i="39"/>
  <c r="E41" i="39" l="1"/>
  <c r="F41" i="39" s="1"/>
  <c r="H41" i="39" s="1"/>
  <c r="I41" i="39" s="1"/>
  <c r="C42" i="39" s="1"/>
  <c r="D42" i="39" s="1"/>
  <c r="C49" i="39"/>
  <c r="B50" i="39"/>
  <c r="D49" i="39"/>
  <c r="F49" i="39" s="1"/>
  <c r="G49" i="39"/>
  <c r="E49" i="39"/>
  <c r="H49" i="39"/>
  <c r="I49" i="39" s="1"/>
  <c r="C50" i="39" s="1"/>
  <c r="E42" i="39" l="1"/>
  <c r="F42" i="39" s="1"/>
  <c r="H42" i="39" s="1"/>
  <c r="I42" i="39" s="1"/>
  <c r="C43" i="39" s="1"/>
  <c r="E43" i="39" s="1"/>
  <c r="B51" i="39"/>
  <c r="G50" i="39"/>
  <c r="I50" i="39"/>
  <c r="E50" i="39"/>
  <c r="D50" i="39"/>
  <c r="F50" i="39" s="1"/>
  <c r="H50" i="39" s="1"/>
  <c r="D43" i="39" l="1"/>
  <c r="F43" i="39" s="1"/>
  <c r="H43" i="39" s="1"/>
  <c r="I43" i="39" s="1"/>
  <c r="C44" i="39" s="1"/>
  <c r="E44" i="39" s="1"/>
  <c r="C51" i="39"/>
  <c r="B52" i="39"/>
  <c r="G51" i="39"/>
  <c r="I51" i="39"/>
  <c r="E51" i="39"/>
  <c r="D51" i="39"/>
  <c r="F51" i="39" s="1"/>
  <c r="H51" i="39" s="1"/>
  <c r="C52" i="39" l="1"/>
  <c r="D44" i="39"/>
  <c r="F44" i="39" s="1"/>
  <c r="H44" i="39" s="1"/>
  <c r="I44" i="39" s="1"/>
  <c r="C45" i="39" s="1"/>
  <c r="D45" i="39" s="1"/>
  <c r="B53" i="39"/>
  <c r="G52" i="39"/>
  <c r="I52" i="39"/>
  <c r="E52" i="39"/>
  <c r="D52" i="39"/>
  <c r="F52" i="39" s="1"/>
  <c r="H52" i="39" s="1"/>
  <c r="C53" i="39" l="1"/>
  <c r="E45" i="39"/>
  <c r="F45" i="39" s="1"/>
  <c r="H45" i="39" s="1"/>
  <c r="I45" i="39" s="1"/>
  <c r="C46" i="39" s="1"/>
  <c r="B54" i="39"/>
  <c r="G53" i="39"/>
  <c r="E53" i="39"/>
  <c r="D53" i="39"/>
  <c r="F53" i="39" s="1"/>
  <c r="H53" i="39" s="1"/>
  <c r="I53" i="39" s="1"/>
  <c r="C54" i="39" l="1"/>
  <c r="B55" i="39"/>
  <c r="G54" i="39"/>
  <c r="E54" i="39"/>
  <c r="D54" i="39"/>
  <c r="F54" i="39" s="1"/>
  <c r="H54" i="39" s="1"/>
  <c r="I54" i="39" s="1"/>
  <c r="D46" i="39"/>
  <c r="E46" i="39"/>
  <c r="C55" i="39" l="1"/>
  <c r="B56" i="39"/>
  <c r="G55" i="39"/>
  <c r="E55" i="39"/>
  <c r="D55" i="39"/>
  <c r="F55" i="39" s="1"/>
  <c r="H55" i="39" s="1"/>
  <c r="I55" i="39" s="1"/>
  <c r="C56" i="39" s="1"/>
  <c r="F46" i="39"/>
  <c r="H46" i="39" s="1"/>
  <c r="B57" i="39" l="1"/>
  <c r="G56" i="39"/>
  <c r="E56" i="39"/>
  <c r="D56" i="39"/>
  <c r="F56" i="39" s="1"/>
  <c r="H56" i="39" s="1"/>
  <c r="I56" i="39" s="1"/>
  <c r="I46" i="39"/>
  <c r="C47" i="39" s="1"/>
  <c r="C57" i="39" l="1"/>
  <c r="B58" i="39"/>
  <c r="G57" i="39"/>
  <c r="D57" i="39"/>
  <c r="E57" i="39"/>
  <c r="F57" i="39"/>
  <c r="H57" i="39" s="1"/>
  <c r="I57" i="39" s="1"/>
  <c r="C58" i="39" s="1"/>
  <c r="D47" i="39"/>
  <c r="E47" i="39"/>
  <c r="B59" i="39" l="1"/>
  <c r="G58" i="39"/>
  <c r="D58" i="39"/>
  <c r="E58" i="39"/>
  <c r="F58" i="39"/>
  <c r="H58" i="39" s="1"/>
  <c r="I58" i="39" s="1"/>
  <c r="F47" i="39"/>
  <c r="H47" i="39" s="1"/>
  <c r="C59" i="39" l="1"/>
  <c r="B60" i="39"/>
  <c r="G59" i="39"/>
  <c r="D59" i="39"/>
  <c r="F59" i="39" s="1"/>
  <c r="H59" i="39" s="1"/>
  <c r="I59" i="39" s="1"/>
  <c r="E59" i="39"/>
  <c r="I47" i="39"/>
  <c r="C48" i="39" s="1"/>
  <c r="C60" i="39" l="1"/>
  <c r="B61" i="39"/>
  <c r="G60" i="39"/>
  <c r="D60" i="39"/>
  <c r="E60" i="39"/>
  <c r="F60" i="39"/>
  <c r="H60" i="39" s="1"/>
  <c r="I60" i="39" s="1"/>
  <c r="C61" i="39" s="1"/>
  <c r="D48" i="39"/>
  <c r="E48" i="39"/>
  <c r="B62" i="39" l="1"/>
  <c r="G61" i="39"/>
  <c r="D61" i="39"/>
  <c r="F61" i="39" s="1"/>
  <c r="H61" i="39" s="1"/>
  <c r="I61" i="39" s="1"/>
  <c r="E61" i="39"/>
  <c r="F48" i="39"/>
  <c r="H48" i="39" s="1"/>
  <c r="C62" i="39" l="1"/>
  <c r="B63" i="39"/>
  <c r="G62" i="39"/>
  <c r="D62" i="39"/>
  <c r="E62" i="39"/>
  <c r="F62" i="39"/>
  <c r="H62" i="39" s="1"/>
  <c r="I62" i="39" s="1"/>
  <c r="C63" i="39" s="1"/>
  <c r="I48" i="39"/>
  <c r="G63" i="39" l="1"/>
  <c r="B64" i="39"/>
  <c r="D63" i="39"/>
  <c r="F63" i="39" s="1"/>
  <c r="H63" i="39" s="1"/>
  <c r="I63" i="39" s="1"/>
  <c r="E63" i="39"/>
  <c r="C64" i="39" l="1"/>
  <c r="G64" i="39"/>
  <c r="B65" i="39"/>
  <c r="D64" i="39"/>
  <c r="E64" i="39"/>
  <c r="F64" i="39"/>
  <c r="H64" i="39" s="1"/>
  <c r="I64" i="39" s="1"/>
  <c r="C65" i="39" s="1"/>
  <c r="B66" i="39" l="1"/>
  <c r="G65" i="39"/>
  <c r="E65" i="39"/>
  <c r="D65" i="39"/>
  <c r="F65" i="39" s="1"/>
  <c r="H65" i="39" s="1"/>
  <c r="I65" i="39" s="1"/>
  <c r="C66" i="39" l="1"/>
  <c r="G66" i="39"/>
  <c r="B67" i="39"/>
  <c r="D66" i="39"/>
  <c r="F66" i="39" s="1"/>
  <c r="H66" i="39" s="1"/>
  <c r="I66" i="39" s="1"/>
  <c r="E66" i="39"/>
  <c r="C67" i="39" l="1"/>
  <c r="B68" i="39"/>
  <c r="G67" i="39"/>
  <c r="D67" i="39"/>
  <c r="E67" i="39"/>
  <c r="F67" i="39"/>
  <c r="H67" i="39" s="1"/>
  <c r="I67" i="39" s="1"/>
  <c r="C68" i="39" s="1"/>
  <c r="G68" i="39" l="1"/>
  <c r="B69" i="39"/>
  <c r="E68" i="39"/>
  <c r="D68" i="39"/>
  <c r="F68" i="39" s="1"/>
  <c r="H68" i="39" s="1"/>
  <c r="I68" i="39" s="1"/>
  <c r="C69" i="39" s="1"/>
  <c r="B70" i="39" l="1"/>
  <c r="G69" i="39"/>
  <c r="D69" i="39"/>
  <c r="E69" i="39"/>
  <c r="F69" i="39"/>
  <c r="H69" i="39" s="1"/>
  <c r="I69" i="39" s="1"/>
  <c r="C70" i="39" l="1"/>
  <c r="B71" i="39"/>
  <c r="G70" i="39"/>
  <c r="D70" i="39"/>
  <c r="F70" i="39" s="1"/>
  <c r="H70" i="39" s="1"/>
  <c r="I70" i="39" s="1"/>
  <c r="E70" i="39"/>
  <c r="G71" i="39" l="1"/>
  <c r="I71" i="39"/>
  <c r="B72" i="39"/>
  <c r="C71" i="39"/>
  <c r="D71" i="39"/>
  <c r="H71" i="39"/>
  <c r="E71" i="39"/>
  <c r="F71" i="39"/>
  <c r="B73" i="39" l="1"/>
  <c r="G72" i="39"/>
  <c r="I72" i="39"/>
  <c r="C72" i="39"/>
  <c r="H72" i="39"/>
  <c r="E72" i="39"/>
  <c r="D72" i="39"/>
  <c r="F72" i="39"/>
  <c r="F73" i="39" l="1"/>
  <c r="G73" i="39"/>
  <c r="B74" i="39"/>
  <c r="H73" i="39"/>
  <c r="I73" i="39"/>
  <c r="C73" i="39"/>
  <c r="D73" i="39"/>
  <c r="E73" i="39"/>
  <c r="G74" i="39" l="1"/>
  <c r="E74" i="39"/>
  <c r="F74" i="39"/>
  <c r="H74" i="39"/>
  <c r="I74" i="39"/>
  <c r="C74" i="39"/>
  <c r="D74" i="39"/>
  <c r="B75" i="39"/>
  <c r="B76" i="39" l="1"/>
  <c r="H75" i="39"/>
  <c r="C75" i="39"/>
  <c r="D75" i="39"/>
  <c r="E75" i="39"/>
  <c r="F75" i="39"/>
  <c r="G75" i="39"/>
  <c r="I75" i="39"/>
  <c r="G76" i="39" l="1"/>
  <c r="I76" i="39"/>
  <c r="B77" i="39"/>
  <c r="D76" i="39"/>
  <c r="E76" i="39"/>
  <c r="C76" i="39"/>
  <c r="H76" i="39"/>
  <c r="F76" i="39"/>
  <c r="H77" i="39" l="1"/>
  <c r="I77" i="39"/>
  <c r="B78" i="39"/>
  <c r="F77" i="39"/>
  <c r="C77" i="39"/>
  <c r="D77" i="39"/>
  <c r="E77" i="39"/>
  <c r="G77" i="39"/>
  <c r="I78" i="39" l="1"/>
  <c r="F78" i="39"/>
  <c r="B79" i="39"/>
  <c r="C78" i="39"/>
  <c r="D78" i="39"/>
  <c r="G78" i="39"/>
  <c r="E78" i="39"/>
  <c r="H78" i="39"/>
  <c r="B80" i="39" l="1"/>
  <c r="C79" i="39"/>
  <c r="D79" i="39"/>
  <c r="H79" i="39"/>
  <c r="F79" i="39"/>
  <c r="E79" i="39"/>
  <c r="I79" i="39"/>
  <c r="G79" i="39"/>
  <c r="H80" i="39" l="1"/>
  <c r="B81" i="39"/>
  <c r="D80" i="39"/>
  <c r="F80" i="39"/>
  <c r="I80" i="39"/>
  <c r="C80" i="39"/>
  <c r="E80" i="39"/>
  <c r="G80" i="39"/>
  <c r="G81" i="39" l="1"/>
  <c r="I81" i="39"/>
  <c r="B82" i="39"/>
  <c r="D81" i="39"/>
  <c r="H81" i="39"/>
  <c r="C81" i="39"/>
  <c r="E81" i="39"/>
  <c r="F81" i="39"/>
  <c r="B83" i="39" l="1"/>
  <c r="I82" i="39"/>
  <c r="C82" i="39"/>
  <c r="D82" i="39"/>
  <c r="E82" i="39"/>
  <c r="F82" i="39"/>
  <c r="H82" i="39"/>
  <c r="G82" i="39"/>
  <c r="G83" i="39" l="1"/>
  <c r="I83" i="39"/>
  <c r="B84" i="39"/>
  <c r="C83" i="39"/>
  <c r="D83" i="39"/>
  <c r="H83" i="39"/>
  <c r="E83" i="39"/>
  <c r="F83" i="39"/>
  <c r="I84" i="39" l="1"/>
  <c r="H84" i="39"/>
  <c r="B85" i="39"/>
  <c r="E84" i="39"/>
  <c r="C84" i="39"/>
  <c r="D84" i="39"/>
  <c r="F84" i="39"/>
  <c r="G84" i="39"/>
  <c r="B86" i="39" l="1"/>
  <c r="E85" i="39"/>
  <c r="G85" i="39"/>
  <c r="H85" i="39"/>
  <c r="C85" i="39"/>
  <c r="D85" i="39"/>
  <c r="F85" i="39"/>
  <c r="I85" i="39"/>
  <c r="G86" i="39" l="1"/>
  <c r="I86" i="39"/>
  <c r="B87" i="39"/>
  <c r="D86" i="39"/>
  <c r="E86" i="39"/>
  <c r="C86" i="39"/>
  <c r="F86" i="39"/>
  <c r="H86" i="39"/>
  <c r="B88" i="39" l="1"/>
  <c r="F87" i="39"/>
  <c r="I87" i="39"/>
  <c r="C87" i="39"/>
  <c r="D87" i="39"/>
  <c r="G87" i="39"/>
  <c r="E87" i="39"/>
  <c r="H87" i="39"/>
  <c r="B89" i="39" l="1"/>
  <c r="G88" i="39"/>
  <c r="H88" i="39"/>
  <c r="C88" i="39"/>
  <c r="D88" i="39"/>
  <c r="F88" i="39"/>
  <c r="I88" i="39"/>
  <c r="E88" i="39"/>
  <c r="B90" i="39" l="1"/>
  <c r="G89" i="39"/>
  <c r="H89" i="39"/>
  <c r="C89" i="39"/>
  <c r="D89" i="39"/>
  <c r="F89" i="39"/>
  <c r="I89" i="39"/>
  <c r="E89" i="39"/>
  <c r="B91" i="39" l="1"/>
  <c r="G90" i="39"/>
  <c r="H90" i="39"/>
  <c r="C90" i="39"/>
  <c r="D90" i="39"/>
  <c r="F90" i="39"/>
  <c r="I90" i="39"/>
  <c r="E90" i="39"/>
  <c r="B92" i="39" l="1"/>
  <c r="I91" i="39"/>
  <c r="C91" i="39"/>
  <c r="D91" i="39"/>
  <c r="F91" i="39"/>
  <c r="G91" i="39"/>
  <c r="H91" i="39"/>
  <c r="E91" i="39"/>
  <c r="B93" i="39" l="1"/>
  <c r="F92" i="39"/>
  <c r="I92" i="39"/>
  <c r="C92" i="39"/>
  <c r="D92" i="39"/>
  <c r="G92" i="39"/>
  <c r="H92" i="39"/>
  <c r="E92" i="39"/>
  <c r="B94" i="39" l="1"/>
  <c r="G93" i="39"/>
  <c r="C93" i="39"/>
  <c r="D93" i="39"/>
  <c r="E93" i="39"/>
  <c r="F93" i="39"/>
  <c r="I93" i="39"/>
  <c r="H93" i="39"/>
  <c r="I94" i="39" l="1"/>
  <c r="B95" i="39"/>
  <c r="D94" i="39"/>
  <c r="E94" i="39"/>
  <c r="F94" i="39"/>
  <c r="H94" i="39"/>
  <c r="C94" i="39"/>
  <c r="G94" i="39"/>
  <c r="D95" i="39" l="1"/>
  <c r="E95" i="39"/>
  <c r="G95" i="39"/>
  <c r="I95" i="39"/>
  <c r="F95" i="39"/>
  <c r="B96" i="39"/>
  <c r="H95" i="39"/>
  <c r="C95" i="39"/>
  <c r="F96" i="39" l="1"/>
  <c r="G96" i="39"/>
  <c r="B97" i="39"/>
  <c r="C96" i="39"/>
  <c r="E96" i="39"/>
  <c r="I96" i="39"/>
  <c r="H96" i="39"/>
  <c r="D96" i="39"/>
  <c r="F97" i="39" l="1"/>
  <c r="G97" i="39"/>
  <c r="I97" i="39"/>
  <c r="H97" i="39"/>
  <c r="B98" i="39"/>
  <c r="C97" i="39"/>
  <c r="D97" i="39"/>
  <c r="E97" i="39"/>
  <c r="E98" i="39" l="1"/>
  <c r="F98" i="39"/>
  <c r="G98" i="39"/>
  <c r="I98" i="39"/>
  <c r="H98" i="39"/>
  <c r="C98" i="39"/>
  <c r="D98" i="39"/>
  <c r="B99" i="39"/>
  <c r="G99" i="39" l="1"/>
  <c r="H99" i="39"/>
  <c r="C99" i="39"/>
  <c r="D99" i="39"/>
  <c r="E99" i="39"/>
  <c r="I99" i="39"/>
  <c r="B100" i="39"/>
  <c r="F99" i="39"/>
  <c r="G100" i="39" l="1"/>
  <c r="I100" i="39"/>
  <c r="B101" i="39"/>
  <c r="E100" i="39"/>
  <c r="H100" i="39"/>
  <c r="C100" i="39"/>
  <c r="D100" i="39"/>
  <c r="F100" i="39"/>
  <c r="G101" i="39" l="1"/>
  <c r="I101" i="39"/>
  <c r="B102" i="39"/>
  <c r="F101" i="39"/>
  <c r="H101" i="39"/>
  <c r="C101" i="39"/>
  <c r="D101" i="39"/>
  <c r="E101" i="39"/>
  <c r="G102" i="39" l="1"/>
  <c r="I102" i="39"/>
  <c r="H102" i="39"/>
  <c r="C102" i="39"/>
  <c r="D102" i="39"/>
  <c r="E102" i="39"/>
  <c r="F102" i="39"/>
  <c r="B103" i="39"/>
  <c r="F103" i="39" l="1"/>
  <c r="G103" i="39"/>
  <c r="B104" i="39"/>
  <c r="H103" i="39"/>
  <c r="C103" i="39"/>
  <c r="E103" i="39"/>
  <c r="I103" i="39"/>
  <c r="D103" i="39"/>
  <c r="F104" i="39" l="1"/>
  <c r="G104" i="39"/>
  <c r="H104" i="39"/>
  <c r="B105" i="39"/>
  <c r="C104" i="39"/>
  <c r="I104" i="39"/>
  <c r="D104" i="39"/>
  <c r="E104" i="39"/>
  <c r="G105" i="39" l="1"/>
  <c r="I105" i="39"/>
  <c r="F105" i="39"/>
  <c r="H105" i="39"/>
  <c r="B106" i="39"/>
  <c r="C105" i="39"/>
  <c r="E105" i="39"/>
  <c r="D105" i="39"/>
  <c r="F106" i="39" l="1"/>
  <c r="G106" i="39"/>
  <c r="B107" i="39"/>
  <c r="I106" i="39"/>
  <c r="H106" i="39"/>
  <c r="C106" i="39"/>
  <c r="E106" i="39"/>
  <c r="D106" i="39"/>
  <c r="G107" i="39" l="1"/>
  <c r="I107" i="39"/>
  <c r="H107" i="39"/>
  <c r="B108" i="39"/>
  <c r="C107" i="39"/>
  <c r="F107" i="39"/>
  <c r="E107" i="39"/>
  <c r="D107" i="39"/>
  <c r="F108" i="39" l="1"/>
  <c r="G108" i="39"/>
  <c r="H108" i="39"/>
  <c r="B109" i="39"/>
  <c r="C108" i="39"/>
  <c r="I108" i="39"/>
  <c r="E108" i="39"/>
  <c r="D108" i="39"/>
  <c r="G109" i="39" l="1"/>
  <c r="I109" i="39"/>
  <c r="H109" i="39"/>
  <c r="B110" i="39"/>
  <c r="C109" i="39"/>
  <c r="D109" i="39"/>
  <c r="E109" i="39"/>
  <c r="F109" i="39"/>
  <c r="F110" i="39" l="1"/>
  <c r="G110" i="39"/>
  <c r="I110" i="39"/>
  <c r="H110" i="39"/>
  <c r="B111" i="39"/>
  <c r="C110" i="39"/>
  <c r="D110" i="39"/>
  <c r="E110" i="39"/>
  <c r="G111" i="39" l="1"/>
  <c r="I111" i="39"/>
  <c r="B112" i="39"/>
  <c r="D111" i="39"/>
  <c r="F111" i="39"/>
  <c r="H111" i="39"/>
  <c r="C111" i="39"/>
  <c r="E111" i="39"/>
  <c r="G112" i="39" l="1"/>
  <c r="I112" i="39"/>
  <c r="H112" i="39"/>
  <c r="B113" i="39"/>
  <c r="C112" i="39"/>
  <c r="D112" i="39"/>
  <c r="E112" i="39"/>
  <c r="F112" i="39"/>
  <c r="F113" i="39" l="1"/>
  <c r="I113" i="39"/>
  <c r="B114" i="39"/>
  <c r="C113" i="39"/>
  <c r="G113" i="39"/>
  <c r="H113" i="39"/>
  <c r="E113" i="39"/>
  <c r="D113" i="39"/>
  <c r="G114" i="39" l="1"/>
  <c r="I114" i="39"/>
  <c r="H114" i="39"/>
  <c r="D114" i="39"/>
  <c r="F114" i="39"/>
  <c r="B115" i="39"/>
  <c r="C114" i="39"/>
  <c r="E114" i="39"/>
  <c r="F115" i="39" l="1"/>
  <c r="G115" i="39"/>
  <c r="B116" i="39"/>
  <c r="H115" i="39"/>
  <c r="C115" i="39"/>
  <c r="D115" i="39"/>
  <c r="E115" i="39"/>
  <c r="I115" i="39"/>
  <c r="G116" i="39" l="1"/>
  <c r="I116" i="39"/>
  <c r="H116" i="39"/>
  <c r="B117" i="39"/>
  <c r="C116" i="39"/>
  <c r="D116" i="39"/>
  <c r="E116" i="39"/>
  <c r="F116" i="39"/>
  <c r="C117" i="39" l="1"/>
  <c r="H117" i="39"/>
  <c r="B118" i="39"/>
  <c r="D117" i="39"/>
  <c r="E117" i="39"/>
  <c r="F117" i="39"/>
  <c r="G117" i="39"/>
  <c r="I117" i="39"/>
  <c r="C118" i="39" l="1"/>
  <c r="D118" i="39"/>
  <c r="F118" i="39"/>
  <c r="G118" i="39"/>
  <c r="E118" i="39"/>
  <c r="B119" i="39"/>
  <c r="H118" i="39"/>
  <c r="I118" i="39"/>
  <c r="C119" i="39" l="1"/>
  <c r="D119" i="39"/>
  <c r="H119" i="39"/>
  <c r="E119" i="39"/>
  <c r="F119" i="39"/>
  <c r="G119" i="39"/>
  <c r="I119" i="39"/>
  <c r="B120" i="39"/>
  <c r="C120" i="39" l="1"/>
  <c r="D120" i="39"/>
  <c r="E120" i="39"/>
  <c r="F120" i="39"/>
  <c r="G120" i="39"/>
  <c r="I120" i="39"/>
  <c r="H120" i="39"/>
  <c r="G26" i="28"/>
  <c r="G57" i="28" s="1"/>
  <c r="G50" i="28"/>
  <c r="G51" i="28" s="1"/>
  <c r="I26" i="28"/>
  <c r="I57" i="28" s="1"/>
  <c r="E26" i="28"/>
  <c r="D50" i="28"/>
  <c r="D51" i="28" s="1"/>
  <c r="D26" i="28"/>
  <c r="I50" i="28"/>
  <c r="I51" i="28" s="1"/>
  <c r="F26" i="28"/>
  <c r="L50" i="28"/>
  <c r="L51" i="28" s="1"/>
  <c r="F50" i="28"/>
  <c r="F51" i="28" s="1"/>
  <c r="C26" i="28"/>
  <c r="K26" i="28"/>
  <c r="K57" i="28" s="1"/>
  <c r="J26" i="28"/>
  <c r="J57" i="28" s="1"/>
  <c r="E50" i="28"/>
  <c r="E51" i="28" s="1"/>
  <c r="J50" i="28"/>
  <c r="J51" i="28" s="1"/>
  <c r="C50" i="28"/>
  <c r="H26" i="28"/>
  <c r="H57" i="28" s="1"/>
  <c r="K50" i="28"/>
  <c r="K51" i="28" s="1"/>
  <c r="L26" i="28"/>
  <c r="L57" i="28" s="1"/>
  <c r="H50" i="28"/>
  <c r="H51" i="28" s="1"/>
  <c r="C51" i="28" l="1"/>
  <c r="C56" i="28"/>
  <c r="D56" i="28" s="1"/>
  <c r="E56" i="28" s="1"/>
  <c r="F56" i="28" s="1"/>
  <c r="G56" i="28" s="1"/>
  <c r="H56" i="28" s="1"/>
  <c r="I56" i="28" s="1"/>
  <c r="J56" i="28" s="1"/>
  <c r="K56" i="28" s="1"/>
  <c r="L56" i="28" s="1"/>
  <c r="C46" i="25" l="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D12" i="31"/>
  <c r="DC12" i="31"/>
  <c r="DB12" i="31"/>
  <c r="DA12" i="31"/>
  <c r="CZ12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CA12" i="31"/>
  <c r="BZ12" i="31"/>
  <c r="BY12" i="31"/>
  <c r="BX12" i="31"/>
  <c r="BW12" i="31"/>
  <c r="BV12" i="31"/>
  <c r="BU12" i="31"/>
  <c r="BT12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AU12" i="31"/>
  <c r="AT12" i="31"/>
  <c r="AS12" i="31"/>
  <c r="AR12" i="31"/>
  <c r="AQ12" i="31"/>
  <c r="AP12" i="31"/>
  <c r="AO12" i="31"/>
  <c r="AN12" i="31"/>
  <c r="AM12" i="31"/>
  <c r="AL12" i="31"/>
  <c r="AK12" i="31"/>
  <c r="AJ12" i="31"/>
  <c r="AI12" i="31"/>
  <c r="AH12" i="31"/>
  <c r="AG12" i="31"/>
  <c r="AF12" i="31"/>
  <c r="AE12" i="31"/>
  <c r="AD12" i="31"/>
  <c r="AC12" i="31"/>
  <c r="AB12" i="31"/>
  <c r="AA12" i="31"/>
  <c r="Z12" i="31"/>
  <c r="Y12" i="31"/>
  <c r="X12" i="31"/>
  <c r="W12" i="31"/>
  <c r="V12" i="31"/>
  <c r="U12" i="31"/>
  <c r="T12" i="31"/>
  <c r="S12" i="31"/>
  <c r="R12" i="31"/>
  <c r="Q12" i="31"/>
  <c r="P12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D10" i="31"/>
  <c r="DC10" i="31"/>
  <c r="DB10" i="31"/>
  <c r="DA10" i="31"/>
  <c r="CZ10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CA10" i="31"/>
  <c r="BZ10" i="31"/>
  <c r="BY10" i="31"/>
  <c r="BX10" i="31"/>
  <c r="BW10" i="31"/>
  <c r="BV10" i="31"/>
  <c r="BU10" i="31"/>
  <c r="BT10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AU10" i="31"/>
  <c r="AT10" i="31"/>
  <c r="AS10" i="31"/>
  <c r="AR10" i="31"/>
  <c r="AQ10" i="31"/>
  <c r="AP10" i="31"/>
  <c r="AO10" i="31"/>
  <c r="AN10" i="31"/>
  <c r="AM10" i="31"/>
  <c r="AL10" i="31"/>
  <c r="AK10" i="31"/>
  <c r="AJ10" i="31"/>
  <c r="AI10" i="31"/>
  <c r="AH10" i="31"/>
  <c r="AG10" i="31"/>
  <c r="AF10" i="31"/>
  <c r="AE10" i="31"/>
  <c r="AD10" i="31"/>
  <c r="AC10" i="31"/>
  <c r="AB10" i="31"/>
  <c r="AA10" i="31"/>
  <c r="Z10" i="31"/>
  <c r="Y10" i="31"/>
  <c r="X10" i="31"/>
  <c r="W10" i="31"/>
  <c r="V10" i="31"/>
  <c r="U10" i="31"/>
  <c r="T10" i="31"/>
  <c r="S10" i="31"/>
  <c r="R10" i="31"/>
  <c r="Q10" i="31"/>
  <c r="P10" i="31"/>
  <c r="O10" i="31"/>
  <c r="N10" i="31"/>
  <c r="M10" i="31"/>
  <c r="L10" i="31"/>
  <c r="K10" i="31"/>
  <c r="J10" i="31"/>
  <c r="I10" i="31"/>
  <c r="H10" i="31"/>
  <c r="G10" i="31"/>
  <c r="F10" i="31"/>
  <c r="E10" i="31"/>
  <c r="D10" i="31"/>
  <c r="C10" i="31"/>
  <c r="C9" i="25"/>
  <c r="C8" i="25"/>
  <c r="E17" i="25"/>
  <c r="F17" i="25" s="1"/>
  <c r="C19" i="25"/>
  <c r="C28" i="37" l="1"/>
  <c r="C10" i="36"/>
  <c r="C24" i="34"/>
  <c r="C25" i="32"/>
  <c r="C27" i="31"/>
  <c r="E18" i="25"/>
  <c r="C21" i="37" l="1"/>
  <c r="C20" i="37"/>
  <c r="D24" i="34"/>
  <c r="D11" i="34" s="1"/>
  <c r="D14" i="34" s="1"/>
  <c r="D20" i="34" s="1"/>
  <c r="C10" i="34"/>
  <c r="C11" i="32"/>
  <c r="C14" i="32" s="1"/>
  <c r="C10" i="32"/>
  <c r="C6" i="31"/>
  <c r="C4" i="31"/>
  <c r="C23" i="37"/>
  <c r="C5" i="31"/>
  <c r="C7" i="31" s="1"/>
  <c r="C11" i="31" s="1"/>
  <c r="D27" i="31"/>
  <c r="D25" i="32"/>
  <c r="C13" i="32"/>
  <c r="C11" i="34"/>
  <c r="C15" i="34" s="1"/>
  <c r="C21" i="34" s="1"/>
  <c r="F18" i="25"/>
  <c r="D10" i="36"/>
  <c r="C5" i="36"/>
  <c r="C6" i="36" s="1"/>
  <c r="C4" i="36"/>
  <c r="D28" i="37"/>
  <c r="D20" i="37" s="1"/>
  <c r="C22" i="37"/>
  <c r="C24" i="37" s="1"/>
  <c r="F32" i="27"/>
  <c r="E32" i="27"/>
  <c r="D32" i="27"/>
  <c r="C32" i="27"/>
  <c r="F25" i="27"/>
  <c r="E25" i="27"/>
  <c r="D25" i="27"/>
  <c r="C25" i="27"/>
  <c r="F19" i="27"/>
  <c r="E19" i="27"/>
  <c r="D19" i="27"/>
  <c r="C19" i="27"/>
  <c r="F13" i="27"/>
  <c r="E13" i="27"/>
  <c r="D13" i="27"/>
  <c r="C13" i="27"/>
  <c r="C4" i="27"/>
  <c r="H5" i="26"/>
  <c r="G5" i="26"/>
  <c r="F5" i="26"/>
  <c r="E5" i="26"/>
  <c r="D5" i="26"/>
  <c r="C5" i="26"/>
  <c r="E24" i="34" l="1"/>
  <c r="D10" i="34"/>
  <c r="C22" i="32"/>
  <c r="C15" i="32"/>
  <c r="C17" i="32"/>
  <c r="C16" i="32"/>
  <c r="E25" i="32"/>
  <c r="E13" i="32" s="1"/>
  <c r="D10" i="32"/>
  <c r="D6" i="31"/>
  <c r="D4" i="31"/>
  <c r="C20" i="32"/>
  <c r="D11" i="32"/>
  <c r="D14" i="32" s="1"/>
  <c r="C13" i="31"/>
  <c r="C21" i="32"/>
  <c r="D13" i="32"/>
  <c r="C14" i="31"/>
  <c r="C15" i="31" s="1"/>
  <c r="E27" i="31"/>
  <c r="D5" i="31"/>
  <c r="C13" i="34"/>
  <c r="C19" i="34" s="1"/>
  <c r="C14" i="34"/>
  <c r="C20" i="34" s="1"/>
  <c r="C12" i="34"/>
  <c r="C18" i="34" s="1"/>
  <c r="D12" i="34"/>
  <c r="D18" i="34" s="1"/>
  <c r="D13" i="34"/>
  <c r="D19" i="34" s="1"/>
  <c r="D15" i="34"/>
  <c r="D21" i="34" s="1"/>
  <c r="E19" i="25"/>
  <c r="F19" i="25" s="1"/>
  <c r="C25" i="37"/>
  <c r="C29" i="37" s="1"/>
  <c r="C26" i="37"/>
  <c r="E10" i="36"/>
  <c r="D5" i="36"/>
  <c r="D4" i="36"/>
  <c r="E28" i="37"/>
  <c r="E20" i="37" s="1"/>
  <c r="D22" i="37"/>
  <c r="D24" i="37" s="1"/>
  <c r="D21" i="37"/>
  <c r="D23" i="37" s="1"/>
  <c r="C7" i="36"/>
  <c r="C11" i="36" s="1"/>
  <c r="C41" i="27"/>
  <c r="D41" i="27"/>
  <c r="D5" i="27" s="1"/>
  <c r="E41" i="27"/>
  <c r="E5" i="27" s="1"/>
  <c r="F41" i="27"/>
  <c r="F5" i="27" s="1"/>
  <c r="C5" i="27"/>
  <c r="D4" i="27"/>
  <c r="E4" i="27" s="1"/>
  <c r="F4" i="27" s="1"/>
  <c r="G4" i="27" s="1"/>
  <c r="H4" i="27" s="1"/>
  <c r="I25" i="27"/>
  <c r="I32" i="27"/>
  <c r="I13" i="27"/>
  <c r="I19" i="27"/>
  <c r="C4" i="26"/>
  <c r="C22" i="25"/>
  <c r="E11" i="32" l="1"/>
  <c r="E14" i="32" s="1"/>
  <c r="F24" i="34"/>
  <c r="E10" i="34"/>
  <c r="E11" i="34"/>
  <c r="F25" i="32"/>
  <c r="E10" i="32"/>
  <c r="E16" i="32"/>
  <c r="E21" i="32" s="1"/>
  <c r="E26" i="32" s="1"/>
  <c r="E17" i="32"/>
  <c r="E22" i="32" s="1"/>
  <c r="E15" i="32"/>
  <c r="E20" i="32" s="1"/>
  <c r="D16" i="32"/>
  <c r="D21" i="32" s="1"/>
  <c r="D17" i="32"/>
  <c r="D22" i="32" s="1"/>
  <c r="D15" i="32"/>
  <c r="D20" i="32" s="1"/>
  <c r="E6" i="31"/>
  <c r="E4" i="31"/>
  <c r="D13" i="31"/>
  <c r="D7" i="31"/>
  <c r="D11" i="31" s="1"/>
  <c r="C26" i="32"/>
  <c r="D14" i="31"/>
  <c r="D15" i="31" s="1"/>
  <c r="C16" i="31"/>
  <c r="C17" i="31" s="1"/>
  <c r="F25" i="25"/>
  <c r="F26" i="25"/>
  <c r="F27" i="31"/>
  <c r="E5" i="31"/>
  <c r="E7" i="31" s="1"/>
  <c r="D25" i="34"/>
  <c r="C25" i="34"/>
  <c r="D4" i="26"/>
  <c r="E4" i="26" s="1"/>
  <c r="F4" i="26" s="1"/>
  <c r="G4" i="26" s="1"/>
  <c r="H4" i="26" s="1"/>
  <c r="D7" i="36"/>
  <c r="D6" i="36"/>
  <c r="F10" i="36"/>
  <c r="E5" i="36"/>
  <c r="E4" i="36"/>
  <c r="F28" i="37"/>
  <c r="F20" i="37" s="1"/>
  <c r="E22" i="37"/>
  <c r="E21" i="37"/>
  <c r="E23" i="37" s="1"/>
  <c r="I41" i="27"/>
  <c r="K43" i="28"/>
  <c r="C43" i="28"/>
  <c r="J43" i="28"/>
  <c r="I43" i="28"/>
  <c r="H43" i="28"/>
  <c r="G43" i="28"/>
  <c r="F43" i="28"/>
  <c r="E43" i="28"/>
  <c r="L43" i="28"/>
  <c r="D43" i="28"/>
  <c r="F27" i="25"/>
  <c r="F24" i="25"/>
  <c r="F28" i="25"/>
  <c r="D26" i="32" l="1"/>
  <c r="E24" i="37"/>
  <c r="E15" i="34"/>
  <c r="E21" i="34" s="1"/>
  <c r="E14" i="34"/>
  <c r="E20" i="34" s="1"/>
  <c r="E12" i="34"/>
  <c r="E18" i="34" s="1"/>
  <c r="E13" i="34"/>
  <c r="E19" i="34" s="1"/>
  <c r="G24" i="34"/>
  <c r="F10" i="34"/>
  <c r="F11" i="34"/>
  <c r="G25" i="32"/>
  <c r="F10" i="32"/>
  <c r="F13" i="32"/>
  <c r="F11" i="32"/>
  <c r="F14" i="32" s="1"/>
  <c r="E11" i="31"/>
  <c r="G27" i="31"/>
  <c r="F4" i="31"/>
  <c r="C22" i="31"/>
  <c r="C24" i="31" s="1"/>
  <c r="C18" i="31"/>
  <c r="C19" i="31" s="1"/>
  <c r="C23" i="31"/>
  <c r="E13" i="31"/>
  <c r="D16" i="31"/>
  <c r="D17" i="31" s="1"/>
  <c r="H27" i="31"/>
  <c r="G5" i="31"/>
  <c r="G7" i="31" s="1"/>
  <c r="F6" i="31"/>
  <c r="F5" i="31"/>
  <c r="F7" i="31" s="1"/>
  <c r="E14" i="31"/>
  <c r="E15" i="31" s="1"/>
  <c r="L42" i="28"/>
  <c r="J42" i="28"/>
  <c r="H42" i="28"/>
  <c r="F42" i="28"/>
  <c r="D42" i="28"/>
  <c r="I42" i="28"/>
  <c r="G42" i="28"/>
  <c r="E42" i="28"/>
  <c r="K42" i="28"/>
  <c r="C42" i="28"/>
  <c r="G28" i="37"/>
  <c r="G20" i="37" s="1"/>
  <c r="F22" i="37"/>
  <c r="F21" i="37"/>
  <c r="F23" i="37" s="1"/>
  <c r="D11" i="36"/>
  <c r="D26" i="37"/>
  <c r="D25" i="37"/>
  <c r="D29" i="37" s="1"/>
  <c r="E7" i="36"/>
  <c r="E6" i="36"/>
  <c r="G10" i="36"/>
  <c r="F5" i="36"/>
  <c r="F4" i="36"/>
  <c r="C21" i="31"/>
  <c r="C20" i="31"/>
  <c r="C28" i="31" s="1"/>
  <c r="F24" i="37" l="1"/>
  <c r="H24" i="34"/>
  <c r="G10" i="34"/>
  <c r="G11" i="34"/>
  <c r="F12" i="34"/>
  <c r="F18" i="34" s="1"/>
  <c r="F14" i="34"/>
  <c r="F20" i="34" s="1"/>
  <c r="F13" i="34"/>
  <c r="F19" i="34" s="1"/>
  <c r="F15" i="34"/>
  <c r="F21" i="34" s="1"/>
  <c r="E25" i="34"/>
  <c r="F16" i="32"/>
  <c r="F21" i="32" s="1"/>
  <c r="F17" i="32"/>
  <c r="F22" i="32" s="1"/>
  <c r="F15" i="32"/>
  <c r="F20" i="32" s="1"/>
  <c r="H25" i="32"/>
  <c r="G10" i="32"/>
  <c r="G11" i="32"/>
  <c r="G14" i="32" s="1"/>
  <c r="G13" i="32"/>
  <c r="H5" i="31"/>
  <c r="H4" i="31"/>
  <c r="G6" i="31"/>
  <c r="G11" i="31" s="1"/>
  <c r="G4" i="31"/>
  <c r="F11" i="31"/>
  <c r="H7" i="31"/>
  <c r="I27" i="31"/>
  <c r="H6" i="31"/>
  <c r="G14" i="31"/>
  <c r="G15" i="31" s="1"/>
  <c r="F14" i="31"/>
  <c r="F15" i="31" s="1"/>
  <c r="D18" i="31"/>
  <c r="D22" i="31"/>
  <c r="D24" i="31" s="1"/>
  <c r="D23" i="31"/>
  <c r="E16" i="31"/>
  <c r="E17" i="31" s="1"/>
  <c r="G13" i="31"/>
  <c r="F13" i="31"/>
  <c r="F26" i="37"/>
  <c r="E11" i="36"/>
  <c r="F7" i="36"/>
  <c r="F6" i="36"/>
  <c r="H10" i="36"/>
  <c r="G5" i="36"/>
  <c r="G4" i="36"/>
  <c r="H28" i="37"/>
  <c r="H20" i="37" s="1"/>
  <c r="G22" i="37"/>
  <c r="G24" i="37" s="1"/>
  <c r="G21" i="37"/>
  <c r="G23" i="37" s="1"/>
  <c r="E25" i="37"/>
  <c r="E29" i="37" s="1"/>
  <c r="E26" i="37"/>
  <c r="H13" i="31"/>
  <c r="H14" i="31"/>
  <c r="H15" i="31" s="1"/>
  <c r="F25" i="34" l="1"/>
  <c r="G13" i="34"/>
  <c r="G19" i="34" s="1"/>
  <c r="G14" i="34"/>
  <c r="G20" i="34" s="1"/>
  <c r="G15" i="34"/>
  <c r="G21" i="34" s="1"/>
  <c r="G12" i="34"/>
  <c r="G18" i="34" s="1"/>
  <c r="G25" i="34" s="1"/>
  <c r="I24" i="34"/>
  <c r="H10" i="34"/>
  <c r="H11" i="34"/>
  <c r="I25" i="32"/>
  <c r="H10" i="32"/>
  <c r="H13" i="32"/>
  <c r="H11" i="32"/>
  <c r="F26" i="32"/>
  <c r="G16" i="32"/>
  <c r="G21" i="32" s="1"/>
  <c r="G17" i="32"/>
  <c r="G22" i="32" s="1"/>
  <c r="G15" i="32"/>
  <c r="G20" i="32" s="1"/>
  <c r="J27" i="31"/>
  <c r="J4" i="31" s="1"/>
  <c r="I4" i="31"/>
  <c r="H11" i="31"/>
  <c r="I5" i="31"/>
  <c r="I6" i="31"/>
  <c r="E23" i="31"/>
  <c r="E22" i="31"/>
  <c r="E24" i="31" s="1"/>
  <c r="E18" i="31"/>
  <c r="E19" i="31" s="1"/>
  <c r="G16" i="31"/>
  <c r="G17" i="31" s="1"/>
  <c r="D21" i="31"/>
  <c r="D19" i="31"/>
  <c r="D20" i="31"/>
  <c r="D28" i="31" s="1"/>
  <c r="F16" i="31"/>
  <c r="F17" i="31" s="1"/>
  <c r="F18" i="31" s="1"/>
  <c r="F20" i="31" s="1"/>
  <c r="F25" i="37"/>
  <c r="F29" i="37" s="1"/>
  <c r="G26" i="37"/>
  <c r="G29" i="37" s="1"/>
  <c r="F11" i="36"/>
  <c r="I10" i="36"/>
  <c r="H5" i="36"/>
  <c r="H4" i="36"/>
  <c r="I28" i="37"/>
  <c r="I20" i="37" s="1"/>
  <c r="H22" i="37"/>
  <c r="H21" i="37"/>
  <c r="H23" i="37" s="1"/>
  <c r="G7" i="36"/>
  <c r="G6" i="36"/>
  <c r="J5" i="31"/>
  <c r="K27" i="31"/>
  <c r="K4" i="31" s="1"/>
  <c r="H24" i="37" l="1"/>
  <c r="H13" i="34"/>
  <c r="H19" i="34" s="1"/>
  <c r="H15" i="34"/>
  <c r="H21" i="34" s="1"/>
  <c r="H12" i="34"/>
  <c r="H18" i="34" s="1"/>
  <c r="H14" i="34"/>
  <c r="H20" i="34" s="1"/>
  <c r="J24" i="34"/>
  <c r="I10" i="34"/>
  <c r="I11" i="34"/>
  <c r="G26" i="32"/>
  <c r="H14" i="32"/>
  <c r="H16" i="32" s="1"/>
  <c r="H21" i="32" s="1"/>
  <c r="H15" i="32"/>
  <c r="H20" i="32" s="1"/>
  <c r="J25" i="32"/>
  <c r="I10" i="32"/>
  <c r="I11" i="32"/>
  <c r="I14" i="32" s="1"/>
  <c r="I13" i="32"/>
  <c r="J6" i="31"/>
  <c r="J7" i="31"/>
  <c r="J11" i="31" s="1"/>
  <c r="I7" i="31"/>
  <c r="I11" i="31" s="1"/>
  <c r="I14" i="31"/>
  <c r="I15" i="31" s="1"/>
  <c r="E21" i="31"/>
  <c r="I13" i="31"/>
  <c r="E20" i="31"/>
  <c r="E28" i="31" s="1"/>
  <c r="F19" i="31"/>
  <c r="G18" i="31"/>
  <c r="G20" i="31" s="1"/>
  <c r="F22" i="31"/>
  <c r="F24" i="31" s="1"/>
  <c r="F28" i="31" s="1"/>
  <c r="F21" i="31"/>
  <c r="F23" i="31"/>
  <c r="G23" i="31"/>
  <c r="H16" i="31"/>
  <c r="H17" i="31" s="1"/>
  <c r="G25" i="37"/>
  <c r="H6" i="36"/>
  <c r="J28" i="37"/>
  <c r="J20" i="37" s="1"/>
  <c r="I22" i="37"/>
  <c r="I21" i="37"/>
  <c r="I23" i="37" s="1"/>
  <c r="G11" i="36"/>
  <c r="H7" i="36"/>
  <c r="J10" i="36"/>
  <c r="I5" i="36"/>
  <c r="I4" i="36"/>
  <c r="K6" i="31"/>
  <c r="G21" i="31"/>
  <c r="J13" i="31"/>
  <c r="J14" i="31"/>
  <c r="J15" i="31" s="1"/>
  <c r="K5" i="31"/>
  <c r="L27" i="31"/>
  <c r="L4" i="31" s="1"/>
  <c r="H17" i="32" l="1"/>
  <c r="H22" i="32" s="1"/>
  <c r="I24" i="37"/>
  <c r="I12" i="34"/>
  <c r="I18" i="34" s="1"/>
  <c r="I14" i="34"/>
  <c r="I20" i="34" s="1"/>
  <c r="I15" i="34"/>
  <c r="I21" i="34" s="1"/>
  <c r="I13" i="34"/>
  <c r="I19" i="34" s="1"/>
  <c r="I25" i="34" s="1"/>
  <c r="K24" i="34"/>
  <c r="J10" i="34"/>
  <c r="J11" i="34"/>
  <c r="H25" i="34"/>
  <c r="K25" i="32"/>
  <c r="J10" i="32"/>
  <c r="J11" i="32"/>
  <c r="J14" i="32" s="1"/>
  <c r="J13" i="32"/>
  <c r="H26" i="32"/>
  <c r="I16" i="32"/>
  <c r="I21" i="32" s="1"/>
  <c r="I17" i="32"/>
  <c r="I22" i="32" s="1"/>
  <c r="I15" i="32"/>
  <c r="I20" i="32" s="1"/>
  <c r="G19" i="31"/>
  <c r="K7" i="31"/>
  <c r="K11" i="31" s="1"/>
  <c r="H23" i="31"/>
  <c r="H18" i="31"/>
  <c r="H19" i="31" s="1"/>
  <c r="G22" i="31"/>
  <c r="H22" i="31" s="1"/>
  <c r="H24" i="31" s="1"/>
  <c r="I16" i="31"/>
  <c r="I17" i="31" s="1"/>
  <c r="I23" i="31" s="1"/>
  <c r="H11" i="36"/>
  <c r="H25" i="37"/>
  <c r="H26" i="37"/>
  <c r="H29" i="37" s="1"/>
  <c r="I7" i="36"/>
  <c r="I6" i="36"/>
  <c r="K28" i="37"/>
  <c r="K20" i="37" s="1"/>
  <c r="J22" i="37"/>
  <c r="J21" i="37"/>
  <c r="J23" i="37" s="1"/>
  <c r="K10" i="36"/>
  <c r="J5" i="36"/>
  <c r="J4" i="36"/>
  <c r="L6" i="31"/>
  <c r="K13" i="31"/>
  <c r="K14" i="31"/>
  <c r="K15" i="31" s="1"/>
  <c r="L5" i="31"/>
  <c r="M27" i="31"/>
  <c r="M4" i="31" s="1"/>
  <c r="J24" i="37" l="1"/>
  <c r="J12" i="34"/>
  <c r="J18" i="34" s="1"/>
  <c r="J25" i="34" s="1"/>
  <c r="J13" i="34"/>
  <c r="J19" i="34" s="1"/>
  <c r="J15" i="34"/>
  <c r="J21" i="34" s="1"/>
  <c r="J14" i="34"/>
  <c r="J20" i="34" s="1"/>
  <c r="L24" i="34"/>
  <c r="K10" i="34"/>
  <c r="K11" i="34"/>
  <c r="J17" i="32"/>
  <c r="J22" i="32" s="1"/>
  <c r="J15" i="32"/>
  <c r="J20" i="32" s="1"/>
  <c r="J16" i="32"/>
  <c r="J21" i="32" s="1"/>
  <c r="I26" i="32"/>
  <c r="L25" i="32"/>
  <c r="K10" i="32"/>
  <c r="K11" i="32"/>
  <c r="K14" i="32" s="1"/>
  <c r="K13" i="32"/>
  <c r="H20" i="31"/>
  <c r="H28" i="31" s="1"/>
  <c r="L7" i="31"/>
  <c r="L11" i="31" s="1"/>
  <c r="H21" i="31"/>
  <c r="I18" i="31"/>
  <c r="I21" i="31" s="1"/>
  <c r="I22" i="31"/>
  <c r="I24" i="31" s="1"/>
  <c r="G24" i="31"/>
  <c r="G28" i="31" s="1"/>
  <c r="J16" i="31"/>
  <c r="J17" i="31" s="1"/>
  <c r="J23" i="31" s="1"/>
  <c r="J7" i="36"/>
  <c r="I11" i="36"/>
  <c r="J6" i="36"/>
  <c r="L28" i="37"/>
  <c r="L20" i="37" s="1"/>
  <c r="K22" i="37"/>
  <c r="K21" i="37"/>
  <c r="K23" i="37" s="1"/>
  <c r="I25" i="37"/>
  <c r="I26" i="37"/>
  <c r="I29" i="37" s="1"/>
  <c r="L10" i="36"/>
  <c r="K5" i="36"/>
  <c r="K4" i="36"/>
  <c r="M6" i="31"/>
  <c r="L13" i="31"/>
  <c r="L14" i="31"/>
  <c r="L15" i="31" s="1"/>
  <c r="M5" i="31"/>
  <c r="N27" i="31"/>
  <c r="N4" i="31" s="1"/>
  <c r="K24" i="37" l="1"/>
  <c r="K15" i="34"/>
  <c r="K21" i="34" s="1"/>
  <c r="K12" i="34"/>
  <c r="K18" i="34" s="1"/>
  <c r="K25" i="34" s="1"/>
  <c r="K14" i="34"/>
  <c r="K20" i="34" s="1"/>
  <c r="K13" i="34"/>
  <c r="K19" i="34" s="1"/>
  <c r="M24" i="34"/>
  <c r="L10" i="34"/>
  <c r="L11" i="34"/>
  <c r="M25" i="32"/>
  <c r="L10" i="32"/>
  <c r="L13" i="32"/>
  <c r="L11" i="32"/>
  <c r="K16" i="32"/>
  <c r="K21" i="32" s="1"/>
  <c r="K17" i="32"/>
  <c r="K22" i="32" s="1"/>
  <c r="K15" i="32"/>
  <c r="K20" i="32" s="1"/>
  <c r="K26" i="32" s="1"/>
  <c r="J26" i="32"/>
  <c r="M11" i="31"/>
  <c r="I20" i="31"/>
  <c r="I28" i="31" s="1"/>
  <c r="I19" i="31"/>
  <c r="M7" i="31"/>
  <c r="J18" i="31"/>
  <c r="J20" i="31" s="1"/>
  <c r="K16" i="31"/>
  <c r="K17" i="31" s="1"/>
  <c r="K23" i="31" s="1"/>
  <c r="J22" i="31"/>
  <c r="J24" i="31" s="1"/>
  <c r="J11" i="36"/>
  <c r="K26" i="37"/>
  <c r="K29" i="37" s="1"/>
  <c r="J25" i="37"/>
  <c r="J26" i="37"/>
  <c r="J29" i="37" s="1"/>
  <c r="K7" i="36"/>
  <c r="K6" i="36"/>
  <c r="M28" i="37"/>
  <c r="M20" i="37" s="1"/>
  <c r="L22" i="37"/>
  <c r="L21" i="37"/>
  <c r="L23" i="37" s="1"/>
  <c r="M10" i="36"/>
  <c r="L5" i="36"/>
  <c r="L4" i="36"/>
  <c r="N6" i="31"/>
  <c r="M13" i="31"/>
  <c r="M14" i="31"/>
  <c r="M15" i="31" s="1"/>
  <c r="N5" i="31"/>
  <c r="O27" i="31"/>
  <c r="O4" i="31" s="1"/>
  <c r="G15" i="5"/>
  <c r="G14" i="5"/>
  <c r="G13" i="5"/>
  <c r="G12" i="5"/>
  <c r="G11" i="5"/>
  <c r="G10" i="5"/>
  <c r="G9" i="5"/>
  <c r="G8" i="5"/>
  <c r="G7" i="5"/>
  <c r="C4" i="5"/>
  <c r="L24" i="37" l="1"/>
  <c r="L15" i="34"/>
  <c r="L21" i="34" s="1"/>
  <c r="L14" i="34"/>
  <c r="L20" i="34" s="1"/>
  <c r="L13" i="34"/>
  <c r="L19" i="34" s="1"/>
  <c r="L12" i="34"/>
  <c r="L18" i="34" s="1"/>
  <c r="N24" i="34"/>
  <c r="M10" i="34"/>
  <c r="M11" i="34"/>
  <c r="L14" i="32"/>
  <c r="L17" i="32"/>
  <c r="L22" i="32" s="1"/>
  <c r="L16" i="32"/>
  <c r="L21" i="32" s="1"/>
  <c r="L15" i="32"/>
  <c r="L20" i="32" s="1"/>
  <c r="N25" i="32"/>
  <c r="M10" i="32"/>
  <c r="M13" i="32"/>
  <c r="M11" i="32"/>
  <c r="N7" i="31"/>
  <c r="N11" i="31" s="1"/>
  <c r="J19" i="31"/>
  <c r="J21" i="31"/>
  <c r="J28" i="31"/>
  <c r="K18" i="31"/>
  <c r="K19" i="31" s="1"/>
  <c r="K22" i="31"/>
  <c r="K24" i="31" s="1"/>
  <c r="L16" i="31"/>
  <c r="L17" i="31" s="1"/>
  <c r="L22" i="31" s="1"/>
  <c r="L24" i="31" s="1"/>
  <c r="L6" i="36"/>
  <c r="K25" i="37"/>
  <c r="N28" i="37"/>
  <c r="N20" i="37" s="1"/>
  <c r="M22" i="37"/>
  <c r="M21" i="37"/>
  <c r="M23" i="37" s="1"/>
  <c r="L7" i="36"/>
  <c r="K11" i="36"/>
  <c r="N10" i="36"/>
  <c r="M5" i="36"/>
  <c r="M4" i="36"/>
  <c r="O6" i="31"/>
  <c r="N13" i="31"/>
  <c r="N14" i="31"/>
  <c r="N15" i="31" s="1"/>
  <c r="P27" i="31"/>
  <c r="P4" i="31" s="1"/>
  <c r="O5" i="31"/>
  <c r="M24" i="37" l="1"/>
  <c r="M15" i="34"/>
  <c r="M21" i="34" s="1"/>
  <c r="M12" i="34"/>
  <c r="M18" i="34" s="1"/>
  <c r="M14" i="34"/>
  <c r="M20" i="34" s="1"/>
  <c r="M13" i="34"/>
  <c r="M19" i="34" s="1"/>
  <c r="L25" i="34"/>
  <c r="O24" i="34"/>
  <c r="N10" i="34"/>
  <c r="N11" i="34"/>
  <c r="O25" i="32"/>
  <c r="N10" i="32"/>
  <c r="N11" i="32"/>
  <c r="N14" i="32" s="1"/>
  <c r="N13" i="32"/>
  <c r="L26" i="32"/>
  <c r="M16" i="32"/>
  <c r="M21" i="32" s="1"/>
  <c r="M17" i="32"/>
  <c r="M22" i="32" s="1"/>
  <c r="M14" i="32"/>
  <c r="M15" i="32" s="1"/>
  <c r="M20" i="32" s="1"/>
  <c r="O11" i="31"/>
  <c r="O7" i="31"/>
  <c r="K20" i="31"/>
  <c r="K28" i="31" s="1"/>
  <c r="K21" i="31"/>
  <c r="L23" i="31"/>
  <c r="L18" i="31"/>
  <c r="L19" i="31" s="1"/>
  <c r="M16" i="31"/>
  <c r="M17" i="31" s="1"/>
  <c r="M18" i="31" s="1"/>
  <c r="M19" i="31" s="1"/>
  <c r="M7" i="36"/>
  <c r="L11" i="36"/>
  <c r="O10" i="36"/>
  <c r="N5" i="36"/>
  <c r="N4" i="36"/>
  <c r="O28" i="37"/>
  <c r="O20" i="37" s="1"/>
  <c r="N22" i="37"/>
  <c r="N24" i="37" s="1"/>
  <c r="N21" i="37"/>
  <c r="N23" i="37" s="1"/>
  <c r="M6" i="36"/>
  <c r="L26" i="37"/>
  <c r="L29" i="37" s="1"/>
  <c r="L25" i="37"/>
  <c r="L21" i="31"/>
  <c r="P6" i="31"/>
  <c r="O13" i="31"/>
  <c r="O14" i="31"/>
  <c r="O15" i="31" s="1"/>
  <c r="Q27" i="31"/>
  <c r="Q4" i="31" s="1"/>
  <c r="P5" i="31"/>
  <c r="M25" i="34" l="1"/>
  <c r="N14" i="34"/>
  <c r="N20" i="34" s="1"/>
  <c r="N12" i="34"/>
  <c r="N18" i="34" s="1"/>
  <c r="N13" i="34"/>
  <c r="N19" i="34" s="1"/>
  <c r="N15" i="34"/>
  <c r="N21" i="34" s="1"/>
  <c r="P24" i="34"/>
  <c r="O10" i="34"/>
  <c r="O11" i="34"/>
  <c r="N16" i="32"/>
  <c r="N21" i="32" s="1"/>
  <c r="N17" i="32"/>
  <c r="N22" i="32" s="1"/>
  <c r="N15" i="32"/>
  <c r="N20" i="32" s="1"/>
  <c r="M26" i="32"/>
  <c r="P25" i="32"/>
  <c r="O10" i="32"/>
  <c r="O13" i="32"/>
  <c r="O11" i="32"/>
  <c r="P11" i="31"/>
  <c r="P7" i="31"/>
  <c r="L20" i="31"/>
  <c r="L28" i="31" s="1"/>
  <c r="M23" i="31"/>
  <c r="M22" i="31"/>
  <c r="M24" i="31" s="1"/>
  <c r="N16" i="31"/>
  <c r="N17" i="31" s="1"/>
  <c r="N18" i="31" s="1"/>
  <c r="N20" i="31" s="1"/>
  <c r="M11" i="36"/>
  <c r="N25" i="37"/>
  <c r="P28" i="37"/>
  <c r="P20" i="37" s="1"/>
  <c r="O22" i="37"/>
  <c r="O21" i="37"/>
  <c r="O23" i="37" s="1"/>
  <c r="N7" i="36"/>
  <c r="N6" i="36"/>
  <c r="M26" i="37"/>
  <c r="M29" i="37" s="1"/>
  <c r="M25" i="37"/>
  <c r="P10" i="36"/>
  <c r="O5" i="36"/>
  <c r="O4" i="36"/>
  <c r="Q6" i="31"/>
  <c r="M20" i="31"/>
  <c r="M21" i="31"/>
  <c r="P13" i="31"/>
  <c r="P14" i="31"/>
  <c r="P15" i="31" s="1"/>
  <c r="R27" i="31"/>
  <c r="R4" i="31" s="1"/>
  <c r="Q5" i="31"/>
  <c r="O24" i="37" l="1"/>
  <c r="O13" i="34"/>
  <c r="O19" i="34" s="1"/>
  <c r="O12" i="34"/>
  <c r="O18" i="34" s="1"/>
  <c r="O14" i="34"/>
  <c r="O20" i="34" s="1"/>
  <c r="O15" i="34"/>
  <c r="O21" i="34" s="1"/>
  <c r="Q24" i="34"/>
  <c r="P10" i="34"/>
  <c r="P11" i="34"/>
  <c r="N25" i="34"/>
  <c r="O14" i="32"/>
  <c r="Q25" i="32"/>
  <c r="P10" i="32"/>
  <c r="P11" i="32"/>
  <c r="P14" i="32" s="1"/>
  <c r="P13" i="32"/>
  <c r="N26" i="32"/>
  <c r="O16" i="32"/>
  <c r="O21" i="32" s="1"/>
  <c r="O17" i="32"/>
  <c r="O22" i="32" s="1"/>
  <c r="O15" i="32"/>
  <c r="O20" i="32" s="1"/>
  <c r="Q7" i="31"/>
  <c r="Q11" i="31" s="1"/>
  <c r="N23" i="31"/>
  <c r="N22" i="31"/>
  <c r="N24" i="31" s="1"/>
  <c r="N28" i="31" s="1"/>
  <c r="M28" i="31"/>
  <c r="O16" i="31"/>
  <c r="O17" i="31" s="1"/>
  <c r="O18" i="31" s="1"/>
  <c r="O21" i="31" s="1"/>
  <c r="N11" i="36"/>
  <c r="N26" i="37"/>
  <c r="N29" i="37" s="1"/>
  <c r="O7" i="36"/>
  <c r="O6" i="36"/>
  <c r="P5" i="36"/>
  <c r="Q10" i="36"/>
  <c r="P4" i="36"/>
  <c r="Q28" i="37"/>
  <c r="Q20" i="37" s="1"/>
  <c r="P22" i="37"/>
  <c r="P24" i="37" s="1"/>
  <c r="P21" i="37"/>
  <c r="P23" i="37" s="1"/>
  <c r="R6" i="31"/>
  <c r="N19" i="31"/>
  <c r="N21" i="31"/>
  <c r="Q13" i="31"/>
  <c r="Q14" i="31"/>
  <c r="Q15" i="31" s="1"/>
  <c r="R5" i="31"/>
  <c r="S27" i="31"/>
  <c r="S4" i="31" s="1"/>
  <c r="O26" i="32" l="1"/>
  <c r="P12" i="34"/>
  <c r="P18" i="34" s="1"/>
  <c r="P13" i="34"/>
  <c r="P19" i="34" s="1"/>
  <c r="P14" i="34"/>
  <c r="P20" i="34" s="1"/>
  <c r="P15" i="34"/>
  <c r="P21" i="34" s="1"/>
  <c r="R24" i="34"/>
  <c r="Q10" i="34"/>
  <c r="Q11" i="34"/>
  <c r="O25" i="34"/>
  <c r="P16" i="32"/>
  <c r="P21" i="32" s="1"/>
  <c r="P17" i="32"/>
  <c r="P22" i="32" s="1"/>
  <c r="P15" i="32"/>
  <c r="P20" i="32" s="1"/>
  <c r="R25" i="32"/>
  <c r="Q10" i="32"/>
  <c r="Q13" i="32"/>
  <c r="Q11" i="32"/>
  <c r="R11" i="31"/>
  <c r="R7" i="31"/>
  <c r="O23" i="31"/>
  <c r="O22" i="31"/>
  <c r="O24" i="31" s="1"/>
  <c r="P16" i="31"/>
  <c r="P17" i="31" s="1"/>
  <c r="P18" i="31" s="1"/>
  <c r="P19" i="31" s="1"/>
  <c r="O11" i="36"/>
  <c r="Q5" i="36"/>
  <c r="R10" i="36"/>
  <c r="Q4" i="36"/>
  <c r="P7" i="36"/>
  <c r="P6" i="36"/>
  <c r="R28" i="37"/>
  <c r="R20" i="37" s="1"/>
  <c r="Q22" i="37"/>
  <c r="Q21" i="37"/>
  <c r="Q23" i="37" s="1"/>
  <c r="O25" i="37"/>
  <c r="O26" i="37"/>
  <c r="O29" i="37" s="1"/>
  <c r="O20" i="31"/>
  <c r="O19" i="31"/>
  <c r="S6" i="31"/>
  <c r="R13" i="31"/>
  <c r="R14" i="31"/>
  <c r="R15" i="31" s="1"/>
  <c r="T27" i="31"/>
  <c r="T4" i="31" s="1"/>
  <c r="S5" i="31"/>
  <c r="Q24" i="37" l="1"/>
  <c r="Q14" i="34"/>
  <c r="Q20" i="34" s="1"/>
  <c r="Q13" i="34"/>
  <c r="Q19" i="34" s="1"/>
  <c r="Q15" i="34"/>
  <c r="Q21" i="34" s="1"/>
  <c r="Q12" i="34"/>
  <c r="Q18" i="34" s="1"/>
  <c r="Q25" i="34" s="1"/>
  <c r="S24" i="34"/>
  <c r="R10" i="34"/>
  <c r="R11" i="34"/>
  <c r="P25" i="34"/>
  <c r="Q14" i="32"/>
  <c r="Q16" i="32" s="1"/>
  <c r="Q21" i="32" s="1"/>
  <c r="S25" i="32"/>
  <c r="R10" i="32"/>
  <c r="R13" i="32"/>
  <c r="R11" i="32"/>
  <c r="R14" i="32" s="1"/>
  <c r="P26" i="32"/>
  <c r="S7" i="31"/>
  <c r="S11" i="31" s="1"/>
  <c r="O28" i="31"/>
  <c r="P22" i="31"/>
  <c r="P24" i="31" s="1"/>
  <c r="P23" i="31"/>
  <c r="Q16" i="31"/>
  <c r="Q17" i="31" s="1"/>
  <c r="Q22" i="31" s="1"/>
  <c r="Q24" i="31" s="1"/>
  <c r="Q7" i="36"/>
  <c r="Q25" i="37"/>
  <c r="P11" i="36"/>
  <c r="R5" i="36"/>
  <c r="S10" i="36"/>
  <c r="R4" i="36"/>
  <c r="Q6" i="36"/>
  <c r="P26" i="37"/>
  <c r="P29" i="37" s="1"/>
  <c r="P25" i="37"/>
  <c r="S28" i="37"/>
  <c r="S20" i="37" s="1"/>
  <c r="R22" i="37"/>
  <c r="R21" i="37"/>
  <c r="R23" i="37" s="1"/>
  <c r="P21" i="31"/>
  <c r="P20" i="31"/>
  <c r="P28" i="31" s="1"/>
  <c r="T6" i="31"/>
  <c r="S14" i="31"/>
  <c r="S15" i="31" s="1"/>
  <c r="S13" i="31"/>
  <c r="T5" i="31"/>
  <c r="U27" i="31"/>
  <c r="U4" i="31" s="1"/>
  <c r="Q15" i="32" l="1"/>
  <c r="Q20" i="32" s="1"/>
  <c r="Q26" i="32" s="1"/>
  <c r="Q17" i="32"/>
  <c r="Q22" i="32" s="1"/>
  <c r="R24" i="37"/>
  <c r="R14" i="34"/>
  <c r="R20" i="34" s="1"/>
  <c r="R12" i="34"/>
  <c r="R18" i="34" s="1"/>
  <c r="R13" i="34"/>
  <c r="R19" i="34" s="1"/>
  <c r="R15" i="34"/>
  <c r="R21" i="34" s="1"/>
  <c r="T24" i="34"/>
  <c r="S10" i="34"/>
  <c r="S11" i="34"/>
  <c r="T25" i="32"/>
  <c r="S10" i="32"/>
  <c r="S13" i="32"/>
  <c r="S11" i="32"/>
  <c r="S14" i="32" s="1"/>
  <c r="R17" i="32"/>
  <c r="R22" i="32" s="1"/>
  <c r="R15" i="32"/>
  <c r="R20" i="32" s="1"/>
  <c r="R16" i="32"/>
  <c r="R21" i="32" s="1"/>
  <c r="T7" i="31"/>
  <c r="T11" i="31" s="1"/>
  <c r="Q23" i="31"/>
  <c r="Q18" i="31"/>
  <c r="Q20" i="31" s="1"/>
  <c r="Q28" i="31" s="1"/>
  <c r="R16" i="31"/>
  <c r="R17" i="31" s="1"/>
  <c r="R22" i="31" s="1"/>
  <c r="R24" i="31" s="1"/>
  <c r="R26" i="37"/>
  <c r="R29" i="37" s="1"/>
  <c r="Q11" i="36"/>
  <c r="R7" i="36"/>
  <c r="Q26" i="37"/>
  <c r="Q29" i="37" s="1"/>
  <c r="T10" i="36"/>
  <c r="S5" i="36"/>
  <c r="S4" i="36"/>
  <c r="T28" i="37"/>
  <c r="T20" i="37" s="1"/>
  <c r="S22" i="37"/>
  <c r="S21" i="37"/>
  <c r="S23" i="37" s="1"/>
  <c r="R6" i="36"/>
  <c r="R11" i="36" s="1"/>
  <c r="Q19" i="31"/>
  <c r="U6" i="31"/>
  <c r="T13" i="31"/>
  <c r="T14" i="31"/>
  <c r="T15" i="31" s="1"/>
  <c r="U5" i="31"/>
  <c r="V27" i="31"/>
  <c r="V4" i="31" s="1"/>
  <c r="S24" i="37" l="1"/>
  <c r="U24" i="34"/>
  <c r="T10" i="34"/>
  <c r="T11" i="34"/>
  <c r="R25" i="34"/>
  <c r="S15" i="34"/>
  <c r="S21" i="34" s="1"/>
  <c r="S13" i="34"/>
  <c r="S19" i="34" s="1"/>
  <c r="S12" i="34"/>
  <c r="S18" i="34" s="1"/>
  <c r="S14" i="34"/>
  <c r="S20" i="34" s="1"/>
  <c r="R26" i="32"/>
  <c r="S15" i="32"/>
  <c r="S20" i="32" s="1"/>
  <c r="S17" i="32"/>
  <c r="S22" i="32" s="1"/>
  <c r="S16" i="32"/>
  <c r="S21" i="32" s="1"/>
  <c r="U25" i="32"/>
  <c r="T10" i="32"/>
  <c r="T13" i="32"/>
  <c r="T11" i="32"/>
  <c r="T14" i="32" s="1"/>
  <c r="U7" i="31"/>
  <c r="U11" i="31" s="1"/>
  <c r="R18" i="31"/>
  <c r="R19" i="31" s="1"/>
  <c r="R23" i="31"/>
  <c r="Q21" i="31"/>
  <c r="S16" i="31"/>
  <c r="S17" i="31" s="1"/>
  <c r="S22" i="31" s="1"/>
  <c r="S24" i="31" s="1"/>
  <c r="R25" i="37"/>
  <c r="S6" i="36"/>
  <c r="S7" i="36"/>
  <c r="U28" i="37"/>
  <c r="U20" i="37" s="1"/>
  <c r="T22" i="37"/>
  <c r="T21" i="37"/>
  <c r="T23" i="37" s="1"/>
  <c r="U10" i="36"/>
  <c r="T5" i="36"/>
  <c r="T4" i="36"/>
  <c r="V6" i="31"/>
  <c r="U13" i="31"/>
  <c r="U14" i="31"/>
  <c r="U15" i="31" s="1"/>
  <c r="V5" i="31"/>
  <c r="W27" i="31"/>
  <c r="W4" i="31" s="1"/>
  <c r="T24" i="37" l="1"/>
  <c r="S25" i="34"/>
  <c r="T12" i="34"/>
  <c r="T18" i="34" s="1"/>
  <c r="T14" i="34"/>
  <c r="T20" i="34" s="1"/>
  <c r="T15" i="34"/>
  <c r="T21" i="34" s="1"/>
  <c r="T13" i="34"/>
  <c r="T19" i="34" s="1"/>
  <c r="V24" i="34"/>
  <c r="U10" i="34"/>
  <c r="U11" i="34"/>
  <c r="T17" i="32"/>
  <c r="T22" i="32" s="1"/>
  <c r="T16" i="32"/>
  <c r="T21" i="32" s="1"/>
  <c r="T15" i="32"/>
  <c r="T20" i="32" s="1"/>
  <c r="V25" i="32"/>
  <c r="U10" i="32"/>
  <c r="U13" i="32"/>
  <c r="U11" i="32"/>
  <c r="U14" i="32" s="1"/>
  <c r="S26" i="32"/>
  <c r="V11" i="31"/>
  <c r="V7" i="31"/>
  <c r="R20" i="31"/>
  <c r="R28" i="31" s="1"/>
  <c r="R21" i="31"/>
  <c r="S18" i="31"/>
  <c r="S20" i="31" s="1"/>
  <c r="S28" i="31" s="1"/>
  <c r="T16" i="31"/>
  <c r="T17" i="31" s="1"/>
  <c r="T18" i="31" s="1"/>
  <c r="T21" i="31" s="1"/>
  <c r="S23" i="31"/>
  <c r="S11" i="36"/>
  <c r="T25" i="37"/>
  <c r="T7" i="36"/>
  <c r="T6" i="36"/>
  <c r="U5" i="36"/>
  <c r="V10" i="36"/>
  <c r="U4" i="36"/>
  <c r="V28" i="37"/>
  <c r="V20" i="37" s="1"/>
  <c r="U22" i="37"/>
  <c r="U21" i="37"/>
  <c r="U23" i="37" s="1"/>
  <c r="S26" i="37"/>
  <c r="S29" i="37" s="1"/>
  <c r="S25" i="37"/>
  <c r="W6" i="31"/>
  <c r="V13" i="31"/>
  <c r="V14" i="31"/>
  <c r="V15" i="31" s="1"/>
  <c r="X27" i="31"/>
  <c r="X4" i="31" s="1"/>
  <c r="W5" i="31"/>
  <c r="U24" i="37" l="1"/>
  <c r="U13" i="34"/>
  <c r="U19" i="34" s="1"/>
  <c r="U12" i="34"/>
  <c r="U18" i="34" s="1"/>
  <c r="U15" i="34"/>
  <c r="U21" i="34" s="1"/>
  <c r="U14" i="34"/>
  <c r="U20" i="34" s="1"/>
  <c r="W24" i="34"/>
  <c r="V10" i="34"/>
  <c r="V11" i="34"/>
  <c r="T25" i="34"/>
  <c r="U16" i="32"/>
  <c r="U21" i="32" s="1"/>
  <c r="U17" i="32"/>
  <c r="U22" i="32" s="1"/>
  <c r="U15" i="32"/>
  <c r="U20" i="32" s="1"/>
  <c r="W25" i="32"/>
  <c r="V10" i="32"/>
  <c r="V13" i="32"/>
  <c r="V11" i="32"/>
  <c r="V14" i="32" s="1"/>
  <c r="T26" i="32"/>
  <c r="W11" i="31"/>
  <c r="W7" i="31"/>
  <c r="T22" i="31"/>
  <c r="T24" i="31" s="1"/>
  <c r="T23" i="31"/>
  <c r="S19" i="31"/>
  <c r="S21" i="31"/>
  <c r="U16" i="31"/>
  <c r="U17" i="31" s="1"/>
  <c r="U18" i="31" s="1"/>
  <c r="U21" i="31" s="1"/>
  <c r="T11" i="36"/>
  <c r="T26" i="37"/>
  <c r="T29" i="37" s="1"/>
  <c r="W28" i="37"/>
  <c r="W20" i="37" s="1"/>
  <c r="V22" i="37"/>
  <c r="V21" i="37"/>
  <c r="V23" i="37" s="1"/>
  <c r="V5" i="36"/>
  <c r="W10" i="36"/>
  <c r="V4" i="36"/>
  <c r="U7" i="36"/>
  <c r="U6" i="36"/>
  <c r="X6" i="31"/>
  <c r="T20" i="31"/>
  <c r="T19" i="31"/>
  <c r="W14" i="31"/>
  <c r="W15" i="31" s="1"/>
  <c r="W13" i="31"/>
  <c r="Y27" i="31"/>
  <c r="Y4" i="31" s="1"/>
  <c r="X5" i="31"/>
  <c r="U26" i="32" l="1"/>
  <c r="V24" i="37"/>
  <c r="X24" i="34"/>
  <c r="W10" i="34"/>
  <c r="W11" i="34"/>
  <c r="U25" i="34"/>
  <c r="V12" i="34"/>
  <c r="V18" i="34" s="1"/>
  <c r="V15" i="34"/>
  <c r="V21" i="34" s="1"/>
  <c r="V14" i="34"/>
  <c r="V20" i="34" s="1"/>
  <c r="V13" i="34"/>
  <c r="V19" i="34" s="1"/>
  <c r="X25" i="32"/>
  <c r="W10" i="32"/>
  <c r="W13" i="32"/>
  <c r="W11" i="32"/>
  <c r="W14" i="32" s="1"/>
  <c r="V16" i="32"/>
  <c r="V21" i="32" s="1"/>
  <c r="V17" i="32"/>
  <c r="V22" i="32" s="1"/>
  <c r="V15" i="32"/>
  <c r="V20" i="32" s="1"/>
  <c r="X7" i="31"/>
  <c r="X11" i="31" s="1"/>
  <c r="T28" i="31"/>
  <c r="U22" i="31"/>
  <c r="U24" i="31" s="1"/>
  <c r="U23" i="31"/>
  <c r="V16" i="31"/>
  <c r="V17" i="31" s="1"/>
  <c r="U11" i="36"/>
  <c r="V26" i="37"/>
  <c r="V29" i="37" s="1"/>
  <c r="W5" i="36"/>
  <c r="X10" i="36"/>
  <c r="W4" i="36"/>
  <c r="V7" i="36"/>
  <c r="V6" i="36"/>
  <c r="X28" i="37"/>
  <c r="X20" i="37" s="1"/>
  <c r="W22" i="37"/>
  <c r="W21" i="37"/>
  <c r="W23" i="37" s="1"/>
  <c r="U26" i="37"/>
  <c r="U29" i="37" s="1"/>
  <c r="U25" i="37"/>
  <c r="U19" i="31"/>
  <c r="U20" i="31"/>
  <c r="Y6" i="31"/>
  <c r="X13" i="31"/>
  <c r="X14" i="31"/>
  <c r="X15" i="31" s="1"/>
  <c r="Y5" i="31"/>
  <c r="Z27" i="31"/>
  <c r="Z4" i="31" s="1"/>
  <c r="W24" i="37" l="1"/>
  <c r="V25" i="34"/>
  <c r="W14" i="34"/>
  <c r="W20" i="34" s="1"/>
  <c r="W12" i="34"/>
  <c r="W18" i="34" s="1"/>
  <c r="W15" i="34"/>
  <c r="W21" i="34" s="1"/>
  <c r="W13" i="34"/>
  <c r="W19" i="34" s="1"/>
  <c r="Y24" i="34"/>
  <c r="X10" i="34"/>
  <c r="X11" i="34"/>
  <c r="V26" i="32"/>
  <c r="W16" i="32"/>
  <c r="W21" i="32" s="1"/>
  <c r="W17" i="32"/>
  <c r="W22" i="32" s="1"/>
  <c r="W15" i="32"/>
  <c r="W20" i="32" s="1"/>
  <c r="Y25" i="32"/>
  <c r="X10" i="32"/>
  <c r="X13" i="32"/>
  <c r="X11" i="32"/>
  <c r="X14" i="32" s="1"/>
  <c r="Y7" i="31"/>
  <c r="Y11" i="31" s="1"/>
  <c r="V22" i="31"/>
  <c r="V24" i="31" s="1"/>
  <c r="U28" i="31"/>
  <c r="V18" i="31"/>
  <c r="V21" i="31" s="1"/>
  <c r="V23" i="31"/>
  <c r="W16" i="31"/>
  <c r="W17" i="31" s="1"/>
  <c r="W18" i="31" s="1"/>
  <c r="W21" i="31" s="1"/>
  <c r="W26" i="37"/>
  <c r="W29" i="37" s="1"/>
  <c r="V25" i="37"/>
  <c r="V11" i="36"/>
  <c r="Y28" i="37"/>
  <c r="Y20" i="37" s="1"/>
  <c r="X22" i="37"/>
  <c r="X21" i="37"/>
  <c r="X23" i="37" s="1"/>
  <c r="Y10" i="36"/>
  <c r="X5" i="36"/>
  <c r="X4" i="36"/>
  <c r="W7" i="36"/>
  <c r="W6" i="36"/>
  <c r="Z6" i="31"/>
  <c r="Y13" i="31"/>
  <c r="Y14" i="31"/>
  <c r="Y15" i="31" s="1"/>
  <c r="Z5" i="31"/>
  <c r="AA27" i="31"/>
  <c r="AA4" i="31" s="1"/>
  <c r="X24" i="37" l="1"/>
  <c r="X15" i="34"/>
  <c r="X21" i="34" s="1"/>
  <c r="X13" i="34"/>
  <c r="X19" i="34" s="1"/>
  <c r="X14" i="34"/>
  <c r="X20" i="34" s="1"/>
  <c r="X12" i="34"/>
  <c r="X18" i="34" s="1"/>
  <c r="X25" i="34" s="1"/>
  <c r="Z24" i="34"/>
  <c r="Y10" i="34"/>
  <c r="Y11" i="34"/>
  <c r="W25" i="34"/>
  <c r="X16" i="32"/>
  <c r="X21" i="32" s="1"/>
  <c r="X17" i="32"/>
  <c r="X22" i="32" s="1"/>
  <c r="X15" i="32"/>
  <c r="X20" i="32" s="1"/>
  <c r="Z25" i="32"/>
  <c r="Y10" i="32"/>
  <c r="Y11" i="32"/>
  <c r="Y13" i="32"/>
  <c r="W26" i="32"/>
  <c r="Z7" i="31"/>
  <c r="Z11" i="31" s="1"/>
  <c r="V20" i="31"/>
  <c r="V28" i="31" s="1"/>
  <c r="V19" i="31"/>
  <c r="W22" i="31"/>
  <c r="W24" i="31" s="1"/>
  <c r="W23" i="31"/>
  <c r="X16" i="31"/>
  <c r="X17" i="31" s="1"/>
  <c r="X18" i="31" s="1"/>
  <c r="X20" i="31" s="1"/>
  <c r="W25" i="37"/>
  <c r="W11" i="36"/>
  <c r="X26" i="37"/>
  <c r="X29" i="37" s="1"/>
  <c r="X7" i="36"/>
  <c r="X6" i="36"/>
  <c r="Y5" i="36"/>
  <c r="Z10" i="36"/>
  <c r="Y4" i="36"/>
  <c r="Z28" i="37"/>
  <c r="Z20" i="37" s="1"/>
  <c r="Y22" i="37"/>
  <c r="Y21" i="37"/>
  <c r="Y23" i="37" s="1"/>
  <c r="AA6" i="31"/>
  <c r="W20" i="31"/>
  <c r="W19" i="31"/>
  <c r="Z14" i="31"/>
  <c r="Z15" i="31" s="1"/>
  <c r="Z13" i="31"/>
  <c r="AA5" i="31"/>
  <c r="AB27" i="31"/>
  <c r="AB4" i="31" s="1"/>
  <c r="Y24" i="37" l="1"/>
  <c r="Y15" i="34"/>
  <c r="Y21" i="34" s="1"/>
  <c r="Y12" i="34"/>
  <c r="Y18" i="34" s="1"/>
  <c r="Y13" i="34"/>
  <c r="Y19" i="34" s="1"/>
  <c r="Y14" i="34"/>
  <c r="Y20" i="34" s="1"/>
  <c r="AA24" i="34"/>
  <c r="Z10" i="34"/>
  <c r="Z11" i="34"/>
  <c r="Y14" i="32"/>
  <c r="Y16" i="32" s="1"/>
  <c r="Y21" i="32" s="1"/>
  <c r="AA25" i="32"/>
  <c r="Z10" i="32"/>
  <c r="Z13" i="32"/>
  <c r="Z11" i="32"/>
  <c r="Z14" i="32" s="1"/>
  <c r="X26" i="32"/>
  <c r="AA7" i="31"/>
  <c r="AA11" i="31" s="1"/>
  <c r="W28" i="31"/>
  <c r="X22" i="31"/>
  <c r="X24" i="31" s="1"/>
  <c r="X28" i="31" s="1"/>
  <c r="X23" i="31"/>
  <c r="Y16" i="31"/>
  <c r="Y17" i="31" s="1"/>
  <c r="Y23" i="31" s="1"/>
  <c r="X11" i="36"/>
  <c r="Y26" i="37"/>
  <c r="Y29" i="37" s="1"/>
  <c r="X25" i="37"/>
  <c r="AA28" i="37"/>
  <c r="AA20" i="37" s="1"/>
  <c r="Z22" i="37"/>
  <c r="Z24" i="37" s="1"/>
  <c r="Z21" i="37"/>
  <c r="Z23" i="37" s="1"/>
  <c r="Z5" i="36"/>
  <c r="AA10" i="36"/>
  <c r="Z4" i="36"/>
  <c r="Y7" i="36"/>
  <c r="Y6" i="36"/>
  <c r="AB6" i="31"/>
  <c r="X19" i="31"/>
  <c r="X21" i="31"/>
  <c r="AA14" i="31"/>
  <c r="AA15" i="31" s="1"/>
  <c r="AA13" i="31"/>
  <c r="AB5" i="31"/>
  <c r="AC27" i="31"/>
  <c r="AC4" i="31" s="1"/>
  <c r="Z13" i="34" l="1"/>
  <c r="Z19" i="34" s="1"/>
  <c r="Z12" i="34"/>
  <c r="Z18" i="34" s="1"/>
  <c r="Z14" i="34"/>
  <c r="Z20" i="34" s="1"/>
  <c r="Z15" i="34"/>
  <c r="Z21" i="34" s="1"/>
  <c r="AB24" i="34"/>
  <c r="AA10" i="34"/>
  <c r="AA11" i="34"/>
  <c r="Y25" i="34"/>
  <c r="Z17" i="32"/>
  <c r="Z22" i="32" s="1"/>
  <c r="Z15" i="32"/>
  <c r="Z20" i="32" s="1"/>
  <c r="Z16" i="32"/>
  <c r="Z21" i="32" s="1"/>
  <c r="Y15" i="32"/>
  <c r="Y20" i="32" s="1"/>
  <c r="Y26" i="32" s="1"/>
  <c r="AB25" i="32"/>
  <c r="AA10" i="32"/>
  <c r="AA11" i="32"/>
  <c r="AA14" i="32" s="1"/>
  <c r="AA13" i="32"/>
  <c r="Y17" i="32"/>
  <c r="Y22" i="32" s="1"/>
  <c r="AB7" i="31"/>
  <c r="AB11" i="31" s="1"/>
  <c r="Y22" i="31"/>
  <c r="Y24" i="31" s="1"/>
  <c r="Y18" i="31"/>
  <c r="Y19" i="31" s="1"/>
  <c r="Z16" i="31"/>
  <c r="Z17" i="31" s="1"/>
  <c r="Z23" i="31" s="1"/>
  <c r="Y25" i="37"/>
  <c r="Z26" i="37"/>
  <c r="Z29" i="37" s="1"/>
  <c r="Y11" i="36"/>
  <c r="AB10" i="36"/>
  <c r="AA5" i="36"/>
  <c r="AA4" i="36"/>
  <c r="Z7" i="36"/>
  <c r="Z6" i="36"/>
  <c r="AB28" i="37"/>
  <c r="AB20" i="37" s="1"/>
  <c r="AA22" i="37"/>
  <c r="AA21" i="37"/>
  <c r="AA23" i="37" s="1"/>
  <c r="AC6" i="31"/>
  <c r="AC5" i="31"/>
  <c r="AC7" i="31" s="1"/>
  <c r="AB13" i="31"/>
  <c r="AB14" i="31"/>
  <c r="AB15" i="31" s="1"/>
  <c r="AD27" i="31"/>
  <c r="AD4" i="31" s="1"/>
  <c r="AA24" i="37" l="1"/>
  <c r="AA13" i="34"/>
  <c r="AA19" i="34" s="1"/>
  <c r="AA15" i="34"/>
  <c r="AA21" i="34" s="1"/>
  <c r="AA14" i="34"/>
  <c r="AA20" i="34" s="1"/>
  <c r="AA12" i="34"/>
  <c r="AA18" i="34" s="1"/>
  <c r="AC24" i="34"/>
  <c r="AB10" i="34"/>
  <c r="AB11" i="34"/>
  <c r="Z25" i="34"/>
  <c r="AC25" i="32"/>
  <c r="AB10" i="32"/>
  <c r="AB11" i="32"/>
  <c r="AB14" i="32" s="1"/>
  <c r="AB13" i="32"/>
  <c r="Z26" i="32"/>
  <c r="AA17" i="32"/>
  <c r="AA22" i="32" s="1"/>
  <c r="AA15" i="32"/>
  <c r="AA20" i="32" s="1"/>
  <c r="AA16" i="32"/>
  <c r="AA21" i="32" s="1"/>
  <c r="AC11" i="31"/>
  <c r="Y20" i="31"/>
  <c r="Y28" i="31" s="1"/>
  <c r="Y21" i="31"/>
  <c r="AC14" i="31"/>
  <c r="AC15" i="31" s="1"/>
  <c r="Z18" i="31"/>
  <c r="Z19" i="31" s="1"/>
  <c r="Z22" i="31"/>
  <c r="Z24" i="31" s="1"/>
  <c r="AA16" i="31"/>
  <c r="AA17" i="31" s="1"/>
  <c r="AA22" i="31" s="1"/>
  <c r="AA24" i="31" s="1"/>
  <c r="AA25" i="37"/>
  <c r="Z25" i="37"/>
  <c r="Z11" i="36"/>
  <c r="AA7" i="36"/>
  <c r="AA6" i="36"/>
  <c r="AC28" i="37"/>
  <c r="AC20" i="37" s="1"/>
  <c r="AB22" i="37"/>
  <c r="AB21" i="37"/>
  <c r="AB23" i="37" s="1"/>
  <c r="AB5" i="36"/>
  <c r="AC10" i="36"/>
  <c r="AB4" i="36"/>
  <c r="Z20" i="31"/>
  <c r="AD6" i="31"/>
  <c r="AC13" i="31"/>
  <c r="AD5" i="31"/>
  <c r="AE27" i="31"/>
  <c r="AE4" i="31" s="1"/>
  <c r="AA26" i="32" l="1"/>
  <c r="AB24" i="37"/>
  <c r="AD24" i="34"/>
  <c r="AC10" i="34"/>
  <c r="AC11" i="34"/>
  <c r="AA25" i="34"/>
  <c r="AB13" i="34"/>
  <c r="AB19" i="34" s="1"/>
  <c r="AB12" i="34"/>
  <c r="AB18" i="34" s="1"/>
  <c r="AB15" i="34"/>
  <c r="AB21" i="34" s="1"/>
  <c r="AB14" i="34"/>
  <c r="AB20" i="34" s="1"/>
  <c r="AB17" i="32"/>
  <c r="AB22" i="32" s="1"/>
  <c r="AB16" i="32"/>
  <c r="AB21" i="32" s="1"/>
  <c r="AB15" i="32"/>
  <c r="AB20" i="32" s="1"/>
  <c r="AD25" i="32"/>
  <c r="AC10" i="32"/>
  <c r="AC13" i="32"/>
  <c r="AC11" i="32"/>
  <c r="AC14" i="32" s="1"/>
  <c r="AD7" i="31"/>
  <c r="AD11" i="31" s="1"/>
  <c r="Z21" i="31"/>
  <c r="AA23" i="31"/>
  <c r="AA18" i="31"/>
  <c r="AA20" i="31" s="1"/>
  <c r="AA28" i="31" s="1"/>
  <c r="Z28" i="31"/>
  <c r="AB16" i="31"/>
  <c r="AB17" i="31" s="1"/>
  <c r="AB18" i="31" s="1"/>
  <c r="AB19" i="31" s="1"/>
  <c r="AA11" i="36"/>
  <c r="AA26" i="37"/>
  <c r="AA29" i="37" s="1"/>
  <c r="AB26" i="37"/>
  <c r="AB29" i="37" s="1"/>
  <c r="AB7" i="36"/>
  <c r="AB6" i="36"/>
  <c r="AD28" i="37"/>
  <c r="AD20" i="37" s="1"/>
  <c r="AC22" i="37"/>
  <c r="AC21" i="37"/>
  <c r="AC23" i="37" s="1"/>
  <c r="AC5" i="36"/>
  <c r="AD10" i="36"/>
  <c r="AC4" i="36"/>
  <c r="AE6" i="31"/>
  <c r="AF27" i="31"/>
  <c r="AF4" i="31" s="1"/>
  <c r="AD13" i="31"/>
  <c r="AD14" i="31"/>
  <c r="AD15" i="31" s="1"/>
  <c r="AE5" i="31"/>
  <c r="AC24" i="37" l="1"/>
  <c r="AB25" i="34"/>
  <c r="AC13" i="34"/>
  <c r="AC19" i="34" s="1"/>
  <c r="AC12" i="34"/>
  <c r="AC18" i="34" s="1"/>
  <c r="AC14" i="34"/>
  <c r="AC20" i="34" s="1"/>
  <c r="AC15" i="34"/>
  <c r="AC21" i="34" s="1"/>
  <c r="AE24" i="34"/>
  <c r="AD10" i="34"/>
  <c r="AD11" i="34"/>
  <c r="AC16" i="32"/>
  <c r="AC21" i="32" s="1"/>
  <c r="AC17" i="32"/>
  <c r="AC22" i="32" s="1"/>
  <c r="AC15" i="32"/>
  <c r="AC20" i="32" s="1"/>
  <c r="AE25" i="32"/>
  <c r="AD10" i="32"/>
  <c r="AD11" i="32"/>
  <c r="AD13" i="32"/>
  <c r="AB26" i="32"/>
  <c r="AE11" i="31"/>
  <c r="AE7" i="31"/>
  <c r="AB22" i="31"/>
  <c r="AB24" i="31" s="1"/>
  <c r="AA19" i="31"/>
  <c r="AB23" i="31"/>
  <c r="AA21" i="31"/>
  <c r="AC16" i="31"/>
  <c r="AC17" i="31" s="1"/>
  <c r="AB25" i="37"/>
  <c r="AB11" i="36"/>
  <c r="AC26" i="37"/>
  <c r="AC29" i="37" s="1"/>
  <c r="AC7" i="36"/>
  <c r="AC6" i="36"/>
  <c r="AE28" i="37"/>
  <c r="AE20" i="37" s="1"/>
  <c r="AD22" i="37"/>
  <c r="AD21" i="37"/>
  <c r="AD23" i="37" s="1"/>
  <c r="AD5" i="36"/>
  <c r="AE10" i="36"/>
  <c r="AD4" i="36"/>
  <c r="AF6" i="31"/>
  <c r="AB20" i="31"/>
  <c r="AB21" i="31"/>
  <c r="AG27" i="31"/>
  <c r="AG4" i="31" s="1"/>
  <c r="AF5" i="31"/>
  <c r="AF7" i="31" s="1"/>
  <c r="AE13" i="31"/>
  <c r="AE14" i="31"/>
  <c r="AE15" i="31" s="1"/>
  <c r="AC26" i="32" l="1"/>
  <c r="AD24" i="37"/>
  <c r="AD14" i="34"/>
  <c r="AD20" i="34" s="1"/>
  <c r="AD15" i="34"/>
  <c r="AD21" i="34" s="1"/>
  <c r="AD13" i="34"/>
  <c r="AD19" i="34" s="1"/>
  <c r="AD12" i="34"/>
  <c r="AD18" i="34" s="1"/>
  <c r="AD25" i="34" s="1"/>
  <c r="AF24" i="34"/>
  <c r="AE10" i="34"/>
  <c r="AE11" i="34"/>
  <c r="AC25" i="34"/>
  <c r="AD14" i="32"/>
  <c r="AD16" i="32" s="1"/>
  <c r="AD21" i="32" s="1"/>
  <c r="AF25" i="32"/>
  <c r="AE10" i="32"/>
  <c r="AE13" i="32"/>
  <c r="AE11" i="32"/>
  <c r="AE14" i="32" s="1"/>
  <c r="AF11" i="31"/>
  <c r="AF13" i="31"/>
  <c r="AC23" i="31"/>
  <c r="AC18" i="31"/>
  <c r="AB28" i="31"/>
  <c r="AD16" i="31"/>
  <c r="AD17" i="31" s="1"/>
  <c r="AC22" i="31"/>
  <c r="AC24" i="31" s="1"/>
  <c r="AC25" i="37"/>
  <c r="AC11" i="36"/>
  <c r="AD7" i="36"/>
  <c r="AD6" i="36"/>
  <c r="AF28" i="37"/>
  <c r="AF20" i="37" s="1"/>
  <c r="AE22" i="37"/>
  <c r="AE21" i="37"/>
  <c r="AE23" i="37" s="1"/>
  <c r="AF10" i="36"/>
  <c r="AE5" i="36"/>
  <c r="AE4" i="36"/>
  <c r="AG6" i="31"/>
  <c r="AH27" i="31"/>
  <c r="AG5" i="31"/>
  <c r="AG7" i="31" s="1"/>
  <c r="AF14" i="31"/>
  <c r="AF15" i="31" s="1"/>
  <c r="AE24" i="37" l="1"/>
  <c r="AG24" i="34"/>
  <c r="AF10" i="34"/>
  <c r="AF11" i="34"/>
  <c r="AE14" i="34"/>
  <c r="AE20" i="34" s="1"/>
  <c r="AE15" i="34"/>
  <c r="AE21" i="34" s="1"/>
  <c r="AE13" i="34"/>
  <c r="AE19" i="34" s="1"/>
  <c r="AE12" i="34"/>
  <c r="AE18" i="34" s="1"/>
  <c r="AE25" i="34" s="1"/>
  <c r="AE16" i="32"/>
  <c r="AE21" i="32" s="1"/>
  <c r="AE17" i="32"/>
  <c r="AE22" i="32" s="1"/>
  <c r="AE15" i="32"/>
  <c r="AE20" i="32" s="1"/>
  <c r="AD15" i="32"/>
  <c r="AD20" i="32" s="1"/>
  <c r="AF11" i="32"/>
  <c r="AF14" i="32" s="1"/>
  <c r="AF10" i="32"/>
  <c r="AG25" i="32"/>
  <c r="AF13" i="32"/>
  <c r="AD17" i="32"/>
  <c r="AD22" i="32" s="1"/>
  <c r="AH5" i="31"/>
  <c r="AH4" i="31"/>
  <c r="AG11" i="31"/>
  <c r="AD22" i="31"/>
  <c r="AD24" i="31" s="1"/>
  <c r="AH7" i="31"/>
  <c r="AD23" i="31"/>
  <c r="AD18" i="31"/>
  <c r="AD19" i="31" s="1"/>
  <c r="AG14" i="31"/>
  <c r="AG15" i="31" s="1"/>
  <c r="AE16" i="31"/>
  <c r="AE17" i="31" s="1"/>
  <c r="AE22" i="31" s="1"/>
  <c r="AE24" i="31" s="1"/>
  <c r="AC20" i="31"/>
  <c r="AC28" i="31" s="1"/>
  <c r="AC21" i="31"/>
  <c r="AC19" i="31"/>
  <c r="AD11" i="36"/>
  <c r="AE25" i="37"/>
  <c r="AE7" i="36"/>
  <c r="AE6" i="36"/>
  <c r="AD26" i="37"/>
  <c r="AD29" i="37" s="1"/>
  <c r="AD25" i="37"/>
  <c r="AF5" i="36"/>
  <c r="AG10" i="36"/>
  <c r="AF4" i="36"/>
  <c r="AG28" i="37"/>
  <c r="AG20" i="37" s="1"/>
  <c r="AF22" i="37"/>
  <c r="AF24" i="37" s="1"/>
  <c r="AF21" i="37"/>
  <c r="AF23" i="37" s="1"/>
  <c r="AI27" i="31"/>
  <c r="AG13" i="31"/>
  <c r="AH6" i="31"/>
  <c r="AH11" i="31" s="1"/>
  <c r="AH14" i="31"/>
  <c r="AH15" i="31" s="1"/>
  <c r="AH13" i="31"/>
  <c r="AD26" i="32" l="1"/>
  <c r="AF12" i="34"/>
  <c r="AF18" i="34" s="1"/>
  <c r="AF13" i="34"/>
  <c r="AF19" i="34" s="1"/>
  <c r="AF15" i="34"/>
  <c r="AF21" i="34" s="1"/>
  <c r="AF14" i="34"/>
  <c r="AF20" i="34" s="1"/>
  <c r="AH24" i="34"/>
  <c r="AG10" i="34"/>
  <c r="AG11" i="34"/>
  <c r="AE26" i="32"/>
  <c r="AG10" i="32"/>
  <c r="AH25" i="32"/>
  <c r="AG13" i="32"/>
  <c r="AG11" i="32"/>
  <c r="AG14" i="32" s="1"/>
  <c r="AF16" i="32"/>
  <c r="AF21" i="32" s="1"/>
  <c r="AF17" i="32"/>
  <c r="AF22" i="32" s="1"/>
  <c r="AF15" i="32"/>
  <c r="AF20" i="32" s="1"/>
  <c r="AJ27" i="31"/>
  <c r="AJ4" i="31" s="1"/>
  <c r="AI4" i="31"/>
  <c r="AE18" i="31"/>
  <c r="AE19" i="31" s="1"/>
  <c r="AD20" i="31"/>
  <c r="AD28" i="31" s="1"/>
  <c r="AD21" i="31"/>
  <c r="AE23" i="31"/>
  <c r="AF16" i="31"/>
  <c r="AF17" i="31" s="1"/>
  <c r="AE26" i="37"/>
  <c r="AE29" i="37" s="1"/>
  <c r="AE11" i="36"/>
  <c r="AG5" i="36"/>
  <c r="AH10" i="36"/>
  <c r="AG4" i="36"/>
  <c r="AF7" i="36"/>
  <c r="AF6" i="36"/>
  <c r="AH28" i="37"/>
  <c r="AH20" i="37" s="1"/>
  <c r="AG22" i="37"/>
  <c r="AG21" i="37"/>
  <c r="AG23" i="37" s="1"/>
  <c r="AI6" i="31"/>
  <c r="AI5" i="31"/>
  <c r="AI7" i="31" s="1"/>
  <c r="AG24" i="37" l="1"/>
  <c r="AI24" i="34"/>
  <c r="AH10" i="34"/>
  <c r="AH11" i="34"/>
  <c r="AG14" i="34"/>
  <c r="AG20" i="34" s="1"/>
  <c r="AG15" i="34"/>
  <c r="AG21" i="34" s="1"/>
  <c r="AG13" i="34"/>
  <c r="AG19" i="34" s="1"/>
  <c r="AG12" i="34"/>
  <c r="AG18" i="34" s="1"/>
  <c r="AG25" i="34" s="1"/>
  <c r="AF25" i="34"/>
  <c r="AG16" i="32"/>
  <c r="AG21" i="32" s="1"/>
  <c r="AG17" i="32"/>
  <c r="AG22" i="32" s="1"/>
  <c r="AG15" i="32"/>
  <c r="AG20" i="32" s="1"/>
  <c r="AG26" i="32" s="1"/>
  <c r="AH10" i="32"/>
  <c r="AH11" i="32"/>
  <c r="AH14" i="32" s="1"/>
  <c r="AI25" i="32"/>
  <c r="AH13" i="32"/>
  <c r="AF26" i="32"/>
  <c r="AJ5" i="31"/>
  <c r="AJ13" i="31" s="1"/>
  <c r="AJ6" i="31"/>
  <c r="AK27" i="31"/>
  <c r="AK4" i="31" s="1"/>
  <c r="AI11" i="31"/>
  <c r="AE21" i="31"/>
  <c r="AE20" i="31"/>
  <c r="AE28" i="31" s="1"/>
  <c r="AI13" i="31"/>
  <c r="AF23" i="31"/>
  <c r="AF18" i="31"/>
  <c r="AF22" i="31"/>
  <c r="AF24" i="31" s="1"/>
  <c r="AG16" i="31"/>
  <c r="AG17" i="31" s="1"/>
  <c r="AF11" i="36"/>
  <c r="AI28" i="37"/>
  <c r="AI20" i="37" s="1"/>
  <c r="AH22" i="37"/>
  <c r="AH21" i="37"/>
  <c r="AH23" i="37" s="1"/>
  <c r="AF25" i="37"/>
  <c r="AF26" i="37"/>
  <c r="AF29" i="37" s="1"/>
  <c r="AH5" i="36"/>
  <c r="AI10" i="36"/>
  <c r="AH4" i="36"/>
  <c r="AG6" i="36"/>
  <c r="AG7" i="36"/>
  <c r="AI14" i="31"/>
  <c r="AI15" i="31" s="1"/>
  <c r="AK6" i="31"/>
  <c r="AJ14" i="31"/>
  <c r="AJ15" i="31" s="1"/>
  <c r="AL27" i="31"/>
  <c r="AL4" i="31" s="1"/>
  <c r="AK5" i="31"/>
  <c r="AH24" i="37" l="1"/>
  <c r="AH14" i="34"/>
  <c r="AH20" i="34" s="1"/>
  <c r="AH12" i="34"/>
  <c r="AH18" i="34" s="1"/>
  <c r="AH25" i="34" s="1"/>
  <c r="AH13" i="34"/>
  <c r="AH19" i="34" s="1"/>
  <c r="AH15" i="34"/>
  <c r="AH21" i="34" s="1"/>
  <c r="AJ24" i="34"/>
  <c r="AI10" i="34"/>
  <c r="AI11" i="34"/>
  <c r="AH17" i="32"/>
  <c r="AH22" i="32" s="1"/>
  <c r="AH15" i="32"/>
  <c r="AH20" i="32" s="1"/>
  <c r="AH16" i="32"/>
  <c r="AH21" i="32" s="1"/>
  <c r="AI10" i="32"/>
  <c r="AJ25" i="32"/>
  <c r="AI11" i="32"/>
  <c r="AI14" i="32" s="1"/>
  <c r="AI13" i="32"/>
  <c r="AJ7" i="31"/>
  <c r="AJ11" i="31" s="1"/>
  <c r="AK7" i="31"/>
  <c r="AK11" i="31" s="1"/>
  <c r="AH16" i="31"/>
  <c r="AH17" i="31" s="1"/>
  <c r="AH23" i="31" s="1"/>
  <c r="AG22" i="31"/>
  <c r="AG24" i="31" s="1"/>
  <c r="AG18" i="31"/>
  <c r="AG23" i="31"/>
  <c r="AF19" i="31"/>
  <c r="AF20" i="31"/>
  <c r="AF28" i="31" s="1"/>
  <c r="AF21" i="31"/>
  <c r="AG11" i="36"/>
  <c r="AH26" i="37"/>
  <c r="AH29" i="37" s="1"/>
  <c r="AI5" i="36"/>
  <c r="AJ10" i="36"/>
  <c r="AI4" i="36"/>
  <c r="AH7" i="36"/>
  <c r="AH6" i="36"/>
  <c r="AG26" i="37"/>
  <c r="AG29" i="37" s="1"/>
  <c r="AG25" i="37"/>
  <c r="AJ28" i="37"/>
  <c r="AJ20" i="37" s="1"/>
  <c r="AI22" i="37"/>
  <c r="AI21" i="37"/>
  <c r="AI23" i="37" s="1"/>
  <c r="AL6" i="31"/>
  <c r="AK13" i="31"/>
  <c r="AK14" i="31"/>
  <c r="AK15" i="31" s="1"/>
  <c r="AM27" i="31"/>
  <c r="AM4" i="31" s="1"/>
  <c r="AL5" i="31"/>
  <c r="AH26" i="32" l="1"/>
  <c r="AI24" i="37"/>
  <c r="AK24" i="34"/>
  <c r="AJ10" i="34"/>
  <c r="AJ11" i="34"/>
  <c r="AI14" i="34"/>
  <c r="AI20" i="34" s="1"/>
  <c r="AI15" i="34"/>
  <c r="AI21" i="34" s="1"/>
  <c r="AI12" i="34"/>
  <c r="AI18" i="34" s="1"/>
  <c r="AI13" i="34"/>
  <c r="AI19" i="34" s="1"/>
  <c r="AJ10" i="32"/>
  <c r="AJ13" i="32"/>
  <c r="AJ11" i="32"/>
  <c r="AJ14" i="32" s="1"/>
  <c r="AK25" i="32"/>
  <c r="AI15" i="32"/>
  <c r="AI20" i="32" s="1"/>
  <c r="AI17" i="32"/>
  <c r="AI22" i="32" s="1"/>
  <c r="AI16" i="32"/>
  <c r="AI21" i="32" s="1"/>
  <c r="AL7" i="31"/>
  <c r="AL11" i="31" s="1"/>
  <c r="AG21" i="31"/>
  <c r="AG20" i="31"/>
  <c r="AG28" i="31" s="1"/>
  <c r="AG19" i="31"/>
  <c r="AH22" i="31"/>
  <c r="AH24" i="31" s="1"/>
  <c r="AH18" i="31"/>
  <c r="AI16" i="31"/>
  <c r="AI17" i="31" s="1"/>
  <c r="AH25" i="37"/>
  <c r="AH11" i="36"/>
  <c r="AI7" i="36"/>
  <c r="AK28" i="37"/>
  <c r="AK20" i="37" s="1"/>
  <c r="AJ22" i="37"/>
  <c r="AJ24" i="37" s="1"/>
  <c r="AJ21" i="37"/>
  <c r="AJ23" i="37" s="1"/>
  <c r="AJ5" i="36"/>
  <c r="AK10" i="36"/>
  <c r="AJ4" i="36"/>
  <c r="AI6" i="36"/>
  <c r="AM6" i="31"/>
  <c r="AL13" i="31"/>
  <c r="AL14" i="31"/>
  <c r="AL15" i="31" s="1"/>
  <c r="AM5" i="31"/>
  <c r="AN27" i="31"/>
  <c r="AN4" i="31" s="1"/>
  <c r="AI25" i="34" l="1"/>
  <c r="AJ15" i="34"/>
  <c r="AJ21" i="34" s="1"/>
  <c r="AJ14" i="34"/>
  <c r="AJ20" i="34" s="1"/>
  <c r="AJ13" i="34"/>
  <c r="AJ19" i="34" s="1"/>
  <c r="AJ12" i="34"/>
  <c r="AJ18" i="34" s="1"/>
  <c r="AL24" i="34"/>
  <c r="AK10" i="34"/>
  <c r="AK11" i="34"/>
  <c r="AI26" i="32"/>
  <c r="AK10" i="32"/>
  <c r="AK13" i="32"/>
  <c r="AL25" i="32"/>
  <c r="AK11" i="32"/>
  <c r="AK14" i="32" s="1"/>
  <c r="AJ16" i="32"/>
  <c r="AJ21" i="32" s="1"/>
  <c r="AJ17" i="32"/>
  <c r="AJ22" i="32" s="1"/>
  <c r="AJ15" i="32"/>
  <c r="AJ20" i="32" s="1"/>
  <c r="AM7" i="31"/>
  <c r="AM11" i="31" s="1"/>
  <c r="AJ16" i="31"/>
  <c r="AJ17" i="31" s="1"/>
  <c r="AH20" i="31"/>
  <c r="AH28" i="31" s="1"/>
  <c r="AH19" i="31"/>
  <c r="AH21" i="31"/>
  <c r="AI18" i="31"/>
  <c r="AI22" i="31"/>
  <c r="AI24" i="31" s="1"/>
  <c r="AI23" i="31"/>
  <c r="AI11" i="36"/>
  <c r="AJ26" i="37"/>
  <c r="AJ29" i="37" s="1"/>
  <c r="AK5" i="36"/>
  <c r="AL10" i="36"/>
  <c r="AK4" i="36"/>
  <c r="AJ7" i="36"/>
  <c r="AJ6" i="36"/>
  <c r="AL28" i="37"/>
  <c r="AL20" i="37" s="1"/>
  <c r="AK22" i="37"/>
  <c r="AK21" i="37"/>
  <c r="AK23" i="37" s="1"/>
  <c r="AI25" i="37"/>
  <c r="AI26" i="37"/>
  <c r="AI29" i="37" s="1"/>
  <c r="AN6" i="31"/>
  <c r="AM14" i="31"/>
  <c r="AM15" i="31" s="1"/>
  <c r="AM13" i="31"/>
  <c r="AO27" i="31"/>
  <c r="AO4" i="31" s="1"/>
  <c r="AN5" i="31"/>
  <c r="AK24" i="37" l="1"/>
  <c r="AK12" i="34"/>
  <c r="AK18" i="34" s="1"/>
  <c r="AK15" i="34"/>
  <c r="AK21" i="34" s="1"/>
  <c r="AK14" i="34"/>
  <c r="AK20" i="34" s="1"/>
  <c r="AK13" i="34"/>
  <c r="AK19" i="34" s="1"/>
  <c r="AM24" i="34"/>
  <c r="AL10" i="34"/>
  <c r="AL11" i="34"/>
  <c r="AJ25" i="34"/>
  <c r="AJ26" i="32"/>
  <c r="AL10" i="32"/>
  <c r="AL13" i="32"/>
  <c r="AL11" i="32"/>
  <c r="AL14" i="32" s="1"/>
  <c r="AM25" i="32"/>
  <c r="AK16" i="32"/>
  <c r="AK21" i="32" s="1"/>
  <c r="AK17" i="32"/>
  <c r="AK22" i="32" s="1"/>
  <c r="AK15" i="32"/>
  <c r="AK20" i="32" s="1"/>
  <c r="AN7" i="31"/>
  <c r="AN11" i="31" s="1"/>
  <c r="AI20" i="31"/>
  <c r="AI28" i="31" s="1"/>
  <c r="AI19" i="31"/>
  <c r="AI21" i="31"/>
  <c r="AJ22" i="31"/>
  <c r="AJ24" i="31" s="1"/>
  <c r="AJ23" i="31"/>
  <c r="AJ18" i="31"/>
  <c r="AK16" i="31"/>
  <c r="AK17" i="31" s="1"/>
  <c r="AJ25" i="37"/>
  <c r="AJ11" i="36"/>
  <c r="AM28" i="37"/>
  <c r="AM20" i="37" s="1"/>
  <c r="AL22" i="37"/>
  <c r="AL21" i="37"/>
  <c r="AL23" i="37" s="1"/>
  <c r="AL5" i="36"/>
  <c r="AM10" i="36"/>
  <c r="AL4" i="36"/>
  <c r="AK7" i="36"/>
  <c r="AK6" i="36"/>
  <c r="AO6" i="31"/>
  <c r="AN13" i="31"/>
  <c r="AN14" i="31"/>
  <c r="AN15" i="31" s="1"/>
  <c r="AO5" i="31"/>
  <c r="AP27" i="31"/>
  <c r="AP4" i="31" s="1"/>
  <c r="AL24" i="37" l="1"/>
  <c r="AL14" i="34"/>
  <c r="AL20" i="34" s="1"/>
  <c r="AL15" i="34"/>
  <c r="AL21" i="34" s="1"/>
  <c r="AL12" i="34"/>
  <c r="AL18" i="34" s="1"/>
  <c r="AL25" i="34" s="1"/>
  <c r="AL13" i="34"/>
  <c r="AL19" i="34" s="1"/>
  <c r="AN24" i="34"/>
  <c r="AM10" i="34"/>
  <c r="AM11" i="34"/>
  <c r="AK25" i="34"/>
  <c r="AK26" i="32"/>
  <c r="AM10" i="32"/>
  <c r="AN25" i="32"/>
  <c r="AM11" i="32"/>
  <c r="AM14" i="32" s="1"/>
  <c r="AM13" i="32"/>
  <c r="AL16" i="32"/>
  <c r="AL21" i="32" s="1"/>
  <c r="AL17" i="32"/>
  <c r="AL22" i="32" s="1"/>
  <c r="AL15" i="32"/>
  <c r="AL20" i="32" s="1"/>
  <c r="AO7" i="31"/>
  <c r="AO11" i="31" s="1"/>
  <c r="AJ21" i="31"/>
  <c r="AJ19" i="31"/>
  <c r="AJ20" i="31"/>
  <c r="AJ28" i="31" s="1"/>
  <c r="AK23" i="31"/>
  <c r="AK18" i="31"/>
  <c r="AK22" i="31"/>
  <c r="AK24" i="31" s="1"/>
  <c r="AL16" i="31"/>
  <c r="AL17" i="31" s="1"/>
  <c r="AK11" i="36"/>
  <c r="AL25" i="37"/>
  <c r="AN10" i="36"/>
  <c r="AM5" i="36"/>
  <c r="AM4" i="36"/>
  <c r="AL7" i="36"/>
  <c r="AL6" i="36"/>
  <c r="AK26" i="37"/>
  <c r="AK29" i="37" s="1"/>
  <c r="AK25" i="37"/>
  <c r="AN28" i="37"/>
  <c r="AN20" i="37" s="1"/>
  <c r="AM22" i="37"/>
  <c r="AM21" i="37"/>
  <c r="AM23" i="37" s="1"/>
  <c r="AP6" i="31"/>
  <c r="AO13" i="31"/>
  <c r="AO14" i="31"/>
  <c r="AO15" i="31" s="1"/>
  <c r="AQ27" i="31"/>
  <c r="AQ4" i="31" s="1"/>
  <c r="AP5" i="31"/>
  <c r="AM24" i="37" l="1"/>
  <c r="AO24" i="34"/>
  <c r="AN10" i="34"/>
  <c r="AN11" i="34"/>
  <c r="AM14" i="34"/>
  <c r="AM20" i="34" s="1"/>
  <c r="AM12" i="34"/>
  <c r="AM18" i="34" s="1"/>
  <c r="AM13" i="34"/>
  <c r="AM19" i="34" s="1"/>
  <c r="AM15" i="34"/>
  <c r="AM21" i="34" s="1"/>
  <c r="AL26" i="32"/>
  <c r="AM16" i="32"/>
  <c r="AM21" i="32" s="1"/>
  <c r="AM17" i="32"/>
  <c r="AM22" i="32" s="1"/>
  <c r="AM15" i="32"/>
  <c r="AM20" i="32" s="1"/>
  <c r="AM26" i="32" s="1"/>
  <c r="AN10" i="32"/>
  <c r="AN11" i="32"/>
  <c r="AN14" i="32" s="1"/>
  <c r="AO25" i="32"/>
  <c r="AN13" i="32"/>
  <c r="AP7" i="31"/>
  <c r="AP11" i="31" s="1"/>
  <c r="AK19" i="31"/>
  <c r="AK21" i="31"/>
  <c r="AK20" i="31"/>
  <c r="AK28" i="31" s="1"/>
  <c r="AL18" i="31"/>
  <c r="AL22" i="31"/>
  <c r="AL24" i="31" s="1"/>
  <c r="AL23" i="31"/>
  <c r="AM16" i="31"/>
  <c r="AM17" i="31" s="1"/>
  <c r="AL26" i="37"/>
  <c r="AL29" i="37" s="1"/>
  <c r="AM25" i="37"/>
  <c r="AL11" i="36"/>
  <c r="AO28" i="37"/>
  <c r="AO20" i="37" s="1"/>
  <c r="AN22" i="37"/>
  <c r="AN21" i="37"/>
  <c r="AN23" i="37" s="1"/>
  <c r="AM7" i="36"/>
  <c r="AM6" i="36"/>
  <c r="AN5" i="36"/>
  <c r="AO10" i="36"/>
  <c r="AN4" i="36"/>
  <c r="AQ6" i="31"/>
  <c r="AP13" i="31"/>
  <c r="AP14" i="31"/>
  <c r="AP15" i="31" s="1"/>
  <c r="AR27" i="31"/>
  <c r="AR4" i="31" s="1"/>
  <c r="AQ5" i="31"/>
  <c r="AN24" i="37" l="1"/>
  <c r="AM25" i="34"/>
  <c r="AN13" i="34"/>
  <c r="AN19" i="34" s="1"/>
  <c r="AN14" i="34"/>
  <c r="AN20" i="34" s="1"/>
  <c r="AN15" i="34"/>
  <c r="AN21" i="34" s="1"/>
  <c r="AN12" i="34"/>
  <c r="AN18" i="34" s="1"/>
  <c r="AN25" i="34" s="1"/>
  <c r="AP24" i="34"/>
  <c r="AO10" i="34"/>
  <c r="AO11" i="34"/>
  <c r="AN16" i="32"/>
  <c r="AN21" i="32" s="1"/>
  <c r="AN17" i="32"/>
  <c r="AN22" i="32" s="1"/>
  <c r="AN15" i="32"/>
  <c r="AN20" i="32" s="1"/>
  <c r="AO10" i="32"/>
  <c r="AO11" i="32"/>
  <c r="AO14" i="32" s="1"/>
  <c r="AO13" i="32"/>
  <c r="AP25" i="32"/>
  <c r="AQ7" i="31"/>
  <c r="AQ11" i="31" s="1"/>
  <c r="AL21" i="31"/>
  <c r="AL19" i="31"/>
  <c r="AL20" i="31"/>
  <c r="AL28" i="31" s="1"/>
  <c r="AM22" i="31"/>
  <c r="AM24" i="31" s="1"/>
  <c r="AM23" i="31"/>
  <c r="AM18" i="31"/>
  <c r="AN16" i="31"/>
  <c r="AN17" i="31" s="1"/>
  <c r="AM26" i="37"/>
  <c r="AM29" i="37" s="1"/>
  <c r="AN26" i="37"/>
  <c r="AN29" i="37" s="1"/>
  <c r="AM11" i="36"/>
  <c r="AN6" i="36"/>
  <c r="AN7" i="36"/>
  <c r="AP28" i="37"/>
  <c r="AP20" i="37" s="1"/>
  <c r="AO22" i="37"/>
  <c r="AO21" i="37"/>
  <c r="AO23" i="37" s="1"/>
  <c r="AO5" i="36"/>
  <c r="AP10" i="36"/>
  <c r="AO4" i="36"/>
  <c r="AR6" i="31"/>
  <c r="AQ14" i="31"/>
  <c r="AQ15" i="31" s="1"/>
  <c r="AQ13" i="31"/>
  <c r="AS27" i="31"/>
  <c r="AS4" i="31" s="1"/>
  <c r="AR5" i="31"/>
  <c r="AN26" i="32" l="1"/>
  <c r="AO24" i="37"/>
  <c r="AO14" i="34"/>
  <c r="AO20" i="34" s="1"/>
  <c r="AO15" i="34"/>
  <c r="AO21" i="34" s="1"/>
  <c r="AO12" i="34"/>
  <c r="AO18" i="34" s="1"/>
  <c r="AO13" i="34"/>
  <c r="AO19" i="34" s="1"/>
  <c r="AQ24" i="34"/>
  <c r="AP10" i="34"/>
  <c r="AP11" i="34"/>
  <c r="AP10" i="32"/>
  <c r="AP11" i="32"/>
  <c r="AP14" i="32" s="1"/>
  <c r="AQ25" i="32"/>
  <c r="AP13" i="32"/>
  <c r="AO16" i="32"/>
  <c r="AO21" i="32" s="1"/>
  <c r="AO17" i="32"/>
  <c r="AO22" i="32" s="1"/>
  <c r="AO15" i="32"/>
  <c r="AO20" i="32" s="1"/>
  <c r="AR7" i="31"/>
  <c r="AR11" i="31" s="1"/>
  <c r="AM21" i="31"/>
  <c r="AM20" i="31"/>
  <c r="AM28" i="31" s="1"/>
  <c r="AM19" i="31"/>
  <c r="AN18" i="31"/>
  <c r="AN23" i="31"/>
  <c r="AN22" i="31"/>
  <c r="AN24" i="31" s="1"/>
  <c r="AO16" i="31"/>
  <c r="AO17" i="31" s="1"/>
  <c r="AN25" i="37"/>
  <c r="AO25" i="37"/>
  <c r="AO7" i="36"/>
  <c r="AO6" i="36"/>
  <c r="AQ28" i="37"/>
  <c r="AQ20" i="37" s="1"/>
  <c r="AP22" i="37"/>
  <c r="AP21" i="37"/>
  <c r="AP23" i="37" s="1"/>
  <c r="AQ10" i="36"/>
  <c r="AP5" i="36"/>
  <c r="AP4" i="36"/>
  <c r="AN11" i="36"/>
  <c r="AS6" i="31"/>
  <c r="AR13" i="31"/>
  <c r="AR14" i="31"/>
  <c r="AR15" i="31" s="1"/>
  <c r="AT27" i="31"/>
  <c r="AT4" i="31" s="1"/>
  <c r="AS5" i="31"/>
  <c r="AO26" i="32" l="1"/>
  <c r="AP24" i="37"/>
  <c r="AR24" i="34"/>
  <c r="AQ10" i="34"/>
  <c r="AQ11" i="34"/>
  <c r="AP14" i="34"/>
  <c r="AP20" i="34" s="1"/>
  <c r="AP12" i="34"/>
  <c r="AP18" i="34" s="1"/>
  <c r="AP15" i="34"/>
  <c r="AP21" i="34" s="1"/>
  <c r="AP13" i="34"/>
  <c r="AP19" i="34" s="1"/>
  <c r="AO25" i="34"/>
  <c r="AP17" i="32"/>
  <c r="AP22" i="32" s="1"/>
  <c r="AP15" i="32"/>
  <c r="AP20" i="32" s="1"/>
  <c r="AP16" i="32"/>
  <c r="AP21" i="32" s="1"/>
  <c r="AQ10" i="32"/>
  <c r="AR25" i="32"/>
  <c r="AQ13" i="32"/>
  <c r="AQ11" i="32"/>
  <c r="AQ14" i="32" s="1"/>
  <c r="AS7" i="31"/>
  <c r="AS11" i="31" s="1"/>
  <c r="AN19" i="31"/>
  <c r="AN21" i="31"/>
  <c r="AN20" i="31"/>
  <c r="AN28" i="31" s="1"/>
  <c r="AO18" i="31"/>
  <c r="AO23" i="31"/>
  <c r="AO22" i="31"/>
  <c r="AO24" i="31" s="1"/>
  <c r="AP16" i="31"/>
  <c r="AP17" i="31" s="1"/>
  <c r="AO26" i="37"/>
  <c r="AO29" i="37" s="1"/>
  <c r="AO11" i="36"/>
  <c r="AP26" i="37"/>
  <c r="AP29" i="37" s="1"/>
  <c r="AQ5" i="36"/>
  <c r="AR10" i="36"/>
  <c r="AQ4" i="36"/>
  <c r="AR28" i="37"/>
  <c r="AR20" i="37" s="1"/>
  <c r="AQ22" i="37"/>
  <c r="AQ24" i="37" s="1"/>
  <c r="AQ21" i="37"/>
  <c r="AQ23" i="37" s="1"/>
  <c r="AP6" i="36"/>
  <c r="AP7" i="36"/>
  <c r="AT6" i="31"/>
  <c r="AS13" i="31"/>
  <c r="AS14" i="31"/>
  <c r="AS15" i="31" s="1"/>
  <c r="AU27" i="31"/>
  <c r="AU4" i="31" s="1"/>
  <c r="AT5" i="31"/>
  <c r="AP26" i="32" l="1"/>
  <c r="AP25" i="34"/>
  <c r="AQ14" i="34"/>
  <c r="AQ20" i="34" s="1"/>
  <c r="AQ12" i="34"/>
  <c r="AQ18" i="34" s="1"/>
  <c r="AQ25" i="34" s="1"/>
  <c r="AQ13" i="34"/>
  <c r="AQ19" i="34" s="1"/>
  <c r="AQ15" i="34"/>
  <c r="AQ21" i="34" s="1"/>
  <c r="AS24" i="34"/>
  <c r="AR10" i="34"/>
  <c r="AR11" i="34"/>
  <c r="AR10" i="32"/>
  <c r="AR11" i="32"/>
  <c r="AR14" i="32" s="1"/>
  <c r="AS25" i="32"/>
  <c r="AR13" i="32"/>
  <c r="AQ17" i="32"/>
  <c r="AQ22" i="32" s="1"/>
  <c r="AQ15" i="32"/>
  <c r="AQ20" i="32" s="1"/>
  <c r="AQ16" i="32"/>
  <c r="AQ21" i="32" s="1"/>
  <c r="AT7" i="31"/>
  <c r="AT11" i="31" s="1"/>
  <c r="AP18" i="31"/>
  <c r="AP23" i="31"/>
  <c r="AP22" i="31"/>
  <c r="AP24" i="31" s="1"/>
  <c r="AO19" i="31"/>
  <c r="AO21" i="31"/>
  <c r="AO20" i="31"/>
  <c r="AO28" i="31" s="1"/>
  <c r="AQ16" i="31"/>
  <c r="AQ17" i="31" s="1"/>
  <c r="AP25" i="37"/>
  <c r="AQ25" i="37"/>
  <c r="AS28" i="37"/>
  <c r="AS20" i="37" s="1"/>
  <c r="AR22" i="37"/>
  <c r="AR21" i="37"/>
  <c r="AR23" i="37" s="1"/>
  <c r="AR5" i="36"/>
  <c r="AS10" i="36"/>
  <c r="AR4" i="36"/>
  <c r="AP11" i="36"/>
  <c r="AQ7" i="36"/>
  <c r="AQ6" i="36"/>
  <c r="AU6" i="31"/>
  <c r="AT13" i="31"/>
  <c r="AT14" i="31"/>
  <c r="AT15" i="31" s="1"/>
  <c r="AU5" i="31"/>
  <c r="AV27" i="31"/>
  <c r="AV4" i="31" s="1"/>
  <c r="AR24" i="37" l="1"/>
  <c r="AR13" i="34"/>
  <c r="AR19" i="34" s="1"/>
  <c r="AR12" i="34"/>
  <c r="AR18" i="34" s="1"/>
  <c r="AR14" i="34"/>
  <c r="AR20" i="34" s="1"/>
  <c r="AR15" i="34"/>
  <c r="AR21" i="34" s="1"/>
  <c r="AR25" i="34" s="1"/>
  <c r="AT24" i="34"/>
  <c r="AS10" i="34"/>
  <c r="AS11" i="34"/>
  <c r="AQ26" i="32"/>
  <c r="AR17" i="32"/>
  <c r="AR22" i="32" s="1"/>
  <c r="AR16" i="32"/>
  <c r="AR21" i="32" s="1"/>
  <c r="AR15" i="32"/>
  <c r="AR20" i="32" s="1"/>
  <c r="AS10" i="32"/>
  <c r="AT25" i="32"/>
  <c r="AS11" i="32"/>
  <c r="AS14" i="32" s="1"/>
  <c r="AS13" i="32"/>
  <c r="AU7" i="31"/>
  <c r="AU11" i="31" s="1"/>
  <c r="AP19" i="31"/>
  <c r="AP21" i="31"/>
  <c r="AP20" i="31"/>
  <c r="AP28" i="31" s="1"/>
  <c r="AQ18" i="31"/>
  <c r="AQ23" i="31"/>
  <c r="AQ22" i="31"/>
  <c r="AQ24" i="31" s="1"/>
  <c r="AR16" i="31"/>
  <c r="AR17" i="31" s="1"/>
  <c r="AR25" i="37"/>
  <c r="AQ26" i="37"/>
  <c r="AQ29" i="37" s="1"/>
  <c r="AT10" i="36"/>
  <c r="AS5" i="36"/>
  <c r="AS4" i="36"/>
  <c r="AR7" i="36"/>
  <c r="AR6" i="36"/>
  <c r="AQ11" i="36"/>
  <c r="AT28" i="37"/>
  <c r="AT20" i="37" s="1"/>
  <c r="AS22" i="37"/>
  <c r="AS21" i="37"/>
  <c r="AS23" i="37" s="1"/>
  <c r="AV6" i="31"/>
  <c r="AU13" i="31"/>
  <c r="AU14" i="31"/>
  <c r="AU15" i="31" s="1"/>
  <c r="AV5" i="31"/>
  <c r="AW27" i="31"/>
  <c r="AW4" i="31" s="1"/>
  <c r="AR26" i="32" l="1"/>
  <c r="AS24" i="37"/>
  <c r="AU24" i="34"/>
  <c r="AT10" i="34"/>
  <c r="AT11" i="34"/>
  <c r="AS13" i="34"/>
  <c r="AS19" i="34" s="1"/>
  <c r="AS12" i="34"/>
  <c r="AS18" i="34" s="1"/>
  <c r="AS14" i="34"/>
  <c r="AS20" i="34" s="1"/>
  <c r="AS15" i="34"/>
  <c r="AS21" i="34" s="1"/>
  <c r="AS16" i="32"/>
  <c r="AS21" i="32" s="1"/>
  <c r="AS17" i="32"/>
  <c r="AS22" i="32" s="1"/>
  <c r="AS15" i="32"/>
  <c r="AS20" i="32" s="1"/>
  <c r="AS26" i="32" s="1"/>
  <c r="AT10" i="32"/>
  <c r="AT13" i="32"/>
  <c r="AU25" i="32"/>
  <c r="AT11" i="32"/>
  <c r="AT14" i="32" s="1"/>
  <c r="AV7" i="31"/>
  <c r="AV11" i="31" s="1"/>
  <c r="AQ19" i="31"/>
  <c r="AQ21" i="31"/>
  <c r="AQ20" i="31"/>
  <c r="AQ28" i="31" s="1"/>
  <c r="AR18" i="31"/>
  <c r="AR23" i="31"/>
  <c r="AR22" i="31"/>
  <c r="AR24" i="31" s="1"/>
  <c r="AS16" i="31"/>
  <c r="AS17" i="31" s="1"/>
  <c r="AR26" i="37"/>
  <c r="AR29" i="37" s="1"/>
  <c r="AR11" i="36"/>
  <c r="AS26" i="37"/>
  <c r="AS29" i="37" s="1"/>
  <c r="AS6" i="36"/>
  <c r="AS7" i="36"/>
  <c r="AU28" i="37"/>
  <c r="AU20" i="37" s="1"/>
  <c r="AT22" i="37"/>
  <c r="AT21" i="37"/>
  <c r="AT23" i="37" s="1"/>
  <c r="AU10" i="36"/>
  <c r="AT5" i="36"/>
  <c r="AT4" i="36"/>
  <c r="AW6" i="31"/>
  <c r="AV13" i="31"/>
  <c r="AV14" i="31"/>
  <c r="AV15" i="31" s="1"/>
  <c r="AX27" i="31"/>
  <c r="AX4" i="31" s="1"/>
  <c r="AW5" i="31"/>
  <c r="AT24" i="37" l="1"/>
  <c r="AS25" i="34"/>
  <c r="AT15" i="34"/>
  <c r="AT21" i="34" s="1"/>
  <c r="AT14" i="34"/>
  <c r="AT20" i="34" s="1"/>
  <c r="AT12" i="34"/>
  <c r="AT18" i="34" s="1"/>
  <c r="AT13" i="34"/>
  <c r="AT19" i="34" s="1"/>
  <c r="AV24" i="34"/>
  <c r="AU10" i="34"/>
  <c r="AU11" i="34"/>
  <c r="AU10" i="32"/>
  <c r="AV25" i="32"/>
  <c r="AU13" i="32"/>
  <c r="AU11" i="32"/>
  <c r="AU14" i="32" s="1"/>
  <c r="AT16" i="32"/>
  <c r="AT21" i="32" s="1"/>
  <c r="AT17" i="32"/>
  <c r="AT22" i="32" s="1"/>
  <c r="AT15" i="32"/>
  <c r="AT20" i="32" s="1"/>
  <c r="AW7" i="31"/>
  <c r="AW11" i="31" s="1"/>
  <c r="AR21" i="31"/>
  <c r="AR20" i="31"/>
  <c r="AR28" i="31" s="1"/>
  <c r="AR19" i="31"/>
  <c r="AS18" i="31"/>
  <c r="AS23" i="31"/>
  <c r="AS22" i="31"/>
  <c r="AS24" i="31" s="1"/>
  <c r="AT16" i="31"/>
  <c r="AT17" i="31" s="1"/>
  <c r="AS25" i="37"/>
  <c r="AV28" i="37"/>
  <c r="AV20" i="37" s="1"/>
  <c r="AU22" i="37"/>
  <c r="AU21" i="37"/>
  <c r="AU23" i="37" s="1"/>
  <c r="AS11" i="36"/>
  <c r="AT7" i="36"/>
  <c r="AT6" i="36"/>
  <c r="AU5" i="36"/>
  <c r="AV10" i="36"/>
  <c r="AU4" i="36"/>
  <c r="AX6" i="31"/>
  <c r="AW13" i="31"/>
  <c r="AW14" i="31"/>
  <c r="AW15" i="31" s="1"/>
  <c r="AX5" i="31"/>
  <c r="AY27" i="31"/>
  <c r="AY4" i="31" s="1"/>
  <c r="AT26" i="32" l="1"/>
  <c r="AU24" i="37"/>
  <c r="AU12" i="34"/>
  <c r="AU18" i="34" s="1"/>
  <c r="AU15" i="34"/>
  <c r="AU21" i="34" s="1"/>
  <c r="AU13" i="34"/>
  <c r="AU19" i="34" s="1"/>
  <c r="AU14" i="34"/>
  <c r="AU20" i="34" s="1"/>
  <c r="AT25" i="34"/>
  <c r="AW24" i="34"/>
  <c r="AV10" i="34"/>
  <c r="AV11" i="34"/>
  <c r="AU16" i="32"/>
  <c r="AU21" i="32" s="1"/>
  <c r="AU17" i="32"/>
  <c r="AU22" i="32" s="1"/>
  <c r="AU15" i="32"/>
  <c r="AU20" i="32" s="1"/>
  <c r="AV10" i="32"/>
  <c r="AV13" i="32"/>
  <c r="AV11" i="32"/>
  <c r="AV14" i="32" s="1"/>
  <c r="AW25" i="32"/>
  <c r="AX7" i="31"/>
  <c r="AX11" i="31" s="1"/>
  <c r="AS21" i="31"/>
  <c r="AS20" i="31"/>
  <c r="AS28" i="31" s="1"/>
  <c r="AS19" i="31"/>
  <c r="AT18" i="31"/>
  <c r="AT23" i="31"/>
  <c r="AT22" i="31"/>
  <c r="AT24" i="31" s="1"/>
  <c r="AU16" i="31"/>
  <c r="AU17" i="31" s="1"/>
  <c r="AT11" i="36"/>
  <c r="AU25" i="37"/>
  <c r="AV5" i="36"/>
  <c r="AW10" i="36"/>
  <c r="AV4" i="36"/>
  <c r="AW28" i="37"/>
  <c r="AW20" i="37" s="1"/>
  <c r="AV22" i="37"/>
  <c r="AV21" i="37"/>
  <c r="AV23" i="37" s="1"/>
  <c r="AU7" i="36"/>
  <c r="AU6" i="36"/>
  <c r="AT25" i="37"/>
  <c r="AT26" i="37"/>
  <c r="AT29" i="37" s="1"/>
  <c r="AY6" i="31"/>
  <c r="AX13" i="31"/>
  <c r="AX14" i="31"/>
  <c r="AX15" i="31" s="1"/>
  <c r="AZ27" i="31"/>
  <c r="AZ4" i="31" s="1"/>
  <c r="AY5" i="31"/>
  <c r="AV24" i="37" l="1"/>
  <c r="AV15" i="34"/>
  <c r="AV21" i="34" s="1"/>
  <c r="AV14" i="34"/>
  <c r="AV20" i="34" s="1"/>
  <c r="AV13" i="34"/>
  <c r="AV19" i="34" s="1"/>
  <c r="AV12" i="34"/>
  <c r="AV18" i="34" s="1"/>
  <c r="AV25" i="34" s="1"/>
  <c r="AX24" i="34"/>
  <c r="AW10" i="34"/>
  <c r="AW11" i="34"/>
  <c r="AU25" i="34"/>
  <c r="AV16" i="32"/>
  <c r="AV21" i="32" s="1"/>
  <c r="AV17" i="32"/>
  <c r="AV22" i="32" s="1"/>
  <c r="AV15" i="32"/>
  <c r="AV20" i="32" s="1"/>
  <c r="AW10" i="32"/>
  <c r="AW13" i="32"/>
  <c r="AX25" i="32"/>
  <c r="AW11" i="32"/>
  <c r="AW14" i="32" s="1"/>
  <c r="AU26" i="32"/>
  <c r="AY7" i="31"/>
  <c r="AY11" i="31" s="1"/>
  <c r="AT21" i="31"/>
  <c r="AT19" i="31"/>
  <c r="AT20" i="31"/>
  <c r="AT28" i="31" s="1"/>
  <c r="AU18" i="31"/>
  <c r="AU23" i="31"/>
  <c r="AU22" i="31"/>
  <c r="AU24" i="31" s="1"/>
  <c r="AV16" i="31"/>
  <c r="AV17" i="31" s="1"/>
  <c r="AU11" i="36"/>
  <c r="AU26" i="37"/>
  <c r="AU29" i="37" s="1"/>
  <c r="AX28" i="37"/>
  <c r="AX20" i="37" s="1"/>
  <c r="AW22" i="37"/>
  <c r="AW21" i="37"/>
  <c r="AW23" i="37" s="1"/>
  <c r="AX10" i="36"/>
  <c r="AW5" i="36"/>
  <c r="AW4" i="36"/>
  <c r="AV7" i="36"/>
  <c r="AV6" i="36"/>
  <c r="AZ6" i="31"/>
  <c r="AY14" i="31"/>
  <c r="AY15" i="31" s="1"/>
  <c r="AY13" i="31"/>
  <c r="BA27" i="31"/>
  <c r="BA4" i="31" s="1"/>
  <c r="AZ5" i="31"/>
  <c r="AW24" i="37" l="1"/>
  <c r="AY24" i="34"/>
  <c r="AX10" i="34"/>
  <c r="AX11" i="34"/>
  <c r="AW12" i="34"/>
  <c r="AW18" i="34" s="1"/>
  <c r="AW15" i="34"/>
  <c r="AW21" i="34" s="1"/>
  <c r="AW13" i="34"/>
  <c r="AW19" i="34" s="1"/>
  <c r="AW14" i="34"/>
  <c r="AW20" i="34" s="1"/>
  <c r="AX10" i="32"/>
  <c r="AX13" i="32"/>
  <c r="AX11" i="32"/>
  <c r="AX14" i="32" s="1"/>
  <c r="AY25" i="32"/>
  <c r="AW16" i="32"/>
  <c r="AW21" i="32" s="1"/>
  <c r="AW17" i="32"/>
  <c r="AW22" i="32" s="1"/>
  <c r="AW15" i="32"/>
  <c r="AW20" i="32" s="1"/>
  <c r="AV26" i="32"/>
  <c r="AZ7" i="31"/>
  <c r="AZ11" i="31" s="1"/>
  <c r="AU21" i="31"/>
  <c r="AU20" i="31"/>
  <c r="AU28" i="31" s="1"/>
  <c r="AU19" i="31"/>
  <c r="AV18" i="31"/>
  <c r="AV23" i="31"/>
  <c r="AV22" i="31"/>
  <c r="AV24" i="31" s="1"/>
  <c r="AW16" i="31"/>
  <c r="AW17" i="31" s="1"/>
  <c r="AW25" i="37"/>
  <c r="AV11" i="36"/>
  <c r="AW7" i="36"/>
  <c r="AW6" i="36"/>
  <c r="AX5" i="36"/>
  <c r="AY10" i="36"/>
  <c r="AX4" i="36"/>
  <c r="AV26" i="37"/>
  <c r="AV29" i="37" s="1"/>
  <c r="AV25" i="37"/>
  <c r="AY28" i="37"/>
  <c r="AY20" i="37" s="1"/>
  <c r="AX22" i="37"/>
  <c r="AX21" i="37"/>
  <c r="AX23" i="37" s="1"/>
  <c r="BA6" i="31"/>
  <c r="AZ13" i="31"/>
  <c r="AZ14" i="31"/>
  <c r="AZ15" i="31" s="1"/>
  <c r="BA5" i="31"/>
  <c r="BB27" i="31"/>
  <c r="BB4" i="31" s="1"/>
  <c r="AW26" i="32" l="1"/>
  <c r="AX24" i="37"/>
  <c r="AW25" i="34"/>
  <c r="AX15" i="34"/>
  <c r="AX21" i="34" s="1"/>
  <c r="AX12" i="34"/>
  <c r="AX18" i="34" s="1"/>
  <c r="AX13" i="34"/>
  <c r="AX19" i="34" s="1"/>
  <c r="AX14" i="34"/>
  <c r="AX20" i="34" s="1"/>
  <c r="AZ24" i="34"/>
  <c r="AY10" i="34"/>
  <c r="AY11" i="34"/>
  <c r="AY10" i="32"/>
  <c r="AY11" i="32"/>
  <c r="AY14" i="32" s="1"/>
  <c r="AZ25" i="32"/>
  <c r="AY13" i="32"/>
  <c r="AX17" i="32"/>
  <c r="AX22" i="32" s="1"/>
  <c r="AX15" i="32"/>
  <c r="AX20" i="32" s="1"/>
  <c r="AX16" i="32"/>
  <c r="AX21" i="32" s="1"/>
  <c r="BA11" i="31"/>
  <c r="BA7" i="31"/>
  <c r="AV20" i="31"/>
  <c r="AV28" i="31" s="1"/>
  <c r="AV21" i="31"/>
  <c r="AV19" i="31"/>
  <c r="AW23" i="31"/>
  <c r="AW22" i="31"/>
  <c r="AW24" i="31" s="1"/>
  <c r="AW18" i="31"/>
  <c r="AX16" i="31"/>
  <c r="AX17" i="31" s="1"/>
  <c r="AW26" i="37"/>
  <c r="AW29" i="37" s="1"/>
  <c r="AX25" i="37"/>
  <c r="AW11" i="36"/>
  <c r="AY5" i="36"/>
  <c r="AZ10" i="36"/>
  <c r="AY4" i="36"/>
  <c r="AX6" i="36"/>
  <c r="AX7" i="36"/>
  <c r="AZ28" i="37"/>
  <c r="AZ20" i="37" s="1"/>
  <c r="AY22" i="37"/>
  <c r="AY21" i="37"/>
  <c r="AY23" i="37" s="1"/>
  <c r="BB6" i="31"/>
  <c r="BA13" i="31"/>
  <c r="BA14" i="31"/>
  <c r="BA15" i="31" s="1"/>
  <c r="BC27" i="31"/>
  <c r="BC4" i="31" s="1"/>
  <c r="BB5" i="31"/>
  <c r="AY24" i="37" l="1"/>
  <c r="AY13" i="34"/>
  <c r="AY19" i="34" s="1"/>
  <c r="AY12" i="34"/>
  <c r="AY18" i="34" s="1"/>
  <c r="AY14" i="34"/>
  <c r="AY20" i="34" s="1"/>
  <c r="AY15" i="34"/>
  <c r="AY21" i="34" s="1"/>
  <c r="BA24" i="34"/>
  <c r="AZ10" i="34"/>
  <c r="AZ11" i="34"/>
  <c r="AX25" i="34"/>
  <c r="AY15" i="32"/>
  <c r="AY20" i="32" s="1"/>
  <c r="AY17" i="32"/>
  <c r="AY22" i="32" s="1"/>
  <c r="AY16" i="32"/>
  <c r="AY21" i="32" s="1"/>
  <c r="AZ10" i="32"/>
  <c r="AZ13" i="32"/>
  <c r="AZ11" i="32"/>
  <c r="AZ14" i="32" s="1"/>
  <c r="BA25" i="32"/>
  <c r="AX26" i="32"/>
  <c r="BB7" i="31"/>
  <c r="BB11" i="31" s="1"/>
  <c r="AX18" i="31"/>
  <c r="AX23" i="31"/>
  <c r="AX22" i="31"/>
  <c r="AX24" i="31" s="1"/>
  <c r="AW19" i="31"/>
  <c r="AW20" i="31"/>
  <c r="AW28" i="31" s="1"/>
  <c r="AW21" i="31"/>
  <c r="AY16" i="31"/>
  <c r="AY17" i="31" s="1"/>
  <c r="AX26" i="37"/>
  <c r="AX29" i="37" s="1"/>
  <c r="BA28" i="37"/>
  <c r="BA20" i="37" s="1"/>
  <c r="AZ22" i="37"/>
  <c r="AZ21" i="37"/>
  <c r="AZ23" i="37" s="1"/>
  <c r="AX11" i="36"/>
  <c r="BA10" i="36"/>
  <c r="AZ5" i="36"/>
  <c r="AZ4" i="36"/>
  <c r="AY7" i="36"/>
  <c r="AY6" i="36"/>
  <c r="BC6" i="31"/>
  <c r="BB13" i="31"/>
  <c r="BB14" i="31"/>
  <c r="BB15" i="31" s="1"/>
  <c r="BC5" i="31"/>
  <c r="BD27" i="31"/>
  <c r="BD4" i="31" s="1"/>
  <c r="AZ24" i="37" l="1"/>
  <c r="AZ15" i="34"/>
  <c r="AZ21" i="34" s="1"/>
  <c r="AZ14" i="34"/>
  <c r="AZ20" i="34" s="1"/>
  <c r="AZ13" i="34"/>
  <c r="AZ19" i="34" s="1"/>
  <c r="AZ12" i="34"/>
  <c r="AZ18" i="34" s="1"/>
  <c r="AZ25" i="34" s="1"/>
  <c r="BB24" i="34"/>
  <c r="BA10" i="34"/>
  <c r="BA11" i="34"/>
  <c r="AY25" i="34"/>
  <c r="BA10" i="32"/>
  <c r="BB25" i="32"/>
  <c r="BA11" i="32"/>
  <c r="BA14" i="32" s="1"/>
  <c r="BA13" i="32"/>
  <c r="AZ17" i="32"/>
  <c r="AZ22" i="32" s="1"/>
  <c r="AZ16" i="32"/>
  <c r="AZ21" i="32" s="1"/>
  <c r="AZ15" i="32"/>
  <c r="AZ20" i="32" s="1"/>
  <c r="AZ26" i="32" s="1"/>
  <c r="AY26" i="32"/>
  <c r="BC7" i="31"/>
  <c r="BC11" i="31" s="1"/>
  <c r="AY18" i="31"/>
  <c r="AY23" i="31"/>
  <c r="AY22" i="31"/>
  <c r="AY24" i="31" s="1"/>
  <c r="AX20" i="31"/>
  <c r="AX28" i="31" s="1"/>
  <c r="AX19" i="31"/>
  <c r="AX21" i="31"/>
  <c r="AZ16" i="31"/>
  <c r="AZ17" i="31" s="1"/>
  <c r="AZ6" i="36"/>
  <c r="AZ25" i="37"/>
  <c r="BA5" i="36"/>
  <c r="BB10" i="36"/>
  <c r="BA4" i="36"/>
  <c r="AY11" i="36"/>
  <c r="BB28" i="37"/>
  <c r="BB20" i="37" s="1"/>
  <c r="BA22" i="37"/>
  <c r="BA24" i="37" s="1"/>
  <c r="BA21" i="37"/>
  <c r="BA23" i="37" s="1"/>
  <c r="AZ7" i="36"/>
  <c r="AY25" i="37"/>
  <c r="AY26" i="37"/>
  <c r="AY29" i="37" s="1"/>
  <c r="BD6" i="31"/>
  <c r="BC14" i="31"/>
  <c r="BC15" i="31" s="1"/>
  <c r="BC13" i="31"/>
  <c r="BD5" i="31"/>
  <c r="BE27" i="31"/>
  <c r="BE4" i="31" s="1"/>
  <c r="BA15" i="34" l="1"/>
  <c r="BA21" i="34" s="1"/>
  <c r="BA14" i="34"/>
  <c r="BA20" i="34" s="1"/>
  <c r="BA12" i="34"/>
  <c r="BA18" i="34" s="1"/>
  <c r="BA13" i="34"/>
  <c r="BA19" i="34" s="1"/>
  <c r="BC24" i="34"/>
  <c r="BB10" i="34"/>
  <c r="BB11" i="34"/>
  <c r="BA16" i="32"/>
  <c r="BA21" i="32" s="1"/>
  <c r="BA17" i="32"/>
  <c r="BA22" i="32" s="1"/>
  <c r="BA15" i="32"/>
  <c r="BA20" i="32" s="1"/>
  <c r="BB10" i="32"/>
  <c r="BC25" i="32"/>
  <c r="BB11" i="32"/>
  <c r="BB14" i="32" s="1"/>
  <c r="BB13" i="32"/>
  <c r="BD11" i="31"/>
  <c r="BD7" i="31"/>
  <c r="BA16" i="31"/>
  <c r="BA17" i="31" s="1"/>
  <c r="AY20" i="31"/>
  <c r="AY28" i="31" s="1"/>
  <c r="AY19" i="31"/>
  <c r="AY21" i="31"/>
  <c r="AZ22" i="31"/>
  <c r="AZ24" i="31" s="1"/>
  <c r="AZ18" i="31"/>
  <c r="AZ23" i="31"/>
  <c r="AZ11" i="36"/>
  <c r="AZ26" i="37"/>
  <c r="AZ29" i="37" s="1"/>
  <c r="BA26" i="37"/>
  <c r="BA29" i="37" s="1"/>
  <c r="BC10" i="36"/>
  <c r="BB5" i="36"/>
  <c r="BB4" i="36"/>
  <c r="BA6" i="36"/>
  <c r="BA7" i="36"/>
  <c r="BC28" i="37"/>
  <c r="BC20" i="37" s="1"/>
  <c r="BB22" i="37"/>
  <c r="BB21" i="37"/>
  <c r="BB23" i="37" s="1"/>
  <c r="BE6" i="31"/>
  <c r="BD13" i="31"/>
  <c r="BD14" i="31"/>
  <c r="BD15" i="31" s="1"/>
  <c r="BE5" i="31"/>
  <c r="BF27" i="31"/>
  <c r="BF4" i="31" s="1"/>
  <c r="BB24" i="37" l="1"/>
  <c r="BB15" i="34"/>
  <c r="BB21" i="34" s="1"/>
  <c r="BB14" i="34"/>
  <c r="BB20" i="34" s="1"/>
  <c r="BB13" i="34"/>
  <c r="BB19" i="34" s="1"/>
  <c r="BB12" i="34"/>
  <c r="BB18" i="34" s="1"/>
  <c r="BB25" i="34" s="1"/>
  <c r="BD24" i="34"/>
  <c r="BC10" i="34"/>
  <c r="BC11" i="34"/>
  <c r="BA25" i="34"/>
  <c r="BC10" i="32"/>
  <c r="BC11" i="32"/>
  <c r="BC14" i="32" s="1"/>
  <c r="BC13" i="32"/>
  <c r="BD25" i="32"/>
  <c r="BA26" i="32"/>
  <c r="BB16" i="32"/>
  <c r="BB21" i="32" s="1"/>
  <c r="BB17" i="32"/>
  <c r="BB22" i="32" s="1"/>
  <c r="BB15" i="32"/>
  <c r="BB20" i="32" s="1"/>
  <c r="BE11" i="31"/>
  <c r="BE7" i="31"/>
  <c r="BA18" i="31"/>
  <c r="BA22" i="31"/>
  <c r="BA24" i="31" s="1"/>
  <c r="BA23" i="31"/>
  <c r="BB16" i="31"/>
  <c r="BB17" i="31" s="1"/>
  <c r="BB23" i="31" s="1"/>
  <c r="AZ21" i="31"/>
  <c r="AZ19" i="31"/>
  <c r="AZ20" i="31"/>
  <c r="AZ28" i="31" s="1"/>
  <c r="BA25" i="37"/>
  <c r="BD28" i="37"/>
  <c r="BD20" i="37" s="1"/>
  <c r="BC22" i="37"/>
  <c r="BC21" i="37"/>
  <c r="BC23" i="37" s="1"/>
  <c r="BA11" i="36"/>
  <c r="BB7" i="36"/>
  <c r="BB6" i="36"/>
  <c r="BC5" i="36"/>
  <c r="BD10" i="36"/>
  <c r="BC4" i="36"/>
  <c r="BF6" i="31"/>
  <c r="BE13" i="31"/>
  <c r="BE14" i="31"/>
  <c r="BE15" i="31" s="1"/>
  <c r="BG27" i="31"/>
  <c r="BG4" i="31" s="1"/>
  <c r="BF5" i="31"/>
  <c r="BC24" i="37" l="1"/>
  <c r="BC15" i="34"/>
  <c r="BC21" i="34" s="1"/>
  <c r="BC12" i="34"/>
  <c r="BC18" i="34" s="1"/>
  <c r="BC14" i="34"/>
  <c r="BC20" i="34" s="1"/>
  <c r="BC13" i="34"/>
  <c r="BC19" i="34" s="1"/>
  <c r="BE24" i="34"/>
  <c r="BD10" i="34"/>
  <c r="BD11" i="34"/>
  <c r="BB26" i="32"/>
  <c r="BD10" i="32"/>
  <c r="BD13" i="32"/>
  <c r="BD11" i="32"/>
  <c r="BD14" i="32" s="1"/>
  <c r="BE25" i="32"/>
  <c r="BC16" i="32"/>
  <c r="BC21" i="32" s="1"/>
  <c r="BC17" i="32"/>
  <c r="BC22" i="32" s="1"/>
  <c r="BC15" i="32"/>
  <c r="BC20" i="32" s="1"/>
  <c r="BF11" i="31"/>
  <c r="BF7" i="31"/>
  <c r="BB18" i="31"/>
  <c r="BB22" i="31"/>
  <c r="BB24" i="31" s="1"/>
  <c r="BC16" i="31"/>
  <c r="BC17" i="31" s="1"/>
  <c r="BC23" i="31" s="1"/>
  <c r="BA19" i="31"/>
  <c r="BA21" i="31"/>
  <c r="BA20" i="31"/>
  <c r="BA28" i="31" s="1"/>
  <c r="BC26" i="37"/>
  <c r="BC29" i="37" s="1"/>
  <c r="BB11" i="36"/>
  <c r="BB25" i="37"/>
  <c r="BB26" i="37"/>
  <c r="BB29" i="37" s="1"/>
  <c r="BD5" i="36"/>
  <c r="BE10" i="36"/>
  <c r="BD4" i="36"/>
  <c r="BC7" i="36"/>
  <c r="BC6" i="36"/>
  <c r="BE28" i="37"/>
  <c r="BE20" i="37" s="1"/>
  <c r="BD22" i="37"/>
  <c r="BD21" i="37"/>
  <c r="BD23" i="37" s="1"/>
  <c r="BG6" i="31"/>
  <c r="BF14" i="31"/>
  <c r="BF15" i="31" s="1"/>
  <c r="BF13" i="31"/>
  <c r="BH27" i="31"/>
  <c r="BH4" i="31" s="1"/>
  <c r="BG5" i="31"/>
  <c r="BD24" i="37" l="1"/>
  <c r="BD14" i="34"/>
  <c r="BD20" i="34" s="1"/>
  <c r="BD13" i="34"/>
  <c r="BD19" i="34" s="1"/>
  <c r="BD15" i="34"/>
  <c r="BD21" i="34" s="1"/>
  <c r="BD12" i="34"/>
  <c r="BD18" i="34" s="1"/>
  <c r="BD25" i="34" s="1"/>
  <c r="BF24" i="34"/>
  <c r="BE10" i="34"/>
  <c r="BE11" i="34"/>
  <c r="BC25" i="34"/>
  <c r="BC26" i="32"/>
  <c r="BE10" i="32"/>
  <c r="BE13" i="32"/>
  <c r="BE11" i="32"/>
  <c r="BE14" i="32" s="1"/>
  <c r="BF25" i="32"/>
  <c r="BD16" i="32"/>
  <c r="BD21" i="32" s="1"/>
  <c r="BD17" i="32"/>
  <c r="BD22" i="32" s="1"/>
  <c r="BD15" i="32"/>
  <c r="BD20" i="32" s="1"/>
  <c r="BG7" i="31"/>
  <c r="BG11" i="31" s="1"/>
  <c r="BC18" i="31"/>
  <c r="BC22" i="31"/>
  <c r="BC24" i="31" s="1"/>
  <c r="BD16" i="31"/>
  <c r="BD17" i="31" s="1"/>
  <c r="BB21" i="31"/>
  <c r="BB19" i="31"/>
  <c r="BB20" i="31"/>
  <c r="BB28" i="31" s="1"/>
  <c r="BC25" i="37"/>
  <c r="BC11" i="36"/>
  <c r="BE5" i="36"/>
  <c r="BF10" i="36"/>
  <c r="BE4" i="36"/>
  <c r="BD7" i="36"/>
  <c r="BD6" i="36"/>
  <c r="BF28" i="37"/>
  <c r="BF20" i="37" s="1"/>
  <c r="BE22" i="37"/>
  <c r="BE21" i="37"/>
  <c r="BE23" i="37" s="1"/>
  <c r="BH6" i="31"/>
  <c r="BG14" i="31"/>
  <c r="BG15" i="31" s="1"/>
  <c r="BG13" i="31"/>
  <c r="BI27" i="31"/>
  <c r="BI4" i="31" s="1"/>
  <c r="BH5" i="31"/>
  <c r="BD26" i="32" l="1"/>
  <c r="BE24" i="37"/>
  <c r="BE12" i="34"/>
  <c r="BE18" i="34" s="1"/>
  <c r="BE13" i="34"/>
  <c r="BE19" i="34" s="1"/>
  <c r="BE14" i="34"/>
  <c r="BE20" i="34" s="1"/>
  <c r="BE15" i="34"/>
  <c r="BE21" i="34" s="1"/>
  <c r="BG24" i="34"/>
  <c r="BF10" i="34"/>
  <c r="BF11" i="34"/>
  <c r="BF10" i="32"/>
  <c r="BF11" i="32"/>
  <c r="BF14" i="32" s="1"/>
  <c r="BG25" i="32"/>
  <c r="BF13" i="32"/>
  <c r="BE16" i="32"/>
  <c r="BE21" i="32" s="1"/>
  <c r="BE17" i="32"/>
  <c r="BE22" i="32" s="1"/>
  <c r="BE15" i="32"/>
  <c r="BE20" i="32" s="1"/>
  <c r="BE26" i="32" s="1"/>
  <c r="BH7" i="31"/>
  <c r="BH11" i="31" s="1"/>
  <c r="BD18" i="31"/>
  <c r="BD23" i="31"/>
  <c r="BD22" i="31"/>
  <c r="BD24" i="31" s="1"/>
  <c r="BE16" i="31"/>
  <c r="BE17" i="31" s="1"/>
  <c r="BE23" i="31" s="1"/>
  <c r="BC21" i="31"/>
  <c r="BC20" i="31"/>
  <c r="BC28" i="31" s="1"/>
  <c r="BC19" i="31"/>
  <c r="BD11" i="36"/>
  <c r="BE26" i="37"/>
  <c r="BE29" i="37" s="1"/>
  <c r="BG28" i="37"/>
  <c r="BG20" i="37" s="1"/>
  <c r="BF22" i="37"/>
  <c r="BF24" i="37" s="1"/>
  <c r="BF21" i="37"/>
  <c r="BF23" i="37" s="1"/>
  <c r="BD26" i="37"/>
  <c r="BD29" i="37" s="1"/>
  <c r="BD25" i="37"/>
  <c r="BG10" i="36"/>
  <c r="BF5" i="36"/>
  <c r="BF4" i="36"/>
  <c r="BE7" i="36"/>
  <c r="BE6" i="36"/>
  <c r="BI6" i="31"/>
  <c r="BH13" i="31"/>
  <c r="BH14" i="31"/>
  <c r="BH15" i="31" s="1"/>
  <c r="BJ27" i="31"/>
  <c r="BJ4" i="31" s="1"/>
  <c r="BI5" i="31"/>
  <c r="BF15" i="34" l="1"/>
  <c r="BF21" i="34" s="1"/>
  <c r="BF13" i="34"/>
  <c r="BF19" i="34" s="1"/>
  <c r="BF12" i="34"/>
  <c r="BF18" i="34" s="1"/>
  <c r="BF14" i="34"/>
  <c r="BF20" i="34" s="1"/>
  <c r="BH24" i="34"/>
  <c r="BG10" i="34"/>
  <c r="BG11" i="34"/>
  <c r="BE25" i="34"/>
  <c r="BF17" i="32"/>
  <c r="BF22" i="32" s="1"/>
  <c r="BF15" i="32"/>
  <c r="BF20" i="32" s="1"/>
  <c r="BF16" i="32"/>
  <c r="BF21" i="32" s="1"/>
  <c r="BG10" i="32"/>
  <c r="BG11" i="32"/>
  <c r="BG14" i="32" s="1"/>
  <c r="BG13" i="32"/>
  <c r="BH25" i="32"/>
  <c r="BI11" i="31"/>
  <c r="BI7" i="31"/>
  <c r="BE18" i="31"/>
  <c r="BE22" i="31"/>
  <c r="BE24" i="31" s="1"/>
  <c r="BF16" i="31"/>
  <c r="BF17" i="31" s="1"/>
  <c r="BF23" i="31" s="1"/>
  <c r="BD20" i="31"/>
  <c r="BD28" i="31" s="1"/>
  <c r="BD19" i="31"/>
  <c r="BD21" i="31"/>
  <c r="BE25" i="37"/>
  <c r="BF26" i="37"/>
  <c r="BF29" i="37" s="1"/>
  <c r="BE11" i="36"/>
  <c r="BF7" i="36"/>
  <c r="BF6" i="36"/>
  <c r="BH28" i="37"/>
  <c r="BH20" i="37" s="1"/>
  <c r="BG22" i="37"/>
  <c r="BG21" i="37"/>
  <c r="BG23" i="37" s="1"/>
  <c r="BG5" i="36"/>
  <c r="BH10" i="36"/>
  <c r="BG4" i="36"/>
  <c r="BJ6" i="31"/>
  <c r="BI13" i="31"/>
  <c r="BI14" i="31"/>
  <c r="BI15" i="31" s="1"/>
  <c r="BK27" i="31"/>
  <c r="BK4" i="31" s="1"/>
  <c r="BJ5" i="31"/>
  <c r="BF26" i="32" l="1"/>
  <c r="BG24" i="37"/>
  <c r="BG15" i="34"/>
  <c r="BG21" i="34" s="1"/>
  <c r="BG14" i="34"/>
  <c r="BG20" i="34" s="1"/>
  <c r="BG12" i="34"/>
  <c r="BG18" i="34" s="1"/>
  <c r="BG13" i="34"/>
  <c r="BG19" i="34" s="1"/>
  <c r="BI24" i="34"/>
  <c r="BH10" i="34"/>
  <c r="BH11" i="34"/>
  <c r="BF25" i="34"/>
  <c r="BH10" i="32"/>
  <c r="BH11" i="32"/>
  <c r="BH14" i="32" s="1"/>
  <c r="BI25" i="32"/>
  <c r="BH13" i="32"/>
  <c r="BG15" i="32"/>
  <c r="BG20" i="32" s="1"/>
  <c r="BG16" i="32"/>
  <c r="BG21" i="32" s="1"/>
  <c r="BG17" i="32"/>
  <c r="BG22" i="32" s="1"/>
  <c r="BJ7" i="31"/>
  <c r="BJ11" i="31" s="1"/>
  <c r="BF22" i="31"/>
  <c r="BF24" i="31" s="1"/>
  <c r="BF18" i="31"/>
  <c r="BG16" i="31"/>
  <c r="BG17" i="31" s="1"/>
  <c r="BE19" i="31"/>
  <c r="BE21" i="31"/>
  <c r="BE20" i="31"/>
  <c r="BE28" i="31" s="1"/>
  <c r="BF11" i="36"/>
  <c r="BF25" i="37"/>
  <c r="BG7" i="36"/>
  <c r="BI28" i="37"/>
  <c r="BI20" i="37" s="1"/>
  <c r="BH22" i="37"/>
  <c r="BH21" i="37"/>
  <c r="BH23" i="37" s="1"/>
  <c r="BI10" i="36"/>
  <c r="BH5" i="36"/>
  <c r="BH4" i="36"/>
  <c r="BG6" i="36"/>
  <c r="BK6" i="31"/>
  <c r="BJ13" i="31"/>
  <c r="BJ14" i="31"/>
  <c r="BJ15" i="31" s="1"/>
  <c r="BK5" i="31"/>
  <c r="BL27" i="31"/>
  <c r="BL4" i="31" s="1"/>
  <c r="BH24" i="37" l="1"/>
  <c r="BH14" i="34"/>
  <c r="BH20" i="34" s="1"/>
  <c r="BH13" i="34"/>
  <c r="BH19" i="34" s="1"/>
  <c r="BH15" i="34"/>
  <c r="BH21" i="34" s="1"/>
  <c r="BH12" i="34"/>
  <c r="BH18" i="34" s="1"/>
  <c r="BJ24" i="34"/>
  <c r="BI10" i="34"/>
  <c r="BI11" i="34"/>
  <c r="BG25" i="34"/>
  <c r="BG26" i="32"/>
  <c r="BH17" i="32"/>
  <c r="BH22" i="32" s="1"/>
  <c r="BH16" i="32"/>
  <c r="BH21" i="32" s="1"/>
  <c r="BH15" i="32"/>
  <c r="BH20" i="32" s="1"/>
  <c r="BI10" i="32"/>
  <c r="BI13" i="32"/>
  <c r="BJ25" i="32"/>
  <c r="BI11" i="32"/>
  <c r="BI14" i="32" s="1"/>
  <c r="BK11" i="31"/>
  <c r="BK7" i="31"/>
  <c r="BG23" i="31"/>
  <c r="BG18" i="31"/>
  <c r="BG22" i="31"/>
  <c r="BG24" i="31" s="1"/>
  <c r="BH16" i="31"/>
  <c r="BH17" i="31" s="1"/>
  <c r="BF20" i="31"/>
  <c r="BF28" i="31" s="1"/>
  <c r="BF21" i="31"/>
  <c r="BF19" i="31"/>
  <c r="BH26" i="37"/>
  <c r="BH29" i="37" s="1"/>
  <c r="BG11" i="36"/>
  <c r="BH6" i="36"/>
  <c r="BH7" i="36"/>
  <c r="BI5" i="36"/>
  <c r="BJ10" i="36"/>
  <c r="BI4" i="36"/>
  <c r="BJ28" i="37"/>
  <c r="BJ20" i="37" s="1"/>
  <c r="BI22" i="37"/>
  <c r="BI24" i="37" s="1"/>
  <c r="BI21" i="37"/>
  <c r="BI23" i="37" s="1"/>
  <c r="BG26" i="37"/>
  <c r="BG29" i="37" s="1"/>
  <c r="BG25" i="37"/>
  <c r="BL6" i="31"/>
  <c r="BK13" i="31"/>
  <c r="BK14" i="31"/>
  <c r="BK15" i="31" s="1"/>
  <c r="BL5" i="31"/>
  <c r="BM27" i="31"/>
  <c r="BM4" i="31" s="1"/>
  <c r="BI12" i="34" l="1"/>
  <c r="BI18" i="34" s="1"/>
  <c r="BI13" i="34"/>
  <c r="BI19" i="34" s="1"/>
  <c r="BI14" i="34"/>
  <c r="BI20" i="34" s="1"/>
  <c r="BI15" i="34"/>
  <c r="BI21" i="34" s="1"/>
  <c r="BK24" i="34"/>
  <c r="BJ10" i="34"/>
  <c r="BJ11" i="34"/>
  <c r="BH25" i="34"/>
  <c r="BJ10" i="32"/>
  <c r="BK25" i="32"/>
  <c r="BJ13" i="32"/>
  <c r="BJ11" i="32"/>
  <c r="BJ14" i="32" s="1"/>
  <c r="BH26" i="32"/>
  <c r="BI16" i="32"/>
  <c r="BI21" i="32" s="1"/>
  <c r="BI17" i="32"/>
  <c r="BI22" i="32" s="1"/>
  <c r="BI15" i="32"/>
  <c r="BI20" i="32" s="1"/>
  <c r="BL11" i="31"/>
  <c r="BL7" i="31"/>
  <c r="BI16" i="31"/>
  <c r="BI17" i="31" s="1"/>
  <c r="BI23" i="31" s="1"/>
  <c r="BH22" i="31"/>
  <c r="BH24" i="31" s="1"/>
  <c r="BH18" i="31"/>
  <c r="BH23" i="31"/>
  <c r="BG20" i="31"/>
  <c r="BG28" i="31" s="1"/>
  <c r="BG19" i="31"/>
  <c r="BG21" i="31"/>
  <c r="BH11" i="36"/>
  <c r="BH25" i="37"/>
  <c r="BI25" i="37"/>
  <c r="BK10" i="36"/>
  <c r="BJ5" i="36"/>
  <c r="BJ4" i="36"/>
  <c r="BK28" i="37"/>
  <c r="BK20" i="37" s="1"/>
  <c r="BJ22" i="37"/>
  <c r="BJ21" i="37"/>
  <c r="BJ23" i="37" s="1"/>
  <c r="BI6" i="36"/>
  <c r="BI7" i="36"/>
  <c r="BM6" i="31"/>
  <c r="BL13" i="31"/>
  <c r="BL14" i="31"/>
  <c r="BL15" i="31" s="1"/>
  <c r="BM5" i="31"/>
  <c r="BN27" i="31"/>
  <c r="BN4" i="31" s="1"/>
  <c r="BJ24" i="37" l="1"/>
  <c r="BJ12" i="34"/>
  <c r="BJ18" i="34" s="1"/>
  <c r="BJ13" i="34"/>
  <c r="BJ19" i="34" s="1"/>
  <c r="BJ15" i="34"/>
  <c r="BJ21" i="34" s="1"/>
  <c r="BJ14" i="34"/>
  <c r="BJ20" i="34" s="1"/>
  <c r="BL24" i="34"/>
  <c r="BK10" i="34"/>
  <c r="BK11" i="34"/>
  <c r="BI25" i="34"/>
  <c r="BI26" i="32"/>
  <c r="BJ16" i="32"/>
  <c r="BJ21" i="32" s="1"/>
  <c r="BJ17" i="32"/>
  <c r="BJ22" i="32" s="1"/>
  <c r="BJ15" i="32"/>
  <c r="BJ20" i="32" s="1"/>
  <c r="BK10" i="32"/>
  <c r="BK11" i="32"/>
  <c r="BK14" i="32" s="1"/>
  <c r="BL25" i="32"/>
  <c r="BK13" i="32"/>
  <c r="BM7" i="31"/>
  <c r="BM11" i="31" s="1"/>
  <c r="BH19" i="31"/>
  <c r="BH21" i="31"/>
  <c r="BH20" i="31"/>
  <c r="BH28" i="31" s="1"/>
  <c r="BI22" i="31"/>
  <c r="BI24" i="31" s="1"/>
  <c r="BI18" i="31"/>
  <c r="BJ16" i="31"/>
  <c r="BJ17" i="31" s="1"/>
  <c r="BI26" i="37"/>
  <c r="BI29" i="37" s="1"/>
  <c r="BL28" i="37"/>
  <c r="BL20" i="37" s="1"/>
  <c r="BK22" i="37"/>
  <c r="BK24" i="37" s="1"/>
  <c r="BK21" i="37"/>
  <c r="BK23" i="37" s="1"/>
  <c r="BJ6" i="36"/>
  <c r="BJ7" i="36"/>
  <c r="BL10" i="36"/>
  <c r="BK5" i="36"/>
  <c r="BK4" i="36"/>
  <c r="BI11" i="36"/>
  <c r="BN6" i="31"/>
  <c r="BM13" i="31"/>
  <c r="BM14" i="31"/>
  <c r="BM15" i="31" s="1"/>
  <c r="BO27" i="31"/>
  <c r="BO4" i="31" s="1"/>
  <c r="BN5" i="31"/>
  <c r="BK15" i="34" l="1"/>
  <c r="BK21" i="34" s="1"/>
  <c r="BK13" i="34"/>
  <c r="BK19" i="34" s="1"/>
  <c r="BK12" i="34"/>
  <c r="BK18" i="34" s="1"/>
  <c r="BK14" i="34"/>
  <c r="BK20" i="34" s="1"/>
  <c r="BM24" i="34"/>
  <c r="BL10" i="34"/>
  <c r="BL11" i="34"/>
  <c r="BJ25" i="34"/>
  <c r="BK16" i="32"/>
  <c r="BK21" i="32" s="1"/>
  <c r="BK17" i="32"/>
  <c r="BK22" i="32" s="1"/>
  <c r="BK15" i="32"/>
  <c r="BK20" i="32" s="1"/>
  <c r="BL10" i="32"/>
  <c r="BM25" i="32"/>
  <c r="BL13" i="32"/>
  <c r="BL11" i="32"/>
  <c r="BL14" i="32" s="1"/>
  <c r="BJ26" i="32"/>
  <c r="BN7" i="31"/>
  <c r="BN11" i="31" s="1"/>
  <c r="BK16" i="31"/>
  <c r="BK17" i="31" s="1"/>
  <c r="BI20" i="31"/>
  <c r="BI28" i="31" s="1"/>
  <c r="BI19" i="31"/>
  <c r="BI21" i="31"/>
  <c r="BJ22" i="31"/>
  <c r="BJ24" i="31" s="1"/>
  <c r="BJ18" i="31"/>
  <c r="BJ23" i="31"/>
  <c r="BK26" i="37"/>
  <c r="BK29" i="37" s="1"/>
  <c r="BK7" i="36"/>
  <c r="BK6" i="36"/>
  <c r="BL5" i="36"/>
  <c r="BM10" i="36"/>
  <c r="BL4" i="36"/>
  <c r="BJ11" i="36"/>
  <c r="BM28" i="37"/>
  <c r="BM20" i="37" s="1"/>
  <c r="BL22" i="37"/>
  <c r="BL21" i="37"/>
  <c r="BL23" i="37" s="1"/>
  <c r="BJ26" i="37"/>
  <c r="BJ29" i="37" s="1"/>
  <c r="BJ25" i="37"/>
  <c r="BO6" i="31"/>
  <c r="BN14" i="31"/>
  <c r="BN15" i="31" s="1"/>
  <c r="BN13" i="31"/>
  <c r="BP27" i="31"/>
  <c r="BP4" i="31" s="1"/>
  <c r="BO5" i="31"/>
  <c r="BK26" i="32" l="1"/>
  <c r="BL24" i="37"/>
  <c r="BN24" i="34"/>
  <c r="BM10" i="34"/>
  <c r="BM11" i="34"/>
  <c r="BK25" i="34"/>
  <c r="BL13" i="34"/>
  <c r="BL19" i="34" s="1"/>
  <c r="BL12" i="34"/>
  <c r="BL18" i="34" s="1"/>
  <c r="BL25" i="34" s="1"/>
  <c r="BL15" i="34"/>
  <c r="BL21" i="34" s="1"/>
  <c r="BL14" i="34"/>
  <c r="BL20" i="34" s="1"/>
  <c r="BL16" i="32"/>
  <c r="BL21" i="32" s="1"/>
  <c r="BL17" i="32"/>
  <c r="BL22" i="32" s="1"/>
  <c r="BL15" i="32"/>
  <c r="BL20" i="32" s="1"/>
  <c r="BM10" i="32"/>
  <c r="BN25" i="32"/>
  <c r="BM13" i="32"/>
  <c r="BM11" i="32"/>
  <c r="BM14" i="32" s="1"/>
  <c r="BO7" i="31"/>
  <c r="BO11" i="31" s="1"/>
  <c r="BK22" i="31"/>
  <c r="BK24" i="31" s="1"/>
  <c r="BK18" i="31"/>
  <c r="BK23" i="31"/>
  <c r="BJ19" i="31"/>
  <c r="BJ20" i="31"/>
  <c r="BJ28" i="31" s="1"/>
  <c r="BJ21" i="31"/>
  <c r="BL16" i="31"/>
  <c r="BL17" i="31" s="1"/>
  <c r="BK25" i="37"/>
  <c r="BL25" i="37"/>
  <c r="BK11" i="36"/>
  <c r="BN10" i="36"/>
  <c r="BM5" i="36"/>
  <c r="BM4" i="36"/>
  <c r="BL7" i="36"/>
  <c r="BL6" i="36"/>
  <c r="BN28" i="37"/>
  <c r="BN20" i="37" s="1"/>
  <c r="BM22" i="37"/>
  <c r="BM21" i="37"/>
  <c r="BM23" i="37" s="1"/>
  <c r="BP6" i="31"/>
  <c r="BO14" i="31"/>
  <c r="BO15" i="31" s="1"/>
  <c r="BO13" i="31"/>
  <c r="BQ27" i="31"/>
  <c r="BQ4" i="31" s="1"/>
  <c r="BP5" i="31"/>
  <c r="BL26" i="32" l="1"/>
  <c r="BM24" i="37"/>
  <c r="BM12" i="34"/>
  <c r="BM18" i="34" s="1"/>
  <c r="BM13" i="34"/>
  <c r="BM19" i="34" s="1"/>
  <c r="BM25" i="34" s="1"/>
  <c r="BM14" i="34"/>
  <c r="BM20" i="34" s="1"/>
  <c r="BM15" i="34"/>
  <c r="BM21" i="34" s="1"/>
  <c r="BO24" i="34"/>
  <c r="BN10" i="34"/>
  <c r="BN11" i="34"/>
  <c r="BM16" i="32"/>
  <c r="BM21" i="32" s="1"/>
  <c r="BM17" i="32"/>
  <c r="BM22" i="32" s="1"/>
  <c r="BM15" i="32"/>
  <c r="BM20" i="32" s="1"/>
  <c r="BN10" i="32"/>
  <c r="BO25" i="32"/>
  <c r="BN13" i="32"/>
  <c r="BN11" i="32"/>
  <c r="BN14" i="32" s="1"/>
  <c r="BP7" i="31"/>
  <c r="BP11" i="31" s="1"/>
  <c r="BK21" i="31"/>
  <c r="BK20" i="31"/>
  <c r="BK28" i="31" s="1"/>
  <c r="BK19" i="31"/>
  <c r="BL22" i="31"/>
  <c r="BL24" i="31" s="1"/>
  <c r="BL18" i="31"/>
  <c r="BL23" i="31"/>
  <c r="BM16" i="31"/>
  <c r="BM17" i="31" s="1"/>
  <c r="BL26" i="37"/>
  <c r="BL29" i="37" s="1"/>
  <c r="BM26" i="37"/>
  <c r="BM29" i="37" s="1"/>
  <c r="BL11" i="36"/>
  <c r="BM7" i="36"/>
  <c r="BM6" i="36"/>
  <c r="BO28" i="37"/>
  <c r="BO20" i="37" s="1"/>
  <c r="BN22" i="37"/>
  <c r="BN21" i="37"/>
  <c r="BN23" i="37" s="1"/>
  <c r="BO10" i="36"/>
  <c r="BN5" i="36"/>
  <c r="BN4" i="36"/>
  <c r="BQ6" i="31"/>
  <c r="BP14" i="31"/>
  <c r="BP15" i="31" s="1"/>
  <c r="BP13" i="31"/>
  <c r="BR27" i="31"/>
  <c r="BR4" i="31" s="1"/>
  <c r="BQ5" i="31"/>
  <c r="BM26" i="32" l="1"/>
  <c r="BN24" i="37"/>
  <c r="BN14" i="34"/>
  <c r="BN20" i="34" s="1"/>
  <c r="BN13" i="34"/>
  <c r="BN19" i="34" s="1"/>
  <c r="BN15" i="34"/>
  <c r="BN21" i="34" s="1"/>
  <c r="BN12" i="34"/>
  <c r="BN18" i="34" s="1"/>
  <c r="BN25" i="34" s="1"/>
  <c r="BP24" i="34"/>
  <c r="BO10" i="34"/>
  <c r="BO11" i="34"/>
  <c r="BN17" i="32"/>
  <c r="BN22" i="32" s="1"/>
  <c r="BN15" i="32"/>
  <c r="BN20" i="32" s="1"/>
  <c r="BN16" i="32"/>
  <c r="BN21" i="32" s="1"/>
  <c r="BO10" i="32"/>
  <c r="BO11" i="32"/>
  <c r="BO14" i="32" s="1"/>
  <c r="BP25" i="32"/>
  <c r="BO13" i="32"/>
  <c r="BQ7" i="31"/>
  <c r="BQ11" i="31" s="1"/>
  <c r="BL20" i="31"/>
  <c r="BL28" i="31" s="1"/>
  <c r="BL21" i="31"/>
  <c r="BL19" i="31"/>
  <c r="BM22" i="31"/>
  <c r="BM24" i="31" s="1"/>
  <c r="BM23" i="31"/>
  <c r="BM18" i="31"/>
  <c r="BN16" i="31"/>
  <c r="BN17" i="31" s="1"/>
  <c r="BM25" i="37"/>
  <c r="BN26" i="37"/>
  <c r="BN29" i="37" s="1"/>
  <c r="BM11" i="36"/>
  <c r="BO5" i="36"/>
  <c r="BP10" i="36"/>
  <c r="BO4" i="36"/>
  <c r="BP28" i="37"/>
  <c r="BP20" i="37" s="1"/>
  <c r="BO22" i="37"/>
  <c r="BO21" i="37"/>
  <c r="BO23" i="37" s="1"/>
  <c r="BN7" i="36"/>
  <c r="BN6" i="36"/>
  <c r="BR6" i="31"/>
  <c r="BQ13" i="31"/>
  <c r="BQ14" i="31"/>
  <c r="BQ15" i="31" s="1"/>
  <c r="BS27" i="31"/>
  <c r="BS4" i="31" s="1"/>
  <c r="BR5" i="31"/>
  <c r="BO24" i="37" l="1"/>
  <c r="BO12" i="34"/>
  <c r="BO18" i="34" s="1"/>
  <c r="BO15" i="34"/>
  <c r="BO21" i="34" s="1"/>
  <c r="BO14" i="34"/>
  <c r="BO20" i="34" s="1"/>
  <c r="BO13" i="34"/>
  <c r="BO19" i="34" s="1"/>
  <c r="BO25" i="34" s="1"/>
  <c r="BQ24" i="34"/>
  <c r="BP10" i="34"/>
  <c r="BP11" i="34"/>
  <c r="BO15" i="32"/>
  <c r="BO20" i="32" s="1"/>
  <c r="BO16" i="32"/>
  <c r="BO21" i="32" s="1"/>
  <c r="BO17" i="32"/>
  <c r="BO22" i="32" s="1"/>
  <c r="BP10" i="32"/>
  <c r="BQ25" i="32"/>
  <c r="BP13" i="32"/>
  <c r="BP11" i="32"/>
  <c r="BP14" i="32" s="1"/>
  <c r="BN26" i="32"/>
  <c r="BR7" i="31"/>
  <c r="BR11" i="31" s="1"/>
  <c r="BM20" i="31"/>
  <c r="BM28" i="31" s="1"/>
  <c r="BM21" i="31"/>
  <c r="BM19" i="31"/>
  <c r="BN22" i="31"/>
  <c r="BN24" i="31" s="1"/>
  <c r="BN18" i="31"/>
  <c r="BO16" i="31"/>
  <c r="BO17" i="31" s="1"/>
  <c r="BO23" i="31" s="1"/>
  <c r="BN23" i="31"/>
  <c r="BN25" i="37"/>
  <c r="BO6" i="36"/>
  <c r="BN11" i="36"/>
  <c r="BQ28" i="37"/>
  <c r="BQ20" i="37" s="1"/>
  <c r="BP22" i="37"/>
  <c r="BP21" i="37"/>
  <c r="BP23" i="37" s="1"/>
  <c r="BP5" i="36"/>
  <c r="BQ10" i="36"/>
  <c r="BP4" i="36"/>
  <c r="BO7" i="36"/>
  <c r="BS6" i="31"/>
  <c r="BR13" i="31"/>
  <c r="BR14" i="31"/>
  <c r="BR15" i="31" s="1"/>
  <c r="BS5" i="31"/>
  <c r="BT27" i="31"/>
  <c r="BT4" i="31" s="1"/>
  <c r="BP24" i="37" l="1"/>
  <c r="BP15" i="34"/>
  <c r="BP21" i="34" s="1"/>
  <c r="BP13" i="34"/>
  <c r="BP19" i="34" s="1"/>
  <c r="BP12" i="34"/>
  <c r="BP18" i="34" s="1"/>
  <c r="BP14" i="34"/>
  <c r="BP20" i="34" s="1"/>
  <c r="BR24" i="34"/>
  <c r="BQ10" i="34"/>
  <c r="BQ11" i="34"/>
  <c r="BQ10" i="32"/>
  <c r="BQ13" i="32"/>
  <c r="BQ11" i="32"/>
  <c r="BQ14" i="32" s="1"/>
  <c r="BR25" i="32"/>
  <c r="BP16" i="32"/>
  <c r="BP21" i="32" s="1"/>
  <c r="BP17" i="32"/>
  <c r="BP22" i="32" s="1"/>
  <c r="BP15" i="32"/>
  <c r="BP20" i="32" s="1"/>
  <c r="BO26" i="32"/>
  <c r="BS11" i="31"/>
  <c r="BS7" i="31"/>
  <c r="BN20" i="31"/>
  <c r="BN28" i="31" s="1"/>
  <c r="BN19" i="31"/>
  <c r="BN21" i="31"/>
  <c r="BO22" i="31"/>
  <c r="BO24" i="31" s="1"/>
  <c r="BO18" i="31"/>
  <c r="BP16" i="31"/>
  <c r="BP17" i="31" s="1"/>
  <c r="BP26" i="37"/>
  <c r="BP29" i="37" s="1"/>
  <c r="BO11" i="36"/>
  <c r="BP7" i="36"/>
  <c r="BQ5" i="36"/>
  <c r="BR10" i="36"/>
  <c r="BQ4" i="36"/>
  <c r="BP6" i="36"/>
  <c r="BR28" i="37"/>
  <c r="BR20" i="37" s="1"/>
  <c r="BQ22" i="37"/>
  <c r="BQ24" i="37" s="1"/>
  <c r="BQ21" i="37"/>
  <c r="BQ23" i="37" s="1"/>
  <c r="BO26" i="37"/>
  <c r="BO29" i="37" s="1"/>
  <c r="BO25" i="37"/>
  <c r="BT6" i="31"/>
  <c r="BS14" i="31"/>
  <c r="BS15" i="31" s="1"/>
  <c r="BS13" i="31"/>
  <c r="BU27" i="31"/>
  <c r="BU4" i="31" s="1"/>
  <c r="BT5" i="31"/>
  <c r="BQ13" i="34" l="1"/>
  <c r="BQ19" i="34" s="1"/>
  <c r="BQ15" i="34"/>
  <c r="BQ21" i="34" s="1"/>
  <c r="BQ12" i="34"/>
  <c r="BQ18" i="34" s="1"/>
  <c r="BQ25" i="34" s="1"/>
  <c r="BQ14" i="34"/>
  <c r="BQ20" i="34" s="1"/>
  <c r="BS24" i="34"/>
  <c r="BR10" i="34"/>
  <c r="BR11" i="34"/>
  <c r="BP25" i="34"/>
  <c r="BR10" i="32"/>
  <c r="BR11" i="32"/>
  <c r="BR14" i="32" s="1"/>
  <c r="BS25" i="32"/>
  <c r="BR13" i="32"/>
  <c r="BP26" i="32"/>
  <c r="BQ16" i="32"/>
  <c r="BQ21" i="32" s="1"/>
  <c r="BQ17" i="32"/>
  <c r="BQ22" i="32" s="1"/>
  <c r="BQ15" i="32"/>
  <c r="BQ20" i="32" s="1"/>
  <c r="BT11" i="31"/>
  <c r="BT7" i="31"/>
  <c r="BQ16" i="31"/>
  <c r="BQ17" i="31" s="1"/>
  <c r="BO20" i="31"/>
  <c r="BO28" i="31" s="1"/>
  <c r="BO19" i="31"/>
  <c r="BO21" i="31"/>
  <c r="BP22" i="31"/>
  <c r="BP24" i="31" s="1"/>
  <c r="BP23" i="31"/>
  <c r="BP18" i="31"/>
  <c r="BP25" i="37"/>
  <c r="BP11" i="36"/>
  <c r="BQ25" i="37"/>
  <c r="BS28" i="37"/>
  <c r="BS20" i="37" s="1"/>
  <c r="BR22" i="37"/>
  <c r="BR21" i="37"/>
  <c r="BR23" i="37" s="1"/>
  <c r="BR5" i="36"/>
  <c r="BS10" i="36"/>
  <c r="BR4" i="36"/>
  <c r="BQ7" i="36"/>
  <c r="BQ6" i="36"/>
  <c r="BU6" i="31"/>
  <c r="BT13" i="31"/>
  <c r="BT14" i="31"/>
  <c r="BT15" i="31" s="1"/>
  <c r="BV27" i="31"/>
  <c r="BV4" i="31" s="1"/>
  <c r="BU5" i="31"/>
  <c r="BR24" i="37" l="1"/>
  <c r="BT24" i="34"/>
  <c r="BS10" i="34"/>
  <c r="BS11" i="34"/>
  <c r="BR15" i="34"/>
  <c r="BR21" i="34" s="1"/>
  <c r="BR14" i="34"/>
  <c r="BR20" i="34" s="1"/>
  <c r="BR12" i="34"/>
  <c r="BR18" i="34" s="1"/>
  <c r="BR25" i="34" s="1"/>
  <c r="BR13" i="34"/>
  <c r="BR19" i="34" s="1"/>
  <c r="BQ26" i="32"/>
  <c r="BR16" i="32"/>
  <c r="BR21" i="32" s="1"/>
  <c r="BR17" i="32"/>
  <c r="BR22" i="32" s="1"/>
  <c r="BR15" i="32"/>
  <c r="BR20" i="32" s="1"/>
  <c r="BS10" i="32"/>
  <c r="BS13" i="32"/>
  <c r="BT25" i="32"/>
  <c r="BS11" i="32"/>
  <c r="BS14" i="32" s="1"/>
  <c r="BU11" i="31"/>
  <c r="BU7" i="31"/>
  <c r="BP21" i="31"/>
  <c r="BP19" i="31"/>
  <c r="BP20" i="31"/>
  <c r="BP28" i="31" s="1"/>
  <c r="BQ22" i="31"/>
  <c r="BQ24" i="31" s="1"/>
  <c r="BQ23" i="31"/>
  <c r="BQ18" i="31"/>
  <c r="BR16" i="31"/>
  <c r="BR17" i="31" s="1"/>
  <c r="BQ26" i="37"/>
  <c r="BQ29" i="37" s="1"/>
  <c r="BR25" i="37"/>
  <c r="BQ11" i="36"/>
  <c r="BS5" i="36"/>
  <c r="BT10" i="36"/>
  <c r="BS4" i="36"/>
  <c r="BR7" i="36"/>
  <c r="BR6" i="36"/>
  <c r="BT28" i="37"/>
  <c r="BT20" i="37" s="1"/>
  <c r="BS22" i="37"/>
  <c r="BS21" i="37"/>
  <c r="BS23" i="37" s="1"/>
  <c r="BV6" i="31"/>
  <c r="BU13" i="31"/>
  <c r="BU14" i="31"/>
  <c r="BU15" i="31" s="1"/>
  <c r="BW27" i="31"/>
  <c r="BW4" i="31" s="1"/>
  <c r="BV5" i="31"/>
  <c r="BS24" i="37" l="1"/>
  <c r="BS13" i="34"/>
  <c r="BS19" i="34" s="1"/>
  <c r="BS12" i="34"/>
  <c r="BS18" i="34" s="1"/>
  <c r="BS14" i="34"/>
  <c r="BS20" i="34" s="1"/>
  <c r="BS15" i="34"/>
  <c r="BS21" i="34" s="1"/>
  <c r="BS25" i="34" s="1"/>
  <c r="BU24" i="34"/>
  <c r="BT10" i="34"/>
  <c r="BT11" i="34"/>
  <c r="BT10" i="32"/>
  <c r="BT11" i="32"/>
  <c r="BT14" i="32" s="1"/>
  <c r="BU25" i="32"/>
  <c r="BT13" i="32"/>
  <c r="BS16" i="32"/>
  <c r="BS21" i="32" s="1"/>
  <c r="BS17" i="32"/>
  <c r="BS22" i="32" s="1"/>
  <c r="BS15" i="32"/>
  <c r="BS20" i="32" s="1"/>
  <c r="BR26" i="32"/>
  <c r="BV11" i="31"/>
  <c r="BV7" i="31"/>
  <c r="BQ21" i="31"/>
  <c r="BQ19" i="31"/>
  <c r="BQ20" i="31"/>
  <c r="BQ28" i="31" s="1"/>
  <c r="BR22" i="31"/>
  <c r="BR24" i="31" s="1"/>
  <c r="BR23" i="31"/>
  <c r="BR18" i="31"/>
  <c r="BS16" i="31"/>
  <c r="BS17" i="31" s="1"/>
  <c r="BS25" i="37"/>
  <c r="BR26" i="37"/>
  <c r="BR29" i="37" s="1"/>
  <c r="BR11" i="36"/>
  <c r="BU28" i="37"/>
  <c r="BU20" i="37" s="1"/>
  <c r="BT22" i="37"/>
  <c r="BT21" i="37"/>
  <c r="BT23" i="37" s="1"/>
  <c r="BT5" i="36"/>
  <c r="BU10" i="36"/>
  <c r="BT4" i="36"/>
  <c r="BS7" i="36"/>
  <c r="BS6" i="36"/>
  <c r="BW6" i="31"/>
  <c r="BV13" i="31"/>
  <c r="BV14" i="31"/>
  <c r="BV15" i="31" s="1"/>
  <c r="BX27" i="31"/>
  <c r="BX4" i="31" s="1"/>
  <c r="BW5" i="31"/>
  <c r="BT24" i="37" l="1"/>
  <c r="BT14" i="34"/>
  <c r="BT20" i="34" s="1"/>
  <c r="BT12" i="34"/>
  <c r="BT18" i="34" s="1"/>
  <c r="BT25" i="34" s="1"/>
  <c r="BT13" i="34"/>
  <c r="BT19" i="34" s="1"/>
  <c r="BT15" i="34"/>
  <c r="BT21" i="34" s="1"/>
  <c r="BV24" i="34"/>
  <c r="BU10" i="34"/>
  <c r="BU11" i="34"/>
  <c r="BT16" i="32"/>
  <c r="BT21" i="32" s="1"/>
  <c r="BT17" i="32"/>
  <c r="BT22" i="32" s="1"/>
  <c r="BT15" i="32"/>
  <c r="BT20" i="32" s="1"/>
  <c r="BU10" i="32"/>
  <c r="BU11" i="32"/>
  <c r="BU14" i="32" s="1"/>
  <c r="BV25" i="32"/>
  <c r="BU13" i="32"/>
  <c r="BS26" i="32"/>
  <c r="BW7" i="31"/>
  <c r="BW11" i="31" s="1"/>
  <c r="BR21" i="31"/>
  <c r="BR19" i="31"/>
  <c r="BR20" i="31"/>
  <c r="BR28" i="31" s="1"/>
  <c r="BS22" i="31"/>
  <c r="BS24" i="31" s="1"/>
  <c r="BS23" i="31"/>
  <c r="BS18" i="31"/>
  <c r="BT16" i="31"/>
  <c r="BT17" i="31" s="1"/>
  <c r="BS11" i="36"/>
  <c r="BT26" i="37"/>
  <c r="BT29" i="37" s="1"/>
  <c r="BS26" i="37"/>
  <c r="BS29" i="37" s="1"/>
  <c r="BU5" i="36"/>
  <c r="BV10" i="36"/>
  <c r="BU4" i="36"/>
  <c r="BT7" i="36"/>
  <c r="BT6" i="36"/>
  <c r="BV28" i="37"/>
  <c r="BV20" i="37" s="1"/>
  <c r="BU22" i="37"/>
  <c r="BU21" i="37"/>
  <c r="BU23" i="37" s="1"/>
  <c r="BX6" i="31"/>
  <c r="BW13" i="31"/>
  <c r="BW14" i="31"/>
  <c r="BW15" i="31" s="1"/>
  <c r="BY27" i="31"/>
  <c r="BY4" i="31" s="1"/>
  <c r="BX5" i="31"/>
  <c r="BU24" i="37" l="1"/>
  <c r="BU15" i="34"/>
  <c r="BU21" i="34" s="1"/>
  <c r="BU12" i="34"/>
  <c r="BU18" i="34" s="1"/>
  <c r="BU14" i="34"/>
  <c r="BU20" i="34" s="1"/>
  <c r="BU13" i="34"/>
  <c r="BU19" i="34" s="1"/>
  <c r="BW24" i="34"/>
  <c r="BV10" i="34"/>
  <c r="BV11" i="34"/>
  <c r="BV10" i="32"/>
  <c r="BV11" i="32"/>
  <c r="BV14" i="32" s="1"/>
  <c r="BW25" i="32"/>
  <c r="BV13" i="32"/>
  <c r="BT26" i="32"/>
  <c r="BU16" i="32"/>
  <c r="BU21" i="32" s="1"/>
  <c r="BU17" i="32"/>
  <c r="BU22" i="32" s="1"/>
  <c r="BU15" i="32"/>
  <c r="BU20" i="32" s="1"/>
  <c r="BX11" i="31"/>
  <c r="BX7" i="31"/>
  <c r="BS20" i="31"/>
  <c r="BS28" i="31" s="1"/>
  <c r="BS21" i="31"/>
  <c r="BS19" i="31"/>
  <c r="BT22" i="31"/>
  <c r="BT24" i="31" s="1"/>
  <c r="BT23" i="31"/>
  <c r="BT18" i="31"/>
  <c r="BU16" i="31"/>
  <c r="BU17" i="31" s="1"/>
  <c r="BT25" i="37"/>
  <c r="BU25" i="37"/>
  <c r="BT11" i="36"/>
  <c r="BW28" i="37"/>
  <c r="BW20" i="37" s="1"/>
  <c r="BV22" i="37"/>
  <c r="BV21" i="37"/>
  <c r="BV23" i="37" s="1"/>
  <c r="BV5" i="36"/>
  <c r="BW10" i="36"/>
  <c r="BV4" i="36"/>
  <c r="BU7" i="36"/>
  <c r="BU6" i="36"/>
  <c r="BY6" i="31"/>
  <c r="BX13" i="31"/>
  <c r="BX14" i="31"/>
  <c r="BX15" i="31" s="1"/>
  <c r="BZ27" i="31"/>
  <c r="BZ4" i="31" s="1"/>
  <c r="BY5" i="31"/>
  <c r="BV24" i="37" l="1"/>
  <c r="BX24" i="34"/>
  <c r="BW10" i="34"/>
  <c r="BW11" i="34"/>
  <c r="BV13" i="34"/>
  <c r="BV19" i="34" s="1"/>
  <c r="BV12" i="34"/>
  <c r="BV18" i="34" s="1"/>
  <c r="BV14" i="34"/>
  <c r="BV20" i="34" s="1"/>
  <c r="BV15" i="34"/>
  <c r="BV21" i="34" s="1"/>
  <c r="BU25" i="34"/>
  <c r="BU26" i="32"/>
  <c r="BV17" i="32"/>
  <c r="BV22" i="32" s="1"/>
  <c r="BV15" i="32"/>
  <c r="BV20" i="32" s="1"/>
  <c r="BV16" i="32"/>
  <c r="BV21" i="32" s="1"/>
  <c r="BW10" i="32"/>
  <c r="BW11" i="32"/>
  <c r="BW14" i="32" s="1"/>
  <c r="BW13" i="32"/>
  <c r="BX25" i="32"/>
  <c r="BY7" i="31"/>
  <c r="BY11" i="31" s="1"/>
  <c r="BT19" i="31"/>
  <c r="BT21" i="31"/>
  <c r="BT20" i="31"/>
  <c r="BT28" i="31" s="1"/>
  <c r="BU22" i="31"/>
  <c r="BU24" i="31" s="1"/>
  <c r="BU23" i="31"/>
  <c r="BU18" i="31"/>
  <c r="BV16" i="31"/>
  <c r="BV17" i="31" s="1"/>
  <c r="BU26" i="37"/>
  <c r="BU29" i="37" s="1"/>
  <c r="BU11" i="36"/>
  <c r="BV26" i="37"/>
  <c r="BV29" i="37" s="1"/>
  <c r="BW5" i="36"/>
  <c r="BX10" i="36"/>
  <c r="BW4" i="36"/>
  <c r="BV7" i="36"/>
  <c r="BV6" i="36"/>
  <c r="BX28" i="37"/>
  <c r="BX20" i="37" s="1"/>
  <c r="BW22" i="37"/>
  <c r="BW24" i="37" s="1"/>
  <c r="BW21" i="37"/>
  <c r="BW23" i="37" s="1"/>
  <c r="BZ6" i="31"/>
  <c r="BY13" i="31"/>
  <c r="BY14" i="31"/>
  <c r="BY15" i="31" s="1"/>
  <c r="CA27" i="31"/>
  <c r="CA4" i="31" s="1"/>
  <c r="BZ5" i="31"/>
  <c r="BV25" i="34" l="1"/>
  <c r="BW15" i="34"/>
  <c r="BW21" i="34" s="1"/>
  <c r="BW13" i="34"/>
  <c r="BW19" i="34" s="1"/>
  <c r="BW14" i="34"/>
  <c r="BW20" i="34" s="1"/>
  <c r="BW12" i="34"/>
  <c r="BW18" i="34" s="1"/>
  <c r="BY24" i="34"/>
  <c r="BX10" i="34"/>
  <c r="BX11" i="34"/>
  <c r="BX10" i="32"/>
  <c r="BX11" i="32"/>
  <c r="BX14" i="32" s="1"/>
  <c r="BX13" i="32"/>
  <c r="BY25" i="32"/>
  <c r="BV26" i="32"/>
  <c r="BW15" i="32"/>
  <c r="BW20" i="32" s="1"/>
  <c r="BW17" i="32"/>
  <c r="BW22" i="32" s="1"/>
  <c r="BW16" i="32"/>
  <c r="BW21" i="32" s="1"/>
  <c r="BZ7" i="31"/>
  <c r="BZ11" i="31" s="1"/>
  <c r="BU20" i="31"/>
  <c r="BU28" i="31" s="1"/>
  <c r="BU21" i="31"/>
  <c r="BU19" i="31"/>
  <c r="BV22" i="31"/>
  <c r="BV24" i="31" s="1"/>
  <c r="BV23" i="31"/>
  <c r="BV18" i="31"/>
  <c r="BW16" i="31"/>
  <c r="BW17" i="31" s="1"/>
  <c r="BW25" i="37"/>
  <c r="BV25" i="37"/>
  <c r="BV11" i="36"/>
  <c r="BY28" i="37"/>
  <c r="BY20" i="37" s="1"/>
  <c r="BX22" i="37"/>
  <c r="BX21" i="37"/>
  <c r="BX23" i="37" s="1"/>
  <c r="BX5" i="36"/>
  <c r="BY10" i="36"/>
  <c r="BX4" i="36"/>
  <c r="BW7" i="36"/>
  <c r="BW6" i="36"/>
  <c r="CA6" i="31"/>
  <c r="BZ13" i="31"/>
  <c r="BZ14" i="31"/>
  <c r="BZ15" i="31" s="1"/>
  <c r="CA5" i="31"/>
  <c r="CB27" i="31"/>
  <c r="CB4" i="31" s="1"/>
  <c r="BX24" i="37" l="1"/>
  <c r="BZ24" i="34"/>
  <c r="BY10" i="34"/>
  <c r="BY11" i="34"/>
  <c r="BX13" i="34"/>
  <c r="BX19" i="34" s="1"/>
  <c r="BX15" i="34"/>
  <c r="BX21" i="34" s="1"/>
  <c r="BX12" i="34"/>
  <c r="BX18" i="34" s="1"/>
  <c r="BX25" i="34" s="1"/>
  <c r="BX14" i="34"/>
  <c r="BX20" i="34" s="1"/>
  <c r="BW25" i="34"/>
  <c r="BW26" i="32"/>
  <c r="BY10" i="32"/>
  <c r="BY13" i="32"/>
  <c r="BY11" i="32"/>
  <c r="BY14" i="32" s="1"/>
  <c r="BZ25" i="32"/>
  <c r="BX17" i="32"/>
  <c r="BX22" i="32" s="1"/>
  <c r="BX16" i="32"/>
  <c r="BX21" i="32" s="1"/>
  <c r="BX15" i="32"/>
  <c r="BX20" i="32" s="1"/>
  <c r="CA7" i="31"/>
  <c r="CA11" i="31" s="1"/>
  <c r="BV20" i="31"/>
  <c r="BV28" i="31" s="1"/>
  <c r="BV21" i="31"/>
  <c r="BV19" i="31"/>
  <c r="BW22" i="31"/>
  <c r="BW24" i="31" s="1"/>
  <c r="BW23" i="31"/>
  <c r="BW18" i="31"/>
  <c r="BX16" i="31"/>
  <c r="BX17" i="31" s="1"/>
  <c r="BW26" i="37"/>
  <c r="BW29" i="37" s="1"/>
  <c r="BX25" i="37"/>
  <c r="BW11" i="36"/>
  <c r="BY5" i="36"/>
  <c r="BZ10" i="36"/>
  <c r="BY4" i="36"/>
  <c r="BX7" i="36"/>
  <c r="BX6" i="36"/>
  <c r="BZ28" i="37"/>
  <c r="BZ20" i="37" s="1"/>
  <c r="BY22" i="37"/>
  <c r="BY21" i="37"/>
  <c r="BY23" i="37" s="1"/>
  <c r="CB6" i="31"/>
  <c r="CA13" i="31"/>
  <c r="CA14" i="31"/>
  <c r="CA15" i="31" s="1"/>
  <c r="CC27" i="31"/>
  <c r="CC4" i="31" s="1"/>
  <c r="CB5" i="31"/>
  <c r="BY24" i="37" l="1"/>
  <c r="BY15" i="34"/>
  <c r="BY21" i="34" s="1"/>
  <c r="BY12" i="34"/>
  <c r="BY18" i="34" s="1"/>
  <c r="BY14" i="34"/>
  <c r="BY20" i="34" s="1"/>
  <c r="BY13" i="34"/>
  <c r="BY19" i="34" s="1"/>
  <c r="CA24" i="34"/>
  <c r="BZ10" i="34"/>
  <c r="BZ11" i="34"/>
  <c r="BX26" i="32"/>
  <c r="BY16" i="32"/>
  <c r="BY21" i="32" s="1"/>
  <c r="BY17" i="32"/>
  <c r="BY22" i="32" s="1"/>
  <c r="BY15" i="32"/>
  <c r="BY20" i="32" s="1"/>
  <c r="BZ10" i="32"/>
  <c r="BZ11" i="32"/>
  <c r="BZ14" i="32" s="1"/>
  <c r="CA25" i="32"/>
  <c r="BZ13" i="32"/>
  <c r="CB11" i="31"/>
  <c r="CB7" i="31"/>
  <c r="BW20" i="31"/>
  <c r="BW28" i="31" s="1"/>
  <c r="BW19" i="31"/>
  <c r="BW21" i="31"/>
  <c r="BX22" i="31"/>
  <c r="BX24" i="31" s="1"/>
  <c r="BX23" i="31"/>
  <c r="BX18" i="31"/>
  <c r="BY16" i="31"/>
  <c r="BY17" i="31" s="1"/>
  <c r="BX26" i="37"/>
  <c r="BX29" i="37" s="1"/>
  <c r="BY25" i="37"/>
  <c r="BX11" i="36"/>
  <c r="CA28" i="37"/>
  <c r="CA20" i="37" s="1"/>
  <c r="BZ22" i="37"/>
  <c r="BZ21" i="37"/>
  <c r="BZ23" i="37" s="1"/>
  <c r="BZ5" i="36"/>
  <c r="CA10" i="36"/>
  <c r="BZ4" i="36"/>
  <c r="BY7" i="36"/>
  <c r="BY6" i="36"/>
  <c r="CC6" i="31"/>
  <c r="CB13" i="31"/>
  <c r="CB14" i="31"/>
  <c r="CB15" i="31" s="1"/>
  <c r="CC5" i="31"/>
  <c r="CD27" i="31"/>
  <c r="CD4" i="31" s="1"/>
  <c r="BY26" i="32" l="1"/>
  <c r="BZ24" i="37"/>
  <c r="CB24" i="34"/>
  <c r="CA10" i="34"/>
  <c r="CA11" i="34"/>
  <c r="BY25" i="34"/>
  <c r="BZ13" i="34"/>
  <c r="BZ19" i="34" s="1"/>
  <c r="BZ12" i="34"/>
  <c r="BZ18" i="34" s="1"/>
  <c r="BZ15" i="34"/>
  <c r="BZ21" i="34" s="1"/>
  <c r="BZ14" i="34"/>
  <c r="BZ20" i="34" s="1"/>
  <c r="BZ16" i="32"/>
  <c r="BZ21" i="32" s="1"/>
  <c r="BZ17" i="32"/>
  <c r="BZ22" i="32" s="1"/>
  <c r="BZ15" i="32"/>
  <c r="BZ20" i="32" s="1"/>
  <c r="CA10" i="32"/>
  <c r="CB25" i="32"/>
  <c r="CA13" i="32"/>
  <c r="CA11" i="32"/>
  <c r="CA14" i="32" s="1"/>
  <c r="CC7" i="31"/>
  <c r="CC11" i="31" s="1"/>
  <c r="BX20" i="31"/>
  <c r="BX28" i="31" s="1"/>
  <c r="BX21" i="31"/>
  <c r="BX19" i="31"/>
  <c r="BY22" i="31"/>
  <c r="BY24" i="31" s="1"/>
  <c r="BY23" i="31"/>
  <c r="BY18" i="31"/>
  <c r="BZ16" i="31"/>
  <c r="BZ17" i="31" s="1"/>
  <c r="BY26" i="37"/>
  <c r="BY29" i="37" s="1"/>
  <c r="BY11" i="36"/>
  <c r="BZ26" i="37"/>
  <c r="BZ29" i="37" s="1"/>
  <c r="CA5" i="36"/>
  <c r="CB10" i="36"/>
  <c r="CA4" i="36"/>
  <c r="BZ7" i="36"/>
  <c r="BZ6" i="36"/>
  <c r="CB28" i="37"/>
  <c r="CB20" i="37" s="1"/>
  <c r="CA22" i="37"/>
  <c r="CA21" i="37"/>
  <c r="CA23" i="37" s="1"/>
  <c r="CD6" i="31"/>
  <c r="CC13" i="31"/>
  <c r="CC14" i="31"/>
  <c r="CC15" i="31" s="1"/>
  <c r="CE27" i="31"/>
  <c r="CE4" i="31" s="1"/>
  <c r="CD5" i="31"/>
  <c r="CA24" i="37" l="1"/>
  <c r="BZ25" i="34"/>
  <c r="CA15" i="34"/>
  <c r="CA21" i="34" s="1"/>
  <c r="CA13" i="34"/>
  <c r="CA19" i="34" s="1"/>
  <c r="CA12" i="34"/>
  <c r="CA18" i="34" s="1"/>
  <c r="CA25" i="34" s="1"/>
  <c r="CA14" i="34"/>
  <c r="CA20" i="34" s="1"/>
  <c r="CC24" i="34"/>
  <c r="CB10" i="34"/>
  <c r="CB11" i="34"/>
  <c r="CA16" i="32"/>
  <c r="CA21" i="32" s="1"/>
  <c r="CA17" i="32"/>
  <c r="CA22" i="32" s="1"/>
  <c r="CA15" i="32"/>
  <c r="CA20" i="32" s="1"/>
  <c r="CB10" i="32"/>
  <c r="CB13" i="32"/>
  <c r="CC25" i="32"/>
  <c r="CB11" i="32"/>
  <c r="CB14" i="32" s="1"/>
  <c r="BZ26" i="32"/>
  <c r="CD11" i="31"/>
  <c r="CD7" i="31"/>
  <c r="BY21" i="31"/>
  <c r="BY20" i="31"/>
  <c r="BY28" i="31" s="1"/>
  <c r="BY19" i="31"/>
  <c r="BZ22" i="31"/>
  <c r="BZ24" i="31" s="1"/>
  <c r="BZ23" i="31"/>
  <c r="BZ18" i="31"/>
  <c r="CA16" i="31"/>
  <c r="CA17" i="31" s="1"/>
  <c r="BZ11" i="36"/>
  <c r="CA25" i="37"/>
  <c r="BZ25" i="37"/>
  <c r="CC28" i="37"/>
  <c r="CC20" i="37" s="1"/>
  <c r="CB22" i="37"/>
  <c r="CB21" i="37"/>
  <c r="CB23" i="37" s="1"/>
  <c r="CB5" i="36"/>
  <c r="CC10" i="36"/>
  <c r="CB4" i="36"/>
  <c r="CA7" i="36"/>
  <c r="CA6" i="36"/>
  <c r="CE6" i="31"/>
  <c r="CD13" i="31"/>
  <c r="CD14" i="31"/>
  <c r="CD15" i="31" s="1"/>
  <c r="CF27" i="31"/>
  <c r="CF4" i="31" s="1"/>
  <c r="CE5" i="31"/>
  <c r="CA26" i="32" l="1"/>
  <c r="CB24" i="37"/>
  <c r="CB15" i="34"/>
  <c r="CB21" i="34" s="1"/>
  <c r="CB13" i="34"/>
  <c r="CB19" i="34" s="1"/>
  <c r="CB14" i="34"/>
  <c r="CB20" i="34" s="1"/>
  <c r="CB12" i="34"/>
  <c r="CB18" i="34" s="1"/>
  <c r="CB25" i="34" s="1"/>
  <c r="CD24" i="34"/>
  <c r="CC10" i="34"/>
  <c r="CC11" i="34"/>
  <c r="CC10" i="32"/>
  <c r="CC13" i="32"/>
  <c r="CC11" i="32"/>
  <c r="CC14" i="32" s="1"/>
  <c r="CD25" i="32"/>
  <c r="CB16" i="32"/>
  <c r="CB21" i="32" s="1"/>
  <c r="CB17" i="32"/>
  <c r="CB22" i="32" s="1"/>
  <c r="CB15" i="32"/>
  <c r="CB20" i="32" s="1"/>
  <c r="CE11" i="31"/>
  <c r="CE7" i="31"/>
  <c r="BZ21" i="31"/>
  <c r="BZ19" i="31"/>
  <c r="BZ20" i="31"/>
  <c r="BZ28" i="31" s="1"/>
  <c r="CA22" i="31"/>
  <c r="CA24" i="31" s="1"/>
  <c r="CA23" i="31"/>
  <c r="CA18" i="31"/>
  <c r="CB16" i="31"/>
  <c r="CB17" i="31" s="1"/>
  <c r="CA26" i="37"/>
  <c r="CA29" i="37" s="1"/>
  <c r="CB26" i="37"/>
  <c r="CB29" i="37" s="1"/>
  <c r="CA11" i="36"/>
  <c r="CC5" i="36"/>
  <c r="CD10" i="36"/>
  <c r="CC4" i="36"/>
  <c r="CB7" i="36"/>
  <c r="CB6" i="36"/>
  <c r="CD28" i="37"/>
  <c r="CD20" i="37" s="1"/>
  <c r="CC22" i="37"/>
  <c r="CC21" i="37"/>
  <c r="CC23" i="37" s="1"/>
  <c r="CF6" i="31"/>
  <c r="CE14" i="31"/>
  <c r="CE15" i="31" s="1"/>
  <c r="CE13" i="31"/>
  <c r="CG27" i="31"/>
  <c r="CG4" i="31" s="1"/>
  <c r="CF5" i="31"/>
  <c r="CC24" i="37" l="1"/>
  <c r="CE24" i="34"/>
  <c r="CD10" i="34"/>
  <c r="CD11" i="34"/>
  <c r="CC13" i="34"/>
  <c r="CC19" i="34" s="1"/>
  <c r="CC14" i="34"/>
  <c r="CC20" i="34" s="1"/>
  <c r="CC12" i="34"/>
  <c r="CC18" i="34" s="1"/>
  <c r="CC15" i="34"/>
  <c r="CC21" i="34" s="1"/>
  <c r="CD10" i="32"/>
  <c r="CE25" i="32"/>
  <c r="CD13" i="32"/>
  <c r="CD11" i="32"/>
  <c r="CD14" i="32" s="1"/>
  <c r="CB26" i="32"/>
  <c r="CC16" i="32"/>
  <c r="CC21" i="32" s="1"/>
  <c r="CC17" i="32"/>
  <c r="CC22" i="32" s="1"/>
  <c r="CC15" i="32"/>
  <c r="CC20" i="32" s="1"/>
  <c r="CF11" i="31"/>
  <c r="CF7" i="31"/>
  <c r="CA20" i="31"/>
  <c r="CA28" i="31" s="1"/>
  <c r="CA21" i="31"/>
  <c r="CA19" i="31"/>
  <c r="CB22" i="31"/>
  <c r="CB24" i="31" s="1"/>
  <c r="CB18" i="31"/>
  <c r="CC16" i="31"/>
  <c r="CC17" i="31" s="1"/>
  <c r="CC23" i="31" s="1"/>
  <c r="CB23" i="31"/>
  <c r="CC26" i="37"/>
  <c r="CC29" i="37" s="1"/>
  <c r="CB25" i="37"/>
  <c r="CB11" i="36"/>
  <c r="CE28" i="37"/>
  <c r="CE20" i="37" s="1"/>
  <c r="CD22" i="37"/>
  <c r="CD21" i="37"/>
  <c r="CD23" i="37" s="1"/>
  <c r="CE10" i="36"/>
  <c r="CD5" i="36"/>
  <c r="CD4" i="36"/>
  <c r="CC7" i="36"/>
  <c r="CC6" i="36"/>
  <c r="CG6" i="31"/>
  <c r="CF13" i="31"/>
  <c r="CF14" i="31"/>
  <c r="CF15" i="31" s="1"/>
  <c r="CH27" i="31"/>
  <c r="CH4" i="31" s="1"/>
  <c r="CG5" i="31"/>
  <c r="CD24" i="37" l="1"/>
  <c r="CD15" i="34"/>
  <c r="CD21" i="34" s="1"/>
  <c r="CD13" i="34"/>
  <c r="CD19" i="34" s="1"/>
  <c r="CD12" i="34"/>
  <c r="CD18" i="34" s="1"/>
  <c r="CD14" i="34"/>
  <c r="CD20" i="34" s="1"/>
  <c r="CC25" i="34"/>
  <c r="CF24" i="34"/>
  <c r="CE10" i="34"/>
  <c r="CE11" i="34"/>
  <c r="CC26" i="32"/>
  <c r="CD17" i="32"/>
  <c r="CD22" i="32" s="1"/>
  <c r="CD15" i="32"/>
  <c r="CD20" i="32" s="1"/>
  <c r="CD16" i="32"/>
  <c r="CD21" i="32" s="1"/>
  <c r="CE10" i="32"/>
  <c r="CE13" i="32"/>
  <c r="CF25" i="32"/>
  <c r="CE11" i="32"/>
  <c r="CE14" i="32" s="1"/>
  <c r="CG11" i="31"/>
  <c r="CG7" i="31"/>
  <c r="CC22" i="31"/>
  <c r="CC24" i="31" s="1"/>
  <c r="CC18" i="31"/>
  <c r="CB21" i="31"/>
  <c r="CB20" i="31"/>
  <c r="CB28" i="31" s="1"/>
  <c r="CB19" i="31"/>
  <c r="CD16" i="31"/>
  <c r="CD17" i="31" s="1"/>
  <c r="CC25" i="37"/>
  <c r="CC11" i="36"/>
  <c r="CD25" i="37"/>
  <c r="CD6" i="36"/>
  <c r="CD7" i="36"/>
  <c r="CF10" i="36"/>
  <c r="CE5" i="36"/>
  <c r="CE4" i="36"/>
  <c r="CF28" i="37"/>
  <c r="CF20" i="37" s="1"/>
  <c r="CE22" i="37"/>
  <c r="CE21" i="37"/>
  <c r="CE23" i="37" s="1"/>
  <c r="CH6" i="31"/>
  <c r="CG13" i="31"/>
  <c r="CG14" i="31"/>
  <c r="CG15" i="31" s="1"/>
  <c r="CI27" i="31"/>
  <c r="CI4" i="31" s="1"/>
  <c r="CH5" i="31"/>
  <c r="CE24" i="37" l="1"/>
  <c r="CE14" i="34"/>
  <c r="CE20" i="34" s="1"/>
  <c r="CE15" i="34"/>
  <c r="CE21" i="34" s="1"/>
  <c r="CE13" i="34"/>
  <c r="CE19" i="34" s="1"/>
  <c r="CE12" i="34"/>
  <c r="CE18" i="34" s="1"/>
  <c r="CE25" i="34" s="1"/>
  <c r="CG24" i="34"/>
  <c r="CF10" i="34"/>
  <c r="CF11" i="34"/>
  <c r="CD25" i="34"/>
  <c r="CE17" i="32"/>
  <c r="CE22" i="32" s="1"/>
  <c r="CE15" i="32"/>
  <c r="CE20" i="32" s="1"/>
  <c r="CE26" i="32" s="1"/>
  <c r="CE16" i="32"/>
  <c r="CE21" i="32" s="1"/>
  <c r="CD26" i="32"/>
  <c r="CF10" i="32"/>
  <c r="CF13" i="32"/>
  <c r="CF11" i="32"/>
  <c r="CF14" i="32" s="1"/>
  <c r="CG25" i="32"/>
  <c r="CH11" i="31"/>
  <c r="CH7" i="31"/>
  <c r="CE16" i="31"/>
  <c r="CE17" i="31" s="1"/>
  <c r="CC21" i="31"/>
  <c r="CC19" i="31"/>
  <c r="CC20" i="31"/>
  <c r="CC28" i="31" s="1"/>
  <c r="CD22" i="31"/>
  <c r="CD24" i="31" s="1"/>
  <c r="CD18" i="31"/>
  <c r="CD23" i="31"/>
  <c r="CD26" i="37"/>
  <c r="CD29" i="37" s="1"/>
  <c r="CE25" i="37"/>
  <c r="CE7" i="36"/>
  <c r="CE6" i="36"/>
  <c r="CF5" i="36"/>
  <c r="CG10" i="36"/>
  <c r="CF4" i="36"/>
  <c r="CG28" i="37"/>
  <c r="CG20" i="37" s="1"/>
  <c r="CF22" i="37"/>
  <c r="CF21" i="37"/>
  <c r="CF23" i="37" s="1"/>
  <c r="CD11" i="36"/>
  <c r="CI6" i="31"/>
  <c r="CH13" i="31"/>
  <c r="CH14" i="31"/>
  <c r="CH15" i="31" s="1"/>
  <c r="CI5" i="31"/>
  <c r="CJ27" i="31"/>
  <c r="CJ4" i="31" s="1"/>
  <c r="CF24" i="37" l="1"/>
  <c r="CH24" i="34"/>
  <c r="CG10" i="34"/>
  <c r="CG11" i="34"/>
  <c r="CF13" i="34"/>
  <c r="CF19" i="34" s="1"/>
  <c r="CF12" i="34"/>
  <c r="CF18" i="34" s="1"/>
  <c r="CF15" i="34"/>
  <c r="CF21" i="34" s="1"/>
  <c r="CF14" i="34"/>
  <c r="CF20" i="34" s="1"/>
  <c r="CG10" i="32"/>
  <c r="CH25" i="32"/>
  <c r="CG13" i="32"/>
  <c r="CG11" i="32"/>
  <c r="CG14" i="32" s="1"/>
  <c r="CF17" i="32"/>
  <c r="CF22" i="32" s="1"/>
  <c r="CF16" i="32"/>
  <c r="CF21" i="32" s="1"/>
  <c r="CF15" i="32"/>
  <c r="CF20" i="32" s="1"/>
  <c r="CI11" i="31"/>
  <c r="CI7" i="31"/>
  <c r="CE22" i="31"/>
  <c r="CE24" i="31" s="1"/>
  <c r="CE18" i="31"/>
  <c r="CE23" i="31"/>
  <c r="CD21" i="31"/>
  <c r="CD20" i="31"/>
  <c r="CD28" i="31" s="1"/>
  <c r="CD19" i="31"/>
  <c r="CF16" i="31"/>
  <c r="CF17" i="31" s="1"/>
  <c r="CE26" i="37"/>
  <c r="CE29" i="37" s="1"/>
  <c r="CF25" i="37"/>
  <c r="CE11" i="36"/>
  <c r="CH28" i="37"/>
  <c r="CH20" i="37" s="1"/>
  <c r="CG22" i="37"/>
  <c r="CG21" i="37"/>
  <c r="CG23" i="37" s="1"/>
  <c r="CG5" i="36"/>
  <c r="CH10" i="36"/>
  <c r="CG4" i="36"/>
  <c r="CF7" i="36"/>
  <c r="CF6" i="36"/>
  <c r="CJ6" i="31"/>
  <c r="CI14" i="31"/>
  <c r="CI15" i="31" s="1"/>
  <c r="CI13" i="31"/>
  <c r="CK27" i="31"/>
  <c r="CK4" i="31" s="1"/>
  <c r="CJ5" i="31"/>
  <c r="CG24" i="37" l="1"/>
  <c r="CF25" i="34"/>
  <c r="CG14" i="34"/>
  <c r="CG20" i="34" s="1"/>
  <c r="CG15" i="34"/>
  <c r="CG21" i="34" s="1"/>
  <c r="CG13" i="34"/>
  <c r="CG19" i="34" s="1"/>
  <c r="CG12" i="34"/>
  <c r="CG18" i="34" s="1"/>
  <c r="CI24" i="34"/>
  <c r="CH10" i="34"/>
  <c r="CH11" i="34"/>
  <c r="CF26" i="32"/>
  <c r="CG16" i="32"/>
  <c r="CG21" i="32" s="1"/>
  <c r="CG17" i="32"/>
  <c r="CG22" i="32" s="1"/>
  <c r="CG15" i="32"/>
  <c r="CG20" i="32" s="1"/>
  <c r="CH10" i="32"/>
  <c r="CI25" i="32"/>
  <c r="CH13" i="32"/>
  <c r="CH11" i="32"/>
  <c r="CH14" i="32" s="1"/>
  <c r="CJ11" i="31"/>
  <c r="CJ7" i="31"/>
  <c r="CE20" i="31"/>
  <c r="CE28" i="31" s="1"/>
  <c r="CE19" i="31"/>
  <c r="CE21" i="31"/>
  <c r="CF22" i="31"/>
  <c r="CF24" i="31" s="1"/>
  <c r="CF23" i="31"/>
  <c r="CF18" i="31"/>
  <c r="CG16" i="31"/>
  <c r="CG17" i="31" s="1"/>
  <c r="CG25" i="37"/>
  <c r="CF26" i="37"/>
  <c r="CF29" i="37" s="1"/>
  <c r="CF11" i="36"/>
  <c r="CH5" i="36"/>
  <c r="CI10" i="36"/>
  <c r="CH4" i="36"/>
  <c r="CG7" i="36"/>
  <c r="CG6" i="36"/>
  <c r="CI28" i="37"/>
  <c r="CI20" i="37" s="1"/>
  <c r="CH22" i="37"/>
  <c r="CH21" i="37"/>
  <c r="CH23" i="37" s="1"/>
  <c r="CK6" i="31"/>
  <c r="CJ13" i="31"/>
  <c r="CJ14" i="31"/>
  <c r="CJ15" i="31" s="1"/>
  <c r="CK5" i="31"/>
  <c r="CL27" i="31"/>
  <c r="CL4" i="31" s="1"/>
  <c r="CG26" i="32" l="1"/>
  <c r="CH24" i="37"/>
  <c r="CH12" i="34"/>
  <c r="CH18" i="34" s="1"/>
  <c r="CH15" i="34"/>
  <c r="CH21" i="34" s="1"/>
  <c r="CH14" i="34"/>
  <c r="CH20" i="34" s="1"/>
  <c r="CH13" i="34"/>
  <c r="CH19" i="34" s="1"/>
  <c r="CJ24" i="34"/>
  <c r="CI10" i="34"/>
  <c r="CI11" i="34"/>
  <c r="CG25" i="34"/>
  <c r="CI10" i="32"/>
  <c r="CI11" i="32"/>
  <c r="CI14" i="32" s="1"/>
  <c r="CI13" i="32"/>
  <c r="CJ25" i="32"/>
  <c r="CH16" i="32"/>
  <c r="CH21" i="32" s="1"/>
  <c r="CH17" i="32"/>
  <c r="CH22" i="32" s="1"/>
  <c r="CH15" i="32"/>
  <c r="CH20" i="32" s="1"/>
  <c r="CH26" i="32" s="1"/>
  <c r="CK11" i="31"/>
  <c r="CK7" i="31"/>
  <c r="CF19" i="31"/>
  <c r="CF21" i="31"/>
  <c r="CF20" i="31"/>
  <c r="CF28" i="31" s="1"/>
  <c r="CG22" i="31"/>
  <c r="CG24" i="31" s="1"/>
  <c r="CG23" i="31"/>
  <c r="CG18" i="31"/>
  <c r="CH16" i="31"/>
  <c r="CH17" i="31" s="1"/>
  <c r="CH26" i="37"/>
  <c r="CH29" i="37" s="1"/>
  <c r="CG26" i="37"/>
  <c r="CG29" i="37" s="1"/>
  <c r="CG11" i="36"/>
  <c r="CJ28" i="37"/>
  <c r="CJ20" i="37" s="1"/>
  <c r="CI22" i="37"/>
  <c r="CI21" i="37"/>
  <c r="CI23" i="37" s="1"/>
  <c r="CJ10" i="36"/>
  <c r="CI5" i="36"/>
  <c r="CI4" i="36"/>
  <c r="CH6" i="36"/>
  <c r="CH7" i="36"/>
  <c r="CL6" i="31"/>
  <c r="CK13" i="31"/>
  <c r="CK14" i="31"/>
  <c r="CK15" i="31" s="1"/>
  <c r="CM27" i="31"/>
  <c r="CM4" i="31" s="1"/>
  <c r="CL5" i="31"/>
  <c r="CI24" i="37" l="1"/>
  <c r="CK24" i="34"/>
  <c r="CJ10" i="34"/>
  <c r="CJ11" i="34"/>
  <c r="CI12" i="34"/>
  <c r="CI18" i="34" s="1"/>
  <c r="CI13" i="34"/>
  <c r="CI19" i="34" s="1"/>
  <c r="CI15" i="34"/>
  <c r="CI21" i="34" s="1"/>
  <c r="CI14" i="34"/>
  <c r="CI20" i="34" s="1"/>
  <c r="CH25" i="34"/>
  <c r="CJ10" i="32"/>
  <c r="CJ11" i="32"/>
  <c r="CJ14" i="32" s="1"/>
  <c r="CK25" i="32"/>
  <c r="CJ13" i="32"/>
  <c r="CI16" i="32"/>
  <c r="CI21" i="32" s="1"/>
  <c r="CI17" i="32"/>
  <c r="CI22" i="32" s="1"/>
  <c r="CI15" i="32"/>
  <c r="CI20" i="32" s="1"/>
  <c r="CL11" i="31"/>
  <c r="CL7" i="31"/>
  <c r="CG19" i="31"/>
  <c r="CG21" i="31"/>
  <c r="CG20" i="31"/>
  <c r="CG28" i="31" s="1"/>
  <c r="CH22" i="31"/>
  <c r="CH24" i="31" s="1"/>
  <c r="CH18" i="31"/>
  <c r="CI16" i="31"/>
  <c r="CI17" i="31" s="1"/>
  <c r="CI23" i="31" s="1"/>
  <c r="CH23" i="31"/>
  <c r="CH25" i="37"/>
  <c r="CI25" i="37"/>
  <c r="CI7" i="36"/>
  <c r="CI6" i="36"/>
  <c r="CK10" i="36"/>
  <c r="CJ5" i="36"/>
  <c r="CJ4" i="36"/>
  <c r="CH11" i="36"/>
  <c r="CK28" i="37"/>
  <c r="CK20" i="37" s="1"/>
  <c r="CJ22" i="37"/>
  <c r="CJ21" i="37"/>
  <c r="CJ23" i="37" s="1"/>
  <c r="CM6" i="31"/>
  <c r="CL14" i="31"/>
  <c r="CL15" i="31" s="1"/>
  <c r="CL13" i="31"/>
  <c r="CN27" i="31"/>
  <c r="CN4" i="31" s="1"/>
  <c r="CM5" i="31"/>
  <c r="CI26" i="32" l="1"/>
  <c r="CJ24" i="37"/>
  <c r="CI25" i="34"/>
  <c r="CJ14" i="34"/>
  <c r="CJ20" i="34" s="1"/>
  <c r="CJ12" i="34"/>
  <c r="CJ18" i="34" s="1"/>
  <c r="CJ25" i="34" s="1"/>
  <c r="CJ15" i="34"/>
  <c r="CJ21" i="34" s="1"/>
  <c r="CJ13" i="34"/>
  <c r="CJ19" i="34" s="1"/>
  <c r="CL24" i="34"/>
  <c r="CK10" i="34"/>
  <c r="CK11" i="34"/>
  <c r="CJ16" i="32"/>
  <c r="CJ21" i="32" s="1"/>
  <c r="CJ17" i="32"/>
  <c r="CJ22" i="32" s="1"/>
  <c r="CJ15" i="32"/>
  <c r="CJ20" i="32" s="1"/>
  <c r="CJ26" i="32" s="1"/>
  <c r="CK10" i="32"/>
  <c r="CL25" i="32"/>
  <c r="CK13" i="32"/>
  <c r="CK11" i="32"/>
  <c r="CK14" i="32" s="1"/>
  <c r="CM11" i="31"/>
  <c r="CM7" i="31"/>
  <c r="CH19" i="31"/>
  <c r="CH21" i="31"/>
  <c r="CH20" i="31"/>
  <c r="CH28" i="31" s="1"/>
  <c r="CI22" i="31"/>
  <c r="CI24" i="31" s="1"/>
  <c r="CI18" i="31"/>
  <c r="CJ16" i="31"/>
  <c r="CJ17" i="31" s="1"/>
  <c r="CI26" i="37"/>
  <c r="CI29" i="37" s="1"/>
  <c r="CI11" i="36"/>
  <c r="CJ25" i="37"/>
  <c r="CJ7" i="36"/>
  <c r="CJ6" i="36"/>
  <c r="CL10" i="36"/>
  <c r="CK5" i="36"/>
  <c r="CK4" i="36"/>
  <c r="CL28" i="37"/>
  <c r="CL20" i="37" s="1"/>
  <c r="CK22" i="37"/>
  <c r="CK21" i="37"/>
  <c r="CK23" i="37" s="1"/>
  <c r="CN6" i="31"/>
  <c r="CM14" i="31"/>
  <c r="CM15" i="31" s="1"/>
  <c r="CM13" i="31"/>
  <c r="CO27" i="31"/>
  <c r="CO4" i="31" s="1"/>
  <c r="CN5" i="31"/>
  <c r="CK24" i="37" l="1"/>
  <c r="CM24" i="34"/>
  <c r="CL10" i="34"/>
  <c r="CL11" i="34"/>
  <c r="CK13" i="34"/>
  <c r="CK19" i="34" s="1"/>
  <c r="CK12" i="34"/>
  <c r="CK18" i="34" s="1"/>
  <c r="CK15" i="34"/>
  <c r="CK21" i="34" s="1"/>
  <c r="CK14" i="34"/>
  <c r="CK20" i="34" s="1"/>
  <c r="CK16" i="32"/>
  <c r="CK21" i="32" s="1"/>
  <c r="CK17" i="32"/>
  <c r="CK22" i="32" s="1"/>
  <c r="CK15" i="32"/>
  <c r="CK20" i="32" s="1"/>
  <c r="CL10" i="32"/>
  <c r="CM25" i="32"/>
  <c r="CL13" i="32"/>
  <c r="CL11" i="32"/>
  <c r="CL14" i="32" s="1"/>
  <c r="CN11" i="31"/>
  <c r="CN7" i="31"/>
  <c r="CK16" i="31"/>
  <c r="CK17" i="31" s="1"/>
  <c r="CI19" i="31"/>
  <c r="CI21" i="31"/>
  <c r="CI20" i="31"/>
  <c r="CI28" i="31" s="1"/>
  <c r="CJ22" i="31"/>
  <c r="CJ24" i="31" s="1"/>
  <c r="CJ18" i="31"/>
  <c r="CJ23" i="31"/>
  <c r="CJ26" i="37"/>
  <c r="CJ29" i="37" s="1"/>
  <c r="CK26" i="37"/>
  <c r="CK29" i="37" s="1"/>
  <c r="CJ11" i="36"/>
  <c r="CM28" i="37"/>
  <c r="CM20" i="37" s="1"/>
  <c r="CL22" i="37"/>
  <c r="CL21" i="37"/>
  <c r="CL23" i="37" s="1"/>
  <c r="CK7" i="36"/>
  <c r="CK6" i="36"/>
  <c r="CM10" i="36"/>
  <c r="CL5" i="36"/>
  <c r="CL4" i="36"/>
  <c r="CO6" i="31"/>
  <c r="CN13" i="31"/>
  <c r="CN14" i="31"/>
  <c r="CN15" i="31" s="1"/>
  <c r="CP27" i="31"/>
  <c r="CP4" i="31" s="1"/>
  <c r="CO5" i="31"/>
  <c r="CL24" i="37" l="1"/>
  <c r="CK25" i="34"/>
  <c r="CL12" i="34"/>
  <c r="CL18" i="34" s="1"/>
  <c r="CL15" i="34"/>
  <c r="CL21" i="34" s="1"/>
  <c r="CL14" i="34"/>
  <c r="CL20" i="34" s="1"/>
  <c r="CL13" i="34"/>
  <c r="CL19" i="34" s="1"/>
  <c r="CN24" i="34"/>
  <c r="CM10" i="34"/>
  <c r="CM11" i="34"/>
  <c r="CL17" i="32"/>
  <c r="CL22" i="32" s="1"/>
  <c r="CL15" i="32"/>
  <c r="CL20" i="32" s="1"/>
  <c r="CL16" i="32"/>
  <c r="CL21" i="32" s="1"/>
  <c r="CM10" i="32"/>
  <c r="CN25" i="32"/>
  <c r="CM13" i="32"/>
  <c r="CM11" i="32"/>
  <c r="CM14" i="32" s="1"/>
  <c r="CK26" i="32"/>
  <c r="CO11" i="31"/>
  <c r="CO7" i="31"/>
  <c r="CK22" i="31"/>
  <c r="CK24" i="31" s="1"/>
  <c r="CK18" i="31"/>
  <c r="CK23" i="31"/>
  <c r="CJ21" i="31"/>
  <c r="CJ20" i="31"/>
  <c r="CJ28" i="31" s="1"/>
  <c r="CJ19" i="31"/>
  <c r="CL16" i="31"/>
  <c r="CL17" i="31" s="1"/>
  <c r="CK25" i="37"/>
  <c r="CK11" i="36"/>
  <c r="CL26" i="37"/>
  <c r="CL29" i="37" s="1"/>
  <c r="CL7" i="36"/>
  <c r="CL6" i="36"/>
  <c r="CN10" i="36"/>
  <c r="CM5" i="36"/>
  <c r="CM4" i="36"/>
  <c r="CN28" i="37"/>
  <c r="CN20" i="37" s="1"/>
  <c r="CM22" i="37"/>
  <c r="CM21" i="37"/>
  <c r="CM23" i="37" s="1"/>
  <c r="CP6" i="31"/>
  <c r="CO13" i="31"/>
  <c r="CO14" i="31"/>
  <c r="CO15" i="31" s="1"/>
  <c r="CQ27" i="31"/>
  <c r="CQ4" i="31" s="1"/>
  <c r="CP5" i="31"/>
  <c r="CM24" i="37" l="1"/>
  <c r="CM14" i="34"/>
  <c r="CM20" i="34" s="1"/>
  <c r="CM15" i="34"/>
  <c r="CM21" i="34" s="1"/>
  <c r="CM13" i="34"/>
  <c r="CM19" i="34" s="1"/>
  <c r="CM12" i="34"/>
  <c r="CM18" i="34" s="1"/>
  <c r="CM25" i="34" s="1"/>
  <c r="CO24" i="34"/>
  <c r="CN10" i="34"/>
  <c r="CN11" i="34"/>
  <c r="CL25" i="34"/>
  <c r="CM17" i="32"/>
  <c r="CM22" i="32" s="1"/>
  <c r="CM15" i="32"/>
  <c r="CM20" i="32" s="1"/>
  <c r="CM16" i="32"/>
  <c r="CM21" i="32" s="1"/>
  <c r="CN10" i="32"/>
  <c r="CO25" i="32"/>
  <c r="CN13" i="32"/>
  <c r="CN11" i="32"/>
  <c r="CN14" i="32" s="1"/>
  <c r="CL26" i="32"/>
  <c r="CP7" i="31"/>
  <c r="CP11" i="31" s="1"/>
  <c r="CK20" i="31"/>
  <c r="CK28" i="31" s="1"/>
  <c r="CK21" i="31"/>
  <c r="CK19" i="31"/>
  <c r="CL22" i="31"/>
  <c r="CL24" i="31" s="1"/>
  <c r="CL23" i="31"/>
  <c r="CL18" i="31"/>
  <c r="CM16" i="31"/>
  <c r="CM17" i="31" s="1"/>
  <c r="CM26" i="37"/>
  <c r="CM29" i="37" s="1"/>
  <c r="CL11" i="36"/>
  <c r="CL25" i="37"/>
  <c r="CM6" i="36"/>
  <c r="CO28" i="37"/>
  <c r="CO20" i="37" s="1"/>
  <c r="CN22" i="37"/>
  <c r="CN21" i="37"/>
  <c r="CN23" i="37" s="1"/>
  <c r="CM7" i="36"/>
  <c r="CO10" i="36"/>
  <c r="CN5" i="36"/>
  <c r="CN4" i="36"/>
  <c r="CQ6" i="31"/>
  <c r="CP13" i="31"/>
  <c r="CP14" i="31"/>
  <c r="CP15" i="31" s="1"/>
  <c r="CQ5" i="31"/>
  <c r="CR27" i="31"/>
  <c r="CR4" i="31" s="1"/>
  <c r="CM26" i="32" l="1"/>
  <c r="CN24" i="37"/>
  <c r="CP24" i="34"/>
  <c r="CO10" i="34"/>
  <c r="CO11" i="34"/>
  <c r="CN13" i="34"/>
  <c r="CN19" i="34" s="1"/>
  <c r="CN12" i="34"/>
  <c r="CN18" i="34" s="1"/>
  <c r="CN15" i="34"/>
  <c r="CN21" i="34" s="1"/>
  <c r="CN14" i="34"/>
  <c r="CN20" i="34" s="1"/>
  <c r="CN17" i="32"/>
  <c r="CN22" i="32" s="1"/>
  <c r="CN16" i="32"/>
  <c r="CN21" i="32" s="1"/>
  <c r="CN15" i="32"/>
  <c r="CN20" i="32" s="1"/>
  <c r="CN26" i="32" s="1"/>
  <c r="CO10" i="32"/>
  <c r="CO13" i="32"/>
  <c r="CP25" i="32"/>
  <c r="CO11" i="32"/>
  <c r="CO14" i="32" s="1"/>
  <c r="CQ11" i="31"/>
  <c r="CQ7" i="31"/>
  <c r="CL20" i="31"/>
  <c r="CL28" i="31" s="1"/>
  <c r="CL21" i="31"/>
  <c r="CL19" i="31"/>
  <c r="CM22" i="31"/>
  <c r="CM24" i="31" s="1"/>
  <c r="CM18" i="31"/>
  <c r="CN16" i="31"/>
  <c r="CN17" i="31" s="1"/>
  <c r="CN23" i="31" s="1"/>
  <c r="CM23" i="31"/>
  <c r="CM25" i="37"/>
  <c r="CN7" i="36"/>
  <c r="CM11" i="36"/>
  <c r="CN26" i="37"/>
  <c r="CN29" i="37" s="1"/>
  <c r="CN6" i="36"/>
  <c r="CP10" i="36"/>
  <c r="CO5" i="36"/>
  <c r="CO4" i="36"/>
  <c r="CP28" i="37"/>
  <c r="CP20" i="37" s="1"/>
  <c r="CO22" i="37"/>
  <c r="CO21" i="37"/>
  <c r="CO23" i="37" s="1"/>
  <c r="CR6" i="31"/>
  <c r="CQ13" i="31"/>
  <c r="CQ14" i="31"/>
  <c r="CQ15" i="31" s="1"/>
  <c r="CR5" i="31"/>
  <c r="CS27" i="31"/>
  <c r="CS4" i="31" s="1"/>
  <c r="CO24" i="37" l="1"/>
  <c r="CN25" i="34"/>
  <c r="CO13" i="34"/>
  <c r="CO19" i="34" s="1"/>
  <c r="CO12" i="34"/>
  <c r="CO18" i="34" s="1"/>
  <c r="CO15" i="34"/>
  <c r="CO21" i="34" s="1"/>
  <c r="CO14" i="34"/>
  <c r="CO20" i="34" s="1"/>
  <c r="CQ24" i="34"/>
  <c r="CP10" i="34"/>
  <c r="CP11" i="34"/>
  <c r="CO16" i="32"/>
  <c r="CO21" i="32" s="1"/>
  <c r="CO17" i="32"/>
  <c r="CO22" i="32" s="1"/>
  <c r="CO15" i="32"/>
  <c r="CO20" i="32" s="1"/>
  <c r="CP10" i="32"/>
  <c r="CP11" i="32"/>
  <c r="CP14" i="32" s="1"/>
  <c r="CQ25" i="32"/>
  <c r="CP13" i="32"/>
  <c r="CR11" i="31"/>
  <c r="CR7" i="31"/>
  <c r="CO16" i="31"/>
  <c r="CO17" i="31" s="1"/>
  <c r="CM20" i="31"/>
  <c r="CM28" i="31" s="1"/>
  <c r="CM19" i="31"/>
  <c r="CM21" i="31"/>
  <c r="CN22" i="31"/>
  <c r="CN24" i="31" s="1"/>
  <c r="CN18" i="31"/>
  <c r="CN11" i="36"/>
  <c r="CN25" i="37"/>
  <c r="CQ28" i="37"/>
  <c r="CQ20" i="37" s="1"/>
  <c r="CP22" i="37"/>
  <c r="CP21" i="37"/>
  <c r="CP23" i="37" s="1"/>
  <c r="CO7" i="36"/>
  <c r="CO6" i="36"/>
  <c r="CQ10" i="36"/>
  <c r="CP5" i="36"/>
  <c r="CP4" i="36"/>
  <c r="CS6" i="31"/>
  <c r="CR13" i="31"/>
  <c r="CR14" i="31"/>
  <c r="CR15" i="31" s="1"/>
  <c r="CS5" i="31"/>
  <c r="CT27" i="31"/>
  <c r="CT4" i="31" s="1"/>
  <c r="CO26" i="32" l="1"/>
  <c r="CP24" i="37"/>
  <c r="CP14" i="34"/>
  <c r="CP20" i="34" s="1"/>
  <c r="CP13" i="34"/>
  <c r="CP19" i="34" s="1"/>
  <c r="CP12" i="34"/>
  <c r="CP18" i="34" s="1"/>
  <c r="CP15" i="34"/>
  <c r="CP21" i="34" s="1"/>
  <c r="CO25" i="34"/>
  <c r="CR24" i="34"/>
  <c r="CQ10" i="34"/>
  <c r="CQ11" i="34"/>
  <c r="CP16" i="32"/>
  <c r="CP21" i="32" s="1"/>
  <c r="CP17" i="32"/>
  <c r="CP22" i="32" s="1"/>
  <c r="CP15" i="32"/>
  <c r="CP20" i="32" s="1"/>
  <c r="CP26" i="32" s="1"/>
  <c r="CQ10" i="32"/>
  <c r="CQ11" i="32"/>
  <c r="CQ14" i="32" s="1"/>
  <c r="CR25" i="32"/>
  <c r="CQ13" i="32"/>
  <c r="CS7" i="31"/>
  <c r="CS11" i="31" s="1"/>
  <c r="CO22" i="31"/>
  <c r="CO24" i="31" s="1"/>
  <c r="CO18" i="31"/>
  <c r="CO23" i="31"/>
  <c r="CN21" i="31"/>
  <c r="CN20" i="31"/>
  <c r="CN28" i="31" s="1"/>
  <c r="CN19" i="31"/>
  <c r="CP16" i="31"/>
  <c r="CP17" i="31" s="1"/>
  <c r="CP25" i="37"/>
  <c r="CO11" i="36"/>
  <c r="CP6" i="36"/>
  <c r="CP7" i="36"/>
  <c r="CQ5" i="36"/>
  <c r="CR10" i="36"/>
  <c r="CQ4" i="36"/>
  <c r="CO25" i="37"/>
  <c r="CO26" i="37"/>
  <c r="CO29" i="37" s="1"/>
  <c r="CR28" i="37"/>
  <c r="CR20" i="37" s="1"/>
  <c r="CQ22" i="37"/>
  <c r="CQ21" i="37"/>
  <c r="CQ23" i="37" s="1"/>
  <c r="CT6" i="31"/>
  <c r="CS13" i="31"/>
  <c r="CS14" i="31"/>
  <c r="CS15" i="31" s="1"/>
  <c r="CU27" i="31"/>
  <c r="CU4" i="31" s="1"/>
  <c r="CT5" i="31"/>
  <c r="CQ24" i="37" l="1"/>
  <c r="CQ14" i="34"/>
  <c r="CQ20" i="34" s="1"/>
  <c r="CQ12" i="34"/>
  <c r="CQ18" i="34" s="1"/>
  <c r="CQ15" i="34"/>
  <c r="CQ21" i="34" s="1"/>
  <c r="CQ13" i="34"/>
  <c r="CQ19" i="34" s="1"/>
  <c r="CS24" i="34"/>
  <c r="CR10" i="34"/>
  <c r="CR11" i="34"/>
  <c r="CP25" i="34"/>
  <c r="CQ16" i="32"/>
  <c r="CQ21" i="32" s="1"/>
  <c r="CQ17" i="32"/>
  <c r="CQ22" i="32" s="1"/>
  <c r="CQ15" i="32"/>
  <c r="CQ20" i="32" s="1"/>
  <c r="CR10" i="32"/>
  <c r="CR11" i="32"/>
  <c r="CR14" i="32" s="1"/>
  <c r="CR13" i="32"/>
  <c r="CS25" i="32"/>
  <c r="CT7" i="31"/>
  <c r="CT11" i="31" s="1"/>
  <c r="CO19" i="31"/>
  <c r="CO21" i="31"/>
  <c r="CO20" i="31"/>
  <c r="CO28" i="31" s="1"/>
  <c r="CP22" i="31"/>
  <c r="CP24" i="31" s="1"/>
  <c r="CP18" i="31"/>
  <c r="CP23" i="31"/>
  <c r="CQ16" i="31"/>
  <c r="CQ17" i="31" s="1"/>
  <c r="CP26" i="37"/>
  <c r="CP29" i="37" s="1"/>
  <c r="CS10" i="36"/>
  <c r="CR5" i="36"/>
  <c r="CR4" i="36"/>
  <c r="CQ7" i="36"/>
  <c r="CQ6" i="36"/>
  <c r="CS28" i="37"/>
  <c r="CS20" i="37" s="1"/>
  <c r="CR22" i="37"/>
  <c r="CR24" i="37" s="1"/>
  <c r="CR21" i="37"/>
  <c r="CR23" i="37" s="1"/>
  <c r="CP11" i="36"/>
  <c r="CU6" i="31"/>
  <c r="CT14" i="31"/>
  <c r="CT15" i="31" s="1"/>
  <c r="CT13" i="31"/>
  <c r="CV27" i="31"/>
  <c r="CV4" i="31" s="1"/>
  <c r="CU5" i="31"/>
  <c r="CT24" i="34" l="1"/>
  <c r="CS10" i="34"/>
  <c r="CS11" i="34"/>
  <c r="CR14" i="34"/>
  <c r="CR20" i="34" s="1"/>
  <c r="CR12" i="34"/>
  <c r="CR18" i="34" s="1"/>
  <c r="CR15" i="34"/>
  <c r="CR21" i="34" s="1"/>
  <c r="CR13" i="34"/>
  <c r="CR19" i="34" s="1"/>
  <c r="CQ25" i="34"/>
  <c r="CS10" i="32"/>
  <c r="CS11" i="32"/>
  <c r="CS14" i="32" s="1"/>
  <c r="CT25" i="32"/>
  <c r="CS13" i="32"/>
  <c r="CR16" i="32"/>
  <c r="CR21" i="32" s="1"/>
  <c r="CR17" i="32"/>
  <c r="CR22" i="32" s="1"/>
  <c r="CR15" i="32"/>
  <c r="CR20" i="32" s="1"/>
  <c r="CR26" i="32" s="1"/>
  <c r="CQ26" i="32"/>
  <c r="CU7" i="31"/>
  <c r="CU11" i="31" s="1"/>
  <c r="CP21" i="31"/>
  <c r="CP19" i="31"/>
  <c r="CP20" i="31"/>
  <c r="CP28" i="31" s="1"/>
  <c r="CQ22" i="31"/>
  <c r="CQ24" i="31" s="1"/>
  <c r="CQ18" i="31"/>
  <c r="CQ23" i="31"/>
  <c r="CR16" i="31"/>
  <c r="CR17" i="31" s="1"/>
  <c r="CQ11" i="36"/>
  <c r="CT28" i="37"/>
  <c r="CT20" i="37" s="1"/>
  <c r="CS22" i="37"/>
  <c r="CS21" i="37"/>
  <c r="CS23" i="37" s="1"/>
  <c r="CR7" i="36"/>
  <c r="CR6" i="36"/>
  <c r="CT10" i="36"/>
  <c r="CS5" i="36"/>
  <c r="CS4" i="36"/>
  <c r="CQ25" i="37"/>
  <c r="CQ26" i="37"/>
  <c r="CQ29" i="37" s="1"/>
  <c r="CV6" i="31"/>
  <c r="CU14" i="31"/>
  <c r="CU15" i="31" s="1"/>
  <c r="CU13" i="31"/>
  <c r="CW27" i="31"/>
  <c r="CW4" i="31" s="1"/>
  <c r="CV5" i="31"/>
  <c r="CS24" i="37" l="1"/>
  <c r="CR25" i="34"/>
  <c r="CS15" i="34"/>
  <c r="CS21" i="34" s="1"/>
  <c r="CS12" i="34"/>
  <c r="CS18" i="34" s="1"/>
  <c r="CS14" i="34"/>
  <c r="CS20" i="34" s="1"/>
  <c r="CS13" i="34"/>
  <c r="CS19" i="34" s="1"/>
  <c r="CU24" i="34"/>
  <c r="CT10" i="34"/>
  <c r="CT11" i="34"/>
  <c r="CT10" i="32"/>
  <c r="CU25" i="32"/>
  <c r="CT13" i="32"/>
  <c r="CT11" i="32"/>
  <c r="CT14" i="32" s="1"/>
  <c r="CS16" i="32"/>
  <c r="CS21" i="32" s="1"/>
  <c r="CS17" i="32"/>
  <c r="CS22" i="32" s="1"/>
  <c r="CS15" i="32"/>
  <c r="CS20" i="32" s="1"/>
  <c r="CS26" i="32" s="1"/>
  <c r="CV7" i="31"/>
  <c r="CV11" i="31" s="1"/>
  <c r="CQ21" i="31"/>
  <c r="CQ20" i="31"/>
  <c r="CQ28" i="31" s="1"/>
  <c r="CQ19" i="31"/>
  <c r="CR22" i="31"/>
  <c r="CR24" i="31" s="1"/>
  <c r="CR18" i="31"/>
  <c r="CS16" i="31"/>
  <c r="CS17" i="31" s="1"/>
  <c r="CR23" i="31"/>
  <c r="CS25" i="37"/>
  <c r="CR11" i="36"/>
  <c r="CS7" i="36"/>
  <c r="CS6" i="36"/>
  <c r="CU10" i="36"/>
  <c r="CT5" i="36"/>
  <c r="CT4" i="36"/>
  <c r="CR25" i="37"/>
  <c r="CR26" i="37"/>
  <c r="CR29" i="37" s="1"/>
  <c r="CU28" i="37"/>
  <c r="CU20" i="37" s="1"/>
  <c r="CT22" i="37"/>
  <c r="CT21" i="37"/>
  <c r="CT23" i="37" s="1"/>
  <c r="CW6" i="31"/>
  <c r="CV14" i="31"/>
  <c r="CV15" i="31" s="1"/>
  <c r="CV13" i="31"/>
  <c r="CX27" i="31"/>
  <c r="CX4" i="31" s="1"/>
  <c r="CW5" i="31"/>
  <c r="CT24" i="37" l="1"/>
  <c r="CT13" i="34"/>
  <c r="CT19" i="34" s="1"/>
  <c r="CT15" i="34"/>
  <c r="CT21" i="34" s="1"/>
  <c r="CT14" i="34"/>
  <c r="CT20" i="34" s="1"/>
  <c r="CT12" i="34"/>
  <c r="CT18" i="34" s="1"/>
  <c r="CT25" i="34" s="1"/>
  <c r="CV24" i="34"/>
  <c r="CU10" i="34"/>
  <c r="CU11" i="34"/>
  <c r="CS25" i="34"/>
  <c r="CT17" i="32"/>
  <c r="CT22" i="32" s="1"/>
  <c r="CT15" i="32"/>
  <c r="CT20" i="32" s="1"/>
  <c r="CT16" i="32"/>
  <c r="CT21" i="32" s="1"/>
  <c r="CU10" i="32"/>
  <c r="CV25" i="32"/>
  <c r="CU13" i="32"/>
  <c r="CU11" i="32"/>
  <c r="CU14" i="32" s="1"/>
  <c r="CW7" i="31"/>
  <c r="CW11" i="31" s="1"/>
  <c r="CS22" i="31"/>
  <c r="CS24" i="31" s="1"/>
  <c r="CS18" i="31"/>
  <c r="CS23" i="31"/>
  <c r="CR20" i="31"/>
  <c r="CR28" i="31" s="1"/>
  <c r="CR21" i="31"/>
  <c r="CR19" i="31"/>
  <c r="CT16" i="31"/>
  <c r="CT17" i="31" s="1"/>
  <c r="CT23" i="31" s="1"/>
  <c r="CS11" i="36"/>
  <c r="CS26" i="37"/>
  <c r="CS29" i="37" s="1"/>
  <c r="CT26" i="37"/>
  <c r="CT29" i="37" s="1"/>
  <c r="CT7" i="36"/>
  <c r="CT6" i="36"/>
  <c r="CV28" i="37"/>
  <c r="CV20" i="37" s="1"/>
  <c r="CU22" i="37"/>
  <c r="CU21" i="37"/>
  <c r="CU23" i="37" s="1"/>
  <c r="CV10" i="36"/>
  <c r="CU5" i="36"/>
  <c r="CU4" i="36"/>
  <c r="CX6" i="31"/>
  <c r="CW13" i="31"/>
  <c r="CW14" i="31"/>
  <c r="CW15" i="31" s="1"/>
  <c r="CY27" i="31"/>
  <c r="CY4" i="31" s="1"/>
  <c r="CX5" i="31"/>
  <c r="CU24" i="37" l="1"/>
  <c r="CU14" i="34"/>
  <c r="CU20" i="34" s="1"/>
  <c r="CU12" i="34"/>
  <c r="CU18" i="34" s="1"/>
  <c r="CU15" i="34"/>
  <c r="CU21" i="34" s="1"/>
  <c r="CU13" i="34"/>
  <c r="CU19" i="34" s="1"/>
  <c r="CW24" i="34"/>
  <c r="CV10" i="34"/>
  <c r="CV11" i="34"/>
  <c r="CU15" i="32"/>
  <c r="CU20" i="32" s="1"/>
  <c r="CU17" i="32"/>
  <c r="CU22" i="32" s="1"/>
  <c r="CU16" i="32"/>
  <c r="CU21" i="32" s="1"/>
  <c r="CV10" i="32"/>
  <c r="CW25" i="32"/>
  <c r="CV13" i="32"/>
  <c r="CV11" i="32"/>
  <c r="CV14" i="32" s="1"/>
  <c r="CT26" i="32"/>
  <c r="CX7" i="31"/>
  <c r="CX11" i="31" s="1"/>
  <c r="CT22" i="31"/>
  <c r="CT24" i="31" s="1"/>
  <c r="CT18" i="31"/>
  <c r="CU16" i="31"/>
  <c r="CU17" i="31" s="1"/>
  <c r="CS20" i="31"/>
  <c r="CS28" i="31" s="1"/>
  <c r="CS19" i="31"/>
  <c r="CS21" i="31"/>
  <c r="CT25" i="37"/>
  <c r="CT11" i="36"/>
  <c r="CU26" i="37"/>
  <c r="CU29" i="37" s="1"/>
  <c r="CW10" i="36"/>
  <c r="CV5" i="36"/>
  <c r="CV4" i="36"/>
  <c r="CW28" i="37"/>
  <c r="CW20" i="37" s="1"/>
  <c r="CV22" i="37"/>
  <c r="CV21" i="37"/>
  <c r="CV23" i="37" s="1"/>
  <c r="CU7" i="36"/>
  <c r="CU6" i="36"/>
  <c r="CY6" i="31"/>
  <c r="CX13" i="31"/>
  <c r="CX14" i="31"/>
  <c r="CX15" i="31" s="1"/>
  <c r="CY5" i="31"/>
  <c r="CZ27" i="31"/>
  <c r="CZ4" i="31" s="1"/>
  <c r="CU26" i="32" l="1"/>
  <c r="CV24" i="37"/>
  <c r="CV13" i="34"/>
  <c r="CV19" i="34" s="1"/>
  <c r="CV12" i="34"/>
  <c r="CV18" i="34" s="1"/>
  <c r="CV15" i="34"/>
  <c r="CV21" i="34" s="1"/>
  <c r="CV14" i="34"/>
  <c r="CV20" i="34" s="1"/>
  <c r="CX24" i="34"/>
  <c r="CW10" i="34"/>
  <c r="CW11" i="34"/>
  <c r="CU25" i="34"/>
  <c r="CV16" i="32"/>
  <c r="CV21" i="32" s="1"/>
  <c r="CV17" i="32"/>
  <c r="CV22" i="32" s="1"/>
  <c r="CV15" i="32"/>
  <c r="CV20" i="32" s="1"/>
  <c r="CV26" i="32" s="1"/>
  <c r="CW10" i="32"/>
  <c r="CX25" i="32"/>
  <c r="CW13" i="32"/>
  <c r="CW11" i="32"/>
  <c r="CW14" i="32" s="1"/>
  <c r="CY11" i="31"/>
  <c r="CY7" i="31"/>
  <c r="CU22" i="31"/>
  <c r="CU24" i="31" s="1"/>
  <c r="CU23" i="31"/>
  <c r="CU18" i="31"/>
  <c r="CV16" i="31"/>
  <c r="CV17" i="31" s="1"/>
  <c r="CT20" i="31"/>
  <c r="CT28" i="31" s="1"/>
  <c r="CT19" i="31"/>
  <c r="CT21" i="31"/>
  <c r="CU25" i="37"/>
  <c r="CV7" i="36"/>
  <c r="CU11" i="36"/>
  <c r="CX28" i="37"/>
  <c r="CX20" i="37" s="1"/>
  <c r="CW22" i="37"/>
  <c r="CW21" i="37"/>
  <c r="CW23" i="37" s="1"/>
  <c r="CV6" i="36"/>
  <c r="CX10" i="36"/>
  <c r="CW5" i="36"/>
  <c r="CW4" i="36"/>
  <c r="CZ6" i="31"/>
  <c r="CY14" i="31"/>
  <c r="CY15" i="31" s="1"/>
  <c r="CY13" i="31"/>
  <c r="CZ5" i="31"/>
  <c r="DA27" i="31"/>
  <c r="DA4" i="31" s="1"/>
  <c r="CW24" i="37" l="1"/>
  <c r="CW14" i="34"/>
  <c r="CW20" i="34" s="1"/>
  <c r="CW15" i="34"/>
  <c r="CW21" i="34" s="1"/>
  <c r="CW13" i="34"/>
  <c r="CW19" i="34" s="1"/>
  <c r="CW12" i="34"/>
  <c r="CW18" i="34" s="1"/>
  <c r="CY24" i="34"/>
  <c r="CX10" i="34"/>
  <c r="CX11" i="34"/>
  <c r="CV25" i="34"/>
  <c r="CW16" i="32"/>
  <c r="CW21" i="32" s="1"/>
  <c r="CW17" i="32"/>
  <c r="CW22" i="32" s="1"/>
  <c r="CW15" i="32"/>
  <c r="CW20" i="32" s="1"/>
  <c r="CW26" i="32" s="1"/>
  <c r="CX10" i="32"/>
  <c r="CX13" i="32"/>
  <c r="CX11" i="32"/>
  <c r="CX14" i="32" s="1"/>
  <c r="CY25" i="32"/>
  <c r="CZ11" i="31"/>
  <c r="CZ7" i="31"/>
  <c r="CW16" i="31"/>
  <c r="CW17" i="31" s="1"/>
  <c r="CV22" i="31"/>
  <c r="CV24" i="31" s="1"/>
  <c r="CV18" i="31"/>
  <c r="CU19" i="31"/>
  <c r="CU20" i="31"/>
  <c r="CU28" i="31" s="1"/>
  <c r="CU21" i="31"/>
  <c r="CV23" i="31"/>
  <c r="CV11" i="36"/>
  <c r="CW25" i="37"/>
  <c r="CW7" i="36"/>
  <c r="CW6" i="36"/>
  <c r="CY10" i="36"/>
  <c r="CX5" i="36"/>
  <c r="CX4" i="36"/>
  <c r="CY28" i="37"/>
  <c r="CY20" i="37" s="1"/>
  <c r="CX22" i="37"/>
  <c r="CX21" i="37"/>
  <c r="CX23" i="37" s="1"/>
  <c r="CV26" i="37"/>
  <c r="CV29" i="37" s="1"/>
  <c r="CV25" i="37"/>
  <c r="DA6" i="31"/>
  <c r="CZ13" i="31"/>
  <c r="CZ14" i="31"/>
  <c r="CZ15" i="31" s="1"/>
  <c r="DB27" i="31"/>
  <c r="DB4" i="31" s="1"/>
  <c r="DA5" i="31"/>
  <c r="CX24" i="37" l="1"/>
  <c r="CZ24" i="34"/>
  <c r="CY10" i="34"/>
  <c r="CY11" i="34"/>
  <c r="CW25" i="34"/>
  <c r="CX15" i="34"/>
  <c r="CX21" i="34" s="1"/>
  <c r="CX12" i="34"/>
  <c r="CX18" i="34" s="1"/>
  <c r="CX14" i="34"/>
  <c r="CX20" i="34" s="1"/>
  <c r="CX13" i="34"/>
  <c r="CX19" i="34" s="1"/>
  <c r="CY10" i="32"/>
  <c r="CY11" i="32"/>
  <c r="CY14" i="32" s="1"/>
  <c r="CY13" i="32"/>
  <c r="CZ25" i="32"/>
  <c r="CX16" i="32"/>
  <c r="CX21" i="32" s="1"/>
  <c r="CX17" i="32"/>
  <c r="CX22" i="32" s="1"/>
  <c r="CX15" i="32"/>
  <c r="CX20" i="32" s="1"/>
  <c r="DA7" i="31"/>
  <c r="DA11" i="31" s="1"/>
  <c r="CV19" i="31"/>
  <c r="CV21" i="31"/>
  <c r="CV20" i="31"/>
  <c r="CV28" i="31" s="1"/>
  <c r="CW22" i="31"/>
  <c r="CW24" i="31" s="1"/>
  <c r="CW18" i="31"/>
  <c r="CW23" i="31"/>
  <c r="CX16" i="31"/>
  <c r="CX17" i="31" s="1"/>
  <c r="CW26" i="37"/>
  <c r="CW29" i="37" s="1"/>
  <c r="CX26" i="37"/>
  <c r="CX29" i="37" s="1"/>
  <c r="CW11" i="36"/>
  <c r="CZ28" i="37"/>
  <c r="CZ20" i="37" s="1"/>
  <c r="CY22" i="37"/>
  <c r="CY21" i="37"/>
  <c r="CY23" i="37" s="1"/>
  <c r="CX7" i="36"/>
  <c r="CX6" i="36"/>
  <c r="CZ10" i="36"/>
  <c r="CY5" i="36"/>
  <c r="CY4" i="36"/>
  <c r="DB6" i="31"/>
  <c r="DA13" i="31"/>
  <c r="DA14" i="31"/>
  <c r="DA15" i="31" s="1"/>
  <c r="DC27" i="31"/>
  <c r="DC4" i="31" s="1"/>
  <c r="DB5" i="31"/>
  <c r="CY24" i="37" l="1"/>
  <c r="CX25" i="34"/>
  <c r="CY13" i="34"/>
  <c r="CY19" i="34" s="1"/>
  <c r="CY15" i="34"/>
  <c r="CY21" i="34" s="1"/>
  <c r="CY14" i="34"/>
  <c r="CY20" i="34" s="1"/>
  <c r="CY12" i="34"/>
  <c r="CY18" i="34" s="1"/>
  <c r="DA24" i="34"/>
  <c r="CZ10" i="34"/>
  <c r="CZ11" i="34"/>
  <c r="CX26" i="32"/>
  <c r="CZ10" i="32"/>
  <c r="CZ13" i="32"/>
  <c r="CZ11" i="32"/>
  <c r="CZ14" i="32" s="1"/>
  <c r="DA25" i="32"/>
  <c r="CY16" i="32"/>
  <c r="CY21" i="32" s="1"/>
  <c r="CY17" i="32"/>
  <c r="CY22" i="32" s="1"/>
  <c r="CY15" i="32"/>
  <c r="CY20" i="32" s="1"/>
  <c r="DB7" i="31"/>
  <c r="DB11" i="31" s="1"/>
  <c r="CX22" i="31"/>
  <c r="CX24" i="31" s="1"/>
  <c r="CX18" i="31"/>
  <c r="CX23" i="31"/>
  <c r="CW20" i="31"/>
  <c r="CW28" i="31" s="1"/>
  <c r="CW19" i="31"/>
  <c r="CW21" i="31"/>
  <c r="CY16" i="31"/>
  <c r="CY17" i="31" s="1"/>
  <c r="CY23" i="31" s="1"/>
  <c r="CX11" i="36"/>
  <c r="CY26" i="37"/>
  <c r="CY29" i="37" s="1"/>
  <c r="CX25" i="37"/>
  <c r="CY7" i="36"/>
  <c r="CY6" i="36"/>
  <c r="DA10" i="36"/>
  <c r="CZ5" i="36"/>
  <c r="CZ4" i="36"/>
  <c r="DA28" i="37"/>
  <c r="DA20" i="37" s="1"/>
  <c r="CZ22" i="37"/>
  <c r="CZ21" i="37"/>
  <c r="CZ23" i="37" s="1"/>
  <c r="DC6" i="31"/>
  <c r="DB13" i="31"/>
  <c r="DB14" i="31"/>
  <c r="DB15" i="31" s="1"/>
  <c r="DD27" i="31"/>
  <c r="DD4" i="31" s="1"/>
  <c r="DC5" i="31"/>
  <c r="CZ24" i="37" l="1"/>
  <c r="CZ15" i="34"/>
  <c r="CZ21" i="34" s="1"/>
  <c r="CZ14" i="34"/>
  <c r="CZ20" i="34" s="1"/>
  <c r="CZ13" i="34"/>
  <c r="CZ19" i="34" s="1"/>
  <c r="CZ12" i="34"/>
  <c r="CZ18" i="34" s="1"/>
  <c r="DB24" i="34"/>
  <c r="DA10" i="34"/>
  <c r="DA11" i="34"/>
  <c r="CY25" i="34"/>
  <c r="CY26" i="32"/>
  <c r="DA10" i="32"/>
  <c r="DA13" i="32"/>
  <c r="DB25" i="32"/>
  <c r="DA11" i="32"/>
  <c r="DA14" i="32" s="1"/>
  <c r="CZ16" i="32"/>
  <c r="CZ21" i="32" s="1"/>
  <c r="CZ17" i="32"/>
  <c r="CZ22" i="32" s="1"/>
  <c r="CZ15" i="32"/>
  <c r="CZ20" i="32" s="1"/>
  <c r="DC11" i="31"/>
  <c r="DC7" i="31"/>
  <c r="CZ16" i="31"/>
  <c r="CZ17" i="31" s="1"/>
  <c r="CX21" i="31"/>
  <c r="CX20" i="31"/>
  <c r="CX28" i="31" s="1"/>
  <c r="CX19" i="31"/>
  <c r="CY22" i="31"/>
  <c r="CY24" i="31" s="1"/>
  <c r="CY18" i="31"/>
  <c r="CY11" i="36"/>
  <c r="CZ25" i="37"/>
  <c r="CY25" i="37"/>
  <c r="DB28" i="37"/>
  <c r="DB20" i="37" s="1"/>
  <c r="DA22" i="37"/>
  <c r="DA21" i="37"/>
  <c r="DA23" i="37" s="1"/>
  <c r="CZ7" i="36"/>
  <c r="CZ6" i="36"/>
  <c r="DB10" i="36"/>
  <c r="DA5" i="36"/>
  <c r="DA4" i="36"/>
  <c r="DD6" i="31"/>
  <c r="DC13" i="31"/>
  <c r="DC14" i="31"/>
  <c r="DC15" i="31" s="1"/>
  <c r="DE27" i="31"/>
  <c r="DE4" i="31" s="1"/>
  <c r="DD5" i="31"/>
  <c r="DA24" i="37" l="1"/>
  <c r="DA13" i="34"/>
  <c r="DA19" i="34" s="1"/>
  <c r="DA12" i="34"/>
  <c r="DA18" i="34" s="1"/>
  <c r="DA14" i="34"/>
  <c r="DA20" i="34" s="1"/>
  <c r="DA15" i="34"/>
  <c r="DA21" i="34" s="1"/>
  <c r="DC24" i="34"/>
  <c r="DB10" i="34"/>
  <c r="DB11" i="34"/>
  <c r="CZ25" i="34"/>
  <c r="DB10" i="32"/>
  <c r="DB13" i="32"/>
  <c r="DB11" i="32"/>
  <c r="DB14" i="32" s="1"/>
  <c r="DC25" i="32"/>
  <c r="DA16" i="32"/>
  <c r="DA21" i="32" s="1"/>
  <c r="DA17" i="32"/>
  <c r="DA22" i="32" s="1"/>
  <c r="DA15" i="32"/>
  <c r="DA20" i="32" s="1"/>
  <c r="DA26" i="32" s="1"/>
  <c r="CZ26" i="32"/>
  <c r="DD7" i="31"/>
  <c r="DD11" i="31" s="1"/>
  <c r="CZ22" i="31"/>
  <c r="CZ24" i="31" s="1"/>
  <c r="CZ18" i="31"/>
  <c r="CZ23" i="31"/>
  <c r="CY21" i="31"/>
  <c r="CY19" i="31"/>
  <c r="CY20" i="31"/>
  <c r="CY28" i="31" s="1"/>
  <c r="DA16" i="31"/>
  <c r="DA17" i="31" s="1"/>
  <c r="DA26" i="37"/>
  <c r="DA29" i="37" s="1"/>
  <c r="CZ26" i="37"/>
  <c r="CZ29" i="37" s="1"/>
  <c r="CZ11" i="36"/>
  <c r="DA7" i="36"/>
  <c r="DA6" i="36"/>
  <c r="DC10" i="36"/>
  <c r="DB5" i="36"/>
  <c r="DB4" i="36"/>
  <c r="DC28" i="37"/>
  <c r="DC20" i="37" s="1"/>
  <c r="DB22" i="37"/>
  <c r="DB24" i="37" s="1"/>
  <c r="DB21" i="37"/>
  <c r="DB23" i="37" s="1"/>
  <c r="DE6" i="31"/>
  <c r="DD13" i="31"/>
  <c r="DD14" i="31"/>
  <c r="DD15" i="31" s="1"/>
  <c r="DF27" i="31"/>
  <c r="DF4" i="31" s="1"/>
  <c r="DE5" i="31"/>
  <c r="DB15" i="34" l="1"/>
  <c r="DB21" i="34" s="1"/>
  <c r="DB13" i="34"/>
  <c r="DB19" i="34" s="1"/>
  <c r="DB12" i="34"/>
  <c r="DB18" i="34" s="1"/>
  <c r="DB14" i="34"/>
  <c r="DB20" i="34" s="1"/>
  <c r="DD24" i="34"/>
  <c r="DC10" i="34"/>
  <c r="DC11" i="34"/>
  <c r="DA25" i="34"/>
  <c r="DC10" i="32"/>
  <c r="DD25" i="32"/>
  <c r="DC11" i="32"/>
  <c r="DC14" i="32" s="1"/>
  <c r="DC13" i="32"/>
  <c r="DB17" i="32"/>
  <c r="DB22" i="32" s="1"/>
  <c r="DB15" i="32"/>
  <c r="DB20" i="32" s="1"/>
  <c r="DB16" i="32"/>
  <c r="DB21" i="32" s="1"/>
  <c r="DE11" i="31"/>
  <c r="DE7" i="31"/>
  <c r="CZ21" i="31"/>
  <c r="CZ19" i="31"/>
  <c r="CZ20" i="31"/>
  <c r="CZ28" i="31" s="1"/>
  <c r="DA22" i="31"/>
  <c r="DA24" i="31" s="1"/>
  <c r="DA23" i="31"/>
  <c r="DA18" i="31"/>
  <c r="DB16" i="31"/>
  <c r="DB17" i="31" s="1"/>
  <c r="DA25" i="37"/>
  <c r="DB26" i="37"/>
  <c r="DB29" i="37" s="1"/>
  <c r="DA11" i="36"/>
  <c r="DD28" i="37"/>
  <c r="DD20" i="37" s="1"/>
  <c r="DC22" i="37"/>
  <c r="DC21" i="37"/>
  <c r="DC23" i="37" s="1"/>
  <c r="DB7" i="36"/>
  <c r="DB6" i="36"/>
  <c r="DD10" i="36"/>
  <c r="DC5" i="36"/>
  <c r="DC4" i="36"/>
  <c r="DF6" i="31"/>
  <c r="DE13" i="31"/>
  <c r="DE14" i="31"/>
  <c r="DE15" i="31" s="1"/>
  <c r="DG27" i="31"/>
  <c r="DG4" i="31" s="1"/>
  <c r="DF5" i="31"/>
  <c r="DC24" i="37" l="1"/>
  <c r="DC12" i="34"/>
  <c r="DC18" i="34" s="1"/>
  <c r="DC14" i="34"/>
  <c r="DC20" i="34" s="1"/>
  <c r="DC13" i="34"/>
  <c r="DC19" i="34" s="1"/>
  <c r="DC15" i="34"/>
  <c r="DC21" i="34" s="1"/>
  <c r="DE24" i="34"/>
  <c r="DD10" i="34"/>
  <c r="DD11" i="34"/>
  <c r="DB25" i="34"/>
  <c r="DC17" i="32"/>
  <c r="DC22" i="32" s="1"/>
  <c r="DC16" i="32"/>
  <c r="DC21" i="32" s="1"/>
  <c r="DC15" i="32"/>
  <c r="DC20" i="32" s="1"/>
  <c r="DD10" i="32"/>
  <c r="DD11" i="32"/>
  <c r="DD14" i="32" s="1"/>
  <c r="DE25" i="32"/>
  <c r="DD13" i="32"/>
  <c r="DB26" i="32"/>
  <c r="DF11" i="31"/>
  <c r="DF7" i="31"/>
  <c r="DA20" i="31"/>
  <c r="DA28" i="31" s="1"/>
  <c r="DA21" i="31"/>
  <c r="DA19" i="31"/>
  <c r="DB22" i="31"/>
  <c r="DB24" i="31" s="1"/>
  <c r="DB18" i="31"/>
  <c r="DB23" i="31"/>
  <c r="DC16" i="31"/>
  <c r="DC17" i="31" s="1"/>
  <c r="DB11" i="36"/>
  <c r="DC25" i="37"/>
  <c r="DB25" i="37"/>
  <c r="DC7" i="36"/>
  <c r="DC6" i="36"/>
  <c r="DE10" i="36"/>
  <c r="DD5" i="36"/>
  <c r="DD4" i="36"/>
  <c r="DE28" i="37"/>
  <c r="DE20" i="37" s="1"/>
  <c r="DD22" i="37"/>
  <c r="DD21" i="37"/>
  <c r="DD23" i="37" s="1"/>
  <c r="DG6" i="31"/>
  <c r="DF13" i="31"/>
  <c r="DF14" i="31"/>
  <c r="DF15" i="31" s="1"/>
  <c r="DG5" i="31"/>
  <c r="DH27" i="31"/>
  <c r="DH4" i="31" s="1"/>
  <c r="DD24" i="37" l="1"/>
  <c r="DF24" i="34"/>
  <c r="DE10" i="34"/>
  <c r="DE11" i="34"/>
  <c r="DC25" i="34"/>
  <c r="DD15" i="34"/>
  <c r="DD21" i="34" s="1"/>
  <c r="DD14" i="34"/>
  <c r="DD20" i="34" s="1"/>
  <c r="DD12" i="34"/>
  <c r="DD18" i="34" s="1"/>
  <c r="DD13" i="34"/>
  <c r="DD19" i="34" s="1"/>
  <c r="DE10" i="32"/>
  <c r="DF25" i="32"/>
  <c r="DE13" i="32"/>
  <c r="DE11" i="32"/>
  <c r="DE14" i="32" s="1"/>
  <c r="DD17" i="32"/>
  <c r="DD22" i="32" s="1"/>
  <c r="DD16" i="32"/>
  <c r="DD21" i="32" s="1"/>
  <c r="DD15" i="32"/>
  <c r="DD20" i="32" s="1"/>
  <c r="DD26" i="32" s="1"/>
  <c r="DC26" i="32"/>
  <c r="DG7" i="31"/>
  <c r="DG11" i="31" s="1"/>
  <c r="DC22" i="31"/>
  <c r="DC24" i="31" s="1"/>
  <c r="DC18" i="31"/>
  <c r="DC23" i="31"/>
  <c r="DB20" i="31"/>
  <c r="DB28" i="31" s="1"/>
  <c r="DB19" i="31"/>
  <c r="DB21" i="31"/>
  <c r="DD16" i="31"/>
  <c r="DD17" i="31" s="1"/>
  <c r="DC26" i="37"/>
  <c r="DC29" i="37" s="1"/>
  <c r="DD25" i="37"/>
  <c r="DC11" i="36"/>
  <c r="DF28" i="37"/>
  <c r="DF20" i="37" s="1"/>
  <c r="DE22" i="37"/>
  <c r="DE21" i="37"/>
  <c r="DE23" i="37" s="1"/>
  <c r="DD7" i="36"/>
  <c r="DD6" i="36"/>
  <c r="DF10" i="36"/>
  <c r="DE5" i="36"/>
  <c r="DE4" i="36"/>
  <c r="DH6" i="31"/>
  <c r="DG13" i="31"/>
  <c r="DG14" i="31"/>
  <c r="DG15" i="31" s="1"/>
  <c r="DH5" i="31"/>
  <c r="DI27" i="31"/>
  <c r="DI4" i="31" s="1"/>
  <c r="DE24" i="37" l="1"/>
  <c r="DD25" i="34"/>
  <c r="DE13" i="34"/>
  <c r="DE19" i="34" s="1"/>
  <c r="DE14" i="34"/>
  <c r="DE20" i="34" s="1"/>
  <c r="DE15" i="34"/>
  <c r="DE21" i="34" s="1"/>
  <c r="DE12" i="34"/>
  <c r="DE18" i="34" s="1"/>
  <c r="DG24" i="34"/>
  <c r="DF10" i="34"/>
  <c r="DF11" i="34"/>
  <c r="DE16" i="32"/>
  <c r="DE21" i="32" s="1"/>
  <c r="DE17" i="32"/>
  <c r="DE22" i="32" s="1"/>
  <c r="DE15" i="32"/>
  <c r="DE20" i="32" s="1"/>
  <c r="DF10" i="32"/>
  <c r="DF13" i="32"/>
  <c r="DF11" i="32"/>
  <c r="DF14" i="32" s="1"/>
  <c r="DG25" i="32"/>
  <c r="DH11" i="31"/>
  <c r="DH7" i="31"/>
  <c r="DC20" i="31"/>
  <c r="DC28" i="31" s="1"/>
  <c r="DC19" i="31"/>
  <c r="DC21" i="31"/>
  <c r="DD22" i="31"/>
  <c r="DD24" i="31" s="1"/>
  <c r="DD18" i="31"/>
  <c r="DD23" i="31"/>
  <c r="DE16" i="31"/>
  <c r="DE17" i="31" s="1"/>
  <c r="DD26" i="37"/>
  <c r="DD29" i="37" s="1"/>
  <c r="DD11" i="36"/>
  <c r="DE25" i="37"/>
  <c r="DE7" i="36"/>
  <c r="DE6" i="36"/>
  <c r="DG10" i="36"/>
  <c r="DF5" i="36"/>
  <c r="DF4" i="36"/>
  <c r="DG28" i="37"/>
  <c r="DG20" i="37" s="1"/>
  <c r="DF22" i="37"/>
  <c r="DF21" i="37"/>
  <c r="DF23" i="37" s="1"/>
  <c r="DI6" i="31"/>
  <c r="DH13" i="31"/>
  <c r="DH14" i="31"/>
  <c r="DH15" i="31" s="1"/>
  <c r="DI5" i="31"/>
  <c r="DJ27" i="31"/>
  <c r="DJ4" i="31" s="1"/>
  <c r="DE26" i="32" l="1"/>
  <c r="DF24" i="37"/>
  <c r="DF12" i="34"/>
  <c r="DF18" i="34" s="1"/>
  <c r="DF15" i="34"/>
  <c r="DF21" i="34" s="1"/>
  <c r="DF13" i="34"/>
  <c r="DF19" i="34" s="1"/>
  <c r="DF14" i="34"/>
  <c r="DF20" i="34" s="1"/>
  <c r="DH24" i="34"/>
  <c r="DG10" i="34"/>
  <c r="DG11" i="34"/>
  <c r="DE25" i="34"/>
  <c r="DG10" i="32"/>
  <c r="DH25" i="32"/>
  <c r="DG11" i="32"/>
  <c r="DG14" i="32" s="1"/>
  <c r="DG13" i="32"/>
  <c r="DF16" i="32"/>
  <c r="DF21" i="32" s="1"/>
  <c r="DF17" i="32"/>
  <c r="DF22" i="32" s="1"/>
  <c r="DF15" i="32"/>
  <c r="DF20" i="32" s="1"/>
  <c r="DI7" i="31"/>
  <c r="DI11" i="31" s="1"/>
  <c r="DD19" i="31"/>
  <c r="DD20" i="31"/>
  <c r="DD28" i="31" s="1"/>
  <c r="DD21" i="31"/>
  <c r="DE22" i="31"/>
  <c r="DE24" i="31" s="1"/>
  <c r="DE18" i="31"/>
  <c r="DE23" i="31"/>
  <c r="DF16" i="31"/>
  <c r="DF17" i="31" s="1"/>
  <c r="DE26" i="37"/>
  <c r="DE29" i="37" s="1"/>
  <c r="DF25" i="37"/>
  <c r="DE11" i="36"/>
  <c r="DH28" i="37"/>
  <c r="DH20" i="37" s="1"/>
  <c r="DG22" i="37"/>
  <c r="DG21" i="37"/>
  <c r="DG23" i="37" s="1"/>
  <c r="DF7" i="36"/>
  <c r="DF6" i="36"/>
  <c r="DH10" i="36"/>
  <c r="DG5" i="36"/>
  <c r="DG4" i="36"/>
  <c r="DJ6" i="31"/>
  <c r="DI13" i="31"/>
  <c r="DI14" i="31"/>
  <c r="DI15" i="31" s="1"/>
  <c r="DK27" i="31"/>
  <c r="DK4" i="31" s="1"/>
  <c r="DJ5" i="31"/>
  <c r="DF26" i="32" l="1"/>
  <c r="DG24" i="37"/>
  <c r="DG26" i="37" s="1"/>
  <c r="DG29" i="37" s="1"/>
  <c r="DI24" i="34"/>
  <c r="DH10" i="34"/>
  <c r="DH11" i="34"/>
  <c r="DG14" i="34"/>
  <c r="DG20" i="34" s="1"/>
  <c r="DG13" i="34"/>
  <c r="DG19" i="34" s="1"/>
  <c r="DG15" i="34"/>
  <c r="DG21" i="34" s="1"/>
  <c r="DG12" i="34"/>
  <c r="DG18" i="34" s="1"/>
  <c r="DG25" i="34" s="1"/>
  <c r="DF25" i="34"/>
  <c r="DG16" i="32"/>
  <c r="DG21" i="32" s="1"/>
  <c r="DG17" i="32"/>
  <c r="DG22" i="32" s="1"/>
  <c r="DG15" i="32"/>
  <c r="DG20" i="32" s="1"/>
  <c r="DH10" i="32"/>
  <c r="DH13" i="32"/>
  <c r="DH11" i="32"/>
  <c r="DH14" i="32" s="1"/>
  <c r="DI25" i="32"/>
  <c r="DJ7" i="31"/>
  <c r="DJ11" i="31" s="1"/>
  <c r="DE21" i="31"/>
  <c r="DE20" i="31"/>
  <c r="DE28" i="31" s="1"/>
  <c r="DE19" i="31"/>
  <c r="DF22" i="31"/>
  <c r="DF24" i="31" s="1"/>
  <c r="DF18" i="31"/>
  <c r="DF23" i="31"/>
  <c r="DG16" i="31"/>
  <c r="DG17" i="31" s="1"/>
  <c r="DF26" i="37"/>
  <c r="DF29" i="37" s="1"/>
  <c r="DF11" i="36"/>
  <c r="DG7" i="36"/>
  <c r="DG6" i="36"/>
  <c r="DI10" i="36"/>
  <c r="DH5" i="36"/>
  <c r="DH4" i="36"/>
  <c r="DI28" i="37"/>
  <c r="DI20" i="37" s="1"/>
  <c r="DH22" i="37"/>
  <c r="DH21" i="37"/>
  <c r="DH23" i="37" s="1"/>
  <c r="DK6" i="31"/>
  <c r="DJ13" i="31"/>
  <c r="DJ14" i="31"/>
  <c r="DJ15" i="31" s="1"/>
  <c r="DL27" i="31"/>
  <c r="DL4" i="31" s="1"/>
  <c r="DK5" i="31"/>
  <c r="DG26" i="32" l="1"/>
  <c r="DH24" i="37"/>
  <c r="DH26" i="37" s="1"/>
  <c r="DH29" i="37" s="1"/>
  <c r="DH14" i="34"/>
  <c r="DH20" i="34" s="1"/>
  <c r="DH13" i="34"/>
  <c r="DH19" i="34" s="1"/>
  <c r="DH15" i="34"/>
  <c r="DH21" i="34" s="1"/>
  <c r="DH12" i="34"/>
  <c r="DH18" i="34" s="1"/>
  <c r="DJ24" i="34"/>
  <c r="DI10" i="34"/>
  <c r="DI11" i="34"/>
  <c r="DI10" i="32"/>
  <c r="DJ25" i="32"/>
  <c r="DI13" i="32"/>
  <c r="DI11" i="32"/>
  <c r="DI14" i="32" s="1"/>
  <c r="DH16" i="32"/>
  <c r="DH21" i="32" s="1"/>
  <c r="DH17" i="32"/>
  <c r="DH22" i="32" s="1"/>
  <c r="DH15" i="32"/>
  <c r="DH20" i="32" s="1"/>
  <c r="DK11" i="31"/>
  <c r="DK7" i="31"/>
  <c r="DF20" i="31"/>
  <c r="DF28" i="31" s="1"/>
  <c r="DF19" i="31"/>
  <c r="DF21" i="31"/>
  <c r="DG22" i="31"/>
  <c r="DG24" i="31" s="1"/>
  <c r="DG18" i="31"/>
  <c r="DG23" i="31"/>
  <c r="DH16" i="31"/>
  <c r="DH17" i="31" s="1"/>
  <c r="DG25" i="37"/>
  <c r="DG11" i="36"/>
  <c r="DJ28" i="37"/>
  <c r="DJ20" i="37" s="1"/>
  <c r="DI22" i="37"/>
  <c r="DI21" i="37"/>
  <c r="DI23" i="37" s="1"/>
  <c r="DH7" i="36"/>
  <c r="DH6" i="36"/>
  <c r="DJ10" i="36"/>
  <c r="DI5" i="36"/>
  <c r="DI4" i="36"/>
  <c r="DL6" i="31"/>
  <c r="DK14" i="31"/>
  <c r="DK15" i="31" s="1"/>
  <c r="DK13" i="31"/>
  <c r="DM27" i="31"/>
  <c r="DM4" i="31" s="1"/>
  <c r="DL5" i="31"/>
  <c r="DI24" i="37" l="1"/>
  <c r="DK24" i="34"/>
  <c r="DJ10" i="34"/>
  <c r="DJ11" i="34"/>
  <c r="DH25" i="34"/>
  <c r="DI15" i="34"/>
  <c r="DI21" i="34" s="1"/>
  <c r="DI14" i="34"/>
  <c r="DI20" i="34" s="1"/>
  <c r="DI13" i="34"/>
  <c r="DI19" i="34" s="1"/>
  <c r="DI12" i="34"/>
  <c r="DI18" i="34" s="1"/>
  <c r="DH26" i="32"/>
  <c r="DI16" i="32"/>
  <c r="DI21" i="32" s="1"/>
  <c r="DI17" i="32"/>
  <c r="DI22" i="32" s="1"/>
  <c r="DI15" i="32"/>
  <c r="DI20" i="32" s="1"/>
  <c r="DJ10" i="32"/>
  <c r="DJ13" i="32"/>
  <c r="DJ11" i="32"/>
  <c r="DJ14" i="32" s="1"/>
  <c r="DK25" i="32"/>
  <c r="DL11" i="31"/>
  <c r="DL7" i="31"/>
  <c r="DG21" i="31"/>
  <c r="DG20" i="31"/>
  <c r="DG28" i="31" s="1"/>
  <c r="DG19" i="31"/>
  <c r="DH22" i="31"/>
  <c r="DH24" i="31" s="1"/>
  <c r="DH18" i="31"/>
  <c r="DH23" i="31"/>
  <c r="DI16" i="31"/>
  <c r="DI17" i="31" s="1"/>
  <c r="DH25" i="37"/>
  <c r="DI25" i="37"/>
  <c r="DH11" i="36"/>
  <c r="DK10" i="36"/>
  <c r="DJ5" i="36"/>
  <c r="DJ4" i="36"/>
  <c r="DI7" i="36"/>
  <c r="DI6" i="36"/>
  <c r="DK28" i="37"/>
  <c r="DK20" i="37" s="1"/>
  <c r="DJ22" i="37"/>
  <c r="DJ21" i="37"/>
  <c r="DJ23" i="37" s="1"/>
  <c r="DM6" i="31"/>
  <c r="DL13" i="31"/>
  <c r="DL14" i="31"/>
  <c r="DL15" i="31" s="1"/>
  <c r="DN27" i="31"/>
  <c r="DN4" i="31" s="1"/>
  <c r="DM5" i="31"/>
  <c r="DJ24" i="37" l="1"/>
  <c r="DI25" i="34"/>
  <c r="DJ15" i="34"/>
  <c r="DJ21" i="34" s="1"/>
  <c r="DJ12" i="34"/>
  <c r="DJ18" i="34" s="1"/>
  <c r="DJ14" i="34"/>
  <c r="DJ20" i="34" s="1"/>
  <c r="DJ13" i="34"/>
  <c r="DJ19" i="34" s="1"/>
  <c r="DL24" i="34"/>
  <c r="DK10" i="34"/>
  <c r="DK11" i="34"/>
  <c r="DJ17" i="32"/>
  <c r="DJ22" i="32" s="1"/>
  <c r="DJ15" i="32"/>
  <c r="DJ20" i="32" s="1"/>
  <c r="DJ16" i="32"/>
  <c r="DJ21" i="32" s="1"/>
  <c r="DK10" i="32"/>
  <c r="DL25" i="32"/>
  <c r="DK13" i="32"/>
  <c r="DK11" i="32"/>
  <c r="DK14" i="32" s="1"/>
  <c r="DI26" i="32"/>
  <c r="DM11" i="31"/>
  <c r="DM7" i="31"/>
  <c r="DH20" i="31"/>
  <c r="DH28" i="31" s="1"/>
  <c r="DH19" i="31"/>
  <c r="DH21" i="31"/>
  <c r="DI22" i="31"/>
  <c r="DI24" i="31" s="1"/>
  <c r="DI18" i="31"/>
  <c r="DI23" i="31"/>
  <c r="DJ16" i="31"/>
  <c r="DJ17" i="31" s="1"/>
  <c r="DI26" i="37"/>
  <c r="DI29" i="37" s="1"/>
  <c r="DI11" i="36"/>
  <c r="DL28" i="37"/>
  <c r="DL20" i="37" s="1"/>
  <c r="DK22" i="37"/>
  <c r="DK21" i="37"/>
  <c r="DK23" i="37" s="1"/>
  <c r="DJ7" i="36"/>
  <c r="DJ6" i="36"/>
  <c r="DL10" i="36"/>
  <c r="DK5" i="36"/>
  <c r="DK4" i="36"/>
  <c r="DN6" i="31"/>
  <c r="DM13" i="31"/>
  <c r="DM14" i="31"/>
  <c r="DM15" i="31" s="1"/>
  <c r="DO27" i="31"/>
  <c r="DO4" i="31" s="1"/>
  <c r="DN5" i="31"/>
  <c r="DK24" i="37" l="1"/>
  <c r="DK14" i="34"/>
  <c r="DK20" i="34" s="1"/>
  <c r="DK13" i="34"/>
  <c r="DK19" i="34" s="1"/>
  <c r="DK12" i="34"/>
  <c r="DK18" i="34" s="1"/>
  <c r="DK15" i="34"/>
  <c r="DK21" i="34" s="1"/>
  <c r="DM24" i="34"/>
  <c r="DL10" i="34"/>
  <c r="DL11" i="34"/>
  <c r="DJ25" i="34"/>
  <c r="DK16" i="32"/>
  <c r="DK21" i="32" s="1"/>
  <c r="DK15" i="32"/>
  <c r="DK20" i="32" s="1"/>
  <c r="DK17" i="32"/>
  <c r="DK22" i="32" s="1"/>
  <c r="DL10" i="32"/>
  <c r="DL13" i="32"/>
  <c r="DL11" i="32"/>
  <c r="DL14" i="32" s="1"/>
  <c r="DM25" i="32"/>
  <c r="DJ26" i="32"/>
  <c r="DN11" i="31"/>
  <c r="DN7" i="31"/>
  <c r="DI20" i="31"/>
  <c r="DI28" i="31" s="1"/>
  <c r="DI21" i="31"/>
  <c r="DI19" i="31"/>
  <c r="DJ22" i="31"/>
  <c r="DJ24" i="31" s="1"/>
  <c r="DJ18" i="31"/>
  <c r="DJ23" i="31"/>
  <c r="DK16" i="31"/>
  <c r="DK17" i="31" s="1"/>
  <c r="DK25" i="37"/>
  <c r="DJ11" i="36"/>
  <c r="DK6" i="36"/>
  <c r="DK7" i="36"/>
  <c r="DJ25" i="37"/>
  <c r="DJ26" i="37"/>
  <c r="DJ29" i="37" s="1"/>
  <c r="DL5" i="36"/>
  <c r="DM10" i="36"/>
  <c r="DL4" i="36"/>
  <c r="DM28" i="37"/>
  <c r="DM20" i="37" s="1"/>
  <c r="DL22" i="37"/>
  <c r="DL21" i="37"/>
  <c r="DL23" i="37" s="1"/>
  <c r="DO6" i="31"/>
  <c r="DN13" i="31"/>
  <c r="DN14" i="31"/>
  <c r="DN15" i="31" s="1"/>
  <c r="DO5" i="31"/>
  <c r="DP27" i="31"/>
  <c r="DP4" i="31" s="1"/>
  <c r="DL24" i="37" l="1"/>
  <c r="DL13" i="34"/>
  <c r="DL19" i="34" s="1"/>
  <c r="DL15" i="34"/>
  <c r="DL21" i="34" s="1"/>
  <c r="DL12" i="34"/>
  <c r="DL18" i="34" s="1"/>
  <c r="DL14" i="34"/>
  <c r="DL20" i="34" s="1"/>
  <c r="DL25" i="34" s="1"/>
  <c r="DN24" i="34"/>
  <c r="DM10" i="34"/>
  <c r="DM11" i="34"/>
  <c r="DK25" i="34"/>
  <c r="DM10" i="32"/>
  <c r="DM13" i="32"/>
  <c r="DM11" i="32"/>
  <c r="DM14" i="32" s="1"/>
  <c r="DN25" i="32"/>
  <c r="DL17" i="32"/>
  <c r="DL22" i="32" s="1"/>
  <c r="DL16" i="32"/>
  <c r="DL21" i="32" s="1"/>
  <c r="DL15" i="32"/>
  <c r="DL20" i="32" s="1"/>
  <c r="DL26" i="32" s="1"/>
  <c r="DK26" i="32"/>
  <c r="DO11" i="31"/>
  <c r="DO7" i="31"/>
  <c r="DJ19" i="31"/>
  <c r="DJ21" i="31"/>
  <c r="DJ20" i="31"/>
  <c r="DJ28" i="31" s="1"/>
  <c r="DK22" i="31"/>
  <c r="DK24" i="31" s="1"/>
  <c r="DK18" i="31"/>
  <c r="DK23" i="31"/>
  <c r="DL16" i="31"/>
  <c r="DL17" i="31" s="1"/>
  <c r="DK26" i="37"/>
  <c r="DK29" i="37" s="1"/>
  <c r="DL25" i="37"/>
  <c r="DN10" i="36"/>
  <c r="DM5" i="36"/>
  <c r="DM4" i="36"/>
  <c r="DL7" i="36"/>
  <c r="DL6" i="36"/>
  <c r="DN28" i="37"/>
  <c r="DN20" i="37" s="1"/>
  <c r="DM22" i="37"/>
  <c r="DM21" i="37"/>
  <c r="DM23" i="37" s="1"/>
  <c r="DK11" i="36"/>
  <c r="DP6" i="31"/>
  <c r="DO14" i="31"/>
  <c r="DO15" i="31" s="1"/>
  <c r="DO13" i="31"/>
  <c r="DQ27" i="31"/>
  <c r="DQ4" i="31" s="1"/>
  <c r="DP5" i="31"/>
  <c r="DM24" i="37" l="1"/>
  <c r="DO24" i="34"/>
  <c r="DN10" i="34"/>
  <c r="DN11" i="34"/>
  <c r="DM12" i="34"/>
  <c r="DM18" i="34" s="1"/>
  <c r="DM15" i="34"/>
  <c r="DM21" i="34" s="1"/>
  <c r="DM14" i="34"/>
  <c r="DM20" i="34" s="1"/>
  <c r="DM13" i="34"/>
  <c r="DM19" i="34" s="1"/>
  <c r="DN10" i="32"/>
  <c r="DN11" i="32"/>
  <c r="DN14" i="32" s="1"/>
  <c r="DO25" i="32"/>
  <c r="DN13" i="32"/>
  <c r="DM16" i="32"/>
  <c r="DM21" i="32" s="1"/>
  <c r="DM17" i="32"/>
  <c r="DM22" i="32" s="1"/>
  <c r="DM15" i="32"/>
  <c r="DM20" i="32" s="1"/>
  <c r="DP11" i="31"/>
  <c r="DP7" i="31"/>
  <c r="DK20" i="31"/>
  <c r="DK28" i="31" s="1"/>
  <c r="DK21" i="31"/>
  <c r="DK19" i="31"/>
  <c r="DL22" i="31"/>
  <c r="DL24" i="31" s="1"/>
  <c r="DL18" i="31"/>
  <c r="DL23" i="31"/>
  <c r="DM16" i="31"/>
  <c r="DM17" i="31" s="1"/>
  <c r="DL26" i="37"/>
  <c r="DL29" i="37" s="1"/>
  <c r="DL11" i="36"/>
  <c r="DM25" i="37"/>
  <c r="DO28" i="37"/>
  <c r="DO20" i="37" s="1"/>
  <c r="DN22" i="37"/>
  <c r="DN21" i="37"/>
  <c r="DN23" i="37" s="1"/>
  <c r="DM7" i="36"/>
  <c r="DM6" i="36"/>
  <c r="DO10" i="36"/>
  <c r="DN5" i="36"/>
  <c r="DN4" i="36"/>
  <c r="DQ6" i="31"/>
  <c r="DP13" i="31"/>
  <c r="DP14" i="31"/>
  <c r="DP15" i="31" s="1"/>
  <c r="DQ5" i="31"/>
  <c r="DR27" i="31"/>
  <c r="DR4" i="31" s="1"/>
  <c r="DN24" i="37" l="1"/>
  <c r="DM25" i="34"/>
  <c r="DN12" i="34"/>
  <c r="DN18" i="34" s="1"/>
  <c r="DN13" i="34"/>
  <c r="DN19" i="34" s="1"/>
  <c r="DN14" i="34"/>
  <c r="DN20" i="34" s="1"/>
  <c r="DN15" i="34"/>
  <c r="DN21" i="34" s="1"/>
  <c r="DP24" i="34"/>
  <c r="DO10" i="34"/>
  <c r="DO11" i="34"/>
  <c r="DM26" i="32"/>
  <c r="DN16" i="32"/>
  <c r="DN21" i="32" s="1"/>
  <c r="DN17" i="32"/>
  <c r="DN22" i="32" s="1"/>
  <c r="DN15" i="32"/>
  <c r="DN20" i="32" s="1"/>
  <c r="DO10" i="32"/>
  <c r="DO13" i="32"/>
  <c r="DP25" i="32"/>
  <c r="DO11" i="32"/>
  <c r="DO14" i="32" s="1"/>
  <c r="DQ11" i="31"/>
  <c r="DQ7" i="31"/>
  <c r="DL21" i="31"/>
  <c r="DL20" i="31"/>
  <c r="DL28" i="31" s="1"/>
  <c r="DL19" i="31"/>
  <c r="DM22" i="31"/>
  <c r="DM24" i="31" s="1"/>
  <c r="DM18" i="31"/>
  <c r="DM23" i="31"/>
  <c r="DN16" i="31"/>
  <c r="DN17" i="31" s="1"/>
  <c r="DN26" i="37"/>
  <c r="DN29" i="37" s="1"/>
  <c r="DM26" i="37"/>
  <c r="DM29" i="37" s="1"/>
  <c r="DM11" i="36"/>
  <c r="DP10" i="36"/>
  <c r="DO5" i="36"/>
  <c r="DO4" i="36"/>
  <c r="DN7" i="36"/>
  <c r="DN6" i="36"/>
  <c r="DP28" i="37"/>
  <c r="DP20" i="37" s="1"/>
  <c r="DO22" i="37"/>
  <c r="DO21" i="37"/>
  <c r="DO23" i="37" s="1"/>
  <c r="DR6" i="31"/>
  <c r="DQ13" i="31"/>
  <c r="DQ14" i="31"/>
  <c r="DQ15" i="31" s="1"/>
  <c r="DR5" i="31"/>
  <c r="DN26" i="32" l="1"/>
  <c r="DO24" i="37"/>
  <c r="DO13" i="34"/>
  <c r="DO19" i="34" s="1"/>
  <c r="DO14" i="34"/>
  <c r="DO20" i="34" s="1"/>
  <c r="DO12" i="34"/>
  <c r="DO18" i="34" s="1"/>
  <c r="DO15" i="34"/>
  <c r="DO21" i="34" s="1"/>
  <c r="DQ24" i="34"/>
  <c r="DP10" i="34"/>
  <c r="DP11" i="34"/>
  <c r="DN25" i="34"/>
  <c r="DP10" i="32"/>
  <c r="DQ25" i="32"/>
  <c r="DP13" i="32"/>
  <c r="DP11" i="32"/>
  <c r="DP14" i="32" s="1"/>
  <c r="DO16" i="32"/>
  <c r="DO21" i="32" s="1"/>
  <c r="DO17" i="32"/>
  <c r="DO22" i="32" s="1"/>
  <c r="DO15" i="32"/>
  <c r="DO20" i="32" s="1"/>
  <c r="DR11" i="31"/>
  <c r="DR7" i="31"/>
  <c r="DM20" i="31"/>
  <c r="DM28" i="31" s="1"/>
  <c r="DM19" i="31"/>
  <c r="DM21" i="31"/>
  <c r="DN22" i="31"/>
  <c r="DN24" i="31" s="1"/>
  <c r="DN18" i="31"/>
  <c r="DN23" i="31"/>
  <c r="DO16" i="31"/>
  <c r="DO17" i="31" s="1"/>
  <c r="DN25" i="37"/>
  <c r="DN11" i="36"/>
  <c r="DQ28" i="37"/>
  <c r="DQ20" i="37" s="1"/>
  <c r="DP22" i="37"/>
  <c r="DP21" i="37"/>
  <c r="DP23" i="37" s="1"/>
  <c r="DO7" i="36"/>
  <c r="DO6" i="36"/>
  <c r="DQ10" i="36"/>
  <c r="DP5" i="36"/>
  <c r="DP4" i="36"/>
  <c r="DR14" i="31"/>
  <c r="DR15" i="31" s="1"/>
  <c r="DR13" i="31"/>
  <c r="DO26" i="32" l="1"/>
  <c r="DP24" i="37"/>
  <c r="DR24" i="34"/>
  <c r="DQ10" i="34"/>
  <c r="DQ11" i="34"/>
  <c r="DO25" i="34"/>
  <c r="DP13" i="34"/>
  <c r="DP19" i="34" s="1"/>
  <c r="DP14" i="34"/>
  <c r="DP20" i="34" s="1"/>
  <c r="DP12" i="34"/>
  <c r="DP18" i="34" s="1"/>
  <c r="DP25" i="34" s="1"/>
  <c r="DP15" i="34"/>
  <c r="DP21" i="34" s="1"/>
  <c r="DP16" i="32"/>
  <c r="DP21" i="32" s="1"/>
  <c r="DP17" i="32"/>
  <c r="DP22" i="32" s="1"/>
  <c r="DP15" i="32"/>
  <c r="DP20" i="32" s="1"/>
  <c r="DQ10" i="32"/>
  <c r="DQ11" i="32"/>
  <c r="DQ14" i="32" s="1"/>
  <c r="DQ13" i="32"/>
  <c r="DR25" i="32"/>
  <c r="DO22" i="31"/>
  <c r="DO24" i="31" s="1"/>
  <c r="DO18" i="31"/>
  <c r="DO23" i="31"/>
  <c r="DN21" i="31"/>
  <c r="DN20" i="31"/>
  <c r="DN28" i="31" s="1"/>
  <c r="DN19" i="31"/>
  <c r="DP16" i="31"/>
  <c r="DP17" i="31" s="1"/>
  <c r="DO11" i="36"/>
  <c r="DP25" i="37"/>
  <c r="DP7" i="36"/>
  <c r="DP6" i="36"/>
  <c r="DO26" i="37"/>
  <c r="DO29" i="37" s="1"/>
  <c r="DO25" i="37"/>
  <c r="DR10" i="36"/>
  <c r="DQ5" i="36"/>
  <c r="DQ4" i="36"/>
  <c r="DR28" i="37"/>
  <c r="DR20" i="37" s="1"/>
  <c r="DQ22" i="37"/>
  <c r="DQ21" i="37"/>
  <c r="DQ23" i="37" s="1"/>
  <c r="DP26" i="32" l="1"/>
  <c r="DQ24" i="37"/>
  <c r="DQ12" i="34"/>
  <c r="DQ18" i="34" s="1"/>
  <c r="DQ13" i="34"/>
  <c r="DQ19" i="34" s="1"/>
  <c r="DQ15" i="34"/>
  <c r="DQ21" i="34" s="1"/>
  <c r="DQ14" i="34"/>
  <c r="DQ20" i="34" s="1"/>
  <c r="DR10" i="34"/>
  <c r="DR11" i="34"/>
  <c r="C9" i="28"/>
  <c r="G9" i="28"/>
  <c r="J9" i="28"/>
  <c r="F9" i="28"/>
  <c r="H9" i="28"/>
  <c r="K9" i="28"/>
  <c r="DQ16" i="32"/>
  <c r="DQ21" i="32" s="1"/>
  <c r="DQ17" i="32"/>
  <c r="DQ22" i="32" s="1"/>
  <c r="DQ15" i="32"/>
  <c r="DQ20" i="32" s="1"/>
  <c r="DQ26" i="32" s="1"/>
  <c r="DR10" i="32"/>
  <c r="DR11" i="32"/>
  <c r="DR14" i="32" s="1"/>
  <c r="DR13" i="32"/>
  <c r="K7" i="28"/>
  <c r="E7" i="28"/>
  <c r="D7" i="28"/>
  <c r="I7" i="28"/>
  <c r="C7" i="28"/>
  <c r="G7" i="28"/>
  <c r="J7" i="28"/>
  <c r="H7" i="28"/>
  <c r="F7" i="28"/>
  <c r="DO21" i="31"/>
  <c r="DO20" i="31"/>
  <c r="DO28" i="31" s="1"/>
  <c r="DO19" i="31"/>
  <c r="DP22" i="31"/>
  <c r="DP24" i="31" s="1"/>
  <c r="DP18" i="31"/>
  <c r="DP23" i="31"/>
  <c r="DQ16" i="31"/>
  <c r="DQ17" i="31" s="1"/>
  <c r="DP26" i="37"/>
  <c r="DP29" i="37" s="1"/>
  <c r="DQ25" i="37"/>
  <c r="DP11" i="36"/>
  <c r="DQ7" i="36"/>
  <c r="DQ6" i="36"/>
  <c r="DS10" i="36"/>
  <c r="DR5" i="36"/>
  <c r="DR4" i="36"/>
  <c r="DR22" i="37"/>
  <c r="DR21" i="37"/>
  <c r="DR23" i="37" s="1"/>
  <c r="DR24" i="37" l="1"/>
  <c r="DR13" i="34"/>
  <c r="DR19" i="34" s="1"/>
  <c r="DR14" i="34"/>
  <c r="DR20" i="34" s="1"/>
  <c r="DR15" i="34"/>
  <c r="DR21" i="34" s="1"/>
  <c r="DR12" i="34"/>
  <c r="DR18" i="34" s="1"/>
  <c r="DQ25" i="34"/>
  <c r="DR17" i="32"/>
  <c r="DR22" i="32" s="1"/>
  <c r="DR15" i="32"/>
  <c r="DR20" i="32" s="1"/>
  <c r="DR26" i="32" s="1"/>
  <c r="L7" i="28" s="1"/>
  <c r="C31" i="45" s="1"/>
  <c r="DR16" i="32"/>
  <c r="DR21" i="32" s="1"/>
  <c r="DP20" i="31"/>
  <c r="DP28" i="31" s="1"/>
  <c r="DP19" i="31"/>
  <c r="DP21" i="31"/>
  <c r="DQ22" i="31"/>
  <c r="DQ24" i="31" s="1"/>
  <c r="DQ18" i="31"/>
  <c r="DQ23" i="31"/>
  <c r="DR16" i="31"/>
  <c r="DR17" i="31" s="1"/>
  <c r="DR25" i="37"/>
  <c r="DQ11" i="36"/>
  <c r="DQ26" i="37"/>
  <c r="DQ29" i="37" s="1"/>
  <c r="DR7" i="36"/>
  <c r="DR6" i="36"/>
  <c r="DT10" i="36"/>
  <c r="DS5" i="36"/>
  <c r="DS4" i="36"/>
  <c r="DR25" i="34" l="1"/>
  <c r="DQ20" i="31"/>
  <c r="DQ28" i="31" s="1"/>
  <c r="DQ21" i="31"/>
  <c r="DQ19" i="31"/>
  <c r="DR22" i="31"/>
  <c r="DR24" i="31" s="1"/>
  <c r="DR18" i="31"/>
  <c r="DR23" i="31"/>
  <c r="DR26" i="37"/>
  <c r="DR29" i="37" s="1"/>
  <c r="DR11" i="36"/>
  <c r="DU10" i="36"/>
  <c r="DT5" i="36"/>
  <c r="DT4" i="36"/>
  <c r="DS7" i="36"/>
  <c r="DS6" i="36"/>
  <c r="L45" i="28"/>
  <c r="L46" i="28" s="1"/>
  <c r="E45" i="28"/>
  <c r="E46" i="28" s="1"/>
  <c r="K45" i="28"/>
  <c r="K46" i="28" s="1"/>
  <c r="J45" i="28"/>
  <c r="J46" i="28" s="1"/>
  <c r="G45" i="28"/>
  <c r="G46" i="28" s="1"/>
  <c r="F45" i="28"/>
  <c r="F46" i="28" s="1"/>
  <c r="H45" i="28"/>
  <c r="H46" i="28" s="1"/>
  <c r="I45" i="28"/>
  <c r="I46" i="28" s="1"/>
  <c r="C45" i="28"/>
  <c r="C46" i="28" s="1"/>
  <c r="I6" i="28"/>
  <c r="K6" i="28"/>
  <c r="E6" i="28"/>
  <c r="G6" i="28"/>
  <c r="H6" i="28"/>
  <c r="J6" i="28"/>
  <c r="L6" i="28"/>
  <c r="C30" i="45" s="1"/>
  <c r="F6" i="28"/>
  <c r="C6" i="28"/>
  <c r="D9" i="28" l="1"/>
  <c r="E9" i="28"/>
  <c r="I9" i="28"/>
  <c r="L9" i="28"/>
  <c r="C33" i="45" s="1"/>
  <c r="D45" i="28"/>
  <c r="D46" i="28" s="1"/>
  <c r="DR20" i="31"/>
  <c r="DR28" i="31" s="1"/>
  <c r="DR19" i="31"/>
  <c r="DR21" i="31"/>
  <c r="DS11" i="36"/>
  <c r="DT7" i="36"/>
  <c r="DT6" i="36"/>
  <c r="DV10" i="36"/>
  <c r="DU5" i="36"/>
  <c r="DU4" i="36"/>
  <c r="DT11" i="36" l="1"/>
  <c r="DW10" i="36"/>
  <c r="DV5" i="36"/>
  <c r="DV4" i="36"/>
  <c r="DU7" i="36"/>
  <c r="DU6" i="36"/>
  <c r="DU11" i="36" l="1"/>
  <c r="G8" i="28"/>
  <c r="G10" i="28" s="1"/>
  <c r="G21" i="45" s="1"/>
  <c r="C8" i="28"/>
  <c r="C10" i="28" s="1"/>
  <c r="J8" i="28"/>
  <c r="J10" i="28" s="1"/>
  <c r="J21" i="45" s="1"/>
  <c r="I8" i="28"/>
  <c r="I10" i="28" s="1"/>
  <c r="I21" i="45" s="1"/>
  <c r="F8" i="28"/>
  <c r="F10" i="28" s="1"/>
  <c r="F21" i="45" s="1"/>
  <c r="K8" i="28"/>
  <c r="K10" i="28" s="1"/>
  <c r="K21" i="45" s="1"/>
  <c r="L8" i="28"/>
  <c r="H8" i="28"/>
  <c r="H10" i="28" s="1"/>
  <c r="H21" i="45" s="1"/>
  <c r="DV7" i="36"/>
  <c r="DV6" i="36"/>
  <c r="DW5" i="36"/>
  <c r="DW4" i="36"/>
  <c r="J13" i="28"/>
  <c r="C13" i="28"/>
  <c r="I13" i="28"/>
  <c r="H13" i="28"/>
  <c r="L13" i="28"/>
  <c r="G13" i="28"/>
  <c r="F13" i="28"/>
  <c r="K13" i="28"/>
  <c r="L10" i="28" l="1"/>
  <c r="L21" i="45" s="1"/>
  <c r="C32" i="45"/>
  <c r="C21" i="45"/>
  <c r="DV11" i="36"/>
  <c r="K72" i="28"/>
  <c r="K71" i="28"/>
  <c r="K69" i="28"/>
  <c r="K70" i="28"/>
  <c r="K68" i="28"/>
  <c r="K15" i="28"/>
  <c r="K14" i="28"/>
  <c r="F70" i="28"/>
  <c r="F14" i="28"/>
  <c r="F71" i="28"/>
  <c r="F72" i="28"/>
  <c r="F15" i="28"/>
  <c r="F69" i="28"/>
  <c r="F68" i="28"/>
  <c r="DW6" i="36"/>
  <c r="DW7" i="36"/>
  <c r="I70" i="28"/>
  <c r="I69" i="28"/>
  <c r="I71" i="28"/>
  <c r="I14" i="28"/>
  <c r="I15" i="28"/>
  <c r="I72" i="28"/>
  <c r="I68" i="28"/>
  <c r="J15" i="28"/>
  <c r="J72" i="28"/>
  <c r="J71" i="28"/>
  <c r="J70" i="28"/>
  <c r="J14" i="28"/>
  <c r="J69" i="28"/>
  <c r="J68" i="28"/>
  <c r="C14" i="28"/>
  <c r="C68" i="28"/>
  <c r="C69" i="28"/>
  <c r="C15" i="28"/>
  <c r="C72" i="28"/>
  <c r="C70" i="28"/>
  <c r="C71" i="28"/>
  <c r="G71" i="28"/>
  <c r="G68" i="28"/>
  <c r="G70" i="28"/>
  <c r="G69" i="28"/>
  <c r="G15" i="28"/>
  <c r="G72" i="28"/>
  <c r="G14" i="28"/>
  <c r="H72" i="28"/>
  <c r="H71" i="28"/>
  <c r="H15" i="28"/>
  <c r="H70" i="28"/>
  <c r="H14" i="28"/>
  <c r="H68" i="28"/>
  <c r="H69" i="28"/>
  <c r="L14" i="28"/>
  <c r="L71" i="28"/>
  <c r="L70" i="28"/>
  <c r="L72" i="28"/>
  <c r="L69" i="28"/>
  <c r="L68" i="28"/>
  <c r="L15" i="28"/>
  <c r="D6" i="28" l="1"/>
  <c r="C16" i="28"/>
  <c r="C18" i="28" s="1"/>
  <c r="K16" i="28"/>
  <c r="K18" i="28" s="1"/>
  <c r="H16" i="28"/>
  <c r="H18" i="28" s="1"/>
  <c r="J16" i="28"/>
  <c r="J18" i="28" s="1"/>
  <c r="G16" i="28"/>
  <c r="G18" i="28" s="1"/>
  <c r="I16" i="28"/>
  <c r="I18" i="28" s="1"/>
  <c r="L16" i="28"/>
  <c r="L18" i="28" s="1"/>
  <c r="F16" i="28"/>
  <c r="F18" i="28" s="1"/>
  <c r="D8" i="28"/>
  <c r="E8" i="28"/>
  <c r="E10" i="28" s="1"/>
  <c r="E21" i="45" s="1"/>
  <c r="DW11" i="36"/>
  <c r="C19" i="28" l="1"/>
  <c r="C23" i="45" s="1"/>
  <c r="C22" i="45"/>
  <c r="K19" i="28"/>
  <c r="K23" i="45" s="1"/>
  <c r="K22" i="45"/>
  <c r="G23" i="28"/>
  <c r="G22" i="45"/>
  <c r="L19" i="28"/>
  <c r="L23" i="45" s="1"/>
  <c r="L22" i="45"/>
  <c r="J19" i="28"/>
  <c r="J23" i="45" s="1"/>
  <c r="J22" i="45"/>
  <c r="F57" i="28"/>
  <c r="F22" i="45"/>
  <c r="I19" i="28"/>
  <c r="I23" i="45" s="1"/>
  <c r="I22" i="45"/>
  <c r="H19" i="28"/>
  <c r="H23" i="45" s="1"/>
  <c r="H22" i="45"/>
  <c r="D10" i="28"/>
  <c r="C57" i="28"/>
  <c r="C23" i="28"/>
  <c r="C28" i="28" s="1"/>
  <c r="I23" i="28"/>
  <c r="I28" i="28" s="1"/>
  <c r="H23" i="28"/>
  <c r="H28" i="28" s="1"/>
  <c r="G19" i="28"/>
  <c r="G23" i="45" s="1"/>
  <c r="J23" i="28"/>
  <c r="J24" i="28" s="1"/>
  <c r="L23" i="28"/>
  <c r="L28" i="28" s="1"/>
  <c r="K23" i="28"/>
  <c r="K24" i="28" s="1"/>
  <c r="F23" i="28"/>
  <c r="F28" i="28" s="1"/>
  <c r="F19" i="28"/>
  <c r="F23" i="45" s="1"/>
  <c r="E72" i="28"/>
  <c r="E14" i="28"/>
  <c r="E15" i="28"/>
  <c r="E70" i="28"/>
  <c r="E69" i="28"/>
  <c r="E68" i="28"/>
  <c r="E71" i="28"/>
  <c r="D13" i="28"/>
  <c r="E13" i="28"/>
  <c r="G28" i="28"/>
  <c r="G24" i="28"/>
  <c r="D70" i="28" l="1"/>
  <c r="D21" i="45"/>
  <c r="K14" i="45"/>
  <c r="D15" i="28"/>
  <c r="D71" i="28"/>
  <c r="D14" i="28"/>
  <c r="D72" i="28"/>
  <c r="D69" i="28"/>
  <c r="D68" i="28"/>
  <c r="C24" i="28"/>
  <c r="I24" i="28"/>
  <c r="L24" i="28"/>
  <c r="H24" i="28"/>
  <c r="J28" i="28"/>
  <c r="J29" i="28" s="1"/>
  <c r="F24" i="28"/>
  <c r="K28" i="28"/>
  <c r="K31" i="28" s="1"/>
  <c r="K33" i="28" s="1"/>
  <c r="K24" i="45" s="1"/>
  <c r="E16" i="28"/>
  <c r="E18" i="28" s="1"/>
  <c r="F31" i="28"/>
  <c r="F33" i="28" s="1"/>
  <c r="F24" i="45" s="1"/>
  <c r="F29" i="28"/>
  <c r="H31" i="28"/>
  <c r="H33" i="28" s="1"/>
  <c r="H24" i="45" s="1"/>
  <c r="H29" i="28"/>
  <c r="I31" i="28"/>
  <c r="I33" i="28" s="1"/>
  <c r="I24" i="45" s="1"/>
  <c r="I29" i="28"/>
  <c r="G31" i="28"/>
  <c r="G33" i="28" s="1"/>
  <c r="G24" i="45" s="1"/>
  <c r="G29" i="28"/>
  <c r="L31" i="28"/>
  <c r="L33" i="28" s="1"/>
  <c r="L24" i="45" s="1"/>
  <c r="L29" i="28"/>
  <c r="C31" i="28"/>
  <c r="C33" i="28" s="1"/>
  <c r="C29" i="28"/>
  <c r="C24" i="45" l="1"/>
  <c r="E23" i="28"/>
  <c r="E24" i="28" s="1"/>
  <c r="E22" i="45"/>
  <c r="D16" i="28"/>
  <c r="D18" i="28" s="1"/>
  <c r="K29" i="28"/>
  <c r="E19" i="28"/>
  <c r="E23" i="45" s="1"/>
  <c r="J31" i="28"/>
  <c r="J33" i="28" s="1"/>
  <c r="E57" i="28"/>
  <c r="I37" i="28"/>
  <c r="I39" i="28" s="1"/>
  <c r="I53" i="28" s="1"/>
  <c r="I34" i="28"/>
  <c r="G37" i="28"/>
  <c r="G39" i="28" s="1"/>
  <c r="G53" i="28" s="1"/>
  <c r="G34" i="28"/>
  <c r="L37" i="28"/>
  <c r="L39" i="28" s="1"/>
  <c r="L53" i="28" s="1"/>
  <c r="L34" i="28"/>
  <c r="E28" i="28"/>
  <c r="H37" i="28"/>
  <c r="H39" i="28" s="1"/>
  <c r="H53" i="28" s="1"/>
  <c r="H34" i="28"/>
  <c r="K37" i="28"/>
  <c r="K39" i="28" s="1"/>
  <c r="K53" i="28" s="1"/>
  <c r="K34" i="28"/>
  <c r="F37" i="28"/>
  <c r="F39" i="28" s="1"/>
  <c r="F53" i="28" s="1"/>
  <c r="F34" i="28"/>
  <c r="C37" i="28"/>
  <c r="C39" i="28" s="1"/>
  <c r="C53" i="28" s="1"/>
  <c r="C34" i="28"/>
  <c r="D23" i="41" l="1"/>
  <c r="D25" i="41" s="1"/>
  <c r="C25" i="45"/>
  <c r="D57" i="28"/>
  <c r="D22" i="45"/>
  <c r="K15" i="45"/>
  <c r="J37" i="28"/>
  <c r="J39" i="28" s="1"/>
  <c r="J53" i="28" s="1"/>
  <c r="J65" i="28" s="1"/>
  <c r="J24" i="45"/>
  <c r="L23" i="41"/>
  <c r="K25" i="45"/>
  <c r="H23" i="41"/>
  <c r="G25" i="45"/>
  <c r="G23" i="41"/>
  <c r="F25" i="45"/>
  <c r="J23" i="41"/>
  <c r="I25" i="45"/>
  <c r="M23" i="41"/>
  <c r="L25" i="45"/>
  <c r="I23" i="41"/>
  <c r="H25" i="45"/>
  <c r="D23" i="28"/>
  <c r="D19" i="28"/>
  <c r="D23" i="45" s="1"/>
  <c r="J34" i="28"/>
  <c r="L76" i="28"/>
  <c r="L63" i="28"/>
  <c r="L64" i="28" s="1"/>
  <c r="L78" i="28"/>
  <c r="L65" i="28"/>
  <c r="L77" i="28"/>
  <c r="L79" i="28"/>
  <c r="L75" i="28"/>
  <c r="J63" i="28"/>
  <c r="J64" i="28" s="1"/>
  <c r="G79" i="28"/>
  <c r="G78" i="28"/>
  <c r="G63" i="28"/>
  <c r="G64" i="28" s="1"/>
  <c r="G77" i="28"/>
  <c r="G76" i="28"/>
  <c r="G75" i="28"/>
  <c r="G65" i="28"/>
  <c r="K78" i="28"/>
  <c r="K77" i="28"/>
  <c r="K65" i="28"/>
  <c r="K63" i="28"/>
  <c r="K64" i="28" s="1"/>
  <c r="K76" i="28"/>
  <c r="K75" i="28"/>
  <c r="K79" i="28"/>
  <c r="H77" i="28"/>
  <c r="H76" i="28"/>
  <c r="H75" i="28"/>
  <c r="H79" i="28"/>
  <c r="H63" i="28"/>
  <c r="H64" i="28" s="1"/>
  <c r="H78" i="28"/>
  <c r="H65" i="28"/>
  <c r="F75" i="28"/>
  <c r="F63" i="28"/>
  <c r="F64" i="28" s="1"/>
  <c r="F77" i="28"/>
  <c r="F78" i="28"/>
  <c r="F65" i="28"/>
  <c r="F76" i="28"/>
  <c r="F79" i="28"/>
  <c r="C65" i="28"/>
  <c r="C76" i="28"/>
  <c r="C82" i="28" s="1"/>
  <c r="C88" i="28" s="1"/>
  <c r="C94" i="28" s="1"/>
  <c r="C63" i="28"/>
  <c r="C64" i="28" s="1"/>
  <c r="C55" i="28"/>
  <c r="C77" i="28"/>
  <c r="C83" i="28" s="1"/>
  <c r="C89" i="28" s="1"/>
  <c r="C95" i="28" s="1"/>
  <c r="C79" i="28"/>
  <c r="C85" i="28" s="1"/>
  <c r="C91" i="28" s="1"/>
  <c r="C97" i="28" s="1"/>
  <c r="C78" i="28"/>
  <c r="C84" i="28" s="1"/>
  <c r="C90" i="28" s="1"/>
  <c r="C96" i="28" s="1"/>
  <c r="C75" i="28"/>
  <c r="C81" i="28" s="1"/>
  <c r="C87" i="28" s="1"/>
  <c r="C93" i="28" s="1"/>
  <c r="E31" i="28"/>
  <c r="E33" i="28" s="1"/>
  <c r="E24" i="45" s="1"/>
  <c r="E29" i="28"/>
  <c r="I78" i="28"/>
  <c r="I79" i="28"/>
  <c r="I77" i="28"/>
  <c r="I76" i="28"/>
  <c r="I75" i="28"/>
  <c r="I65" i="28"/>
  <c r="I63" i="28"/>
  <c r="I64" i="28" s="1"/>
  <c r="J77" i="28" l="1"/>
  <c r="J79" i="28"/>
  <c r="J91" i="28" s="1"/>
  <c r="J75" i="28"/>
  <c r="J105" i="28" s="1"/>
  <c r="K23" i="41"/>
  <c r="J25" i="45"/>
  <c r="C26" i="45"/>
  <c r="J78" i="28"/>
  <c r="J96" i="28" s="1"/>
  <c r="J76" i="28"/>
  <c r="J94" i="28" s="1"/>
  <c r="D24" i="28"/>
  <c r="D28" i="28"/>
  <c r="E37" i="28"/>
  <c r="E39" i="28" s="1"/>
  <c r="E53" i="28" s="1"/>
  <c r="E34" i="28"/>
  <c r="I107" i="28"/>
  <c r="I113" i="28"/>
  <c r="I101" i="28"/>
  <c r="I89" i="28"/>
  <c r="I95" i="28"/>
  <c r="I83" i="28"/>
  <c r="H103" i="28"/>
  <c r="H85" i="28"/>
  <c r="H91" i="28"/>
  <c r="H97" i="28"/>
  <c r="H109" i="28"/>
  <c r="H115" i="28"/>
  <c r="G84" i="28"/>
  <c r="G90" i="28"/>
  <c r="G108" i="28"/>
  <c r="G114" i="28"/>
  <c r="G102" i="28"/>
  <c r="G96" i="28"/>
  <c r="L111" i="28"/>
  <c r="L99" i="28"/>
  <c r="L81" i="28"/>
  <c r="L105" i="28"/>
  <c r="L87" i="28"/>
  <c r="L93" i="28"/>
  <c r="F84" i="28"/>
  <c r="F90" i="28"/>
  <c r="F108" i="28"/>
  <c r="F114" i="28"/>
  <c r="F102" i="28"/>
  <c r="F96" i="28"/>
  <c r="G85" i="28"/>
  <c r="G103" i="28"/>
  <c r="G91" i="28"/>
  <c r="G97" i="28"/>
  <c r="G115" i="28"/>
  <c r="G109" i="28"/>
  <c r="I90" i="28"/>
  <c r="I114" i="28"/>
  <c r="I96" i="28"/>
  <c r="I102" i="28"/>
  <c r="I84" i="28"/>
  <c r="I108" i="28"/>
  <c r="F113" i="28"/>
  <c r="F95" i="28"/>
  <c r="F101" i="28"/>
  <c r="F83" i="28"/>
  <c r="F89" i="28"/>
  <c r="F107" i="28"/>
  <c r="H88" i="28"/>
  <c r="H82" i="28"/>
  <c r="H106" i="28"/>
  <c r="H94" i="28"/>
  <c r="H112" i="28"/>
  <c r="H100" i="28"/>
  <c r="K108" i="28"/>
  <c r="K114" i="28"/>
  <c r="K96" i="28"/>
  <c r="K84" i="28"/>
  <c r="K90" i="28"/>
  <c r="K102" i="28"/>
  <c r="J99" i="28"/>
  <c r="L115" i="28"/>
  <c r="L85" i="28"/>
  <c r="L103" i="28"/>
  <c r="L109" i="28"/>
  <c r="L91" i="28"/>
  <c r="L97" i="28"/>
  <c r="I85" i="28"/>
  <c r="I97" i="28"/>
  <c r="I103" i="28"/>
  <c r="I115" i="28"/>
  <c r="I91" i="28"/>
  <c r="I109" i="28"/>
  <c r="H93" i="28"/>
  <c r="H81" i="28"/>
  <c r="H105" i="28"/>
  <c r="H111" i="28"/>
  <c r="H99" i="28"/>
  <c r="H87" i="28"/>
  <c r="K107" i="28"/>
  <c r="K113" i="28"/>
  <c r="K95" i="28"/>
  <c r="K101" i="28"/>
  <c r="K89" i="28"/>
  <c r="K83" i="28"/>
  <c r="H107" i="28"/>
  <c r="H89" i="28"/>
  <c r="H101" i="28"/>
  <c r="H113" i="28"/>
  <c r="H95" i="28"/>
  <c r="H83" i="28"/>
  <c r="J84" i="28"/>
  <c r="L101" i="28"/>
  <c r="L89" i="28"/>
  <c r="L95" i="28"/>
  <c r="L107" i="28"/>
  <c r="L113" i="28"/>
  <c r="L83" i="28"/>
  <c r="F99" i="28"/>
  <c r="F87" i="28"/>
  <c r="F105" i="28"/>
  <c r="F93" i="28"/>
  <c r="F81" i="28"/>
  <c r="F111" i="28"/>
  <c r="K109" i="28"/>
  <c r="K97" i="28"/>
  <c r="K115" i="28"/>
  <c r="K85" i="28"/>
  <c r="K103" i="28"/>
  <c r="K91" i="28"/>
  <c r="G111" i="28"/>
  <c r="G81" i="28"/>
  <c r="G99" i="28"/>
  <c r="G105" i="28"/>
  <c r="G87" i="28"/>
  <c r="G93" i="28"/>
  <c r="G106" i="28"/>
  <c r="G88" i="28"/>
  <c r="G100" i="28"/>
  <c r="G112" i="28"/>
  <c r="G94" i="28"/>
  <c r="G82" i="28"/>
  <c r="L108" i="28"/>
  <c r="L114" i="28"/>
  <c r="L90" i="28"/>
  <c r="L102" i="28"/>
  <c r="L84" i="28"/>
  <c r="L96" i="28"/>
  <c r="I87" i="28"/>
  <c r="I111" i="28"/>
  <c r="I81" i="28"/>
  <c r="I93" i="28"/>
  <c r="I105" i="28"/>
  <c r="I99" i="28"/>
  <c r="F97" i="28"/>
  <c r="F85" i="28"/>
  <c r="F115" i="28"/>
  <c r="F103" i="28"/>
  <c r="F91" i="28"/>
  <c r="F109" i="28"/>
  <c r="H90" i="28"/>
  <c r="H96" i="28"/>
  <c r="H114" i="28"/>
  <c r="H102" i="28"/>
  <c r="H84" i="28"/>
  <c r="H108" i="28"/>
  <c r="K112" i="28"/>
  <c r="K94" i="28"/>
  <c r="K106" i="28"/>
  <c r="K100" i="28"/>
  <c r="K88" i="28"/>
  <c r="K82" i="28"/>
  <c r="G83" i="28"/>
  <c r="G107" i="28"/>
  <c r="G101" i="28"/>
  <c r="G113" i="28"/>
  <c r="G95" i="28"/>
  <c r="G89" i="28"/>
  <c r="J83" i="28"/>
  <c r="J113" i="28"/>
  <c r="J107" i="28"/>
  <c r="J95" i="28"/>
  <c r="J89" i="28"/>
  <c r="J101" i="28"/>
  <c r="K99" i="28"/>
  <c r="K81" i="28"/>
  <c r="K93" i="28"/>
  <c r="K87" i="28"/>
  <c r="K105" i="28"/>
  <c r="K111" i="28"/>
  <c r="J106" i="28"/>
  <c r="I94" i="28"/>
  <c r="I100" i="28"/>
  <c r="I82" i="28"/>
  <c r="I88" i="28"/>
  <c r="I106" i="28"/>
  <c r="I112" i="28"/>
  <c r="F112" i="28"/>
  <c r="F88" i="28"/>
  <c r="F94" i="28"/>
  <c r="F82" i="28"/>
  <c r="F106" i="28"/>
  <c r="F100" i="28"/>
  <c r="J97" i="28"/>
  <c r="L82" i="28"/>
  <c r="L106" i="28"/>
  <c r="L88" i="28"/>
  <c r="L94" i="28"/>
  <c r="L112" i="28"/>
  <c r="L100" i="28"/>
  <c r="C102" i="28"/>
  <c r="C101" i="28"/>
  <c r="C100" i="28"/>
  <c r="C99" i="28"/>
  <c r="C103" i="28"/>
  <c r="J82" i="28" l="1"/>
  <c r="J100" i="28"/>
  <c r="J88" i="28"/>
  <c r="J112" i="28"/>
  <c r="J87" i="28"/>
  <c r="J81" i="28"/>
  <c r="J93" i="28"/>
  <c r="J111" i="28"/>
  <c r="J114" i="28"/>
  <c r="J90" i="28"/>
  <c r="J102" i="28"/>
  <c r="J108" i="28"/>
  <c r="J109" i="28"/>
  <c r="J85" i="28"/>
  <c r="J103" i="28"/>
  <c r="J115" i="28"/>
  <c r="F23" i="41"/>
  <c r="E25" i="45"/>
  <c r="D31" i="28"/>
  <c r="D33" i="28" s="1"/>
  <c r="D29" i="28"/>
  <c r="E63" i="28"/>
  <c r="E64" i="28" s="1"/>
  <c r="E79" i="28"/>
  <c r="E76" i="28"/>
  <c r="E78" i="28"/>
  <c r="E65" i="28"/>
  <c r="E77" i="28"/>
  <c r="E75" i="28"/>
  <c r="C109" i="28"/>
  <c r="C107" i="28"/>
  <c r="C106" i="28"/>
  <c r="C105" i="28"/>
  <c r="C108" i="28"/>
  <c r="D24" i="45" l="1"/>
  <c r="K16" i="45"/>
  <c r="D37" i="28"/>
  <c r="D39" i="28" s="1"/>
  <c r="D53" i="28" s="1"/>
  <c r="D34" i="28"/>
  <c r="E83" i="28"/>
  <c r="E113" i="28"/>
  <c r="E101" i="28"/>
  <c r="E89" i="28"/>
  <c r="E95" i="28"/>
  <c r="E107" i="28"/>
  <c r="E96" i="28"/>
  <c r="E114" i="28"/>
  <c r="E84" i="28"/>
  <c r="E102" i="28"/>
  <c r="E90" i="28"/>
  <c r="E108" i="28"/>
  <c r="E82" i="28"/>
  <c r="E88" i="28"/>
  <c r="E94" i="28"/>
  <c r="E112" i="28"/>
  <c r="E100" i="28"/>
  <c r="E106" i="28"/>
  <c r="E109" i="28"/>
  <c r="E103" i="28"/>
  <c r="E85" i="28"/>
  <c r="E91" i="28"/>
  <c r="E97" i="28"/>
  <c r="E115" i="28"/>
  <c r="E81" i="28"/>
  <c r="E105" i="28"/>
  <c r="E99" i="28"/>
  <c r="E87" i="28"/>
  <c r="E93" i="28"/>
  <c r="E111" i="28"/>
  <c r="C111" i="28"/>
  <c r="C115" i="28"/>
  <c r="C112" i="28"/>
  <c r="C114" i="28"/>
  <c r="C113" i="28"/>
  <c r="D25" i="45" l="1"/>
  <c r="K17" i="45"/>
  <c r="E23" i="41"/>
  <c r="D75" i="28"/>
  <c r="D77" i="28"/>
  <c r="D65" i="28"/>
  <c r="E5" i="41" s="1"/>
  <c r="E6" i="45" s="1"/>
  <c r="D76" i="28"/>
  <c r="D55" i="28"/>
  <c r="D79" i="28"/>
  <c r="D78" i="28"/>
  <c r="D63" i="28"/>
  <c r="D64" i="28" s="1"/>
  <c r="I5" i="41" s="1"/>
  <c r="E7" i="45" s="1"/>
  <c r="E55" i="28" l="1"/>
  <c r="D26" i="45"/>
  <c r="D24" i="41"/>
  <c r="E8" i="45" s="1"/>
  <c r="E25" i="41"/>
  <c r="F25" i="41" s="1"/>
  <c r="G25" i="41" s="1"/>
  <c r="H25" i="41" s="1"/>
  <c r="I25" i="41" s="1"/>
  <c r="J25" i="41" s="1"/>
  <c r="K25" i="41" s="1"/>
  <c r="L25" i="41" s="1"/>
  <c r="M25" i="41" s="1"/>
  <c r="D90" i="28"/>
  <c r="M90" i="28" s="1"/>
  <c r="G14" i="41" s="1"/>
  <c r="D108" i="28"/>
  <c r="D102" i="28"/>
  <c r="M102" i="28" s="1"/>
  <c r="D96" i="28"/>
  <c r="M96" i="28" s="1"/>
  <c r="D84" i="28"/>
  <c r="M84" i="28" s="1"/>
  <c r="G13" i="41" s="1"/>
  <c r="D114" i="28"/>
  <c r="M78" i="28"/>
  <c r="D85" i="28"/>
  <c r="M85" i="28" s="1"/>
  <c r="H13" i="41" s="1"/>
  <c r="D109" i="28"/>
  <c r="D103" i="28"/>
  <c r="M103" i="28" s="1"/>
  <c r="D97" i="28"/>
  <c r="M97" i="28" s="1"/>
  <c r="H15" i="41" s="1"/>
  <c r="D115" i="28"/>
  <c r="D91" i="28"/>
  <c r="M91" i="28" s="1"/>
  <c r="H14" i="41" s="1"/>
  <c r="M79" i="28"/>
  <c r="D112" i="28"/>
  <c r="D106" i="28"/>
  <c r="D82" i="28"/>
  <c r="M82" i="28" s="1"/>
  <c r="E13" i="41" s="1"/>
  <c r="D88" i="28"/>
  <c r="M88" i="28" s="1"/>
  <c r="E14" i="41" s="1"/>
  <c r="D100" i="28"/>
  <c r="M100" i="28" s="1"/>
  <c r="D94" i="28"/>
  <c r="M94" i="28" s="1"/>
  <c r="E15" i="41" s="1"/>
  <c r="M76" i="28"/>
  <c r="D89" i="28"/>
  <c r="M89" i="28" s="1"/>
  <c r="F14" i="41" s="1"/>
  <c r="D15" i="45" s="1"/>
  <c r="D107" i="28"/>
  <c r="D83" i="28"/>
  <c r="M83" i="28" s="1"/>
  <c r="F13" i="41" s="1"/>
  <c r="C15" i="45" s="1"/>
  <c r="D101" i="28"/>
  <c r="M101" i="28" s="1"/>
  <c r="D113" i="28"/>
  <c r="D95" i="28"/>
  <c r="M95" i="28" s="1"/>
  <c r="F15" i="41" s="1"/>
  <c r="E15" i="45" s="1"/>
  <c r="M77" i="28"/>
  <c r="D81" i="28"/>
  <c r="M81" i="28" s="1"/>
  <c r="D13" i="41" s="1"/>
  <c r="D99" i="28"/>
  <c r="M99" i="28" s="1"/>
  <c r="D105" i="28"/>
  <c r="D111" i="28"/>
  <c r="D87" i="28"/>
  <c r="M87" i="28" s="1"/>
  <c r="D14" i="41" s="1"/>
  <c r="D93" i="28"/>
  <c r="M93" i="28" s="1"/>
  <c r="D15" i="41" s="1"/>
  <c r="M75" i="28"/>
  <c r="G15" i="41"/>
  <c r="F55" i="28" l="1"/>
  <c r="E26" i="45"/>
  <c r="H16" i="41"/>
  <c r="G16" i="41"/>
  <c r="F16" i="41"/>
  <c r="F15" i="45" s="1"/>
  <c r="D16" i="41"/>
  <c r="E16" i="41"/>
  <c r="M113" i="28"/>
  <c r="M107" i="28"/>
  <c r="M114" i="28"/>
  <c r="M108" i="28"/>
  <c r="M115" i="28"/>
  <c r="M109" i="28"/>
  <c r="M111" i="28"/>
  <c r="M105" i="28"/>
  <c r="M112" i="28"/>
  <c r="M106" i="28"/>
  <c r="G55" i="28" l="1"/>
  <c r="F26" i="45"/>
  <c r="H18" i="41"/>
  <c r="F17" i="41"/>
  <c r="G15" i="45" s="1"/>
  <c r="E17" i="41"/>
  <c r="E18" i="41"/>
  <c r="D17" i="41"/>
  <c r="H17" i="41"/>
  <c r="G17" i="41"/>
  <c r="G18" i="41"/>
  <c r="F18" i="41"/>
  <c r="H15" i="45" s="1"/>
  <c r="D18" i="41"/>
  <c r="H55" i="28" l="1"/>
  <c r="G26" i="45"/>
  <c r="I55" i="28" l="1"/>
  <c r="H26" i="45"/>
  <c r="J55" i="28" l="1"/>
  <c r="I26" i="45"/>
  <c r="K55" i="28" l="1"/>
  <c r="J26" i="45"/>
  <c r="L55" i="28" l="1"/>
  <c r="K26" i="45"/>
  <c r="L26" i="45" l="1"/>
  <c r="E10" i="45" a="1"/>
  <c r="E10" i="45" s="1"/>
  <c r="F29" i="42"/>
  <c r="F43" i="42" s="1"/>
  <c r="L29" i="42"/>
  <c r="L43" i="42" s="1"/>
  <c r="K29" i="42"/>
  <c r="K43" i="42" s="1"/>
  <c r="E29" i="42"/>
  <c r="E43" i="42" s="1"/>
  <c r="G29" i="42"/>
  <c r="G43" i="42" s="1"/>
  <c r="M29" i="42"/>
  <c r="M43" i="42" s="1"/>
  <c r="I43" i="42"/>
  <c r="I29" i="42"/>
  <c r="H29" i="42"/>
  <c r="H43" i="42" s="1"/>
  <c r="J29" i="42"/>
  <c r="J43" i="42" s="1"/>
  <c r="D43" i="42"/>
  <c r="D36" i="42" s="1"/>
  <c r="D22" i="42" s="1"/>
  <c r="N43" i="42" l="1"/>
  <c r="M22" i="42"/>
  <c r="J22" i="42"/>
  <c r="G22" i="42"/>
  <c r="K22" i="42"/>
  <c r="I22" i="42"/>
  <c r="H22" i="42"/>
  <c r="L22" i="42"/>
  <c r="F22" i="42"/>
  <c r="N36" i="42"/>
  <c r="N51" i="42"/>
  <c r="N39" i="42" l="1"/>
  <c r="N40" i="42"/>
  <c r="E54" i="42"/>
  <c r="N54" i="42"/>
  <c r="E53" i="42"/>
  <c r="N53" i="42"/>
  <c r="N38" i="42"/>
  <c r="N37" i="4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G8" authorId="0" shapeId="0" xr:uid="{D8141089-7BD1-4341-99CB-F0B3ACF893CA}">
      <text>
        <r>
          <rPr>
            <sz val="10"/>
            <rFont val="Arial"/>
            <family val="2"/>
          </rPr>
          <t>Inspiration Mines Inc., Round Valley (Wandering Star) ore reserve. Upper+Lower Beds, MINEABLE (70% recoverable &amp; 24% dilution): 0.66% WO3, 0.32% Cu, 1.46% Zn, 0.26 opt Ag. Geological in-situ 668,000 t; Upper-bed-only mineable 430,000 t.</t>
        </r>
      </text>
    </comment>
    <comment ref="C9" authorId="0" shapeId="0" xr:uid="{9EF0275E-C8A2-4017-AB77-69A80A9F17F9}">
      <text>
        <r>
          <rPr>
            <sz val="10"/>
            <rFont val="Arial"/>
            <family val="2"/>
          </rPr>
          <t>Ethos 2024: 94% metallurgical recovery (flotation). WS mineable tonnage/grade already reflect 70% mining recovery &amp; 24% dilution. WO3/critical-mineral recoveries to refine from testwork.</t>
        </r>
      </text>
    </comment>
    <comment ref="D14" authorId="0" shapeId="0" xr:uid="{9C4175B3-D903-4BCD-BD68-1AEFEC335AB0}">
      <text>
        <r>
          <rPr>
            <sz val="10"/>
            <rFont val="Arial"/>
            <family val="2"/>
          </rPr>
          <t>Year-1 partial ramp (40&gt;250&gt;500 tpd). Illustrative; reconcile against pro forma Year-1.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<sst xmlns="http://schemas.openxmlformats.org/spreadsheetml/2006/main" count="832" uniqueCount="465">
  <si>
    <t>Darwin Mine</t>
  </si>
  <si>
    <t>Metal</t>
  </si>
  <si>
    <t>% per Ton</t>
  </si>
  <si>
    <t>Tungsten</t>
  </si>
  <si>
    <t>Zinc</t>
  </si>
  <si>
    <t>Prices</t>
  </si>
  <si>
    <t>TPD</t>
  </si>
  <si>
    <t>Start Date</t>
  </si>
  <si>
    <t>Zinc Liquid Assumptions</t>
  </si>
  <si>
    <t>Zinc Content</t>
  </si>
  <si>
    <t>Zinc Powder Assumptions</t>
  </si>
  <si>
    <t>Price Per Bag</t>
  </si>
  <si>
    <t>Total Cost per Ton</t>
  </si>
  <si>
    <t>Description</t>
  </si>
  <si>
    <t>Cost Per Ton</t>
  </si>
  <si>
    <t>Category</t>
  </si>
  <si>
    <t>Total</t>
  </si>
  <si>
    <t>Month</t>
  </si>
  <si>
    <t>Labor Underground</t>
  </si>
  <si>
    <t>Labor</t>
  </si>
  <si>
    <t>Container Freight</t>
  </si>
  <si>
    <t>Powder &amp; Steel</t>
  </si>
  <si>
    <t>Explosives</t>
  </si>
  <si>
    <t>Corporate Costs</t>
  </si>
  <si>
    <t>Ventilation</t>
  </si>
  <si>
    <t>Utilities</t>
  </si>
  <si>
    <t>Development Drilling</t>
  </si>
  <si>
    <t>Safety Labor</t>
  </si>
  <si>
    <t>Mine Supplies</t>
  </si>
  <si>
    <t>Smelter Fees</t>
  </si>
  <si>
    <t>Crushing</t>
  </si>
  <si>
    <t>Transportation</t>
  </si>
  <si>
    <t>Maintenance</t>
  </si>
  <si>
    <t>Consumables</t>
  </si>
  <si>
    <t>Transport Fine Ore</t>
  </si>
  <si>
    <t>Crushing Electric &amp; Water</t>
  </si>
  <si>
    <t>Milling</t>
  </si>
  <si>
    <t>Milling Maintenance</t>
  </si>
  <si>
    <t>Chemicals</t>
  </si>
  <si>
    <t>Tailing Treatment</t>
  </si>
  <si>
    <t>Bags</t>
  </si>
  <si>
    <t>Mill Electric &amp; Water</t>
  </si>
  <si>
    <t>Security/Lab</t>
  </si>
  <si>
    <t>Trucking</t>
  </si>
  <si>
    <t>G&amp;A/Other/Contingency</t>
  </si>
  <si>
    <t xml:space="preserve">Other </t>
  </si>
  <si>
    <t>Marketing Costs</t>
  </si>
  <si>
    <t>CAPEX</t>
  </si>
  <si>
    <t>Taxes</t>
  </si>
  <si>
    <t>Mining Costs</t>
  </si>
  <si>
    <t>Royalties</t>
  </si>
  <si>
    <t>Revenues</t>
  </si>
  <si>
    <t>EBITDA</t>
  </si>
  <si>
    <t>Interest</t>
  </si>
  <si>
    <t>Depreciation</t>
  </si>
  <si>
    <t>FCF</t>
  </si>
  <si>
    <t>G&amp;A</t>
  </si>
  <si>
    <t>Total Revenue</t>
  </si>
  <si>
    <t>Operating Costs</t>
  </si>
  <si>
    <t>Production</t>
  </si>
  <si>
    <t>Oz</t>
  </si>
  <si>
    <t>Critical Minerals</t>
  </si>
  <si>
    <t>Amount</t>
  </si>
  <si>
    <t>Funding Date</t>
  </si>
  <si>
    <t>Tons</t>
  </si>
  <si>
    <t>%</t>
  </si>
  <si>
    <t>Startup Costs</t>
  </si>
  <si>
    <t>Wanderin Star Startup (mths)</t>
  </si>
  <si>
    <t>Darwin Startup (mths)</t>
  </si>
  <si>
    <t xml:space="preserve">Wandering Star Ore </t>
  </si>
  <si>
    <t>Mineral</t>
  </si>
  <si>
    <t>Recovery</t>
  </si>
  <si>
    <t>Tonnage</t>
  </si>
  <si>
    <t>Wandering Star</t>
  </si>
  <si>
    <t>Inyoag Assumptions</t>
  </si>
  <si>
    <t>SECTION 1 — MINING EXTRACTION &amp; UNDERGROUND OPS</t>
  </si>
  <si>
    <t xml:space="preserve">  Underground Equipment (drills, hoist, cars, locomotives, lighting)</t>
  </si>
  <si>
    <t xml:space="preserve">  Underground Equipment — Additional</t>
  </si>
  <si>
    <t xml:space="preserve">  Development — Underground (drifting, raise rehab, scaling)</t>
  </si>
  <si>
    <t xml:space="preserve">  Development — Shaft Sinking</t>
  </si>
  <si>
    <t xml:space="preserve">  Mining Extraction Subtotal</t>
  </si>
  <si>
    <t>SECTION 2 — MINING SUPPORT SYSTEMS</t>
  </si>
  <si>
    <t xml:space="preserve">  Water System (well, pipe, tank, monitoring)</t>
  </si>
  <si>
    <t xml:space="preserve">  Air System (cooling, receivers, materials)</t>
  </si>
  <si>
    <t xml:space="preserve">  Electrical System (high voltage, solar plant, labor, materials)</t>
  </si>
  <si>
    <t xml:space="preserve">  Mining Support Systems Subtotal</t>
  </si>
  <si>
    <t>SECTION 3 — MINING FACILITIES &amp; INFRASTRUCTURE</t>
  </si>
  <si>
    <t xml:space="preserve">  Facility Upgrades (dump pocket, lamp house, charging facility, lab)</t>
  </si>
  <si>
    <t xml:space="preserve">  Road Improvements &amp; Site Paving</t>
  </si>
  <si>
    <t xml:space="preserve">  Site Support Equipment (mules, vehicles, equipment)</t>
  </si>
  <si>
    <t xml:space="preserve">  Facilities &amp; Infrastructure Subtotal</t>
  </si>
  <si>
    <t>SECTION 4 — PROCESSING &amp; BENEFICIATION</t>
  </si>
  <si>
    <t xml:space="preserve">  Mill Equipment</t>
  </si>
  <si>
    <t xml:space="preserve">  Cryogenic Dryer &amp; Bagging System</t>
  </si>
  <si>
    <t xml:space="preserve">  Mill Tailings Management (underground dry compacted)</t>
  </si>
  <si>
    <t xml:space="preserve">  Camp Water Supply (supporting operations)</t>
  </si>
  <si>
    <t xml:space="preserve">  Processing &amp; Beneficiation Subtotal</t>
  </si>
  <si>
    <t>Total Budget</t>
  </si>
  <si>
    <t>Cost Category</t>
  </si>
  <si>
    <t>1. PERMITTING &amp; RECLAMATION BOND</t>
  </si>
  <si>
    <t>2. RAIL CONSTRUCTION &amp; DUMP POCKET</t>
  </si>
  <si>
    <t>3. UTILITIES (ELECTRICAL, WATER, AIR VENTILATION)</t>
  </si>
  <si>
    <t>4. OPERATIONAL DEVELOPMENT &amp; STARTUP</t>
  </si>
  <si>
    <t>Additional Use Permit (Inyo County Planning Dept)</t>
  </si>
  <si>
    <t>Air Quality Permit (Great Basin Unified APCD)</t>
  </si>
  <si>
    <t>Reclamation Bond preparation and filing</t>
  </si>
  <si>
    <t>Reclamation Bond</t>
  </si>
  <si>
    <t>Environmental baseline documentation</t>
  </si>
  <si>
    <t>Legal and regulatory consulting fees</t>
  </si>
  <si>
    <t>BLM right-of-way amendments (ore transport)</t>
  </si>
  <si>
    <t>Permitting contingency</t>
  </si>
  <si>
    <t>Rail receiving infrastructure — engineering and design</t>
  </si>
  <si>
    <t>Rail materials procurement</t>
  </si>
  <si>
    <t>Rail installation labor and equipment</t>
  </si>
  <si>
    <t>Dump pocket construction — design</t>
  </si>
  <si>
    <t>Dump pocket construction — materials and labor</t>
  </si>
  <si>
    <t>Equipment testing and commissioning</t>
  </si>
  <si>
    <t>Electrical system — design and permitting</t>
  </si>
  <si>
    <t>Electrical system — materials (transformers, wiring, panels)</t>
  </si>
  <si>
    <t>Electrical system — installation labor</t>
  </si>
  <si>
    <t>Water system — well assessment and pipe installation</t>
  </si>
  <si>
    <t>Water system — tanks and storage</t>
  </si>
  <si>
    <t>Air ventilation — underground fan and duct installation</t>
  </si>
  <si>
    <t>Utilities contingency</t>
  </si>
  <si>
    <t>Site mobilization and initial equipment setup</t>
  </si>
  <si>
    <t>Underground access rehabilitation (decline inspection/repair)</t>
  </si>
  <si>
    <t>Safety systems installation (MSHA compliance)</t>
  </si>
  <si>
    <t>Initial explosives inventory and storage setup</t>
  </si>
  <si>
    <t>Equipment operator training and certification</t>
  </si>
  <si>
    <t>Trial mining and system commissioning (first ore)</t>
  </si>
  <si>
    <t>Site management and supervision (pre-production)</t>
  </si>
  <si>
    <t>Ore transport trial runs and logistics setup</t>
  </si>
  <si>
    <t>Operational contingency</t>
  </si>
  <si>
    <t>M1</t>
  </si>
  <si>
    <t>M2</t>
  </si>
  <si>
    <t>M3</t>
  </si>
  <si>
    <t>M4</t>
  </si>
  <si>
    <t>M5</t>
  </si>
  <si>
    <t>M6</t>
  </si>
  <si>
    <t>Permitting</t>
  </si>
  <si>
    <t>Rail Infrastructure</t>
  </si>
  <si>
    <t>Wandering Star - CAPEX</t>
  </si>
  <si>
    <t>Darwin - CAPEX</t>
  </si>
  <si>
    <t>Tungsten Model</t>
  </si>
  <si>
    <t>APT Price — Low ($/MTU)</t>
  </si>
  <si>
    <t>Low case APT benchmark</t>
  </si>
  <si>
    <t>APT Price — Mid ($/MTU)</t>
  </si>
  <si>
    <t>Mid case APT benchmark</t>
  </si>
  <si>
    <t>APT Price — High ($/MTU)</t>
  </si>
  <si>
    <t>High case APT benchmark</t>
  </si>
  <si>
    <t>Sodium Tungstate Factor</t>
  </si>
  <si>
    <t>Per Kennametal agreement (74% of APT)</t>
  </si>
  <si>
    <t>Phase 1 — Ore/Day (tons)</t>
  </si>
  <si>
    <t>Short tons per day</t>
  </si>
  <si>
    <t>Phase 1 — Duration (months)</t>
  </si>
  <si>
    <t>Phase 2 — Ore/Day (tons)</t>
  </si>
  <si>
    <t>Phase 2 — Duration (months)</t>
  </si>
  <si>
    <t>Phase 3 — Ore/Day (tons)</t>
  </si>
  <si>
    <t>Short tons per day — ongoing</t>
  </si>
  <si>
    <t>Short Tons → Metric Tonnes</t>
  </si>
  <si>
    <t>1 short ton = 0.9072 metric tonnes</t>
  </si>
  <si>
    <t>MTU Definition</t>
  </si>
  <si>
    <t>1 MTU = 10 kg WO₃</t>
  </si>
  <si>
    <t>Pricing</t>
  </si>
  <si>
    <t>Conversion</t>
  </si>
  <si>
    <t>Inyoag - Tungsten Model</t>
  </si>
  <si>
    <t>Production Level</t>
  </si>
  <si>
    <t>Operating Days</t>
  </si>
  <si>
    <t>Phase I (mths)</t>
  </si>
  <si>
    <t>Phase II (mths)</t>
  </si>
  <si>
    <t>Phase III (mths)</t>
  </si>
  <si>
    <t>Production Ramp</t>
  </si>
  <si>
    <t>Months</t>
  </si>
  <si>
    <t>End Date</t>
  </si>
  <si>
    <t>Wandering Star Production</t>
  </si>
  <si>
    <t>Wandering Star Start</t>
  </si>
  <si>
    <t>Darwin Start</t>
  </si>
  <si>
    <t>Ore Throughput (tons/day)</t>
  </si>
  <si>
    <t>Ore Mined (short tons)</t>
  </si>
  <si>
    <t>Ore Mined (metric tonnes)</t>
  </si>
  <si>
    <t>WO₃ Equivalent (kg)</t>
  </si>
  <si>
    <t>MTUs (WO₃ kg ÷ 10)</t>
  </si>
  <si>
    <t>Revenue — Low  ($2,800/MTU)</t>
  </si>
  <si>
    <t>Revenue — Mid  ($3,040/MTU)</t>
  </si>
  <si>
    <t>Revenue — High ($3,280/MTU)</t>
  </si>
  <si>
    <t>WO₃ Conversion Factor</t>
  </si>
  <si>
    <t>W → WO₃ molecular weight ratio (231.84/183.84)</t>
  </si>
  <si>
    <t>Concentrate Production</t>
  </si>
  <si>
    <t>kg</t>
  </si>
  <si>
    <t>Concentrate Discount</t>
  </si>
  <si>
    <t>Total Discount</t>
  </si>
  <si>
    <t>Concentrate Factor</t>
  </si>
  <si>
    <t>Revenue - Earned</t>
  </si>
  <si>
    <t>Tungsten Produced (kg)</t>
  </si>
  <si>
    <t>Revenue Mid</t>
  </si>
  <si>
    <t>Inyoag - Metals Model</t>
  </si>
  <si>
    <t>Weighted Production</t>
  </si>
  <si>
    <t>Darwin p/t</t>
  </si>
  <si>
    <t>WS p/t</t>
  </si>
  <si>
    <t>Production Data</t>
  </si>
  <si>
    <t>Revenue</t>
  </si>
  <si>
    <t>Price</t>
  </si>
  <si>
    <t>tn</t>
  </si>
  <si>
    <t>Mining Costs - WS</t>
  </si>
  <si>
    <t>Mining Costs - Darwin</t>
  </si>
  <si>
    <t>Total Operating Costs</t>
  </si>
  <si>
    <t>Critical Minerals Model</t>
  </si>
  <si>
    <t>Darwin</t>
  </si>
  <si>
    <t>Darwin Costs</t>
  </si>
  <si>
    <t>CAPEX - WS</t>
  </si>
  <si>
    <t>CAPEX - Darwin</t>
  </si>
  <si>
    <t>Inyoag - Mining Costs</t>
  </si>
  <si>
    <t>Inyoag - Zinc Agriculture</t>
  </si>
  <si>
    <t>Inyoag - Critical Minerals Model</t>
  </si>
  <si>
    <t>Lbs per Bag</t>
  </si>
  <si>
    <t>WS Zinc</t>
  </si>
  <si>
    <t>Zn Production (tpm)</t>
  </si>
  <si>
    <t>Liquid Revenue</t>
  </si>
  <si>
    <t>Zn Per Bag</t>
  </si>
  <si>
    <t>Price Per Ton</t>
  </si>
  <si>
    <t>Inyoag - Commodity Price Assumptions</t>
  </si>
  <si>
    <t>Powder Revenue</t>
  </si>
  <si>
    <t>Monthly Costs</t>
  </si>
  <si>
    <t>Cost</t>
  </si>
  <si>
    <t>Silver &amp; Copper</t>
  </si>
  <si>
    <t>Zinc Ag</t>
  </si>
  <si>
    <t>EBIT</t>
  </si>
  <si>
    <t>Interest Expense</t>
  </si>
  <si>
    <t>EBT</t>
  </si>
  <si>
    <t>Net Income</t>
  </si>
  <si>
    <t>Inyoag - Pro Forma</t>
  </si>
  <si>
    <t>Inyoag - D&amp;A Schedule</t>
  </si>
  <si>
    <t>Asset Category</t>
  </si>
  <si>
    <t>Total CapEx ($)</t>
  </si>
  <si>
    <t>1. Permitting &amp; Reclamation Bond</t>
  </si>
  <si>
    <t>SL</t>
  </si>
  <si>
    <t>IRC §197 / Rev. Proc. 87-56 — permits &amp; intangibles, 15-yr straight-line</t>
  </si>
  <si>
    <t>2. Rail Construction &amp; Dump Pocket</t>
  </si>
  <si>
    <t>DDB</t>
  </si>
  <si>
    <t>MACRS Asset Class 00.3 — land improvements &amp; rail; 7-yr 200% DDB</t>
  </si>
  <si>
    <t>3. Utilities (Electrical, Water, Air)</t>
  </si>
  <si>
    <t>MACRS Asset Class 00.3 — electrical &amp; mechanical systems; 7-yr DDB</t>
  </si>
  <si>
    <t>4. Operational Development &amp; Startup</t>
  </si>
  <si>
    <t>MACRS Asset Class 10.0 — mining; 7-yr DDB per Rev. Proc. 87-56</t>
  </si>
  <si>
    <t>Underground Equipment (drills, hoist, locos, lighting)</t>
  </si>
  <si>
    <t>MACRS Asset Class 10.0 — mining machinery; 7-yr 200% DDB</t>
  </si>
  <si>
    <t>Underground Development (drifting, shaft, raise rehab)</t>
  </si>
  <si>
    <t>MACRS Asset Class 10.0 — mine development; 10-yr 200% DDB</t>
  </si>
  <si>
    <t>Mining Support Systems (Water, Air, Electrical)</t>
  </si>
  <si>
    <t>MACRS Asset Class 00.3/10.0 — mechanical &amp; electrical; 7-yr DDB</t>
  </si>
  <si>
    <t>Facilities &amp; Infrastructure (roads, buildings, upgrades)</t>
  </si>
  <si>
    <t>MACRS Asset Class 00.3 — land improvements &amp; structures; 15-yr SL</t>
  </si>
  <si>
    <t>Processing &amp; Beneficiation (mill, dryer, tailings, water)</t>
  </si>
  <si>
    <t>MACRS Asset Class 10.0 — processing equipment; 7-yr DDB</t>
  </si>
  <si>
    <t>Years</t>
  </si>
  <si>
    <t>WANDERING STAR</t>
  </si>
  <si>
    <t>DARWIN MINE</t>
  </si>
  <si>
    <t>Total Loan</t>
  </si>
  <si>
    <t>IO</t>
  </si>
  <si>
    <t>Type</t>
  </si>
  <si>
    <t>Rate</t>
  </si>
  <si>
    <t>Maturity</t>
  </si>
  <si>
    <t>Maturity Date</t>
  </si>
  <si>
    <t>Principal</t>
  </si>
  <si>
    <t>Ending Principal</t>
  </si>
  <si>
    <t>Loan Proceeds</t>
  </si>
  <si>
    <t>Balloon Payment</t>
  </si>
  <si>
    <t>Amortizing</t>
  </si>
  <si>
    <t>Monthly Payment</t>
  </si>
  <si>
    <t>Cash Flow</t>
  </si>
  <si>
    <t>Total Principal</t>
  </si>
  <si>
    <t>Investing Activities</t>
  </si>
  <si>
    <t>Financing Activities</t>
  </si>
  <si>
    <t>Investing CF</t>
  </si>
  <si>
    <t>Operating CF</t>
  </si>
  <si>
    <t>Financing CF</t>
  </si>
  <si>
    <t>Cumulative FCF</t>
  </si>
  <si>
    <t>Loan Balance</t>
  </si>
  <si>
    <t>DSCR</t>
  </si>
  <si>
    <t>Note</t>
  </si>
  <si>
    <t>On-Going CAPEX</t>
  </si>
  <si>
    <t>pt</t>
  </si>
  <si>
    <t>Sustainable CAPEX</t>
  </si>
  <si>
    <t>Private &amp; Confidential</t>
  </si>
  <si>
    <t>Current Price</t>
  </si>
  <si>
    <t>Location</t>
  </si>
  <si>
    <t>SECTION 5 - EXPLORATION AND DRILLING</t>
  </si>
  <si>
    <t>Enginnering</t>
  </si>
  <si>
    <t>Drilling</t>
  </si>
  <si>
    <t>Geology</t>
  </si>
  <si>
    <t>Equipment</t>
  </si>
  <si>
    <t>Exploration and Drlling Subtotal</t>
  </si>
  <si>
    <t xml:space="preserve">Permitting </t>
  </si>
  <si>
    <t>Rail Construction</t>
  </si>
  <si>
    <t>Operational Setup</t>
  </si>
  <si>
    <t>Mining Extraction and Underground Ops</t>
  </si>
  <si>
    <t>Mining Support Systems</t>
  </si>
  <si>
    <t>Mining Facilities Infrastructure</t>
  </si>
  <si>
    <t>Processing and Benefication</t>
  </si>
  <si>
    <t>Exploration and Drilling</t>
  </si>
  <si>
    <t>Operational Support</t>
  </si>
  <si>
    <t>Working Capital</t>
  </si>
  <si>
    <t>Combined - CAPEX</t>
  </si>
  <si>
    <t>Totals</t>
  </si>
  <si>
    <t>Copper</t>
  </si>
  <si>
    <t>Silver</t>
  </si>
  <si>
    <t>Gold</t>
  </si>
  <si>
    <t>Lead</t>
  </si>
  <si>
    <t>CAPEX - OTHER</t>
  </si>
  <si>
    <t>Germanium</t>
  </si>
  <si>
    <t>Hafnium</t>
  </si>
  <si>
    <t>Gallium</t>
  </si>
  <si>
    <t>Indium</t>
  </si>
  <si>
    <t>Nickel</t>
  </si>
  <si>
    <t>Cadmium</t>
  </si>
  <si>
    <t>Cobalt</t>
  </si>
  <si>
    <t>Magnesium</t>
  </si>
  <si>
    <t>Rubidium</t>
  </si>
  <si>
    <t>Tellurium</t>
  </si>
  <si>
    <t>Price Change Assumption</t>
  </si>
  <si>
    <t>Discount Rate</t>
  </si>
  <si>
    <t>DCF - Management Base Case</t>
  </si>
  <si>
    <t>Tax Rate</t>
  </si>
  <si>
    <t>Scenario Analysis</t>
  </si>
  <si>
    <t>Year</t>
  </si>
  <si>
    <t>Discount Factor</t>
  </si>
  <si>
    <t>Base Case FCF</t>
  </si>
  <si>
    <t>Price X</t>
  </si>
  <si>
    <t>DCF - Royalties</t>
  </si>
  <si>
    <t>DCF - No Royalties</t>
  </si>
  <si>
    <t>DCF ($M)</t>
  </si>
  <si>
    <t>FCF - Price Changes</t>
  </si>
  <si>
    <t>Price Relative to Current Value</t>
  </si>
  <si>
    <t>FCF Scenarios</t>
  </si>
  <si>
    <t>D/R</t>
  </si>
  <si>
    <t>DCF - Royalties Excluded</t>
  </si>
  <si>
    <t>DCF Assumption Scenarios - Price Change and Discount Rate</t>
  </si>
  <si>
    <t>PROJECT DARWIN + WANDERING STAR — LIFE-OF-MINE PRODUCTION SCHEDULE</t>
  </si>
  <si>
    <t>OPERATING ASSUMPTIONS</t>
  </si>
  <si>
    <t>ORE SOURCES (short tons)</t>
  </si>
  <si>
    <t>Darwin RecoveryRates</t>
  </si>
  <si>
    <t>Throughput (short tons/day)</t>
  </si>
  <si>
    <t>Darwin — Indicated</t>
  </si>
  <si>
    <t>Operating days / year</t>
  </si>
  <si>
    <t>Darwin — Inferred</t>
  </si>
  <si>
    <t>Steady-state ore (t/yr)</t>
  </si>
  <si>
    <t>Darwin — Total classified</t>
  </si>
  <si>
    <t>Wandering Star share of feed</t>
  </si>
  <si>
    <t>Wandering Star — Mineable</t>
  </si>
  <si>
    <t>Tungsten (WO₃)</t>
  </si>
  <si>
    <t>(units as noted)</t>
  </si>
  <si>
    <t>LOM Total</t>
  </si>
  <si>
    <t>ORE FEED &amp; RESOURCE SOURCING  (short tons)</t>
  </si>
  <si>
    <t>Total mill feed</t>
  </si>
  <si>
    <t>t</t>
  </si>
  <si>
    <t xml:space="preserve">  Mill feed — Darwin</t>
  </si>
  <si>
    <t xml:space="preserve">  Mill feed — Wandering Star</t>
  </si>
  <si>
    <t>Darwin — cumulative feed</t>
  </si>
  <si>
    <t>Wandering Star — cumulative feed</t>
  </si>
  <si>
    <t xml:space="preserve">HEAD GRADE — DARWIN </t>
  </si>
  <si>
    <t>oz/t</t>
  </si>
  <si>
    <t>HEAD GRADE — WANDERING STAR</t>
  </si>
  <si>
    <t>RECOVERED PRODUCTION — DARWIN STREAM</t>
  </si>
  <si>
    <t>oz</t>
  </si>
  <si>
    <t>lb</t>
  </si>
  <si>
    <t>RECOVERED PRODUCTION — WANDERING STAR STREAM</t>
  </si>
  <si>
    <t>TOTAL RECOVERED (PAYABLE) PRODUCTION</t>
  </si>
  <si>
    <t>Notes</t>
  </si>
  <si>
    <t>Wandering Star Recovery</t>
  </si>
  <si>
    <t>Inyoag - DCF Sensitivity Analysis</t>
  </si>
  <si>
    <t>Inyoag - Ancillary Revenue Streams</t>
  </si>
  <si>
    <t>PPM</t>
  </si>
  <si>
    <t>Ten Year Tonnage</t>
  </si>
  <si>
    <t>Potential Revenue</t>
  </si>
  <si>
    <t>Production Level - TPD</t>
  </si>
  <si>
    <t>Wandering Star Costs</t>
  </si>
  <si>
    <t>IRR</t>
  </si>
  <si>
    <t>Total Raise</t>
  </si>
  <si>
    <t xml:space="preserve">Equity </t>
  </si>
  <si>
    <t>Debt</t>
  </si>
  <si>
    <t>Debt Type</t>
  </si>
  <si>
    <t>Valuation</t>
  </si>
  <si>
    <t>Darwin - Oxide Circuit</t>
  </si>
  <si>
    <t>418D</t>
  </si>
  <si>
    <t>A433</t>
  </si>
  <si>
    <t>Darwin - Sulfide Circuit</t>
  </si>
  <si>
    <t>Darwin Oxide Circuit</t>
  </si>
  <si>
    <t>Feedstock Assumptions</t>
  </si>
  <si>
    <t>Darwin Sulide Circuit</t>
  </si>
  <si>
    <t>Oxide Circuit Assumptions</t>
  </si>
  <si>
    <t>Sulfide Circuit Assumptions</t>
  </si>
  <si>
    <t xml:space="preserve"> </t>
  </si>
  <si>
    <t>B-458</t>
  </si>
  <si>
    <t>Ore Allocation</t>
  </si>
  <si>
    <t>Darwin Oxide</t>
  </si>
  <si>
    <t>Darwin Sulfide</t>
  </si>
  <si>
    <t>Inyoag - Feedstock Assumptions</t>
  </si>
  <si>
    <t>Notes:</t>
  </si>
  <si>
    <t>Wandering Star - Upper Bed</t>
  </si>
  <si>
    <t>Mineable</t>
  </si>
  <si>
    <t>Wandering Star - Upper and Lower Beds</t>
  </si>
  <si>
    <t>Wandering Star - Combined</t>
  </si>
  <si>
    <t>(1) Silver is represented as ounces per ton</t>
  </si>
  <si>
    <t>(2) Ore reserves are derived from Inspiration Mines mining records.</t>
  </si>
  <si>
    <t>Darwin - Combined</t>
  </si>
  <si>
    <t>Block</t>
  </si>
  <si>
    <t>Darwin Ore Breakdown</t>
  </si>
  <si>
    <t>(2) Ore reserves are derived from Ethos Geological Technical Report and Strachan Reports</t>
  </si>
  <si>
    <t>Weighted Costs</t>
  </si>
  <si>
    <t>(1) Pre recovery does not tie to weighted total for Darwin as certain blocks will be prioritized.</t>
  </si>
  <si>
    <t>(2) Silver is ounces per ton</t>
  </si>
  <si>
    <t>Total - Pre Recovery Contribution</t>
  </si>
  <si>
    <t>Wandering Star % W</t>
  </si>
  <si>
    <t>Blended W</t>
  </si>
  <si>
    <t>Darwin - Ore Combined</t>
  </si>
  <si>
    <t>Darwin - Ore Sulfide Only</t>
  </si>
  <si>
    <t>Darwin - Sulfides</t>
  </si>
  <si>
    <t>Weighted Sulfides</t>
  </si>
  <si>
    <t>Wgt -- Total</t>
  </si>
  <si>
    <t>Wgt Sulfides</t>
  </si>
  <si>
    <t>Sulfide Only</t>
  </si>
  <si>
    <t>Sulfides Only</t>
  </si>
  <si>
    <t>Darwin Zinc - Suldies</t>
  </si>
  <si>
    <t>Darwin Zinc - Combined</t>
  </si>
  <si>
    <t xml:space="preserve">Weighted Total </t>
  </si>
  <si>
    <t>Darwin % W Combined</t>
  </si>
  <si>
    <t>Darwin % W Sulfides</t>
  </si>
  <si>
    <t>Contained W</t>
  </si>
  <si>
    <t>Dual-circuit mill feed</t>
  </si>
  <si>
    <t>INYOAG LLC</t>
  </si>
  <si>
    <t>Private &amp; Confidential      |      July 2026      |      Figures in US$ millions unless noted</t>
  </si>
  <si>
    <t>VALUATION &amp; RETURNS</t>
  </si>
  <si>
    <t>CAPITAL STRUCTURE &amp; OPERATIONS</t>
  </si>
  <si>
    <t>NPV @ 8% (incl. royalties)</t>
  </si>
  <si>
    <t>Total funding</t>
  </si>
  <si>
    <t>NPV @ 8% (excl. royalties)</t>
  </si>
  <si>
    <t>Senior debt (11% IO)</t>
  </si>
  <si>
    <t>Equity IRR (XIRR)</t>
  </si>
  <si>
    <t>Equity</t>
  </si>
  <si>
    <t>Discount rate</t>
  </si>
  <si>
    <t>Cum. FCF turns positive</t>
  </si>
  <si>
    <t>Total capital raised</t>
  </si>
  <si>
    <t>Steady-state ore (st/yr)</t>
  </si>
  <si>
    <t>NPV vs DISCOUNT RATE  (base case, incl. royalties, $mm)</t>
  </si>
  <si>
    <t>LIFE-OF-MINE</t>
  </si>
  <si>
    <t>NPV ($mm)</t>
  </si>
  <si>
    <t>Net income</t>
  </si>
  <si>
    <t>Free cash flow</t>
  </si>
  <si>
    <t>ANNUAL SUMMARY  ($mm)</t>
  </si>
  <si>
    <t>Fiscal year</t>
  </si>
  <si>
    <t>Total revenue</t>
  </si>
  <si>
    <t>EBITDA margin</t>
  </si>
  <si>
    <t>Steady-state revenue by product ($mm, FY2035)</t>
  </si>
  <si>
    <t>Financial Model Summary</t>
  </si>
  <si>
    <t>Throughput (stpd)</t>
  </si>
  <si>
    <t>Cumulative CF</t>
  </si>
  <si>
    <r>
      <t>Feed basis.</t>
    </r>
    <r>
      <rPr>
        <sz val="9"/>
        <color indexed="8"/>
        <rFont val="Open Sans"/>
        <family val="2"/>
      </rPr>
      <t xml:space="preserve"> Steady-state throughput of 500 short tons/day × 325 operating days = 162,500 t/yr, split 80% Darwin / 20% Wandering Star. Year 1 is partial (72,042 t), reflecting the phased ramp (40 → 250 → 500 stpd) and Wandering Star's restart approximately two months behind Darwin.</t>
    </r>
  </si>
  <si>
    <r>
      <t>Resource sourcing.</t>
    </r>
    <r>
      <rPr>
        <sz val="9"/>
        <color indexed="8"/>
        <rFont val="Open Sans"/>
        <family val="2"/>
      </rPr>
      <t xml:space="preserve"> Darwin classified resource of 1,184,150 t (Indicated 306,500 + Inferred 877,650); Wandering Star mineable reserve of 964,000 t. At the 80/20 split, Darwin supplies ~130,000 t/yr (~1.30M t over ten years, which modestly exceeds the classified Darwin resource and implies reliance on resource conversion or step-out drilling for the final year), while Wandering Star supplies ~32,500 t/yr (~325,000 t, roughly 34% of its mineable reserve).</t>
    </r>
  </si>
  <si>
    <r>
      <t>Head grades.</t>
    </r>
    <r>
      <rPr>
        <sz val="9"/>
        <color indexed="8"/>
        <rFont val="Open Sans"/>
        <family val="2"/>
      </rPr>
      <t xml:space="preserve"> Darwin grades are tonnage-weighted combined (oxide + sulfide) resource averages, held flat across the life of mine; Wandering Star grades are mineable (diluted) figures. Silver is stated in troy ounces per short ton; copper, lead, tungsten, and zinc are stated as percent by mass.</t>
    </r>
  </si>
  <si>
    <r>
      <t>Recovery.</t>
    </r>
    <r>
      <rPr>
        <sz val="9"/>
        <color indexed="8"/>
        <rFont val="Open Sans"/>
        <family val="2"/>
      </rPr>
      <t xml:space="preserve"> Darwin recoveries are applied by metal — Ag 90%, Cu 85%, Pb 85%, W 85%, Zn 98.7%. Wandering Star recovery is applied as a flat 85% across all metals, consistent with its already-diluted mineable basis.</t>
    </r>
  </si>
  <si>
    <r>
      <t>Tungsten basis.</t>
    </r>
    <r>
      <rPr>
        <sz val="9"/>
        <color indexed="8"/>
        <rFont val="Open Sans"/>
        <family val="2"/>
      </rPr>
      <t xml:space="preserve"> Tungsten grades are reported as elemental tungsten (%W), and recovered tungsten in this schedule is stated as pounds of contained W. The conversion to WO₃ for APT-based pricing (WO₃ = W × 1.261, the 231.84/183.84 molecular-weight ratio) is applied in the Tungsten Model, not here. The Wandering Star tungsten figure should be reconciled to a single source number — different values appear in the workbook's notes.</t>
    </r>
  </si>
  <si>
    <r>
      <t>Units.</t>
    </r>
    <r>
      <rPr>
        <sz val="9"/>
        <color indexed="8"/>
        <rFont val="Open Sans"/>
        <family val="2"/>
      </rPr>
      <t xml:space="preserve"> Silver in troy ounces; copper, lead, tungsten, and zinc in pounds (short tons × grade % × 2,000).</t>
    </r>
  </si>
  <si>
    <r>
      <t>Scope — physical LOM reference only.</t>
    </r>
    <r>
      <rPr>
        <sz val="9"/>
        <color indexed="8"/>
        <rFont val="Open Sans"/>
        <family val="2"/>
      </rPr>
      <t xml:space="preserve"> This schedule reports contained/recovered metal at combined Darwin grades and does not model the sulfide-only-until-500-tpd processing sequence; that ramp logic (sulfide grades during Phases I–II, blended oxide + sulfide at 500 tpd) is applied in the commodity model sheets. This schedule is therefore a resource and physical-production reference, not the phased revenue schedule.</t>
    </r>
  </si>
  <si>
    <r>
      <t>Relationship to the financial model.</t>
    </r>
    <r>
      <rPr>
        <sz val="9"/>
        <color indexed="8"/>
        <rFont val="Open Sans"/>
        <family val="2"/>
      </rPr>
      <t xml:space="preserve"> Pro forma revenue is calculated independently in the commodity model sheets; this schedule is the physical cross-check. Silver reconciles at ~1.71M oz/yr at steady state; the base-metal lines are now stated in pounds for direct comparison.</t>
    </r>
  </si>
  <si>
    <t>TPM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</si>
</sst>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#,##0&quot; &quot;;\(#,##0\)"/>
    <numFmt numFmtId="166" formatCode="&quot; &quot;[$$-409]* #,##0.00&quot; &quot;;&quot; &quot;[$$-409]* \(#,##0.00\);&quot; &quot;[$$-409]* &quot;-&quot;??&quot; &quot;"/>
    <numFmt numFmtId="167" formatCode="&quot; &quot;* #,##0.000&quot; &quot;;&quot; &quot;* \(#,##0.000\);&quot; &quot;* &quot;-&quot;??&quot; &quot;"/>
    <numFmt numFmtId="168" formatCode="_([$$-409]* #,##0.00_);_([$$-409]* \(#,##0.00\);_([$$-409]* &quot;-&quot;??_);_(@_)"/>
    <numFmt numFmtId="169" formatCode="&quot;$&quot;#,##0"/>
    <numFmt numFmtId="170" formatCode="_(* #,##0_);_(* \(#,##0\);_(* &quot;-&quot;??_);_(@_)"/>
    <numFmt numFmtId="171" formatCode="mm/dd/yy;@"/>
    <numFmt numFmtId="172" formatCode="\$#,##0;&quot;($&quot;#,##0\);\-"/>
    <numFmt numFmtId="173" formatCode="_(&quot;$&quot;* #,##0_);_(&quot;$&quot;* \(#,##0\);_(&quot;$&quot;* &quot;-&quot;??_);_(@_)"/>
    <numFmt numFmtId="174" formatCode="_(* #,##0.000_);_(* \(#,##0.000\);_(* &quot;-&quot;??_);_(@_)"/>
    <numFmt numFmtId="175" formatCode="&quot;$&quot;#,###&quot; M&quot;"/>
    <numFmt numFmtId="176" formatCode="0.000"/>
    <numFmt numFmtId="177" formatCode="0.0000%"/>
    <numFmt numFmtId="178" formatCode="_(* #,##0.0000_);_(* \(#,##0.0000\);_(* &quot;-&quot;??_);_(@_)"/>
    <numFmt numFmtId="179" formatCode="\$#,##0.0"/>
    <numFmt numFmtId="180" formatCode="\$#,##0"/>
    <numFmt numFmtId="181" formatCode="yyyy"/>
    <numFmt numFmtId="182" formatCode="&quot;Y&quot;#"/>
  </numFmts>
  <fonts count="43" x14ac:knownFonts="1">
    <font>
      <sz val="11"/>
      <color indexed="8"/>
      <name val="Calibri"/>
    </font>
    <font>
      <b/>
      <sz val="16"/>
      <color indexed="8"/>
      <name val="Open Sans"/>
      <family val="2"/>
    </font>
    <font>
      <sz val="10"/>
      <color indexed="8"/>
      <name val="Open Sans"/>
      <family val="2"/>
    </font>
    <font>
      <b/>
      <sz val="10"/>
      <color indexed="8"/>
      <name val="Open Sans"/>
      <family val="2"/>
    </font>
    <font>
      <sz val="10"/>
      <color indexed="17"/>
      <name val="Open Sans"/>
      <family val="2"/>
    </font>
    <font>
      <sz val="11"/>
      <color indexed="8"/>
      <name val="Calibri"/>
      <family val="2"/>
    </font>
    <font>
      <sz val="11"/>
      <color indexed="8"/>
      <name val="Open Sans"/>
      <family val="2"/>
    </font>
    <font>
      <b/>
      <sz val="10"/>
      <color theme="0"/>
      <name val="Open Sans"/>
      <family val="2"/>
    </font>
    <font>
      <b/>
      <sz val="10"/>
      <name val="Open Sans"/>
      <family val="2"/>
    </font>
    <font>
      <sz val="10"/>
      <color rgb="FF0070C0"/>
      <name val="Open Sans"/>
      <family val="2"/>
    </font>
    <font>
      <sz val="10"/>
      <name val="Open Sans"/>
      <family val="2"/>
    </font>
    <font>
      <sz val="11"/>
      <color indexed="8"/>
      <name val="Calibri"/>
      <family val="2"/>
    </font>
    <font>
      <b/>
      <sz val="12"/>
      <color indexed="8"/>
      <name val="Open Sans"/>
      <family val="2"/>
    </font>
    <font>
      <b/>
      <sz val="10"/>
      <color rgb="FF00B0F0"/>
      <name val="Open Sans"/>
      <family val="2"/>
    </font>
    <font>
      <sz val="11"/>
      <color theme="1"/>
      <name val="Calibri"/>
      <family val="2"/>
      <charset val="1"/>
    </font>
    <font>
      <b/>
      <sz val="12"/>
      <name val="Open Sans"/>
      <family val="2"/>
    </font>
    <font>
      <i/>
      <sz val="10"/>
      <name val="Open Sans"/>
      <family val="2"/>
    </font>
    <font>
      <sz val="10"/>
      <color theme="0"/>
      <name val="Open Sans"/>
      <family val="2"/>
    </font>
    <font>
      <b/>
      <sz val="10"/>
      <color rgb="FF002060"/>
      <name val="Open Sans"/>
      <family val="2"/>
    </font>
    <font>
      <sz val="9"/>
      <color indexed="8"/>
      <name val="Open Sans"/>
      <family val="2"/>
    </font>
    <font>
      <b/>
      <sz val="20"/>
      <color rgb="FF0070C0"/>
      <name val="Open Sans"/>
      <family val="2"/>
    </font>
    <font>
      <sz val="8"/>
      <color indexed="8"/>
      <name val="Open Sans"/>
      <family val="2"/>
    </font>
    <font>
      <b/>
      <sz val="11"/>
      <name val="Open Sans"/>
      <family val="2"/>
    </font>
    <font>
      <sz val="10"/>
      <color theme="1"/>
      <name val="Open Sans"/>
      <family val="2"/>
    </font>
    <font>
      <i/>
      <sz val="10"/>
      <color rgb="FF555555"/>
      <name val="Open Sans"/>
      <family val="2"/>
    </font>
    <font>
      <sz val="10"/>
      <color rgb="FF1A1A1A"/>
      <name val="Open Sans"/>
      <family val="2"/>
    </font>
    <font>
      <sz val="10"/>
      <name val="Arial"/>
      <family val="2"/>
    </font>
    <font>
      <i/>
      <sz val="10"/>
      <color rgb="FFB08D2E"/>
      <name val="Open Sans"/>
      <family val="2"/>
    </font>
    <font>
      <b/>
      <sz val="10"/>
      <color rgb="FF1A1A1A"/>
      <name val="Open Sans"/>
      <family val="2"/>
    </font>
    <font>
      <sz val="10"/>
      <color rgb="FF888888"/>
      <name val="Open Sans"/>
      <family val="2"/>
    </font>
    <font>
      <sz val="10"/>
      <color rgb="FF0000FF"/>
      <name val="Open Sans"/>
      <family val="2"/>
    </font>
    <font>
      <sz val="10"/>
      <color rgb="FF1A6B2E"/>
      <name val="Open Sans"/>
      <family val="2"/>
    </font>
    <font>
      <sz val="10"/>
      <color rgb="FF1F3A6B"/>
      <name val="Open Sans"/>
      <family val="2"/>
    </font>
    <font>
      <sz val="10"/>
      <color rgb="FF555555"/>
      <name val="Open Sans"/>
      <family val="2"/>
    </font>
    <font>
      <b/>
      <sz val="10"/>
      <color rgb="FF0B1F3F"/>
      <name val="Open Sans"/>
      <family val="2"/>
    </font>
    <font>
      <b/>
      <sz val="12"/>
      <color rgb="FF0070C0"/>
      <name val="Open Sans"/>
      <family val="2"/>
    </font>
    <font>
      <i/>
      <sz val="10"/>
      <color indexed="8"/>
      <name val="Open Sans"/>
      <family val="2"/>
    </font>
    <font>
      <b/>
      <sz val="20"/>
      <color rgb="FFFFFFFF"/>
      <name val="Open Sans"/>
      <family val="2"/>
    </font>
    <font>
      <b/>
      <sz val="11"/>
      <color rgb="FFFFFFFF"/>
      <name val="Open Sans"/>
      <family val="2"/>
    </font>
    <font>
      <i/>
      <sz val="9"/>
      <color rgb="FFC5A34F"/>
      <name val="Open Sans"/>
      <family val="2"/>
    </font>
    <font>
      <b/>
      <sz val="10"/>
      <color rgb="FFFFFFFF"/>
      <name val="Open Sans"/>
      <family val="2"/>
    </font>
    <font>
      <b/>
      <sz val="10"/>
      <color rgb="FF14274E"/>
      <name val="Open Sans"/>
      <family val="2"/>
    </font>
    <font>
      <b/>
      <sz val="9"/>
      <color indexed="8"/>
      <name val="Open Sans"/>
      <family val="2"/>
    </font>
  </fonts>
  <fills count="2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EEF2F8"/>
      </patternFill>
    </fill>
    <fill>
      <patternFill patternType="solid">
        <fgColor rgb="FFFFFFFF"/>
        <bgColor rgb="FFF0F7F0"/>
      </patternFill>
    </fill>
    <fill>
      <patternFill patternType="solid">
        <fgColor rgb="FFD9E1F2"/>
        <bgColor rgb="FFCC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E2EFDA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F4F6F8"/>
      </patternFill>
    </fill>
    <fill>
      <patternFill patternType="solid">
        <fgColor rgb="FFF4F6F8"/>
        <bgColor rgb="FFFFFFFF"/>
      </patternFill>
    </fill>
    <fill>
      <patternFill patternType="solid">
        <fgColor theme="8" tint="0.59999389629810485"/>
        <bgColor rgb="FFF4F6F8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14274E"/>
        <bgColor rgb="FF0B1F3F"/>
      </patternFill>
    </fill>
    <fill>
      <patternFill patternType="solid">
        <fgColor rgb="FF1F3B6B"/>
        <bgColor rgb="FF1F3A6B"/>
      </patternFill>
    </fill>
    <fill>
      <patternFill patternType="solid">
        <fgColor rgb="FFEFF2F7"/>
        <bgColor rgb="FFF2F2F2"/>
      </patternFill>
    </fill>
    <fill>
      <patternFill patternType="solid">
        <fgColor rgb="FFF3ECD9"/>
        <bgColor rgb="FFF2F2F2"/>
      </patternFill>
    </fill>
    <fill>
      <patternFill patternType="solid">
        <fgColor rgb="FFFFFFFF"/>
        <bgColor rgb="FFF9F9F9"/>
      </patternFill>
    </fill>
    <fill>
      <patternFill patternType="solid">
        <fgColor theme="1" tint="0.34998626667073579"/>
        <bgColor rgb="FFB08D2E"/>
      </patternFill>
    </fill>
  </fills>
  <borders count="51">
    <border>
      <left/>
      <right/>
      <top/>
      <bottom/>
      <diagonal/>
    </border>
    <border>
      <left style="thin">
        <color indexed="13"/>
      </left>
      <right/>
      <top style="thin">
        <color indexed="13"/>
      </top>
      <bottom/>
      <diagonal/>
    </border>
    <border>
      <left/>
      <right/>
      <top style="thin">
        <color indexed="13"/>
      </top>
      <bottom/>
      <diagonal/>
    </border>
    <border>
      <left/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/>
      <top/>
      <bottom/>
      <diagonal/>
    </border>
    <border>
      <left/>
      <right style="thin">
        <color indexed="13"/>
      </right>
      <top/>
      <bottom/>
      <diagonal/>
    </border>
    <border>
      <left/>
      <right/>
      <top style="thin">
        <color indexed="14"/>
      </top>
      <bottom/>
      <diagonal/>
    </border>
    <border>
      <left/>
      <right/>
      <top/>
      <bottom/>
      <diagonal/>
    </border>
    <border>
      <left style="thin">
        <color indexed="13"/>
      </left>
      <right/>
      <top/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/>
      <right/>
      <top/>
      <bottom style="thin">
        <color indexed="14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medium">
        <color auto="1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0.34998626667073579"/>
      </bottom>
      <diagonal/>
    </border>
    <border>
      <left/>
      <right/>
      <top style="thin">
        <color theme="0" tint="-4.9989318521683403E-2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5">
    <xf numFmtId="0" fontId="0" fillId="0" borderId="0" applyNumberFormat="0" applyFill="0" applyBorder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4" fillId="0" borderId="7"/>
  </cellStyleXfs>
  <cellXfs count="347">
    <xf numFmtId="0" fontId="0" fillId="0" borderId="0" xfId="0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9" fontId="0" fillId="2" borderId="7" xfId="0" applyNumberFormat="1" applyFill="1" applyBorder="1"/>
    <xf numFmtId="10" fontId="0" fillId="2" borderId="7" xfId="0" applyNumberFormat="1" applyFill="1" applyBorder="1"/>
    <xf numFmtId="165" fontId="0" fillId="2" borderId="5" xfId="0" applyNumberFormat="1" applyFill="1" applyBorder="1"/>
    <xf numFmtId="0" fontId="2" fillId="2" borderId="7" xfId="0" applyFont="1" applyFill="1" applyBorder="1"/>
    <xf numFmtId="0" fontId="0" fillId="0" borderId="0" xfId="0" applyNumberFormat="1"/>
    <xf numFmtId="0" fontId="0" fillId="2" borderId="12" xfId="0" applyFill="1" applyBorder="1"/>
    <xf numFmtId="49" fontId="4" fillId="2" borderId="7" xfId="0" applyNumberFormat="1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1" fillId="0" borderId="13" xfId="0" applyNumberFormat="1" applyFont="1" applyBorder="1"/>
    <xf numFmtId="0" fontId="1" fillId="0" borderId="13" xfId="0" applyFont="1" applyBorder="1"/>
    <xf numFmtId="0" fontId="0" fillId="0" borderId="7" xfId="0" applyBorder="1"/>
    <xf numFmtId="0" fontId="0" fillId="0" borderId="5" xfId="0" applyBorder="1"/>
    <xf numFmtId="0" fontId="0" fillId="0" borderId="14" xfId="0" applyBorder="1"/>
    <xf numFmtId="49" fontId="0" fillId="0" borderId="7" xfId="0" applyNumberFormat="1" applyBorder="1"/>
    <xf numFmtId="0" fontId="0" fillId="0" borderId="15" xfId="0" applyBorder="1"/>
    <xf numFmtId="14" fontId="0" fillId="0" borderId="15" xfId="0" applyNumberFormat="1" applyBorder="1"/>
    <xf numFmtId="14" fontId="0" fillId="0" borderId="7" xfId="0" applyNumberFormat="1" applyBorder="1"/>
    <xf numFmtId="14" fontId="0" fillId="0" borderId="5" xfId="0" applyNumberFormat="1" applyBorder="1"/>
    <xf numFmtId="49" fontId="0" fillId="0" borderId="16" xfId="0" applyNumberFormat="1" applyBorder="1"/>
    <xf numFmtId="0" fontId="0" fillId="0" borderId="16" xfId="0" applyNumberFormat="1" applyBorder="1"/>
    <xf numFmtId="49" fontId="3" fillId="0" borderId="7" xfId="0" applyNumberFormat="1" applyFont="1" applyBorder="1"/>
    <xf numFmtId="3" fontId="0" fillId="0" borderId="7" xfId="0" applyNumberFormat="1" applyBorder="1"/>
    <xf numFmtId="3" fontId="0" fillId="0" borderId="5" xfId="0" applyNumberFormat="1" applyBorder="1"/>
    <xf numFmtId="164" fontId="0" fillId="0" borderId="7" xfId="0" applyNumberFormat="1" applyBorder="1"/>
    <xf numFmtId="3" fontId="2" fillId="0" borderId="7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9" fontId="0" fillId="0" borderId="7" xfId="0" applyNumberFormat="1" applyBorder="1"/>
    <xf numFmtId="166" fontId="0" fillId="0" borderId="7" xfId="0" applyNumberFormat="1" applyBorder="1"/>
    <xf numFmtId="9" fontId="0" fillId="0" borderId="5" xfId="0" applyNumberFormat="1" applyBorder="1"/>
    <xf numFmtId="167" fontId="0" fillId="0" borderId="7" xfId="0" applyNumberFormat="1" applyBorder="1"/>
    <xf numFmtId="0" fontId="3" fillId="0" borderId="7" xfId="0" applyFont="1" applyBorder="1"/>
    <xf numFmtId="0" fontId="0" fillId="0" borderId="8" xfId="0" applyBorder="1"/>
    <xf numFmtId="0" fontId="0" fillId="0" borderId="9" xfId="0" applyBorder="1"/>
    <xf numFmtId="3" fontId="0" fillId="0" borderId="9" xfId="0" applyNumberFormat="1" applyBorder="1"/>
    <xf numFmtId="3" fontId="0" fillId="0" borderId="10" xfId="0" applyNumberFormat="1" applyBorder="1"/>
    <xf numFmtId="0" fontId="6" fillId="2" borderId="1" xfId="0" applyFont="1" applyFill="1" applyBorder="1"/>
    <xf numFmtId="0" fontId="6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0" borderId="0" xfId="0" applyNumberFormat="1" applyFont="1"/>
    <xf numFmtId="49" fontId="2" fillId="2" borderId="7" xfId="0" applyNumberFormat="1" applyFont="1" applyFill="1" applyBorder="1"/>
    <xf numFmtId="49" fontId="2" fillId="2" borderId="11" xfId="0" applyNumberFormat="1" applyFont="1" applyFill="1" applyBorder="1"/>
    <xf numFmtId="0" fontId="2" fillId="2" borderId="6" xfId="0" applyFont="1" applyFill="1" applyBorder="1"/>
    <xf numFmtId="166" fontId="2" fillId="2" borderId="7" xfId="0" applyNumberFormat="1" applyFont="1" applyFill="1" applyBorder="1"/>
    <xf numFmtId="164" fontId="2" fillId="2" borderId="7" xfId="0" applyNumberFormat="1" applyFont="1" applyFill="1" applyBorder="1"/>
    <xf numFmtId="0" fontId="2" fillId="0" borderId="0" xfId="0" applyFont="1"/>
    <xf numFmtId="0" fontId="9" fillId="2" borderId="7" xfId="0" applyFont="1" applyFill="1" applyBorder="1"/>
    <xf numFmtId="43" fontId="2" fillId="2" borderId="7" xfId="1" applyFont="1" applyFill="1" applyBorder="1" applyAlignment="1"/>
    <xf numFmtId="43" fontId="2" fillId="0" borderId="0" xfId="1" applyFont="1" applyAlignment="1"/>
    <xf numFmtId="3" fontId="2" fillId="0" borderId="0" xfId="0" applyNumberFormat="1" applyFont="1"/>
    <xf numFmtId="168" fontId="2" fillId="2" borderId="7" xfId="0" applyNumberFormat="1" applyFont="1" applyFill="1" applyBorder="1"/>
    <xf numFmtId="43" fontId="2" fillId="0" borderId="0" xfId="0" applyNumberFormat="1" applyFont="1"/>
    <xf numFmtId="166" fontId="2" fillId="0" borderId="0" xfId="0" applyNumberFormat="1" applyFont="1"/>
    <xf numFmtId="37" fontId="2" fillId="0" borderId="0" xfId="0" applyNumberFormat="1" applyFont="1"/>
    <xf numFmtId="164" fontId="2" fillId="0" borderId="0" xfId="2" applyNumberFormat="1" applyFont="1" applyAlignment="1"/>
    <xf numFmtId="0" fontId="6" fillId="4" borderId="2" xfId="0" applyFont="1" applyFill="1" applyBorder="1"/>
    <xf numFmtId="44" fontId="2" fillId="0" borderId="0" xfId="3" applyFont="1" applyAlignment="1"/>
    <xf numFmtId="0" fontId="3" fillId="0" borderId="0" xfId="0" applyFont="1"/>
    <xf numFmtId="14" fontId="2" fillId="0" borderId="0" xfId="0" applyNumberFormat="1" applyFont="1"/>
    <xf numFmtId="0" fontId="2" fillId="0" borderId="17" xfId="0" applyFont="1" applyBorder="1"/>
    <xf numFmtId="9" fontId="2" fillId="0" borderId="0" xfId="2" applyFont="1" applyAlignment="1"/>
    <xf numFmtId="10" fontId="2" fillId="0" borderId="0" xfId="2" applyNumberFormat="1" applyFont="1" applyAlignment="1"/>
    <xf numFmtId="3" fontId="13" fillId="0" borderId="0" xfId="0" applyNumberFormat="1" applyFont="1"/>
    <xf numFmtId="14" fontId="13" fillId="0" borderId="17" xfId="0" applyNumberFormat="1" applyFont="1" applyBorder="1"/>
    <xf numFmtId="0" fontId="13" fillId="0" borderId="0" xfId="0" applyFont="1"/>
    <xf numFmtId="3" fontId="2" fillId="0" borderId="0" xfId="1" applyNumberFormat="1" applyFont="1" applyAlignment="1"/>
    <xf numFmtId="0" fontId="3" fillId="0" borderId="18" xfId="0" applyFont="1" applyBorder="1" applyAlignment="1">
      <alignment horizontal="center"/>
    </xf>
    <xf numFmtId="0" fontId="12" fillId="0" borderId="19" xfId="0" applyFont="1" applyBorder="1"/>
    <xf numFmtId="0" fontId="2" fillId="0" borderId="19" xfId="0" applyFont="1" applyBorder="1"/>
    <xf numFmtId="0" fontId="10" fillId="0" borderId="7" xfId="4" applyFont="1"/>
    <xf numFmtId="0" fontId="8" fillId="8" borderId="20" xfId="4" applyFont="1" applyFill="1" applyBorder="1"/>
    <xf numFmtId="172" fontId="8" fillId="8" borderId="20" xfId="4" applyNumberFormat="1" applyFont="1" applyFill="1" applyBorder="1"/>
    <xf numFmtId="0" fontId="2" fillId="3" borderId="0" xfId="0" applyFont="1" applyFill="1"/>
    <xf numFmtId="0" fontId="15" fillId="9" borderId="21" xfId="4" applyFont="1" applyFill="1" applyBorder="1"/>
    <xf numFmtId="172" fontId="15" fillId="9" borderId="21" xfId="4" applyNumberFormat="1" applyFont="1" applyFill="1" applyBorder="1"/>
    <xf numFmtId="0" fontId="10" fillId="0" borderId="19" xfId="0" applyFont="1" applyBorder="1"/>
    <xf numFmtId="0" fontId="10" fillId="0" borderId="0" xfId="0" applyFont="1"/>
    <xf numFmtId="171" fontId="10" fillId="0" borderId="0" xfId="0" applyNumberFormat="1" applyFont="1"/>
    <xf numFmtId="0" fontId="8" fillId="0" borderId="18" xfId="0" applyFont="1" applyBorder="1" applyAlignment="1">
      <alignment horizontal="center"/>
    </xf>
    <xf numFmtId="0" fontId="8" fillId="7" borderId="7" xfId="4" applyFont="1" applyFill="1"/>
    <xf numFmtId="0" fontId="10" fillId="7" borderId="7" xfId="4" applyFont="1" applyFill="1"/>
    <xf numFmtId="172" fontId="10" fillId="0" borderId="7" xfId="4" applyNumberFormat="1" applyFont="1"/>
    <xf numFmtId="0" fontId="10" fillId="3" borderId="0" xfId="0" applyFont="1" applyFill="1"/>
    <xf numFmtId="0" fontId="15" fillId="0" borderId="19" xfId="0" applyFont="1" applyBorder="1"/>
    <xf numFmtId="0" fontId="8" fillId="0" borderId="7" xfId="0" applyFont="1" applyBorder="1" applyAlignment="1">
      <alignment horizontal="center"/>
    </xf>
    <xf numFmtId="0" fontId="15" fillId="9" borderId="22" xfId="4" applyFont="1" applyFill="1" applyBorder="1"/>
    <xf numFmtId="172" fontId="15" fillId="9" borderId="22" xfId="4" applyNumberFormat="1" applyFont="1" applyFill="1" applyBorder="1"/>
    <xf numFmtId="0" fontId="10" fillId="5" borderId="7" xfId="0" applyFont="1" applyFill="1" applyBorder="1" applyAlignment="1">
      <alignment horizontal="left" vertical="center"/>
    </xf>
    <xf numFmtId="172" fontId="10" fillId="5" borderId="7" xfId="0" applyNumberFormat="1" applyFont="1" applyFill="1" applyBorder="1" applyAlignment="1">
      <alignment horizontal="right" vertical="center"/>
    </xf>
    <xf numFmtId="0" fontId="10" fillId="6" borderId="7" xfId="0" applyFont="1" applyFill="1" applyBorder="1" applyAlignment="1">
      <alignment horizontal="left" vertical="center"/>
    </xf>
    <xf numFmtId="172" fontId="10" fillId="6" borderId="7" xfId="0" applyNumberFormat="1" applyFont="1" applyFill="1" applyBorder="1" applyAlignment="1">
      <alignment horizontal="right" vertical="center"/>
    </xf>
    <xf numFmtId="0" fontId="8" fillId="8" borderId="7" xfId="4" applyFont="1" applyFill="1"/>
    <xf numFmtId="172" fontId="8" fillId="8" borderId="7" xfId="4" applyNumberFormat="1" applyFont="1" applyFill="1"/>
    <xf numFmtId="0" fontId="10" fillId="6" borderId="7" xfId="0" applyFont="1" applyFill="1" applyBorder="1"/>
    <xf numFmtId="0" fontId="3" fillId="0" borderId="22" xfId="0" applyFont="1" applyBorder="1"/>
    <xf numFmtId="0" fontId="2" fillId="0" borderId="22" xfId="0" applyFont="1" applyBorder="1"/>
    <xf numFmtId="0" fontId="3" fillId="0" borderId="7" xfId="0" applyFont="1" applyBorder="1" applyAlignment="1">
      <alignment horizontal="center"/>
    </xf>
    <xf numFmtId="0" fontId="10" fillId="0" borderId="7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0" fillId="0" borderId="7" xfId="0" applyFont="1" applyBorder="1"/>
    <xf numFmtId="172" fontId="10" fillId="10" borderId="7" xfId="0" applyNumberFormat="1" applyFont="1" applyFill="1" applyBorder="1" applyAlignment="1">
      <alignment horizontal="right" vertical="center"/>
    </xf>
    <xf numFmtId="2" fontId="10" fillId="10" borderId="7" xfId="0" applyNumberFormat="1" applyFont="1" applyFill="1" applyBorder="1" applyAlignment="1">
      <alignment horizontal="right" vertical="center"/>
    </xf>
    <xf numFmtId="0" fontId="2" fillId="11" borderId="0" xfId="0" applyFont="1" applyFill="1"/>
    <xf numFmtId="0" fontId="13" fillId="11" borderId="0" xfId="0" applyFont="1" applyFill="1"/>
    <xf numFmtId="0" fontId="13" fillId="3" borderId="0" xfId="0" applyFont="1" applyFill="1"/>
    <xf numFmtId="171" fontId="13" fillId="3" borderId="0" xfId="0" applyNumberFormat="1" applyFont="1" applyFill="1"/>
    <xf numFmtId="171" fontId="13" fillId="11" borderId="0" xfId="0" applyNumberFormat="1" applyFont="1" applyFill="1"/>
    <xf numFmtId="0" fontId="2" fillId="0" borderId="0" xfId="0" applyFont="1" applyAlignment="1">
      <alignment horizontal="center"/>
    </xf>
    <xf numFmtId="170" fontId="2" fillId="0" borderId="0" xfId="1" applyNumberFormat="1" applyFont="1" applyAlignment="1"/>
    <xf numFmtId="173" fontId="2" fillId="0" borderId="0" xfId="3" applyNumberFormat="1" applyFont="1" applyAlignment="1"/>
    <xf numFmtId="10" fontId="2" fillId="0" borderId="0" xfId="0" applyNumberFormat="1" applyFont="1"/>
    <xf numFmtId="164" fontId="10" fillId="10" borderId="7" xfId="2" applyNumberFormat="1" applyFont="1" applyFill="1" applyBorder="1" applyAlignment="1">
      <alignment horizontal="right" vertical="center"/>
    </xf>
    <xf numFmtId="0" fontId="2" fillId="0" borderId="23" xfId="0" applyFont="1" applyBorder="1"/>
    <xf numFmtId="14" fontId="2" fillId="0" borderId="23" xfId="0" applyNumberFormat="1" applyFont="1" applyBorder="1"/>
    <xf numFmtId="174" fontId="2" fillId="0" borderId="0" xfId="1" applyNumberFormat="1" applyFont="1" applyAlignment="1"/>
    <xf numFmtId="174" fontId="2" fillId="0" borderId="0" xfId="0" applyNumberFormat="1" applyFont="1"/>
    <xf numFmtId="0" fontId="3" fillId="0" borderId="19" xfId="0" applyFont="1" applyBorder="1"/>
    <xf numFmtId="5" fontId="2" fillId="0" borderId="0" xfId="1" applyNumberFormat="1" applyFont="1" applyAlignment="1"/>
    <xf numFmtId="0" fontId="2" fillId="0" borderId="24" xfId="0" applyFont="1" applyBorder="1"/>
    <xf numFmtId="0" fontId="3" fillId="0" borderId="24" xfId="0" applyFont="1" applyBorder="1"/>
    <xf numFmtId="14" fontId="7" fillId="0" borderId="24" xfId="0" applyNumberFormat="1" applyFont="1" applyBorder="1"/>
    <xf numFmtId="0" fontId="2" fillId="0" borderId="7" xfId="0" applyFont="1" applyBorder="1"/>
    <xf numFmtId="14" fontId="3" fillId="0" borderId="24" xfId="0" applyNumberFormat="1" applyFont="1" applyBorder="1" applyAlignment="1">
      <alignment horizontal="center"/>
    </xf>
    <xf numFmtId="170" fontId="2" fillId="0" borderId="24" xfId="0" applyNumberFormat="1" applyFont="1" applyBorder="1"/>
    <xf numFmtId="169" fontId="2" fillId="0" borderId="0" xfId="2" applyNumberFormat="1" applyFont="1" applyAlignment="1"/>
    <xf numFmtId="44" fontId="2" fillId="0" borderId="0" xfId="0" applyNumberFormat="1" applyFont="1"/>
    <xf numFmtId="9" fontId="13" fillId="11" borderId="0" xfId="2" applyFont="1" applyFill="1" applyAlignment="1"/>
    <xf numFmtId="0" fontId="3" fillId="0" borderId="18" xfId="0" applyFont="1" applyBorder="1" applyAlignment="1">
      <alignment horizontal="left"/>
    </xf>
    <xf numFmtId="0" fontId="10" fillId="11" borderId="25" xfId="0" applyFont="1" applyFill="1" applyBorder="1"/>
    <xf numFmtId="171" fontId="10" fillId="11" borderId="17" xfId="0" applyNumberFormat="1" applyFont="1" applyFill="1" applyBorder="1"/>
    <xf numFmtId="0" fontId="10" fillId="11" borderId="26" xfId="0" applyFont="1" applyFill="1" applyBorder="1"/>
    <xf numFmtId="0" fontId="10" fillId="11" borderId="27" xfId="0" applyFont="1" applyFill="1" applyBorder="1"/>
    <xf numFmtId="172" fontId="10" fillId="11" borderId="24" xfId="4" applyNumberFormat="1" applyFont="1" applyFill="1" applyBorder="1"/>
    <xf numFmtId="0" fontId="10" fillId="11" borderId="28" xfId="0" applyFont="1" applyFill="1" applyBorder="1"/>
    <xf numFmtId="0" fontId="10" fillId="12" borderId="25" xfId="0" applyFont="1" applyFill="1" applyBorder="1"/>
    <xf numFmtId="171" fontId="10" fillId="12" borderId="17" xfId="0" applyNumberFormat="1" applyFont="1" applyFill="1" applyBorder="1"/>
    <xf numFmtId="0" fontId="10" fillId="12" borderId="26" xfId="0" applyFont="1" applyFill="1" applyBorder="1"/>
    <xf numFmtId="0" fontId="10" fillId="12" borderId="27" xfId="0" applyFont="1" applyFill="1" applyBorder="1"/>
    <xf numFmtId="172" fontId="10" fillId="12" borderId="24" xfId="4" applyNumberFormat="1" applyFont="1" applyFill="1" applyBorder="1"/>
    <xf numFmtId="0" fontId="10" fillId="12" borderId="28" xfId="0" applyFont="1" applyFill="1" applyBorder="1"/>
    <xf numFmtId="0" fontId="2" fillId="0" borderId="29" xfId="0" applyFont="1" applyBorder="1"/>
    <xf numFmtId="170" fontId="3" fillId="0" borderId="24" xfId="0" applyNumberFormat="1" applyFont="1" applyBorder="1"/>
    <xf numFmtId="0" fontId="2" fillId="0" borderId="30" xfId="0" applyFont="1" applyBorder="1"/>
    <xf numFmtId="170" fontId="2" fillId="0" borderId="30" xfId="0" applyNumberFormat="1" applyFont="1" applyBorder="1"/>
    <xf numFmtId="0" fontId="3" fillId="0" borderId="31" xfId="0" applyFont="1" applyBorder="1" applyAlignment="1">
      <alignment horizontal="center"/>
    </xf>
    <xf numFmtId="170" fontId="2" fillId="0" borderId="7" xfId="0" applyNumberFormat="1" applyFont="1" applyBorder="1"/>
    <xf numFmtId="9" fontId="2" fillId="0" borderId="7" xfId="2" applyFont="1" applyBorder="1" applyAlignment="1"/>
    <xf numFmtId="6" fontId="2" fillId="0" borderId="0" xfId="0" applyNumberFormat="1" applyFont="1"/>
    <xf numFmtId="43" fontId="2" fillId="0" borderId="17" xfId="1" applyFont="1" applyBorder="1" applyAlignment="1"/>
    <xf numFmtId="43" fontId="10" fillId="0" borderId="0" xfId="1" applyFont="1" applyAlignment="1"/>
    <xf numFmtId="43" fontId="10" fillId="0" borderId="19" xfId="1" applyFont="1" applyBorder="1" applyAlignment="1"/>
    <xf numFmtId="38" fontId="2" fillId="0" borderId="0" xfId="1" applyNumberFormat="1" applyFont="1" applyAlignment="1"/>
    <xf numFmtId="9" fontId="13" fillId="0" borderId="0" xfId="2" applyFont="1" applyAlignment="1"/>
    <xf numFmtId="0" fontId="17" fillId="0" borderId="0" xfId="0" applyFont="1"/>
    <xf numFmtId="43" fontId="2" fillId="11" borderId="0" xfId="1" applyFont="1" applyFill="1" applyAlignment="1">
      <alignment horizontal="center"/>
    </xf>
    <xf numFmtId="170" fontId="2" fillId="11" borderId="0" xfId="1" applyNumberFormat="1" applyFont="1" applyFill="1" applyAlignment="1"/>
    <xf numFmtId="37" fontId="2" fillId="0" borderId="0" xfId="1" applyNumberFormat="1" applyFont="1" applyAlignment="1">
      <alignment horizontal="center"/>
    </xf>
    <xf numFmtId="171" fontId="2" fillId="0" borderId="0" xfId="1" applyNumberFormat="1" applyFont="1" applyAlignment="1"/>
    <xf numFmtId="43" fontId="3" fillId="0" borderId="18" xfId="1" applyFont="1" applyBorder="1" applyAlignment="1">
      <alignment horizontal="center"/>
    </xf>
    <xf numFmtId="38" fontId="2" fillId="0" borderId="30" xfId="0" applyNumberFormat="1" applyFont="1" applyBorder="1"/>
    <xf numFmtId="0" fontId="3" fillId="0" borderId="30" xfId="0" applyFont="1" applyBorder="1"/>
    <xf numFmtId="0" fontId="18" fillId="0" borderId="30" xfId="0" applyFont="1" applyBorder="1"/>
    <xf numFmtId="38" fontId="18" fillId="0" borderId="30" xfId="1" applyNumberFormat="1" applyFont="1" applyBorder="1" applyAlignment="1"/>
    <xf numFmtId="14" fontId="3" fillId="0" borderId="31" xfId="0" applyNumberFormat="1" applyFont="1" applyBorder="1"/>
    <xf numFmtId="0" fontId="3" fillId="0" borderId="32" xfId="0" applyFont="1" applyBorder="1"/>
    <xf numFmtId="0" fontId="3" fillId="0" borderId="33" xfId="0" applyFont="1" applyBorder="1"/>
    <xf numFmtId="170" fontId="3" fillId="0" borderId="33" xfId="0" applyNumberFormat="1" applyFont="1" applyBorder="1"/>
    <xf numFmtId="170" fontId="3" fillId="0" borderId="34" xfId="0" applyNumberFormat="1" applyFont="1" applyBorder="1"/>
    <xf numFmtId="0" fontId="3" fillId="0" borderId="31" xfId="0" applyFont="1" applyBorder="1"/>
    <xf numFmtId="0" fontId="8" fillId="11" borderId="0" xfId="0" applyFont="1" applyFill="1"/>
    <xf numFmtId="166" fontId="13" fillId="3" borderId="7" xfId="0" applyNumberFormat="1" applyFont="1" applyFill="1" applyBorder="1"/>
    <xf numFmtId="0" fontId="8" fillId="0" borderId="0" xfId="0" applyFont="1"/>
    <xf numFmtId="164" fontId="8" fillId="0" borderId="17" xfId="2" applyNumberFormat="1" applyFont="1" applyBorder="1" applyAlignment="1"/>
    <xf numFmtId="9" fontId="8" fillId="11" borderId="0" xfId="2" applyFont="1" applyFill="1" applyAlignment="1"/>
    <xf numFmtId="0" fontId="2" fillId="0" borderId="31" xfId="0" applyFont="1" applyBorder="1"/>
    <xf numFmtId="0" fontId="13" fillId="0" borderId="31" xfId="0" applyFont="1" applyBorder="1"/>
    <xf numFmtId="14" fontId="2" fillId="0" borderId="31" xfId="0" applyNumberFormat="1" applyFont="1" applyBorder="1"/>
    <xf numFmtId="9" fontId="13" fillId="0" borderId="31" xfId="2" applyFont="1" applyBorder="1" applyAlignment="1"/>
    <xf numFmtId="3" fontId="2" fillId="0" borderId="31" xfId="0" applyNumberFormat="1" applyFont="1" applyBorder="1"/>
    <xf numFmtId="0" fontId="3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0" fontId="2" fillId="0" borderId="38" xfId="0" applyFont="1" applyBorder="1"/>
    <xf numFmtId="170" fontId="2" fillId="0" borderId="39" xfId="0" applyNumberFormat="1" applyFont="1" applyBorder="1"/>
    <xf numFmtId="0" fontId="3" fillId="0" borderId="38" xfId="0" applyFont="1" applyBorder="1"/>
    <xf numFmtId="170" fontId="3" fillId="0" borderId="7" xfId="0" applyNumberFormat="1" applyFont="1" applyBorder="1"/>
    <xf numFmtId="170" fontId="3" fillId="0" borderId="39" xfId="0" applyNumberFormat="1" applyFont="1" applyBorder="1"/>
    <xf numFmtId="0" fontId="2" fillId="0" borderId="39" xfId="0" applyFont="1" applyBorder="1"/>
    <xf numFmtId="38" fontId="2" fillId="0" borderId="7" xfId="1" applyNumberFormat="1" applyFont="1" applyBorder="1" applyAlignment="1"/>
    <xf numFmtId="38" fontId="2" fillId="0" borderId="39" xfId="1" applyNumberFormat="1" applyFont="1" applyBorder="1" applyAlignment="1"/>
    <xf numFmtId="38" fontId="3" fillId="0" borderId="7" xfId="1" applyNumberFormat="1" applyFont="1" applyBorder="1" applyAlignment="1"/>
    <xf numFmtId="38" fontId="3" fillId="0" borderId="39" xfId="1" applyNumberFormat="1" applyFont="1" applyBorder="1" applyAlignment="1"/>
    <xf numFmtId="0" fontId="3" fillId="0" borderId="40" xfId="0" applyFont="1" applyBorder="1"/>
    <xf numFmtId="38" fontId="3" fillId="0" borderId="18" xfId="1" applyNumberFormat="1" applyFont="1" applyBorder="1" applyAlignment="1"/>
    <xf numFmtId="38" fontId="3" fillId="0" borderId="41" xfId="1" applyNumberFormat="1" applyFont="1" applyBorder="1" applyAlignment="1"/>
    <xf numFmtId="170" fontId="3" fillId="0" borderId="30" xfId="0" applyNumberFormat="1" applyFont="1" applyBorder="1"/>
    <xf numFmtId="0" fontId="2" fillId="0" borderId="35" xfId="0" applyFont="1" applyBorder="1"/>
    <xf numFmtId="38" fontId="2" fillId="0" borderId="36" xfId="0" applyNumberFormat="1" applyFont="1" applyBorder="1"/>
    <xf numFmtId="38" fontId="2" fillId="0" borderId="37" xfId="0" applyNumberFormat="1" applyFont="1" applyBorder="1"/>
    <xf numFmtId="38" fontId="2" fillId="0" borderId="7" xfId="0" applyNumberFormat="1" applyFont="1" applyBorder="1"/>
    <xf numFmtId="38" fontId="2" fillId="0" borderId="39" xfId="0" applyNumberFormat="1" applyFont="1" applyBorder="1"/>
    <xf numFmtId="0" fontId="2" fillId="0" borderId="40" xfId="0" applyFont="1" applyBorder="1"/>
    <xf numFmtId="43" fontId="2" fillId="0" borderId="18" xfId="0" applyNumberFormat="1" applyFont="1" applyBorder="1"/>
    <xf numFmtId="43" fontId="2" fillId="0" borderId="41" xfId="0" applyNumberFormat="1" applyFont="1" applyBorder="1"/>
    <xf numFmtId="37" fontId="13" fillId="0" borderId="0" xfId="1" applyNumberFormat="1" applyFont="1" applyAlignment="1"/>
    <xf numFmtId="10" fontId="13" fillId="0" borderId="23" xfId="2" applyNumberFormat="1" applyFont="1" applyBorder="1" applyAlignment="1"/>
    <xf numFmtId="172" fontId="10" fillId="0" borderId="0" xfId="0" applyNumberFormat="1" applyFont="1"/>
    <xf numFmtId="5" fontId="10" fillId="0" borderId="0" xfId="3" applyNumberFormat="1" applyFont="1" applyAlignment="1"/>
    <xf numFmtId="5" fontId="10" fillId="0" borderId="0" xfId="0" applyNumberFormat="1" applyFont="1"/>
    <xf numFmtId="0" fontId="8" fillId="0" borderId="42" xfId="0" applyFont="1" applyBorder="1"/>
    <xf numFmtId="5" fontId="8" fillId="0" borderId="42" xfId="0" applyNumberFormat="1" applyFont="1" applyBorder="1"/>
    <xf numFmtId="0" fontId="10" fillId="13" borderId="0" xfId="0" applyFont="1" applyFill="1"/>
    <xf numFmtId="5" fontId="10" fillId="13" borderId="0" xfId="3" applyNumberFormat="1" applyFont="1" applyFill="1" applyAlignment="1"/>
    <xf numFmtId="5" fontId="10" fillId="13" borderId="0" xfId="0" applyNumberFormat="1" applyFont="1" applyFill="1"/>
    <xf numFmtId="43" fontId="2" fillId="0" borderId="7" xfId="0" applyNumberFormat="1" applyFont="1" applyBorder="1"/>
    <xf numFmtId="0" fontId="3" fillId="0" borderId="7" xfId="0" applyFont="1" applyBorder="1" applyAlignment="1">
      <alignment horizontal="left"/>
    </xf>
    <xf numFmtId="0" fontId="3" fillId="4" borderId="44" xfId="0" applyFont="1" applyFill="1" applyBorder="1" applyAlignment="1">
      <alignment horizontal="center"/>
    </xf>
    <xf numFmtId="43" fontId="3" fillId="0" borderId="45" xfId="1" applyFont="1" applyBorder="1" applyAlignment="1"/>
    <xf numFmtId="164" fontId="2" fillId="0" borderId="46" xfId="2" applyNumberFormat="1" applyFont="1" applyBorder="1" applyAlignment="1">
      <alignment horizontal="center"/>
    </xf>
    <xf numFmtId="164" fontId="2" fillId="0" borderId="47" xfId="2" applyNumberFormat="1" applyFont="1" applyBorder="1" applyAlignment="1">
      <alignment horizontal="center"/>
    </xf>
    <xf numFmtId="9" fontId="2" fillId="0" borderId="0" xfId="0" applyNumberFormat="1" applyFont="1"/>
    <xf numFmtId="38" fontId="2" fillId="0" borderId="0" xfId="0" applyNumberFormat="1" applyFont="1"/>
    <xf numFmtId="0" fontId="22" fillId="0" borderId="19" xfId="0" applyFont="1" applyBorder="1"/>
    <xf numFmtId="0" fontId="23" fillId="0" borderId="0" xfId="0" applyFont="1"/>
    <xf numFmtId="0" fontId="8" fillId="0" borderId="22" xfId="0" applyFont="1" applyBorder="1"/>
    <xf numFmtId="0" fontId="23" fillId="0" borderId="0" xfId="0" applyFont="1" applyProtection="1"/>
    <xf numFmtId="0" fontId="25" fillId="0" borderId="0" xfId="0" applyFont="1" applyProtection="1"/>
    <xf numFmtId="0" fontId="13" fillId="14" borderId="0" xfId="0" applyFont="1" applyFill="1" applyAlignment="1" applyProtection="1">
      <alignment horizontal="right"/>
    </xf>
    <xf numFmtId="3" fontId="10" fillId="0" borderId="0" xfId="0" applyNumberFormat="1" applyFont="1" applyAlignment="1" applyProtection="1">
      <alignment horizontal="right"/>
    </xf>
    <xf numFmtId="9" fontId="13" fillId="0" borderId="0" xfId="2" applyFont="1" applyAlignment="1" applyProtection="1"/>
    <xf numFmtId="3" fontId="13" fillId="3" borderId="0" xfId="0" applyNumberFormat="1" applyFont="1" applyFill="1" applyAlignment="1" applyProtection="1">
      <alignment horizontal="right"/>
    </xf>
    <xf numFmtId="9" fontId="13" fillId="14" borderId="0" xfId="0" applyNumberFormat="1" applyFont="1" applyFill="1" applyAlignment="1" applyProtection="1">
      <alignment horizontal="right"/>
    </xf>
    <xf numFmtId="0" fontId="27" fillId="0" borderId="0" xfId="0" applyFont="1" applyProtection="1"/>
    <xf numFmtId="0" fontId="28" fillId="0" borderId="0" xfId="0" applyFont="1" applyProtection="1"/>
    <xf numFmtId="0" fontId="29" fillId="0" borderId="0" xfId="0" applyFont="1" applyProtection="1"/>
    <xf numFmtId="3" fontId="25" fillId="0" borderId="0" xfId="0" applyNumberFormat="1" applyFont="1" applyAlignment="1" applyProtection="1">
      <alignment horizontal="right"/>
    </xf>
    <xf numFmtId="3" fontId="28" fillId="0" borderId="0" xfId="0" applyNumberFormat="1" applyFont="1" applyAlignment="1" applyProtection="1">
      <alignment horizontal="right"/>
    </xf>
    <xf numFmtId="0" fontId="31" fillId="0" borderId="0" xfId="0" applyFont="1" applyProtection="1"/>
    <xf numFmtId="0" fontId="32" fillId="0" borderId="0" xfId="0" applyFont="1" applyProtection="1"/>
    <xf numFmtId="0" fontId="33" fillId="0" borderId="0" xfId="0" applyFont="1" applyProtection="1"/>
    <xf numFmtId="3" fontId="33" fillId="0" borderId="0" xfId="0" applyNumberFormat="1" applyFont="1" applyAlignment="1" applyProtection="1">
      <alignment horizontal="right"/>
    </xf>
    <xf numFmtId="2" fontId="25" fillId="0" borderId="0" xfId="0" applyNumberFormat="1" applyFont="1" applyAlignment="1" applyProtection="1">
      <alignment horizontal="right"/>
    </xf>
    <xf numFmtId="176" fontId="25" fillId="0" borderId="0" xfId="0" applyNumberFormat="1" applyFont="1" applyAlignment="1" applyProtection="1">
      <alignment horizontal="right"/>
    </xf>
    <xf numFmtId="0" fontId="34" fillId="0" borderId="0" xfId="0" applyFont="1" applyProtection="1"/>
    <xf numFmtId="38" fontId="2" fillId="0" borderId="48" xfId="0" applyNumberFormat="1" applyFont="1" applyBorder="1"/>
    <xf numFmtId="3" fontId="30" fillId="16" borderId="0" xfId="0" applyNumberFormat="1" applyFont="1" applyFill="1" applyAlignment="1" applyProtection="1">
      <alignment horizontal="right"/>
    </xf>
    <xf numFmtId="3" fontId="25" fillId="17" borderId="0" xfId="0" applyNumberFormat="1" applyFont="1" applyFill="1" applyAlignment="1" applyProtection="1">
      <alignment horizontal="right"/>
    </xf>
    <xf numFmtId="9" fontId="2" fillId="0" borderId="7" xfId="0" applyNumberFormat="1" applyFont="1" applyBorder="1"/>
    <xf numFmtId="170" fontId="21" fillId="0" borderId="7" xfId="1" applyNumberFormat="1" applyFont="1" applyBorder="1" applyAlignment="1"/>
    <xf numFmtId="177" fontId="2" fillId="0" borderId="0" xfId="2" applyNumberFormat="1" applyFont="1" applyAlignment="1"/>
    <xf numFmtId="0" fontId="2" fillId="0" borderId="49" xfId="0" applyFont="1" applyBorder="1"/>
    <xf numFmtId="164" fontId="3" fillId="0" borderId="0" xfId="2" applyNumberFormat="1" applyFont="1" applyAlignment="1"/>
    <xf numFmtId="3" fontId="13" fillId="0" borderId="17" xfId="3" applyNumberFormat="1" applyFont="1" applyBorder="1" applyAlignment="1"/>
    <xf numFmtId="3" fontId="13" fillId="11" borderId="0" xfId="0" applyNumberFormat="1" applyFont="1" applyFill="1" applyAlignment="1">
      <alignment horizontal="right"/>
    </xf>
    <xf numFmtId="9" fontId="13" fillId="11" borderId="0" xfId="2" applyFont="1" applyFill="1" applyAlignment="1">
      <alignment horizontal="right"/>
    </xf>
    <xf numFmtId="14" fontId="3" fillId="11" borderId="0" xfId="0" applyNumberFormat="1" applyFont="1" applyFill="1"/>
    <xf numFmtId="0" fontId="13" fillId="3" borderId="0" xfId="0" applyFont="1" applyFill="1" applyAlignment="1">
      <alignment horizontal="right"/>
    </xf>
    <xf numFmtId="3" fontId="8" fillId="0" borderId="7" xfId="1" applyNumberFormat="1" applyFont="1" applyBorder="1" applyAlignment="1"/>
    <xf numFmtId="0" fontId="10" fillId="0" borderId="22" xfId="0" applyFont="1" applyBorder="1"/>
    <xf numFmtId="43" fontId="10" fillId="0" borderId="0" xfId="0" applyNumberFormat="1" applyFont="1"/>
    <xf numFmtId="10" fontId="10" fillId="0" borderId="0" xfId="2" applyNumberFormat="1" applyFont="1" applyAlignment="1"/>
    <xf numFmtId="9" fontId="10" fillId="0" borderId="0" xfId="2" applyFont="1" applyAlignment="1"/>
    <xf numFmtId="10" fontId="2" fillId="0" borderId="22" xfId="2" applyNumberFormat="1" applyFont="1" applyBorder="1" applyAlignment="1"/>
    <xf numFmtId="10" fontId="8" fillId="0" borderId="18" xfId="2" applyNumberFormat="1" applyFont="1" applyBorder="1" applyAlignment="1">
      <alignment horizontal="center"/>
    </xf>
    <xf numFmtId="10" fontId="10" fillId="0" borderId="22" xfId="2" applyNumberFormat="1" applyFont="1" applyBorder="1" applyAlignment="1"/>
    <xf numFmtId="164" fontId="13" fillId="3" borderId="0" xfId="2" applyNumberFormat="1" applyFont="1" applyFill="1" applyAlignment="1"/>
    <xf numFmtId="10" fontId="2" fillId="0" borderId="31" xfId="2" applyNumberFormat="1" applyFont="1" applyBorder="1" applyAlignment="1"/>
    <xf numFmtId="10" fontId="3" fillId="0" borderId="0" xfId="2" applyNumberFormat="1" applyFont="1" applyAlignment="1"/>
    <xf numFmtId="10" fontId="2" fillId="0" borderId="7" xfId="2" applyNumberFormat="1" applyFont="1" applyBorder="1" applyAlignment="1"/>
    <xf numFmtId="178" fontId="2" fillId="0" borderId="0" xfId="1" applyNumberFormat="1" applyFont="1" applyAlignment="1"/>
    <xf numFmtId="0" fontId="3" fillId="0" borderId="22" xfId="0" applyFont="1" applyBorder="1" applyAlignment="1">
      <alignment horizontal="center"/>
    </xf>
    <xf numFmtId="9" fontId="13" fillId="0" borderId="7" xfId="2" applyFont="1" applyBorder="1" applyAlignment="1"/>
    <xf numFmtId="170" fontId="2" fillId="0" borderId="7" xfId="1" applyNumberFormat="1" applyFont="1" applyBorder="1" applyAlignment="1"/>
    <xf numFmtId="0" fontId="10" fillId="0" borderId="36" xfId="0" applyFont="1" applyBorder="1"/>
    <xf numFmtId="9" fontId="10" fillId="0" borderId="36" xfId="2" applyFont="1" applyBorder="1" applyAlignment="1"/>
    <xf numFmtId="43" fontId="10" fillId="0" borderId="36" xfId="1" applyFont="1" applyBorder="1" applyAlignment="1"/>
    <xf numFmtId="3" fontId="10" fillId="0" borderId="0" xfId="2" applyNumberFormat="1" applyFont="1" applyAlignment="1"/>
    <xf numFmtId="0" fontId="35" fillId="0" borderId="0" xfId="0" applyFont="1"/>
    <xf numFmtId="4" fontId="10" fillId="0" borderId="0" xfId="0" applyNumberFormat="1" applyFont="1"/>
    <xf numFmtId="4" fontId="10" fillId="0" borderId="0" xfId="2" applyNumberFormat="1" applyFont="1" applyAlignment="1"/>
    <xf numFmtId="4" fontId="10" fillId="0" borderId="36" xfId="0" applyNumberFormat="1" applyFont="1" applyBorder="1"/>
    <xf numFmtId="37" fontId="10" fillId="0" borderId="0" xfId="1" applyNumberFormat="1" applyFont="1" applyAlignment="1"/>
    <xf numFmtId="9" fontId="10" fillId="0" borderId="7" xfId="0" applyNumberFormat="1" applyFont="1" applyBorder="1"/>
    <xf numFmtId="9" fontId="10" fillId="0" borderId="7" xfId="2" applyFont="1" applyBorder="1" applyAlignment="1"/>
    <xf numFmtId="10" fontId="13" fillId="0" borderId="7" xfId="2" applyNumberFormat="1" applyFont="1" applyBorder="1" applyAlignment="1"/>
    <xf numFmtId="43" fontId="13" fillId="0" borderId="36" xfId="0" applyNumberFormat="1" applyFont="1" applyBorder="1"/>
    <xf numFmtId="9" fontId="13" fillId="0" borderId="36" xfId="2" applyFont="1" applyBorder="1" applyAlignment="1"/>
    <xf numFmtId="43" fontId="2" fillId="0" borderId="36" xfId="1" applyFont="1" applyBorder="1" applyAlignment="1"/>
    <xf numFmtId="3" fontId="2" fillId="0" borderId="36" xfId="1" applyNumberFormat="1" applyFont="1" applyBorder="1" applyAlignment="1"/>
    <xf numFmtId="164" fontId="2" fillId="0" borderId="7" xfId="2" applyNumberFormat="1" applyFont="1" applyBorder="1" applyAlignment="1"/>
    <xf numFmtId="3" fontId="2" fillId="0" borderId="7" xfId="0" applyNumberFormat="1" applyFont="1" applyBorder="1"/>
    <xf numFmtId="170" fontId="2" fillId="0" borderId="0" xfId="0" applyNumberFormat="1" applyFont="1"/>
    <xf numFmtId="43" fontId="2" fillId="0" borderId="0" xfId="2" applyNumberFormat="1" applyFont="1" applyAlignment="1"/>
    <xf numFmtId="164" fontId="2" fillId="0" borderId="0" xfId="0" applyNumberFormat="1" applyFont="1"/>
    <xf numFmtId="10" fontId="25" fillId="0" borderId="0" xfId="2" applyNumberFormat="1" applyFont="1" applyAlignment="1" applyProtection="1">
      <alignment horizontal="right"/>
    </xf>
    <xf numFmtId="0" fontId="36" fillId="0" borderId="0" xfId="0" applyFont="1"/>
    <xf numFmtId="178" fontId="2" fillId="0" borderId="0" xfId="0" applyNumberFormat="1" applyFont="1"/>
    <xf numFmtId="0" fontId="3" fillId="0" borderId="18" xfId="0" applyFont="1" applyBorder="1" applyAlignment="1">
      <alignment horizontal="center" wrapText="1"/>
    </xf>
    <xf numFmtId="0" fontId="6" fillId="0" borderId="7" xfId="0" applyFont="1" applyBorder="1" applyProtection="1"/>
    <xf numFmtId="0" fontId="6" fillId="0" borderId="0" xfId="0" applyFont="1"/>
    <xf numFmtId="0" fontId="25" fillId="20" borderId="50" xfId="0" applyFont="1" applyFill="1" applyBorder="1" applyAlignment="1" applyProtection="1">
      <alignment horizontal="left" vertical="center"/>
    </xf>
    <xf numFmtId="0" fontId="28" fillId="21" borderId="50" xfId="0" applyFont="1" applyFill="1" applyBorder="1" applyAlignment="1" applyProtection="1">
      <alignment horizontal="center" vertical="center"/>
    </xf>
    <xf numFmtId="0" fontId="40" fillId="19" borderId="50" xfId="0" applyFont="1" applyFill="1" applyBorder="1" applyAlignment="1" applyProtection="1">
      <alignment horizontal="left" vertical="center"/>
    </xf>
    <xf numFmtId="1" fontId="40" fillId="19" borderId="50" xfId="0" applyNumberFormat="1" applyFont="1" applyFill="1" applyBorder="1" applyAlignment="1" applyProtection="1">
      <alignment horizontal="center" vertical="center"/>
    </xf>
    <xf numFmtId="0" fontId="28" fillId="20" borderId="50" xfId="0" applyFont="1" applyFill="1" applyBorder="1" applyAlignment="1" applyProtection="1">
      <alignment horizontal="left" vertical="center"/>
    </xf>
    <xf numFmtId="179" fontId="25" fillId="20" borderId="50" xfId="0" applyNumberFormat="1" applyFont="1" applyFill="1" applyBorder="1" applyAlignment="1" applyProtection="1">
      <alignment horizontal="right" vertical="center"/>
    </xf>
    <xf numFmtId="0" fontId="28" fillId="22" borderId="50" xfId="0" applyFont="1" applyFill="1" applyBorder="1" applyAlignment="1" applyProtection="1">
      <alignment horizontal="left" vertical="center"/>
    </xf>
    <xf numFmtId="179" fontId="25" fillId="22" borderId="50" xfId="0" applyNumberFormat="1" applyFont="1" applyFill="1" applyBorder="1" applyAlignment="1" applyProtection="1">
      <alignment horizontal="right" vertical="center"/>
    </xf>
    <xf numFmtId="164" fontId="25" fillId="20" borderId="50" xfId="0" applyNumberFormat="1" applyFont="1" applyFill="1" applyBorder="1" applyAlignment="1" applyProtection="1">
      <alignment horizontal="right" vertical="center"/>
    </xf>
    <xf numFmtId="0" fontId="25" fillId="22" borderId="50" xfId="0" applyFont="1" applyFill="1" applyBorder="1" applyAlignment="1" applyProtection="1">
      <alignment horizontal="left" vertical="center"/>
    </xf>
    <xf numFmtId="0" fontId="41" fillId="0" borderId="7" xfId="0" applyFont="1" applyBorder="1" applyAlignment="1" applyProtection="1">
      <alignment horizontal="left" vertical="center"/>
    </xf>
    <xf numFmtId="179" fontId="41" fillId="20" borderId="50" xfId="0" applyNumberFormat="1" applyFont="1" applyFill="1" applyBorder="1" applyAlignment="1" applyProtection="1">
      <alignment horizontal="right" vertical="center"/>
    </xf>
    <xf numFmtId="0" fontId="25" fillId="20" borderId="7" xfId="0" applyFont="1" applyFill="1" applyBorder="1" applyAlignment="1" applyProtection="1">
      <alignment horizontal="left" vertical="center"/>
    </xf>
    <xf numFmtId="0" fontId="40" fillId="23" borderId="50" xfId="0" applyFont="1" applyFill="1" applyBorder="1" applyAlignment="1" applyProtection="1">
      <alignment horizontal="center" vertical="center"/>
    </xf>
    <xf numFmtId="164" fontId="40" fillId="23" borderId="50" xfId="0" applyNumberFormat="1" applyFont="1" applyFill="1" applyBorder="1" applyAlignment="1" applyProtection="1">
      <alignment horizontal="center" vertical="center"/>
    </xf>
    <xf numFmtId="0" fontId="2" fillId="0" borderId="7" xfId="0" applyFont="1" applyBorder="1" applyProtection="1"/>
    <xf numFmtId="164" fontId="41" fillId="20" borderId="50" xfId="0" applyNumberFormat="1" applyFont="1" applyFill="1" applyBorder="1" applyAlignment="1" applyProtection="1">
      <alignment horizontal="right" vertical="center"/>
    </xf>
    <xf numFmtId="1" fontId="41" fillId="20" borderId="50" xfId="0" applyNumberFormat="1" applyFont="1" applyFill="1" applyBorder="1" applyAlignment="1" applyProtection="1">
      <alignment horizontal="right" vertical="center"/>
    </xf>
    <xf numFmtId="180" fontId="41" fillId="20" borderId="50" xfId="0" applyNumberFormat="1" applyFont="1" applyFill="1" applyBorder="1" applyAlignment="1" applyProtection="1">
      <alignment horizontal="right" vertical="center"/>
    </xf>
    <xf numFmtId="3" fontId="41" fillId="21" borderId="50" xfId="0" applyNumberFormat="1" applyFont="1" applyFill="1" applyBorder="1" applyAlignment="1" applyProtection="1">
      <alignment horizontal="center" vertical="center"/>
    </xf>
    <xf numFmtId="180" fontId="41" fillId="20" borderId="7" xfId="0" applyNumberFormat="1" applyFont="1" applyFill="1" applyBorder="1" applyAlignment="1" applyProtection="1">
      <alignment horizontal="right" vertical="center"/>
    </xf>
    <xf numFmtId="181" fontId="10" fillId="0" borderId="19" xfId="0" applyNumberFormat="1" applyFont="1" applyBorder="1"/>
    <xf numFmtId="0" fontId="2" fillId="0" borderId="17" xfId="0" applyFont="1" applyBorder="1" applyAlignment="1">
      <alignment horizontal="right"/>
    </xf>
    <xf numFmtId="37" fontId="2" fillId="0" borderId="0" xfId="1" applyNumberFormat="1" applyFont="1" applyAlignment="1"/>
    <xf numFmtId="182" fontId="8" fillId="0" borderId="22" xfId="0" applyNumberFormat="1" applyFont="1" applyBorder="1" applyAlignment="1">
      <alignment horizontal="center"/>
    </xf>
    <xf numFmtId="0" fontId="25" fillId="20" borderId="50" xfId="0" applyFont="1" applyFill="1" applyBorder="1" applyAlignment="1" applyProtection="1">
      <alignment horizontal="left" vertical="center"/>
    </xf>
    <xf numFmtId="3" fontId="41" fillId="20" borderId="50" xfId="0" applyNumberFormat="1" applyFont="1" applyFill="1" applyBorder="1" applyAlignment="1" applyProtection="1">
      <alignment horizontal="right" vertical="center"/>
    </xf>
    <xf numFmtId="0" fontId="40" fillId="19" borderId="7" xfId="0" applyFont="1" applyFill="1" applyBorder="1" applyAlignment="1" applyProtection="1">
      <alignment horizontal="left" vertical="center"/>
    </xf>
    <xf numFmtId="179" fontId="41" fillId="20" borderId="50" xfId="0" applyNumberFormat="1" applyFont="1" applyFill="1" applyBorder="1" applyAlignment="1" applyProtection="1">
      <alignment horizontal="right" vertical="center"/>
    </xf>
    <xf numFmtId="0" fontId="37" fillId="18" borderId="7" xfId="0" applyFont="1" applyFill="1" applyBorder="1" applyAlignment="1" applyProtection="1">
      <alignment horizontal="left" vertical="center"/>
    </xf>
    <xf numFmtId="0" fontId="38" fillId="18" borderId="7" xfId="0" applyFont="1" applyFill="1" applyBorder="1" applyAlignment="1" applyProtection="1">
      <alignment horizontal="left" vertical="center"/>
    </xf>
    <xf numFmtId="0" fontId="39" fillId="18" borderId="7" xfId="0" applyFont="1" applyFill="1" applyBorder="1" applyAlignment="1" applyProtection="1">
      <alignment horizontal="left" vertical="center"/>
    </xf>
    <xf numFmtId="175" fontId="20" fillId="0" borderId="43" xfId="0" applyNumberFormat="1" applyFont="1" applyBorder="1" applyAlignment="1">
      <alignment horizontal="center" vertical="center"/>
    </xf>
    <xf numFmtId="175" fontId="20" fillId="0" borderId="7" xfId="0" applyNumberFormat="1" applyFont="1" applyBorder="1" applyAlignment="1">
      <alignment horizontal="center" vertical="center"/>
    </xf>
    <xf numFmtId="0" fontId="19" fillId="0" borderId="36" xfId="0" applyFont="1" applyBorder="1" applyAlignment="1">
      <alignment horizontal="center" wrapText="1"/>
    </xf>
    <xf numFmtId="0" fontId="2" fillId="0" borderId="0" xfId="0" applyFont="1" applyAlignment="1">
      <alignment horizontal="center" vertical="center" textRotation="255"/>
    </xf>
    <xf numFmtId="0" fontId="2" fillId="0" borderId="0" xfId="0" applyFont="1" applyAlignment="1">
      <alignment horizontal="center"/>
    </xf>
    <xf numFmtId="0" fontId="42" fillId="0" borderId="0" xfId="0" applyFont="1" applyAlignment="1">
      <alignment horizontal="left" wrapText="1"/>
    </xf>
    <xf numFmtId="0" fontId="24" fillId="0" borderId="7" xfId="0" applyFont="1" applyBorder="1" applyAlignment="1" applyProtection="1">
      <alignment horizontal="left" vertical="center" wrapText="1"/>
    </xf>
    <xf numFmtId="0" fontId="8" fillId="15" borderId="23" xfId="0" applyFont="1" applyFill="1" applyBorder="1" applyAlignment="1" applyProtection="1">
      <alignment horizontal="left" vertical="center"/>
    </xf>
  </cellXfs>
  <cellStyles count="5">
    <cellStyle name="Comma" xfId="1" builtinId="3"/>
    <cellStyle name="Currency" xfId="3" builtinId="4"/>
    <cellStyle name="Normal" xfId="0" builtinId="0"/>
    <cellStyle name="Normal 2" xfId="4" xr:uid="{9B41D77B-A1B4-427D-B954-5AA17CF5149E}"/>
    <cellStyle name="Percent" xfId="2" builtinId="5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F2F2F2"/>
      <rgbColor rgb="FF7F7F7F"/>
      <rgbColor rgb="FF0070C0"/>
      <rgbColor rgb="FFED7D31"/>
      <rgbColor rgb="FF337EBF"/>
      <rgbColor rgb="FFFF0000"/>
      <rgbColor rgb="FFDEEAF6"/>
      <rgbColor rgb="FFD8D8D8"/>
      <rgbColor rgb="FFBFBFBF"/>
      <rgbColor rgb="FF4472C4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100"/>
            </a:pPr>
            <a:r>
              <a:rPr lang="en-US" sz="1100"/>
              <a:t>Product Revenue Mix 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472C4"/>
            </a:solidFill>
            <a:ln w="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B0-4DAE-AA8B-31BF46929E03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2-6AB0-4DAE-AA8B-31BF46929E03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4-6AB0-4DAE-AA8B-31BF46929E03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6-6AB0-4DAE-AA8B-31BF46929E03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B0-4DAE-AA8B-31BF46929E03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B0-4DAE-AA8B-31BF46929E03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B0-4DAE-AA8B-31BF46929E03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B0-4DAE-AA8B-31BF46929E03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Dashboard!$B$30:$B$33</c:f>
              <c:strCache>
                <c:ptCount val="4"/>
                <c:pt idx="0">
                  <c:v>Tungsten (WO₃)</c:v>
                </c:pt>
                <c:pt idx="1">
                  <c:v>Silver &amp; Copper</c:v>
                </c:pt>
                <c:pt idx="2">
                  <c:v>Zinc Ag</c:v>
                </c:pt>
                <c:pt idx="3">
                  <c:v>Critical Minerals</c:v>
                </c:pt>
              </c:strCache>
            </c:strRef>
          </c:cat>
          <c:val>
            <c:numRef>
              <c:f>[1]Summary!$C$29:$C$32</c:f>
              <c:numCache>
                <c:formatCode>General</c:formatCode>
                <c:ptCount val="4"/>
                <c:pt idx="0">
                  <c:v>146.14191324920259</c:v>
                </c:pt>
                <c:pt idx="1">
                  <c:v>115.40311190888343</c:v>
                </c:pt>
                <c:pt idx="2">
                  <c:v>170.61562080440808</c:v>
                </c:pt>
                <c:pt idx="3">
                  <c:v>47.213562499999995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AB0-4DAE-AA8B-31BF46929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0">
          <a:noFill/>
        </a:ln>
      </c:spPr>
    </c:plotArea>
    <c:legend>
      <c:legendPos val="r"/>
      <c:layout>
        <c:manualLayout>
          <c:xMode val="edge"/>
          <c:yMode val="edge"/>
          <c:x val="0.52591214688767929"/>
          <c:y val="0.40439506705497436"/>
          <c:w val="0.45619076138972564"/>
          <c:h val="0.53851508287491456"/>
        </c:manualLayout>
      </c:layout>
      <c:overlay val="0"/>
      <c:spPr>
        <a:noFill/>
        <a:ln w="0">
          <a:noFill/>
        </a:ln>
      </c:spPr>
    </c:legend>
    <c:plotVisOnly val="1"/>
    <c:dispBlanksAs val="gap"/>
    <c:showDLblsOverMax val="1"/>
  </c:chart>
  <c:spPr>
    <a:solidFill>
      <a:srgbClr val="FFFFFF"/>
    </a:solidFill>
    <a:ln w="9360">
      <a:noFill/>
      <a:round/>
    </a:ln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457199</xdr:colOff>
      <xdr:row>26</xdr:row>
      <xdr:rowOff>123825</xdr:rowOff>
    </xdr:from>
    <xdr:to>
      <xdr:col>8</xdr:col>
      <xdr:colOff>380999</xdr:colOff>
      <xdr:row>33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2F58BA2-C08B-4B5D-8E87-CCCAE1E6D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s\Downloads\Inyoag_Pro_Forma_July_2026_with_Dashboar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10 Year Pro Forma"/>
      <sheetName val="Sensitivity Analysis"/>
      <sheetName val="Ancillary Revenues"/>
      <sheetName val="Assumptions"/>
      <sheetName val="Ore Assumptions"/>
      <sheetName val="Commodity Prices"/>
      <sheetName val="Mining Cost Assumptions"/>
      <sheetName val="Combined CAPEX"/>
      <sheetName val="WS - CAPEX"/>
      <sheetName val="Darwin - CAPEX"/>
      <sheetName val="Depreciation"/>
      <sheetName val="Tungsten Model"/>
      <sheetName val="Metals Model"/>
      <sheetName val="CM Model"/>
      <sheetName val="Zinc Agra"/>
      <sheetName val="Production Schedule"/>
      <sheetName val="Mining Costs"/>
      <sheetName val="Debt Model"/>
      <sheetName val="Sheet 1"/>
    </sheetNames>
    <sheetDataSet>
      <sheetData sheetId="0">
        <row r="19">
          <cell r="C19">
            <v>2026</v>
          </cell>
        </row>
        <row r="29">
          <cell r="C29">
            <v>146.14191324920259</v>
          </cell>
        </row>
        <row r="30">
          <cell r="C30">
            <v>115.40311190888343</v>
          </cell>
        </row>
        <row r="31">
          <cell r="C31">
            <v>170.61562080440808</v>
          </cell>
        </row>
        <row r="32">
          <cell r="C32">
            <v>47.213562499999995</v>
          </cell>
        </row>
      </sheetData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85FC8-D9A5-4906-B658-F38F5369E59D}">
  <sheetPr>
    <tabColor rgb="FF002060"/>
  </sheetPr>
  <dimension ref="A1:Q50"/>
  <sheetViews>
    <sheetView showGridLines="0" tabSelected="1" workbookViewId="0"/>
  </sheetViews>
  <sheetFormatPr defaultColWidth="8.7109375" defaultRowHeight="16.5" x14ac:dyDescent="0.3"/>
  <cols>
    <col min="1" max="1" width="2" style="305" customWidth="1"/>
    <col min="2" max="2" width="26" style="305" customWidth="1"/>
    <col min="3" max="12" width="13" style="305" customWidth="1"/>
    <col min="13" max="13" width="2" style="305" customWidth="1"/>
    <col min="14" max="16384" width="8.7109375" style="306"/>
  </cols>
  <sheetData>
    <row r="1" spans="1:17" ht="30" customHeight="1" x14ac:dyDescent="0.3">
      <c r="A1" s="305" t="s">
        <v>391</v>
      </c>
      <c r="B1" s="336" t="s">
        <v>429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</row>
    <row r="2" spans="1:17" ht="18" customHeight="1" x14ac:dyDescent="0.3">
      <c r="B2" s="337" t="s">
        <v>453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</row>
    <row r="3" spans="1:17" ht="15.75" customHeight="1" x14ac:dyDescent="0.3">
      <c r="B3" s="338" t="s">
        <v>430</v>
      </c>
      <c r="C3" s="338"/>
      <c r="D3" s="338"/>
      <c r="E3" s="338"/>
      <c r="F3" s="338"/>
      <c r="G3" s="338"/>
      <c r="H3" s="338"/>
      <c r="I3" s="338"/>
      <c r="J3" s="338"/>
      <c r="K3" s="338"/>
      <c r="L3" s="338"/>
    </row>
    <row r="5" spans="1:17" x14ac:dyDescent="0.3">
      <c r="B5" s="334" t="s">
        <v>431</v>
      </c>
      <c r="C5" s="334"/>
      <c r="D5" s="334"/>
      <c r="E5" s="334"/>
      <c r="F5" s="322"/>
      <c r="G5" s="334" t="s">
        <v>432</v>
      </c>
      <c r="H5" s="334"/>
      <c r="I5" s="334"/>
      <c r="J5" s="334"/>
      <c r="K5" s="334"/>
      <c r="L5" s="322"/>
      <c r="M5" s="322"/>
      <c r="N5" s="52"/>
      <c r="O5" s="52"/>
      <c r="P5" s="52"/>
      <c r="Q5" s="52"/>
    </row>
    <row r="6" spans="1:17" x14ac:dyDescent="0.3">
      <c r="B6" s="332" t="s">
        <v>433</v>
      </c>
      <c r="C6" s="332"/>
      <c r="D6" s="332"/>
      <c r="E6" s="318">
        <f>+'Sensitivity Analysis'!E5</f>
        <v>1757.3122136074594</v>
      </c>
      <c r="F6" s="322"/>
      <c r="G6" s="332" t="s">
        <v>434</v>
      </c>
      <c r="H6" s="332"/>
      <c r="I6" s="332"/>
      <c r="J6" s="335">
        <f>+Assumptions!I4</f>
        <v>50000000</v>
      </c>
      <c r="K6" s="335"/>
      <c r="L6" s="322"/>
      <c r="M6" s="322"/>
      <c r="N6" s="52"/>
      <c r="O6" s="52"/>
      <c r="P6" s="52"/>
      <c r="Q6" s="52"/>
    </row>
    <row r="7" spans="1:17" x14ac:dyDescent="0.3">
      <c r="B7" s="332" t="s">
        <v>435</v>
      </c>
      <c r="C7" s="332"/>
      <c r="D7" s="332"/>
      <c r="E7" s="318">
        <f>+'Sensitivity Analysis'!I5</f>
        <v>1868.3241460688973</v>
      </c>
      <c r="F7" s="322"/>
      <c r="G7" s="332" t="s">
        <v>436</v>
      </c>
      <c r="H7" s="332"/>
      <c r="I7" s="332"/>
      <c r="J7" s="335">
        <f>+Assumptions!I6/1000000</f>
        <v>45</v>
      </c>
      <c r="K7" s="335"/>
      <c r="L7" s="322"/>
      <c r="M7" s="322"/>
      <c r="N7" s="52"/>
      <c r="O7" s="52"/>
      <c r="P7" s="52"/>
      <c r="Q7" s="52"/>
    </row>
    <row r="8" spans="1:17" x14ac:dyDescent="0.3">
      <c r="B8" s="332" t="s">
        <v>437</v>
      </c>
      <c r="C8" s="332"/>
      <c r="D8" s="332"/>
      <c r="E8" s="323">
        <f>+'Sensitivity Analysis'!D24</f>
        <v>0.1892892897129059</v>
      </c>
      <c r="F8" s="322"/>
      <c r="G8" s="332" t="s">
        <v>438</v>
      </c>
      <c r="H8" s="332"/>
      <c r="I8" s="332"/>
      <c r="J8" s="335">
        <f>+Assumptions!I5/1000000</f>
        <v>5</v>
      </c>
      <c r="K8" s="335"/>
      <c r="L8" s="322"/>
      <c r="M8" s="322"/>
      <c r="N8" s="52"/>
      <c r="O8" s="52"/>
      <c r="P8" s="52"/>
      <c r="Q8" s="52"/>
    </row>
    <row r="9" spans="1:17" x14ac:dyDescent="0.3">
      <c r="B9" s="332" t="s">
        <v>439</v>
      </c>
      <c r="C9" s="332"/>
      <c r="D9" s="332"/>
      <c r="E9" s="323">
        <f>+Assumptions!C69</f>
        <v>0.08</v>
      </c>
      <c r="F9" s="322"/>
      <c r="G9" s="332" t="s">
        <v>454</v>
      </c>
      <c r="H9" s="332"/>
      <c r="I9" s="332"/>
      <c r="J9" s="333">
        <f>+Assumptions!D19</f>
        <v>500</v>
      </c>
      <c r="K9" s="333"/>
      <c r="L9" s="322"/>
      <c r="M9" s="322"/>
      <c r="N9" s="52"/>
      <c r="O9" s="52"/>
      <c r="P9" s="52"/>
      <c r="Q9" s="52"/>
    </row>
    <row r="10" spans="1:17" x14ac:dyDescent="0.3">
      <c r="B10" s="332" t="s">
        <v>440</v>
      </c>
      <c r="C10" s="332"/>
      <c r="D10" s="332"/>
      <c r="E10" s="324" cm="1">
        <f t="array" ref="E10">YEAR('10 Year Pro Forma'!$C$4)+SUMPRODUCT(--('10 Year Pro Forma'!$C$55:$L$55&lt;0))</f>
        <v>2027</v>
      </c>
      <c r="F10" s="322"/>
      <c r="G10" s="332" t="s">
        <v>343</v>
      </c>
      <c r="H10" s="332"/>
      <c r="I10" s="332"/>
      <c r="J10" s="333">
        <f>+Assumptions!C7</f>
        <v>325</v>
      </c>
      <c r="K10" s="333"/>
      <c r="L10" s="322"/>
      <c r="M10" s="322"/>
      <c r="N10" s="52"/>
      <c r="O10" s="52"/>
      <c r="P10" s="52"/>
      <c r="Q10" s="52"/>
    </row>
    <row r="11" spans="1:17" x14ac:dyDescent="0.3">
      <c r="B11" s="332" t="s">
        <v>441</v>
      </c>
      <c r="C11" s="332"/>
      <c r="D11" s="332"/>
      <c r="E11" s="318">
        <f>Assumptions!I4/1000000</f>
        <v>50</v>
      </c>
      <c r="F11" s="322"/>
      <c r="G11" s="332" t="s">
        <v>442</v>
      </c>
      <c r="H11" s="332"/>
      <c r="I11" s="332"/>
      <c r="J11" s="333">
        <f>Assumptions!D19*Assumptions!C7</f>
        <v>162500</v>
      </c>
      <c r="K11" s="333"/>
      <c r="L11" s="322"/>
      <c r="M11" s="322"/>
      <c r="N11" s="52"/>
      <c r="O11" s="52"/>
      <c r="P11" s="52"/>
      <c r="Q11" s="52"/>
    </row>
    <row r="12" spans="1:17" x14ac:dyDescent="0.3">
      <c r="B12" s="322"/>
      <c r="C12" s="322"/>
      <c r="D12" s="322"/>
      <c r="E12" s="322"/>
      <c r="F12" s="322"/>
      <c r="G12" s="322"/>
      <c r="H12" s="322"/>
      <c r="I12" s="322"/>
      <c r="J12" s="322"/>
      <c r="K12" s="322"/>
      <c r="L12" s="322"/>
      <c r="M12" s="322"/>
      <c r="N12" s="52"/>
      <c r="O12" s="52"/>
      <c r="P12" s="52"/>
      <c r="Q12" s="52"/>
    </row>
    <row r="13" spans="1:17" x14ac:dyDescent="0.3">
      <c r="B13" s="334" t="s">
        <v>443</v>
      </c>
      <c r="C13" s="334"/>
      <c r="D13" s="334"/>
      <c r="E13" s="334"/>
      <c r="F13" s="334"/>
      <c r="G13" s="334"/>
      <c r="H13" s="334"/>
      <c r="I13" s="322"/>
      <c r="J13" s="334" t="s">
        <v>444</v>
      </c>
      <c r="K13" s="334"/>
      <c r="L13" s="322"/>
      <c r="M13" s="322"/>
      <c r="N13" s="52"/>
      <c r="O13" s="52"/>
      <c r="P13" s="52"/>
      <c r="Q13" s="52"/>
    </row>
    <row r="14" spans="1:17" x14ac:dyDescent="0.3">
      <c r="B14" s="320" t="s">
        <v>439</v>
      </c>
      <c r="C14" s="321">
        <f>'Sensitivity Analysis'!C13</f>
        <v>0.06</v>
      </c>
      <c r="D14" s="321">
        <f>'Sensitivity Analysis'!C14</f>
        <v>0.08</v>
      </c>
      <c r="E14" s="321">
        <f>'Sensitivity Analysis'!C15</f>
        <v>0.1</v>
      </c>
      <c r="F14" s="321">
        <f>'Sensitivity Analysis'!C16</f>
        <v>0.12</v>
      </c>
      <c r="G14" s="321">
        <f>'Sensitivity Analysis'!C17</f>
        <v>0.14000000000000001</v>
      </c>
      <c r="H14" s="321">
        <f>'Sensitivity Analysis'!C18</f>
        <v>0.16</v>
      </c>
      <c r="I14" s="322"/>
      <c r="J14" s="307" t="s">
        <v>200</v>
      </c>
      <c r="K14" s="325">
        <f>SUM('10 Year Pro Forma'!C10:L10)/1000000</f>
        <v>4115.1553457208292</v>
      </c>
      <c r="L14" s="322"/>
      <c r="M14" s="322"/>
      <c r="N14" s="52"/>
      <c r="O14" s="52"/>
      <c r="P14" s="52"/>
      <c r="Q14" s="52"/>
    </row>
    <row r="15" spans="1:17" x14ac:dyDescent="0.3">
      <c r="B15" s="308" t="s">
        <v>445</v>
      </c>
      <c r="C15" s="326">
        <f>+'Sensitivity Analysis'!F13</f>
        <v>1923.5391962358942</v>
      </c>
      <c r="D15" s="326">
        <f>'Sensitivity Analysis'!F14</f>
        <v>1757.3122136074594</v>
      </c>
      <c r="E15" s="326">
        <f>'Sensitivity Analysis'!F15</f>
        <v>1611.4444633526207</v>
      </c>
      <c r="F15" s="326">
        <f>'Sensitivity Analysis'!F16</f>
        <v>1482.9230831982679</v>
      </c>
      <c r="G15" s="326">
        <f>'Sensitivity Analysis'!F17</f>
        <v>1369.2430899344517</v>
      </c>
      <c r="H15" s="326">
        <f>'Sensitivity Analysis'!F18</f>
        <v>1268.3127233612336</v>
      </c>
      <c r="I15" s="322"/>
      <c r="J15" s="307" t="s">
        <v>52</v>
      </c>
      <c r="K15" s="325">
        <f>SUM('10 Year Pro Forma'!C18:L18)/1000000</f>
        <v>3379.1689660248712</v>
      </c>
      <c r="L15" s="322"/>
      <c r="M15" s="322"/>
      <c r="N15" s="52"/>
      <c r="O15" s="52"/>
      <c r="P15" s="52"/>
      <c r="Q15" s="52"/>
    </row>
    <row r="16" spans="1:17" x14ac:dyDescent="0.3">
      <c r="B16" s="322"/>
      <c r="C16" s="322"/>
      <c r="D16" s="322"/>
      <c r="E16" s="322"/>
      <c r="F16" s="322"/>
      <c r="G16" s="322"/>
      <c r="H16" s="322"/>
      <c r="I16" s="322"/>
      <c r="J16" s="307" t="s">
        <v>446</v>
      </c>
      <c r="K16" s="325">
        <f>SUM('10 Year Pro Forma'!C33:L33)/1000000</f>
        <v>2631.8528712926509</v>
      </c>
      <c r="L16" s="322"/>
      <c r="M16" s="322"/>
      <c r="N16" s="52"/>
      <c r="O16" s="52"/>
      <c r="P16" s="52"/>
      <c r="Q16" s="52"/>
    </row>
    <row r="17" spans="2:17" x14ac:dyDescent="0.3">
      <c r="B17" s="322"/>
      <c r="C17" s="322"/>
      <c r="D17" s="322"/>
      <c r="E17" s="322"/>
      <c r="F17" s="322"/>
      <c r="G17" s="322"/>
      <c r="H17" s="322"/>
      <c r="I17" s="322"/>
      <c r="J17" s="307" t="s">
        <v>447</v>
      </c>
      <c r="K17" s="325">
        <f>SUM('10 Year Pro Forma'!C53:L53)/1000000</f>
        <v>2584.8582222899513</v>
      </c>
      <c r="L17" s="322"/>
      <c r="M17" s="322"/>
      <c r="N17" s="52"/>
      <c r="O17" s="52"/>
      <c r="P17" s="52"/>
      <c r="Q17" s="52"/>
    </row>
    <row r="18" spans="2:17" x14ac:dyDescent="0.3">
      <c r="B18" s="322"/>
      <c r="C18" s="322"/>
      <c r="D18" s="322"/>
      <c r="E18" s="322"/>
      <c r="F18" s="322"/>
      <c r="G18" s="322"/>
      <c r="H18" s="322"/>
      <c r="I18" s="322"/>
      <c r="J18" s="319"/>
      <c r="K18" s="327"/>
      <c r="L18" s="322"/>
      <c r="M18" s="322"/>
      <c r="N18" s="52"/>
      <c r="O18" s="52"/>
      <c r="P18" s="52"/>
      <c r="Q18" s="52"/>
    </row>
    <row r="19" spans="2:17" x14ac:dyDescent="0.3">
      <c r="B19" s="334" t="s">
        <v>448</v>
      </c>
      <c r="C19" s="334"/>
      <c r="D19" s="334"/>
      <c r="E19" s="334"/>
      <c r="F19" s="334"/>
      <c r="G19" s="334"/>
      <c r="H19" s="334"/>
      <c r="I19" s="334"/>
      <c r="J19" s="334"/>
      <c r="K19" s="334"/>
      <c r="L19" s="334"/>
      <c r="M19" s="322"/>
      <c r="N19" s="52"/>
      <c r="O19" s="52"/>
      <c r="P19" s="52"/>
      <c r="Q19" s="52"/>
    </row>
    <row r="20" spans="2:17" x14ac:dyDescent="0.3">
      <c r="B20" s="309" t="s">
        <v>449</v>
      </c>
      <c r="C20" s="310">
        <f>YEAR('10 Year Pro Forma'!C4)</f>
        <v>2026</v>
      </c>
      <c r="D20" s="310">
        <f>YEAR('10 Year Pro Forma'!D4)</f>
        <v>2027</v>
      </c>
      <c r="E20" s="310">
        <f>YEAR('10 Year Pro Forma'!E4)</f>
        <v>2028</v>
      </c>
      <c r="F20" s="310">
        <f>YEAR('10 Year Pro Forma'!F4)</f>
        <v>2029</v>
      </c>
      <c r="G20" s="310">
        <f>YEAR('10 Year Pro Forma'!G4)</f>
        <v>2030</v>
      </c>
      <c r="H20" s="310">
        <f>YEAR('10 Year Pro Forma'!H4)</f>
        <v>2031</v>
      </c>
      <c r="I20" s="310">
        <f>YEAR('10 Year Pro Forma'!I4)</f>
        <v>2032</v>
      </c>
      <c r="J20" s="310">
        <f>YEAR('10 Year Pro Forma'!J4)</f>
        <v>2033</v>
      </c>
      <c r="K20" s="310">
        <f>YEAR('10 Year Pro Forma'!K4)</f>
        <v>2034</v>
      </c>
      <c r="L20" s="310">
        <f>YEAR('10 Year Pro Forma'!L4)</f>
        <v>2035</v>
      </c>
      <c r="M20" s="322"/>
      <c r="N20" s="52"/>
      <c r="O20" s="52"/>
      <c r="P20" s="52"/>
      <c r="Q20" s="52"/>
    </row>
    <row r="21" spans="2:17" x14ac:dyDescent="0.3">
      <c r="B21" s="311" t="s">
        <v>450</v>
      </c>
      <c r="C21" s="312">
        <f>'10 Year Pro Forma'!C10/1000000</f>
        <v>3.884881420739648</v>
      </c>
      <c r="D21" s="312">
        <f>'10 Year Pro Forma'!D10/1000000</f>
        <v>276.27679660013746</v>
      </c>
      <c r="E21" s="312">
        <f>'10 Year Pro Forma'!E10/1000000</f>
        <v>479.3742084624941</v>
      </c>
      <c r="F21" s="312">
        <f>'10 Year Pro Forma'!F10/1000000</f>
        <v>479.3742084624941</v>
      </c>
      <c r="G21" s="312">
        <f>'10 Year Pro Forma'!G10/1000000</f>
        <v>479.3742084624941</v>
      </c>
      <c r="H21" s="312">
        <f>'10 Year Pro Forma'!H10/1000000</f>
        <v>479.3742084624941</v>
      </c>
      <c r="I21" s="312">
        <f>'10 Year Pro Forma'!I10/1000000</f>
        <v>479.3742084624941</v>
      </c>
      <c r="J21" s="312">
        <f>'10 Year Pro Forma'!J10/1000000</f>
        <v>479.3742084624941</v>
      </c>
      <c r="K21" s="312">
        <f>'10 Year Pro Forma'!K10/1000000</f>
        <v>479.3742084624941</v>
      </c>
      <c r="L21" s="312">
        <f>'10 Year Pro Forma'!L10/1000000</f>
        <v>479.3742084624941</v>
      </c>
      <c r="M21" s="322"/>
      <c r="N21" s="52"/>
      <c r="O21" s="52"/>
      <c r="P21" s="52"/>
      <c r="Q21" s="52"/>
    </row>
    <row r="22" spans="2:17" x14ac:dyDescent="0.3">
      <c r="B22" s="313" t="s">
        <v>52</v>
      </c>
      <c r="C22" s="314">
        <f>'10 Year Pro Forma'!C18/1000000</f>
        <v>3.2522527977916198</v>
      </c>
      <c r="D22" s="314">
        <f>'10 Year Pro Forma'!D18/1000000</f>
        <v>228.62234897412233</v>
      </c>
      <c r="E22" s="314">
        <f>'10 Year Pro Forma'!E18/1000000</f>
        <v>393.4117955316197</v>
      </c>
      <c r="F22" s="314">
        <f>'10 Year Pro Forma'!F18/1000000</f>
        <v>393.4117955316197</v>
      </c>
      <c r="G22" s="314">
        <f>'10 Year Pro Forma'!G18/1000000</f>
        <v>393.4117955316197</v>
      </c>
      <c r="H22" s="314">
        <f>'10 Year Pro Forma'!H18/1000000</f>
        <v>393.4117955316197</v>
      </c>
      <c r="I22" s="314">
        <f>'10 Year Pro Forma'!I18/1000000</f>
        <v>393.4117955316197</v>
      </c>
      <c r="J22" s="314">
        <f>'10 Year Pro Forma'!J18/1000000</f>
        <v>393.4117955316197</v>
      </c>
      <c r="K22" s="314">
        <f>'10 Year Pro Forma'!K18/1000000</f>
        <v>393.4117955316197</v>
      </c>
      <c r="L22" s="314">
        <f>'10 Year Pro Forma'!L18/1000000</f>
        <v>393.4117955316197</v>
      </c>
      <c r="M22" s="322"/>
      <c r="N22" s="52"/>
      <c r="O22" s="52"/>
      <c r="P22" s="52"/>
      <c r="Q22" s="52"/>
    </row>
    <row r="23" spans="2:17" x14ac:dyDescent="0.3">
      <c r="B23" s="307" t="s">
        <v>451</v>
      </c>
      <c r="C23" s="315">
        <f>'10 Year Pro Forma'!C19</f>
        <v>0.83715625924366543</v>
      </c>
      <c r="D23" s="315">
        <f>'10 Year Pro Forma'!D19</f>
        <v>0.8275119437735966</v>
      </c>
      <c r="E23" s="315">
        <f>'10 Year Pro Forma'!E19</f>
        <v>0.82067785163790263</v>
      </c>
      <c r="F23" s="315">
        <f>'10 Year Pro Forma'!F19</f>
        <v>0.82067785163790263</v>
      </c>
      <c r="G23" s="315">
        <f>'10 Year Pro Forma'!G19</f>
        <v>0.82067785163790263</v>
      </c>
      <c r="H23" s="315">
        <f>'10 Year Pro Forma'!H19</f>
        <v>0.82067785163790263</v>
      </c>
      <c r="I23" s="315">
        <f>'10 Year Pro Forma'!I19</f>
        <v>0.82067785163790263</v>
      </c>
      <c r="J23" s="315">
        <f>'10 Year Pro Forma'!J19</f>
        <v>0.82067785163790263</v>
      </c>
      <c r="K23" s="315">
        <f>'10 Year Pro Forma'!K19</f>
        <v>0.82067785163790263</v>
      </c>
      <c r="L23" s="315">
        <f>'10 Year Pro Forma'!L19</f>
        <v>0.82067785163790263</v>
      </c>
      <c r="M23" s="322"/>
      <c r="N23" s="52"/>
      <c r="O23" s="52"/>
      <c r="P23" s="52"/>
      <c r="Q23" s="52"/>
    </row>
    <row r="24" spans="2:17" x14ac:dyDescent="0.3">
      <c r="B24" s="316" t="s">
        <v>446</v>
      </c>
      <c r="C24" s="314">
        <f>'10 Year Pro Forma'!C33/1000000</f>
        <v>-8.0603233926845697</v>
      </c>
      <c r="D24" s="314">
        <f>'10 Year Pro Forma'!D33/1000000</f>
        <v>171.60316520112127</v>
      </c>
      <c r="E24" s="314">
        <f>'10 Year Pro Forma'!E33/1000000</f>
        <v>303.1438518772876</v>
      </c>
      <c r="F24" s="314">
        <f>'10 Year Pro Forma'!F33/1000000</f>
        <v>306.07762680396149</v>
      </c>
      <c r="G24" s="314">
        <f>'10 Year Pro Forma'!G33/1000000</f>
        <v>308.73920089535716</v>
      </c>
      <c r="H24" s="314">
        <f>'10 Year Pro Forma'!H33/1000000</f>
        <v>309.24962027565687</v>
      </c>
      <c r="I24" s="314">
        <f>'10 Year Pro Forma'!I33/1000000</f>
        <v>309.61892728502755</v>
      </c>
      <c r="J24" s="314">
        <f>'10 Year Pro Forma'!J33/1000000</f>
        <v>310.4672765698366</v>
      </c>
      <c r="K24" s="314">
        <f>'10 Year Pro Forma'!K33/1000000</f>
        <v>310.49548108319863</v>
      </c>
      <c r="L24" s="314">
        <f>'10 Year Pro Forma'!L33/1000000</f>
        <v>310.5180446938881</v>
      </c>
      <c r="M24" s="322"/>
      <c r="N24" s="52"/>
      <c r="O24" s="52"/>
      <c r="P24" s="52"/>
      <c r="Q24" s="52"/>
    </row>
    <row r="25" spans="2:17" x14ac:dyDescent="0.3">
      <c r="B25" s="311" t="s">
        <v>447</v>
      </c>
      <c r="C25" s="312">
        <f>'10 Year Pro Forma'!C53/1000000</f>
        <v>-4.2444138688750339</v>
      </c>
      <c r="D25" s="312">
        <f>'10 Year Pro Forma'!D53/1000000</f>
        <v>176.36631771812807</v>
      </c>
      <c r="E25" s="312">
        <f>'10 Year Pro Forma'!E53/1000000</f>
        <v>304.62925262753055</v>
      </c>
      <c r="F25" s="312">
        <f>'10 Year Pro Forma'!F53/1000000</f>
        <v>261.32438840651599</v>
      </c>
      <c r="G25" s="312">
        <f>'10 Year Pro Forma'!G53/1000000</f>
        <v>308.09188136956277</v>
      </c>
      <c r="H25" s="312">
        <f>'10 Year Pro Forma'!H53/1000000</f>
        <v>307.95620026847041</v>
      </c>
      <c r="I25" s="312">
        <f>'10 Year Pro Forma'!I53/1000000</f>
        <v>307.85803005078958</v>
      </c>
      <c r="J25" s="312">
        <f>'10 Year Pro Forma'!J53/1000000</f>
        <v>307.63251948140999</v>
      </c>
      <c r="K25" s="312">
        <f>'10 Year Pro Forma'!K53/1000000</f>
        <v>307.62502207912394</v>
      </c>
      <c r="L25" s="312">
        <f>'10 Year Pro Forma'!L53/1000000</f>
        <v>307.61902415729503</v>
      </c>
      <c r="M25" s="322"/>
      <c r="N25" s="52"/>
      <c r="O25" s="52"/>
      <c r="P25" s="52"/>
      <c r="Q25" s="52"/>
    </row>
    <row r="26" spans="2:17" x14ac:dyDescent="0.3">
      <c r="B26" s="316" t="s">
        <v>276</v>
      </c>
      <c r="C26" s="314">
        <f>'10 Year Pro Forma'!C55/1000000</f>
        <v>-4.2444138688750339</v>
      </c>
      <c r="D26" s="314">
        <f>'10 Year Pro Forma'!D55/1000000</f>
        <v>172.12190384925304</v>
      </c>
      <c r="E26" s="314">
        <f>'10 Year Pro Forma'!E55/1000000</f>
        <v>476.75115647678365</v>
      </c>
      <c r="F26" s="314">
        <f>'10 Year Pro Forma'!F55/1000000</f>
        <v>738.07554488329959</v>
      </c>
      <c r="G26" s="314">
        <f>'10 Year Pro Forma'!G55/1000000</f>
        <v>1046.1674262528622</v>
      </c>
      <c r="H26" s="314">
        <f>'10 Year Pro Forma'!H55/1000000</f>
        <v>1354.1236265213327</v>
      </c>
      <c r="I26" s="314">
        <f>'10 Year Pro Forma'!I55/1000000</f>
        <v>1661.9816565721223</v>
      </c>
      <c r="J26" s="314">
        <f>'10 Year Pro Forma'!J55/1000000</f>
        <v>1969.6141760535324</v>
      </c>
      <c r="K26" s="314">
        <f>'10 Year Pro Forma'!K55/1000000</f>
        <v>2277.2391981326559</v>
      </c>
      <c r="L26" s="314">
        <f>'10 Year Pro Forma'!L55/1000000</f>
        <v>2584.8582222899513</v>
      </c>
      <c r="M26" s="322"/>
      <c r="N26" s="52"/>
      <c r="O26" s="52"/>
      <c r="P26" s="52"/>
      <c r="Q26" s="52"/>
    </row>
    <row r="27" spans="2:17" x14ac:dyDescent="0.3"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52"/>
      <c r="O27" s="52"/>
      <c r="P27" s="52"/>
      <c r="Q27" s="52"/>
    </row>
    <row r="28" spans="2:17" x14ac:dyDescent="0.3">
      <c r="B28" s="322"/>
      <c r="C28" s="322"/>
      <c r="D28" s="322"/>
      <c r="E28" s="322"/>
      <c r="F28" s="322"/>
      <c r="G28" s="322"/>
      <c r="H28" s="322"/>
      <c r="I28" s="322"/>
      <c r="J28" s="322"/>
      <c r="K28" s="322"/>
      <c r="L28" s="322"/>
      <c r="M28" s="322"/>
      <c r="N28" s="52"/>
      <c r="O28" s="52"/>
      <c r="P28" s="52"/>
      <c r="Q28" s="52"/>
    </row>
    <row r="29" spans="2:17" x14ac:dyDescent="0.3">
      <c r="B29" s="317" t="s">
        <v>452</v>
      </c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52"/>
      <c r="O29" s="52"/>
      <c r="P29" s="52"/>
      <c r="Q29" s="52"/>
    </row>
    <row r="30" spans="2:17" x14ac:dyDescent="0.3">
      <c r="B30" s="307" t="s">
        <v>349</v>
      </c>
      <c r="C30" s="318">
        <f>'10 Year Pro Forma'!L6/1000000</f>
        <v>146.14191324920259</v>
      </c>
      <c r="D30" s="322"/>
      <c r="E30" s="322"/>
      <c r="F30" s="322"/>
      <c r="G30" s="322"/>
      <c r="H30" s="322"/>
      <c r="I30" s="322"/>
      <c r="J30" s="322"/>
      <c r="K30" s="322"/>
      <c r="L30" s="322"/>
      <c r="M30" s="322"/>
      <c r="N30" s="52"/>
      <c r="O30" s="52"/>
      <c r="P30" s="52"/>
      <c r="Q30" s="52"/>
    </row>
    <row r="31" spans="2:17" x14ac:dyDescent="0.3">
      <c r="B31" s="307" t="s">
        <v>224</v>
      </c>
      <c r="C31" s="318">
        <f>'10 Year Pro Forma'!L7/1000000</f>
        <v>115.40311190888343</v>
      </c>
      <c r="D31" s="322"/>
      <c r="E31" s="322"/>
      <c r="F31" s="322"/>
      <c r="G31" s="322"/>
      <c r="H31" s="322"/>
      <c r="I31" s="322"/>
      <c r="J31" s="322"/>
      <c r="K31" s="322"/>
      <c r="L31" s="322"/>
      <c r="M31" s="322"/>
      <c r="N31" s="52"/>
      <c r="O31" s="52"/>
      <c r="P31" s="52"/>
      <c r="Q31" s="52"/>
    </row>
    <row r="32" spans="2:17" x14ac:dyDescent="0.3">
      <c r="B32" s="307" t="s">
        <v>225</v>
      </c>
      <c r="C32" s="318">
        <f>'10 Year Pro Forma'!L8/1000000</f>
        <v>170.61562080440808</v>
      </c>
      <c r="D32" s="322"/>
      <c r="E32" s="322"/>
      <c r="F32" s="322"/>
      <c r="G32" s="322"/>
      <c r="H32" s="322"/>
      <c r="I32" s="322"/>
      <c r="J32" s="322"/>
      <c r="K32" s="322"/>
      <c r="L32" s="322"/>
      <c r="M32" s="322"/>
      <c r="N32" s="52"/>
      <c r="O32" s="52"/>
      <c r="P32" s="52"/>
      <c r="Q32" s="52"/>
    </row>
    <row r="33" spans="2:17" x14ac:dyDescent="0.3">
      <c r="B33" s="307" t="s">
        <v>61</v>
      </c>
      <c r="C33" s="318">
        <f>'10 Year Pro Forma'!L9/1000000</f>
        <v>47.213562499999995</v>
      </c>
      <c r="D33" s="322"/>
      <c r="E33" s="322"/>
      <c r="F33" s="322"/>
      <c r="G33" s="322"/>
      <c r="H33" s="322"/>
      <c r="I33" s="322"/>
      <c r="J33" s="322"/>
      <c r="K33" s="322"/>
      <c r="L33" s="322"/>
      <c r="M33" s="322"/>
      <c r="N33" s="52"/>
      <c r="O33" s="52"/>
      <c r="P33" s="52"/>
      <c r="Q33" s="52"/>
    </row>
    <row r="34" spans="2:17" x14ac:dyDescent="0.3">
      <c r="B34" s="322"/>
      <c r="C34" s="322"/>
      <c r="D34" s="322"/>
      <c r="E34" s="322"/>
      <c r="F34" s="322"/>
      <c r="G34" s="322"/>
      <c r="H34" s="322"/>
      <c r="I34" s="322"/>
      <c r="J34" s="322"/>
      <c r="K34" s="322"/>
      <c r="L34" s="322"/>
      <c r="M34" s="322"/>
      <c r="N34" s="52"/>
      <c r="O34" s="52"/>
      <c r="P34" s="52"/>
      <c r="Q34" s="52"/>
    </row>
    <row r="35" spans="2:17" x14ac:dyDescent="0.3">
      <c r="B35" s="322"/>
      <c r="C35" s="322"/>
      <c r="D35" s="322"/>
      <c r="E35" s="322"/>
      <c r="F35" s="322"/>
      <c r="G35" s="322"/>
      <c r="H35" s="322"/>
      <c r="I35" s="322"/>
      <c r="J35" s="322"/>
      <c r="K35" s="322"/>
      <c r="L35" s="322"/>
      <c r="M35" s="322"/>
      <c r="N35" s="52"/>
      <c r="O35" s="52"/>
      <c r="P35" s="52"/>
      <c r="Q35" s="52"/>
    </row>
    <row r="36" spans="2:17" x14ac:dyDescent="0.3"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52"/>
      <c r="O36" s="52"/>
      <c r="P36" s="52"/>
      <c r="Q36" s="52"/>
    </row>
    <row r="37" spans="2:17" x14ac:dyDescent="0.3">
      <c r="B37" s="322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52"/>
      <c r="O37" s="52"/>
      <c r="P37" s="52"/>
      <c r="Q37" s="52"/>
    </row>
    <row r="38" spans="2:17" x14ac:dyDescent="0.3">
      <c r="B38" s="322"/>
      <c r="C38" s="322"/>
      <c r="D38" s="322"/>
      <c r="E38" s="322"/>
      <c r="F38" s="322"/>
      <c r="G38" s="322"/>
      <c r="H38" s="322"/>
      <c r="I38" s="322"/>
      <c r="J38" s="322"/>
      <c r="K38" s="322"/>
      <c r="L38" s="322"/>
      <c r="M38" s="322"/>
      <c r="N38" s="52"/>
      <c r="O38" s="52"/>
      <c r="P38" s="52"/>
      <c r="Q38" s="52"/>
    </row>
    <row r="39" spans="2:17" x14ac:dyDescent="0.3">
      <c r="B39" s="322"/>
      <c r="C39" s="322"/>
      <c r="D39" s="322"/>
      <c r="E39" s="322"/>
      <c r="F39" s="322"/>
      <c r="G39" s="322"/>
      <c r="H39" s="322"/>
      <c r="I39" s="322"/>
      <c r="J39" s="322"/>
      <c r="K39" s="322"/>
      <c r="L39" s="322"/>
      <c r="M39" s="322"/>
      <c r="N39" s="52"/>
      <c r="O39" s="52"/>
      <c r="P39" s="52"/>
      <c r="Q39" s="52"/>
    </row>
    <row r="40" spans="2:17" x14ac:dyDescent="0.3">
      <c r="B40" s="322"/>
      <c r="C40" s="322"/>
      <c r="D40" s="322"/>
      <c r="E40" s="322"/>
      <c r="F40" s="322"/>
      <c r="G40" s="322"/>
      <c r="H40" s="322"/>
      <c r="I40" s="322"/>
      <c r="J40" s="322"/>
      <c r="K40" s="322"/>
      <c r="L40" s="322"/>
      <c r="M40" s="322"/>
      <c r="N40" s="52"/>
      <c r="O40" s="52"/>
      <c r="P40" s="52"/>
      <c r="Q40" s="52"/>
    </row>
    <row r="41" spans="2:17" x14ac:dyDescent="0.3">
      <c r="B41" s="322"/>
      <c r="C41" s="322"/>
      <c r="D41" s="322"/>
      <c r="E41" s="322"/>
      <c r="F41" s="322"/>
      <c r="G41" s="322"/>
      <c r="H41" s="322"/>
      <c r="I41" s="322"/>
      <c r="J41" s="322"/>
      <c r="K41" s="322"/>
      <c r="L41" s="322"/>
      <c r="M41" s="322"/>
      <c r="N41" s="52"/>
      <c r="O41" s="52"/>
      <c r="P41" s="52"/>
      <c r="Q41" s="52"/>
    </row>
    <row r="42" spans="2:17" x14ac:dyDescent="0.3">
      <c r="B42" s="322"/>
      <c r="C42" s="322"/>
      <c r="D42" s="322"/>
      <c r="E42" s="322"/>
      <c r="F42" s="322"/>
      <c r="G42" s="322"/>
      <c r="H42" s="322"/>
      <c r="I42" s="322"/>
      <c r="J42" s="322"/>
      <c r="K42" s="322"/>
      <c r="L42" s="322"/>
      <c r="M42" s="322"/>
      <c r="N42" s="52"/>
      <c r="O42" s="52"/>
      <c r="P42" s="52"/>
      <c r="Q42" s="52"/>
    </row>
    <row r="43" spans="2:17" x14ac:dyDescent="0.3">
      <c r="B43" s="322"/>
      <c r="C43" s="322"/>
      <c r="D43" s="322"/>
      <c r="E43" s="322"/>
      <c r="F43" s="322"/>
      <c r="G43" s="322"/>
      <c r="H43" s="322"/>
      <c r="I43" s="322"/>
      <c r="J43" s="322"/>
      <c r="K43" s="322"/>
      <c r="L43" s="322"/>
      <c r="M43" s="322"/>
      <c r="N43" s="52"/>
      <c r="O43" s="52"/>
      <c r="P43" s="52"/>
      <c r="Q43" s="52"/>
    </row>
    <row r="44" spans="2:17" x14ac:dyDescent="0.3">
      <c r="B44" s="322"/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M44" s="322"/>
      <c r="N44" s="52"/>
      <c r="O44" s="52"/>
      <c r="P44" s="52"/>
      <c r="Q44" s="52"/>
    </row>
    <row r="45" spans="2:17" x14ac:dyDescent="0.3">
      <c r="B45" s="322"/>
      <c r="C45" s="322"/>
      <c r="D45" s="322"/>
      <c r="E45" s="322"/>
      <c r="F45" s="322"/>
      <c r="G45" s="322"/>
      <c r="H45" s="322"/>
      <c r="I45" s="322"/>
      <c r="J45" s="322"/>
      <c r="K45" s="322"/>
      <c r="L45" s="322"/>
      <c r="M45" s="322"/>
      <c r="N45" s="52"/>
      <c r="O45" s="52"/>
      <c r="P45" s="52"/>
      <c r="Q45" s="52"/>
    </row>
    <row r="46" spans="2:17" x14ac:dyDescent="0.3">
      <c r="B46" s="322"/>
      <c r="C46" s="322"/>
      <c r="D46" s="322"/>
      <c r="E46" s="322"/>
      <c r="F46" s="322"/>
      <c r="G46" s="322"/>
      <c r="H46" s="322"/>
      <c r="I46" s="322"/>
      <c r="J46" s="322"/>
      <c r="K46" s="322"/>
      <c r="L46" s="322"/>
      <c r="M46" s="322"/>
      <c r="N46" s="52"/>
      <c r="O46" s="52"/>
      <c r="P46" s="52"/>
      <c r="Q46" s="52"/>
    </row>
    <row r="47" spans="2:17" x14ac:dyDescent="0.3">
      <c r="B47" s="322"/>
      <c r="C47" s="322"/>
      <c r="D47" s="322"/>
      <c r="E47" s="322"/>
      <c r="F47" s="322"/>
      <c r="G47" s="322"/>
      <c r="H47" s="322"/>
      <c r="I47" s="322"/>
      <c r="J47" s="322"/>
      <c r="K47" s="322"/>
      <c r="L47" s="322"/>
      <c r="M47" s="322"/>
      <c r="N47" s="52"/>
      <c r="O47" s="52"/>
      <c r="P47" s="52"/>
      <c r="Q47" s="52"/>
    </row>
    <row r="48" spans="2:17" x14ac:dyDescent="0.3">
      <c r="B48" s="322"/>
      <c r="C48" s="322"/>
      <c r="D48" s="322"/>
      <c r="E48" s="322"/>
      <c r="F48" s="322"/>
      <c r="G48" s="322"/>
      <c r="H48" s="322"/>
      <c r="I48" s="322"/>
      <c r="J48" s="322"/>
      <c r="K48" s="322"/>
      <c r="L48" s="322"/>
      <c r="M48" s="322"/>
      <c r="N48" s="52"/>
      <c r="O48" s="52"/>
      <c r="P48" s="52"/>
      <c r="Q48" s="52"/>
    </row>
    <row r="49" spans="2:17" x14ac:dyDescent="0.3">
      <c r="B49" s="322"/>
      <c r="C49" s="322"/>
      <c r="D49" s="322"/>
      <c r="E49" s="322"/>
      <c r="F49" s="322"/>
      <c r="G49" s="322"/>
      <c r="H49" s="322"/>
      <c r="I49" s="322"/>
      <c r="J49" s="322"/>
      <c r="K49" s="322"/>
      <c r="L49" s="322"/>
      <c r="M49" s="322"/>
      <c r="N49" s="52"/>
      <c r="O49" s="52"/>
      <c r="P49" s="52"/>
      <c r="Q49" s="52"/>
    </row>
    <row r="50" spans="2:17" x14ac:dyDescent="0.3"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52"/>
      <c r="O50" s="52"/>
      <c r="P50" s="52"/>
      <c r="Q50" s="52"/>
    </row>
  </sheetData>
  <mergeCells count="26">
    <mergeCell ref="B6:D6"/>
    <mergeCell ref="G6:I6"/>
    <mergeCell ref="J6:K6"/>
    <mergeCell ref="B1:L1"/>
    <mergeCell ref="B2:L2"/>
    <mergeCell ref="B3:L3"/>
    <mergeCell ref="B5:E5"/>
    <mergeCell ref="G5:K5"/>
    <mergeCell ref="B7:D7"/>
    <mergeCell ref="G7:I7"/>
    <mergeCell ref="J7:K7"/>
    <mergeCell ref="B8:D8"/>
    <mergeCell ref="G8:I8"/>
    <mergeCell ref="J8:K8"/>
    <mergeCell ref="B19:L19"/>
    <mergeCell ref="B9:D9"/>
    <mergeCell ref="G9:I9"/>
    <mergeCell ref="J9:K9"/>
    <mergeCell ref="B10:D10"/>
    <mergeCell ref="G10:I10"/>
    <mergeCell ref="J10:K10"/>
    <mergeCell ref="B11:D11"/>
    <mergeCell ref="G11:I11"/>
    <mergeCell ref="J11:K11"/>
    <mergeCell ref="B13:H13"/>
    <mergeCell ref="J13:K1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12AE9-15B7-4E34-9AA1-FD4F784A93C3}">
  <sheetPr>
    <tabColor theme="0" tint="-0.249977111117893"/>
  </sheetPr>
  <dimension ref="B1:K47"/>
  <sheetViews>
    <sheetView showGridLines="0" workbookViewId="0"/>
  </sheetViews>
  <sheetFormatPr defaultRowHeight="15" x14ac:dyDescent="0.3"/>
  <cols>
    <col min="1" max="1" width="2.28515625" style="83" customWidth="1"/>
    <col min="2" max="2" width="55.28515625" style="83" bestFit="1" customWidth="1"/>
    <col min="3" max="9" width="20.28515625" style="83" customWidth="1"/>
    <col min="10" max="16384" width="9.140625" style="83"/>
  </cols>
  <sheetData>
    <row r="1" spans="2:11" x14ac:dyDescent="0.3">
      <c r="B1" s="178" t="s">
        <v>283</v>
      </c>
    </row>
    <row r="2" spans="2:11" ht="18" x14ac:dyDescent="0.35">
      <c r="B2" s="90" t="s">
        <v>141</v>
      </c>
      <c r="C2" s="82"/>
      <c r="D2" s="82"/>
      <c r="E2" s="82"/>
      <c r="F2" s="82"/>
      <c r="G2" s="82"/>
      <c r="H2" s="82"/>
      <c r="I2" s="82"/>
      <c r="J2" s="82"/>
      <c r="K2" s="82"/>
    </row>
    <row r="4" spans="2:11" x14ac:dyDescent="0.3">
      <c r="B4" s="135" t="s">
        <v>73</v>
      </c>
      <c r="C4" s="136">
        <f>EOMONTH(Assumptions!C4,1)</f>
        <v>46234</v>
      </c>
      <c r="D4" s="136">
        <f>EOMONTH(C4,1)</f>
        <v>46265</v>
      </c>
      <c r="E4" s="136">
        <f t="shared" ref="E4:H4" si="0">EOMONTH(D4,1)</f>
        <v>46295</v>
      </c>
      <c r="F4" s="136">
        <f t="shared" si="0"/>
        <v>46326</v>
      </c>
      <c r="G4" s="136">
        <f t="shared" si="0"/>
        <v>46356</v>
      </c>
      <c r="H4" s="136">
        <f t="shared" si="0"/>
        <v>46387</v>
      </c>
      <c r="I4" s="137"/>
    </row>
    <row r="5" spans="2:11" x14ac:dyDescent="0.3">
      <c r="B5" s="138" t="s">
        <v>47</v>
      </c>
      <c r="C5" s="139">
        <f>+C47</f>
        <v>416666.66666666698</v>
      </c>
      <c r="D5" s="139">
        <f t="shared" ref="D5:H5" si="1">+D47</f>
        <v>556666.66666666698</v>
      </c>
      <c r="E5" s="139">
        <f t="shared" si="1"/>
        <v>696666.66666666698</v>
      </c>
      <c r="F5" s="139">
        <f t="shared" si="1"/>
        <v>783333.33333333302</v>
      </c>
      <c r="G5" s="139">
        <f t="shared" si="1"/>
        <v>776666.66666666698</v>
      </c>
      <c r="H5" s="139">
        <f t="shared" si="1"/>
        <v>770000</v>
      </c>
      <c r="I5" s="140"/>
    </row>
    <row r="6" spans="2:11" x14ac:dyDescent="0.3">
      <c r="C6" s="84"/>
    </row>
    <row r="7" spans="2:11" x14ac:dyDescent="0.3">
      <c r="B7" s="85" t="s">
        <v>98</v>
      </c>
      <c r="C7" s="85" t="s">
        <v>133</v>
      </c>
      <c r="D7" s="85" t="s">
        <v>134</v>
      </c>
      <c r="E7" s="85" t="s">
        <v>135</v>
      </c>
      <c r="F7" s="85" t="s">
        <v>136</v>
      </c>
      <c r="G7" s="85" t="s">
        <v>137</v>
      </c>
      <c r="H7" s="85" t="s">
        <v>138</v>
      </c>
      <c r="I7" s="85" t="s">
        <v>16</v>
      </c>
    </row>
    <row r="8" spans="2:11" x14ac:dyDescent="0.3">
      <c r="B8" s="86" t="s">
        <v>99</v>
      </c>
      <c r="C8" s="87"/>
      <c r="D8" s="87"/>
      <c r="E8" s="87"/>
      <c r="F8" s="87"/>
      <c r="G8" s="87"/>
      <c r="H8" s="87"/>
      <c r="I8" s="87"/>
    </row>
    <row r="9" spans="2:11" x14ac:dyDescent="0.3">
      <c r="B9" s="76" t="s">
        <v>103</v>
      </c>
      <c r="C9" s="88">
        <v>23333.333333333299</v>
      </c>
      <c r="D9" s="88">
        <v>20000</v>
      </c>
      <c r="E9" s="88">
        <v>16666.666666666701</v>
      </c>
      <c r="F9" s="88">
        <v>0</v>
      </c>
      <c r="G9" s="88">
        <v>0</v>
      </c>
      <c r="H9" s="88">
        <v>0</v>
      </c>
      <c r="I9" s="88">
        <v>60000</v>
      </c>
    </row>
    <row r="10" spans="2:11" x14ac:dyDescent="0.3">
      <c r="B10" s="76" t="s">
        <v>104</v>
      </c>
      <c r="C10" s="88">
        <v>20000</v>
      </c>
      <c r="D10" s="88">
        <v>18333.333333333299</v>
      </c>
      <c r="E10" s="88">
        <v>16666.666666666701</v>
      </c>
      <c r="F10" s="88">
        <v>10000</v>
      </c>
      <c r="G10" s="88">
        <v>5000</v>
      </c>
      <c r="H10" s="88">
        <v>0</v>
      </c>
      <c r="I10" s="88">
        <v>70000</v>
      </c>
    </row>
    <row r="11" spans="2:11" x14ac:dyDescent="0.3">
      <c r="B11" s="76" t="s">
        <v>105</v>
      </c>
      <c r="C11" s="88">
        <v>33333.333333333299</v>
      </c>
      <c r="D11" s="88">
        <v>16666.666666666701</v>
      </c>
      <c r="E11" s="88">
        <v>0</v>
      </c>
      <c r="F11" s="88">
        <v>0</v>
      </c>
      <c r="G11" s="88">
        <v>0</v>
      </c>
      <c r="H11" s="88">
        <v>0</v>
      </c>
      <c r="I11" s="88">
        <v>50000</v>
      </c>
    </row>
    <row r="12" spans="2:11" x14ac:dyDescent="0.3">
      <c r="B12" s="76" t="s">
        <v>106</v>
      </c>
      <c r="C12" s="88">
        <v>0</v>
      </c>
      <c r="D12" s="88">
        <v>0</v>
      </c>
      <c r="E12" s="88">
        <v>0</v>
      </c>
      <c r="F12" s="88">
        <v>0</v>
      </c>
      <c r="G12" s="88">
        <v>166666.66666666701</v>
      </c>
      <c r="H12" s="88">
        <v>333333.33333333302</v>
      </c>
      <c r="I12" s="88">
        <v>500000</v>
      </c>
    </row>
    <row r="13" spans="2:11" x14ac:dyDescent="0.3">
      <c r="B13" s="76" t="s">
        <v>107</v>
      </c>
      <c r="C13" s="88">
        <v>13333.333333333299</v>
      </c>
      <c r="D13" s="88">
        <v>11666.666666666701</v>
      </c>
      <c r="E13" s="88">
        <v>10000</v>
      </c>
      <c r="F13" s="88">
        <v>0</v>
      </c>
      <c r="G13" s="88">
        <v>0</v>
      </c>
      <c r="H13" s="88">
        <v>0</v>
      </c>
      <c r="I13" s="88">
        <v>35000</v>
      </c>
    </row>
    <row r="14" spans="2:11" x14ac:dyDescent="0.3">
      <c r="B14" s="76" t="s">
        <v>108</v>
      </c>
      <c r="C14" s="88">
        <v>26666.666666666701</v>
      </c>
      <c r="D14" s="88">
        <v>25000</v>
      </c>
      <c r="E14" s="88">
        <v>23333.333333333299</v>
      </c>
      <c r="F14" s="88">
        <v>16666.666666666701</v>
      </c>
      <c r="G14" s="88">
        <v>16666.666666666701</v>
      </c>
      <c r="H14" s="88">
        <v>16666.666666666701</v>
      </c>
      <c r="I14" s="88">
        <v>125000</v>
      </c>
    </row>
    <row r="15" spans="2:11" x14ac:dyDescent="0.3">
      <c r="B15" s="76" t="s">
        <v>109</v>
      </c>
      <c r="C15" s="88">
        <v>13333.333333333299</v>
      </c>
      <c r="D15" s="88">
        <v>11666.666666666701</v>
      </c>
      <c r="E15" s="88">
        <v>10000</v>
      </c>
      <c r="F15" s="88">
        <v>0</v>
      </c>
      <c r="G15" s="88">
        <v>0</v>
      </c>
      <c r="H15" s="88">
        <v>0</v>
      </c>
      <c r="I15" s="88">
        <v>35000</v>
      </c>
    </row>
    <row r="16" spans="2:11" x14ac:dyDescent="0.3">
      <c r="B16" s="76" t="s">
        <v>110</v>
      </c>
      <c r="C16" s="88">
        <v>23333.333333333299</v>
      </c>
      <c r="D16" s="88">
        <v>21666.666666666701</v>
      </c>
      <c r="E16" s="88">
        <v>20000</v>
      </c>
      <c r="F16" s="88">
        <v>13333.333333333299</v>
      </c>
      <c r="G16" s="88">
        <v>20000</v>
      </c>
      <c r="H16" s="88">
        <v>26666.666666666701</v>
      </c>
      <c r="I16" s="88">
        <v>125000</v>
      </c>
    </row>
    <row r="17" spans="2:9" s="89" customFormat="1" x14ac:dyDescent="0.3">
      <c r="B17" s="77" t="s">
        <v>139</v>
      </c>
      <c r="C17" s="78">
        <v>153333.33333333299</v>
      </c>
      <c r="D17" s="78">
        <v>125000</v>
      </c>
      <c r="E17" s="78">
        <v>96666.666666666701</v>
      </c>
      <c r="F17" s="78">
        <v>40000</v>
      </c>
      <c r="G17" s="78">
        <v>208333.33333333299</v>
      </c>
      <c r="H17" s="78">
        <v>376666.66666666698</v>
      </c>
      <c r="I17" s="78">
        <v>1000000</v>
      </c>
    </row>
    <row r="18" spans="2:9" x14ac:dyDescent="0.3">
      <c r="B18" s="86" t="s">
        <v>100</v>
      </c>
      <c r="C18" s="87"/>
      <c r="D18" s="87"/>
      <c r="E18" s="87"/>
      <c r="F18" s="87"/>
      <c r="G18" s="87"/>
      <c r="H18" s="87"/>
      <c r="I18" s="87"/>
    </row>
    <row r="19" spans="2:9" x14ac:dyDescent="0.3">
      <c r="B19" s="76" t="s">
        <v>111</v>
      </c>
      <c r="C19" s="88">
        <v>33333.333333333299</v>
      </c>
      <c r="D19" s="88">
        <v>16666.666666666701</v>
      </c>
      <c r="E19" s="88">
        <v>0</v>
      </c>
      <c r="F19" s="88">
        <v>0</v>
      </c>
      <c r="G19" s="88">
        <v>0</v>
      </c>
      <c r="H19" s="88">
        <v>0</v>
      </c>
      <c r="I19" s="88">
        <v>50000</v>
      </c>
    </row>
    <row r="20" spans="2:9" x14ac:dyDescent="0.3">
      <c r="B20" s="76" t="s">
        <v>112</v>
      </c>
      <c r="C20" s="88">
        <v>0</v>
      </c>
      <c r="D20" s="88">
        <v>50000</v>
      </c>
      <c r="E20" s="88">
        <v>100000</v>
      </c>
      <c r="F20" s="88">
        <v>66666.666666666701</v>
      </c>
      <c r="G20" s="88">
        <v>33333.333333333299</v>
      </c>
      <c r="H20" s="88">
        <v>0</v>
      </c>
      <c r="I20" s="88">
        <v>250000</v>
      </c>
    </row>
    <row r="21" spans="2:9" x14ac:dyDescent="0.3">
      <c r="B21" s="76" t="s">
        <v>113</v>
      </c>
      <c r="C21" s="88">
        <v>0</v>
      </c>
      <c r="D21" s="88">
        <v>33333.333333333299</v>
      </c>
      <c r="E21" s="88">
        <v>66666.666666666701</v>
      </c>
      <c r="F21" s="88">
        <v>133333.33333333299</v>
      </c>
      <c r="G21" s="88">
        <v>83333.333333333299</v>
      </c>
      <c r="H21" s="88">
        <v>33333.333333333299</v>
      </c>
      <c r="I21" s="88">
        <v>350000</v>
      </c>
    </row>
    <row r="22" spans="2:9" x14ac:dyDescent="0.3">
      <c r="B22" s="76" t="s">
        <v>114</v>
      </c>
      <c r="C22" s="88">
        <v>26666.666666666701</v>
      </c>
      <c r="D22" s="88">
        <v>13333.333333333299</v>
      </c>
      <c r="E22" s="88">
        <v>0</v>
      </c>
      <c r="F22" s="88">
        <v>0</v>
      </c>
      <c r="G22" s="88">
        <v>0</v>
      </c>
      <c r="H22" s="88">
        <v>0</v>
      </c>
      <c r="I22" s="88">
        <v>40000</v>
      </c>
    </row>
    <row r="23" spans="2:9" x14ac:dyDescent="0.3">
      <c r="B23" s="76" t="s">
        <v>115</v>
      </c>
      <c r="C23" s="88">
        <v>0</v>
      </c>
      <c r="D23" s="88">
        <v>26666.666666666701</v>
      </c>
      <c r="E23" s="88">
        <v>53333.333333333299</v>
      </c>
      <c r="F23" s="88">
        <v>80000</v>
      </c>
      <c r="G23" s="88">
        <v>60000</v>
      </c>
      <c r="H23" s="88">
        <v>40000</v>
      </c>
      <c r="I23" s="88">
        <v>260000</v>
      </c>
    </row>
    <row r="24" spans="2:9" x14ac:dyDescent="0.3">
      <c r="B24" s="76" t="s">
        <v>116</v>
      </c>
      <c r="C24" s="88">
        <v>0</v>
      </c>
      <c r="D24" s="88">
        <v>0</v>
      </c>
      <c r="E24" s="88">
        <v>0</v>
      </c>
      <c r="F24" s="88">
        <v>20000</v>
      </c>
      <c r="G24" s="88">
        <v>16666.666666666701</v>
      </c>
      <c r="H24" s="88">
        <v>13333.333333333299</v>
      </c>
      <c r="I24" s="88">
        <v>50000</v>
      </c>
    </row>
    <row r="25" spans="2:9" s="89" customFormat="1" x14ac:dyDescent="0.3">
      <c r="B25" s="77" t="s">
        <v>140</v>
      </c>
      <c r="C25" s="78">
        <v>60000</v>
      </c>
      <c r="D25" s="78">
        <v>140000</v>
      </c>
      <c r="E25" s="78">
        <v>220000</v>
      </c>
      <c r="F25" s="78">
        <v>300000</v>
      </c>
      <c r="G25" s="78">
        <v>193333.33333333299</v>
      </c>
      <c r="H25" s="78">
        <v>86666.666666666701</v>
      </c>
      <c r="I25" s="78">
        <v>1000000</v>
      </c>
    </row>
    <row r="26" spans="2:9" x14ac:dyDescent="0.3">
      <c r="B26" s="86" t="s">
        <v>101</v>
      </c>
      <c r="C26" s="87"/>
      <c r="D26" s="87"/>
      <c r="E26" s="87"/>
      <c r="F26" s="87"/>
      <c r="G26" s="87"/>
      <c r="H26" s="87"/>
      <c r="I26" s="87"/>
    </row>
    <row r="27" spans="2:9" x14ac:dyDescent="0.3">
      <c r="B27" s="76" t="s">
        <v>117</v>
      </c>
      <c r="C27" s="88">
        <v>26666.666666666701</v>
      </c>
      <c r="D27" s="88">
        <v>20000</v>
      </c>
      <c r="E27" s="88">
        <v>13333.333333333299</v>
      </c>
      <c r="F27" s="88">
        <v>0</v>
      </c>
      <c r="G27" s="88">
        <v>0</v>
      </c>
      <c r="H27" s="88">
        <v>0</v>
      </c>
      <c r="I27" s="88">
        <v>60000</v>
      </c>
    </row>
    <row r="28" spans="2:9" x14ac:dyDescent="0.3">
      <c r="B28" s="76" t="s">
        <v>118</v>
      </c>
      <c r="C28" s="88">
        <v>0</v>
      </c>
      <c r="D28" s="88">
        <v>33333.333333333299</v>
      </c>
      <c r="E28" s="88">
        <v>66666.666666666701</v>
      </c>
      <c r="F28" s="88">
        <v>100000</v>
      </c>
      <c r="G28" s="88">
        <v>50000</v>
      </c>
      <c r="H28" s="88">
        <v>0</v>
      </c>
      <c r="I28" s="88">
        <v>250000</v>
      </c>
    </row>
    <row r="29" spans="2:9" x14ac:dyDescent="0.3">
      <c r="B29" s="76" t="s">
        <v>119</v>
      </c>
      <c r="C29" s="88">
        <v>0</v>
      </c>
      <c r="D29" s="88">
        <v>16666.666666666701</v>
      </c>
      <c r="E29" s="88">
        <v>33333.333333333299</v>
      </c>
      <c r="F29" s="88">
        <v>66666.666666666701</v>
      </c>
      <c r="G29" s="88">
        <v>50000</v>
      </c>
      <c r="H29" s="88">
        <v>33333.333333333299</v>
      </c>
      <c r="I29" s="88">
        <v>200000</v>
      </c>
    </row>
    <row r="30" spans="2:9" x14ac:dyDescent="0.3">
      <c r="B30" s="76" t="s">
        <v>120</v>
      </c>
      <c r="C30" s="88">
        <v>20000</v>
      </c>
      <c r="D30" s="88">
        <v>36666.666666666701</v>
      </c>
      <c r="E30" s="88">
        <v>53333.333333333299</v>
      </c>
      <c r="F30" s="88">
        <v>33333.333333333299</v>
      </c>
      <c r="G30" s="88">
        <v>16666.666666666701</v>
      </c>
      <c r="H30" s="88">
        <v>0</v>
      </c>
      <c r="I30" s="88">
        <v>160000</v>
      </c>
    </row>
    <row r="31" spans="2:9" x14ac:dyDescent="0.3">
      <c r="B31" s="76" t="s">
        <v>121</v>
      </c>
      <c r="C31" s="88">
        <v>0</v>
      </c>
      <c r="D31" s="88">
        <v>16666.666666666701</v>
      </c>
      <c r="E31" s="88">
        <v>33333.333333333299</v>
      </c>
      <c r="F31" s="88">
        <v>20000</v>
      </c>
      <c r="G31" s="88">
        <v>10000</v>
      </c>
      <c r="H31" s="88">
        <v>0</v>
      </c>
      <c r="I31" s="88">
        <v>80000</v>
      </c>
    </row>
    <row r="32" spans="2:9" x14ac:dyDescent="0.3">
      <c r="B32" s="76" t="s">
        <v>122</v>
      </c>
      <c r="C32" s="88">
        <v>0</v>
      </c>
      <c r="D32" s="88">
        <v>20000</v>
      </c>
      <c r="E32" s="88">
        <v>40000</v>
      </c>
      <c r="F32" s="88">
        <v>53333.333333333299</v>
      </c>
      <c r="G32" s="88">
        <v>46666.666666666701</v>
      </c>
      <c r="H32" s="88">
        <v>40000</v>
      </c>
      <c r="I32" s="88">
        <v>200000</v>
      </c>
    </row>
    <row r="33" spans="2:9" x14ac:dyDescent="0.3">
      <c r="B33" s="76" t="s">
        <v>123</v>
      </c>
      <c r="C33" s="88">
        <v>10000</v>
      </c>
      <c r="D33" s="88">
        <v>11666.666666666701</v>
      </c>
      <c r="E33" s="88">
        <v>13333.333333333299</v>
      </c>
      <c r="F33" s="88">
        <v>10000</v>
      </c>
      <c r="G33" s="88">
        <v>5000</v>
      </c>
      <c r="H33" s="88">
        <v>0</v>
      </c>
      <c r="I33" s="88">
        <v>50000</v>
      </c>
    </row>
    <row r="34" spans="2:9" s="89" customFormat="1" x14ac:dyDescent="0.3">
      <c r="B34" s="77" t="s">
        <v>25</v>
      </c>
      <c r="C34" s="78">
        <v>56666.666666666701</v>
      </c>
      <c r="D34" s="78">
        <v>155000</v>
      </c>
      <c r="E34" s="78">
        <v>253333.33333333299</v>
      </c>
      <c r="F34" s="78">
        <v>283333.33333333302</v>
      </c>
      <c r="G34" s="78">
        <v>178333.33333333299</v>
      </c>
      <c r="H34" s="78">
        <v>73333.333333333299</v>
      </c>
      <c r="I34" s="78">
        <v>1000000</v>
      </c>
    </row>
    <row r="35" spans="2:9" x14ac:dyDescent="0.3">
      <c r="B35" s="86" t="s">
        <v>102</v>
      </c>
      <c r="C35" s="87"/>
      <c r="D35" s="87"/>
      <c r="E35" s="87"/>
      <c r="F35" s="87"/>
      <c r="G35" s="87"/>
      <c r="H35" s="87"/>
      <c r="I35" s="87"/>
    </row>
    <row r="36" spans="2:9" x14ac:dyDescent="0.3">
      <c r="B36" s="76" t="s">
        <v>124</v>
      </c>
      <c r="C36" s="88">
        <v>53333.333333333299</v>
      </c>
      <c r="D36" s="88">
        <v>26666.666666666701</v>
      </c>
      <c r="E36" s="88">
        <v>0</v>
      </c>
      <c r="F36" s="88">
        <v>0</v>
      </c>
      <c r="G36" s="88">
        <v>0</v>
      </c>
      <c r="H36" s="88">
        <v>0</v>
      </c>
      <c r="I36" s="88">
        <v>80000</v>
      </c>
    </row>
    <row r="37" spans="2:9" x14ac:dyDescent="0.3">
      <c r="B37" s="76" t="s">
        <v>125</v>
      </c>
      <c r="C37" s="88">
        <v>33333.333333333299</v>
      </c>
      <c r="D37" s="88">
        <v>36666.666666666701</v>
      </c>
      <c r="E37" s="88">
        <v>40000</v>
      </c>
      <c r="F37" s="88">
        <v>0</v>
      </c>
      <c r="G37" s="88">
        <v>0</v>
      </c>
      <c r="H37" s="88">
        <v>0</v>
      </c>
      <c r="I37" s="88">
        <v>110000</v>
      </c>
    </row>
    <row r="38" spans="2:9" x14ac:dyDescent="0.3">
      <c r="B38" s="76" t="s">
        <v>126</v>
      </c>
      <c r="C38" s="88">
        <v>20000</v>
      </c>
      <c r="D38" s="88">
        <v>20000</v>
      </c>
      <c r="E38" s="88">
        <v>20000</v>
      </c>
      <c r="F38" s="88">
        <v>20000</v>
      </c>
      <c r="G38" s="88">
        <v>20000</v>
      </c>
      <c r="H38" s="88">
        <v>20000</v>
      </c>
      <c r="I38" s="88">
        <v>120000</v>
      </c>
    </row>
    <row r="39" spans="2:9" x14ac:dyDescent="0.3">
      <c r="B39" s="76" t="s">
        <v>127</v>
      </c>
      <c r="C39" s="88">
        <v>13333.333333333299</v>
      </c>
      <c r="D39" s="88">
        <v>13333.333333333299</v>
      </c>
      <c r="E39" s="88">
        <v>13333.333333333299</v>
      </c>
      <c r="F39" s="88">
        <v>13333.333333333299</v>
      </c>
      <c r="G39" s="88">
        <v>6666.6666666666697</v>
      </c>
      <c r="H39" s="88">
        <v>0</v>
      </c>
      <c r="I39" s="88">
        <v>60000</v>
      </c>
    </row>
    <row r="40" spans="2:9" x14ac:dyDescent="0.3">
      <c r="B40" s="76" t="s">
        <v>128</v>
      </c>
      <c r="C40" s="88">
        <v>0</v>
      </c>
      <c r="D40" s="88">
        <v>10000</v>
      </c>
      <c r="E40" s="88">
        <v>20000</v>
      </c>
      <c r="F40" s="88">
        <v>20000</v>
      </c>
      <c r="G40" s="88">
        <v>10000</v>
      </c>
      <c r="H40" s="88">
        <v>0</v>
      </c>
      <c r="I40" s="88">
        <v>60000</v>
      </c>
    </row>
    <row r="41" spans="2:9" x14ac:dyDescent="0.3">
      <c r="B41" s="76" t="s">
        <v>129</v>
      </c>
      <c r="C41" s="88">
        <v>0</v>
      </c>
      <c r="D41" s="88">
        <v>0</v>
      </c>
      <c r="E41" s="88">
        <v>0</v>
      </c>
      <c r="F41" s="88">
        <v>66666.666666666701</v>
      </c>
      <c r="G41" s="88">
        <v>100000</v>
      </c>
      <c r="H41" s="88">
        <v>133333.33333333299</v>
      </c>
      <c r="I41" s="88">
        <v>300000</v>
      </c>
    </row>
    <row r="42" spans="2:9" x14ac:dyDescent="0.3">
      <c r="B42" s="76" t="s">
        <v>130</v>
      </c>
      <c r="C42" s="88">
        <v>20000</v>
      </c>
      <c r="D42" s="88">
        <v>20000</v>
      </c>
      <c r="E42" s="88">
        <v>20000</v>
      </c>
      <c r="F42" s="88">
        <v>20000</v>
      </c>
      <c r="G42" s="88">
        <v>26666.666666666701</v>
      </c>
      <c r="H42" s="88">
        <v>33333.333333333299</v>
      </c>
      <c r="I42" s="88">
        <v>140000</v>
      </c>
    </row>
    <row r="43" spans="2:9" x14ac:dyDescent="0.3">
      <c r="B43" s="76" t="s">
        <v>131</v>
      </c>
      <c r="C43" s="88">
        <v>0</v>
      </c>
      <c r="D43" s="88">
        <v>3333.3333333333298</v>
      </c>
      <c r="E43" s="88">
        <v>6666.6666666666697</v>
      </c>
      <c r="F43" s="88">
        <v>13333.333333333299</v>
      </c>
      <c r="G43" s="88">
        <v>26666.666666666701</v>
      </c>
      <c r="H43" s="88">
        <v>40000</v>
      </c>
      <c r="I43" s="88">
        <v>90000</v>
      </c>
    </row>
    <row r="44" spans="2:9" x14ac:dyDescent="0.3">
      <c r="B44" s="76" t="s">
        <v>132</v>
      </c>
      <c r="C44" s="88">
        <v>6666.6666666666697</v>
      </c>
      <c r="D44" s="88">
        <v>6666.6666666666697</v>
      </c>
      <c r="E44" s="88">
        <v>6666.6666666666697</v>
      </c>
      <c r="F44" s="88">
        <v>6666.6666666666697</v>
      </c>
      <c r="G44" s="88">
        <v>6666.6666666666697</v>
      </c>
      <c r="H44" s="88">
        <v>6666.6666666666697</v>
      </c>
      <c r="I44" s="88">
        <v>40000</v>
      </c>
    </row>
    <row r="45" spans="2:9" s="89" customFormat="1" x14ac:dyDescent="0.3">
      <c r="B45" s="77" t="s">
        <v>66</v>
      </c>
      <c r="C45" s="78">
        <v>146666.66666666701</v>
      </c>
      <c r="D45" s="78">
        <v>136666.66666666701</v>
      </c>
      <c r="E45" s="78">
        <v>126666.66666666701</v>
      </c>
      <c r="F45" s="78">
        <v>160000</v>
      </c>
      <c r="G45" s="78">
        <v>196666.66666666701</v>
      </c>
      <c r="H45" s="78">
        <v>233333.33333333299</v>
      </c>
      <c r="I45" s="78">
        <v>1000000</v>
      </c>
    </row>
    <row r="46" spans="2:9" s="89" customFormat="1" ht="15.75" thickBot="1" x14ac:dyDescent="0.35">
      <c r="B46" s="98"/>
      <c r="C46" s="99"/>
      <c r="D46" s="99"/>
      <c r="E46" s="99"/>
      <c r="F46" s="99"/>
      <c r="G46" s="99"/>
      <c r="H46" s="99"/>
      <c r="I46" s="99"/>
    </row>
    <row r="47" spans="2:9" ht="18.75" thickBot="1" x14ac:dyDescent="0.4">
      <c r="B47" s="80" t="s">
        <v>97</v>
      </c>
      <c r="C47" s="81">
        <v>416666.66666666698</v>
      </c>
      <c r="D47" s="81">
        <v>556666.66666666698</v>
      </c>
      <c r="E47" s="81">
        <v>696666.66666666698</v>
      </c>
      <c r="F47" s="81">
        <v>783333.33333333302</v>
      </c>
      <c r="G47" s="81">
        <v>776666.66666666698</v>
      </c>
      <c r="H47" s="81">
        <v>770000</v>
      </c>
      <c r="I47" s="81">
        <v>4000000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E7FD-4B7F-4283-8ED6-7E630D3597D6}">
  <sheetPr>
    <tabColor theme="0" tint="-0.249977111117893"/>
  </sheetPr>
  <dimension ref="B1:N43"/>
  <sheetViews>
    <sheetView showGridLines="0" workbookViewId="0">
      <selection activeCell="B1" sqref="B1"/>
    </sheetView>
  </sheetViews>
  <sheetFormatPr defaultRowHeight="15" x14ac:dyDescent="0.3"/>
  <cols>
    <col min="1" max="1" width="2.28515625" style="83" customWidth="1"/>
    <col min="2" max="2" width="55.28515625" style="83" bestFit="1" customWidth="1"/>
    <col min="3" max="9" width="20.28515625" style="83" customWidth="1"/>
    <col min="10" max="16384" width="9.140625" style="83"/>
  </cols>
  <sheetData>
    <row r="1" spans="2:13" x14ac:dyDescent="0.3">
      <c r="B1" s="178" t="s">
        <v>283</v>
      </c>
    </row>
    <row r="2" spans="2:13" ht="18" x14ac:dyDescent="0.35">
      <c r="B2" s="90" t="s">
        <v>142</v>
      </c>
      <c r="C2" s="82"/>
      <c r="D2" s="82"/>
      <c r="E2" s="82"/>
      <c r="F2" s="82"/>
      <c r="G2" s="82"/>
      <c r="H2" s="82"/>
      <c r="I2" s="82"/>
      <c r="J2" s="89"/>
      <c r="K2" s="89"/>
      <c r="L2" s="89"/>
      <c r="M2" s="89"/>
    </row>
    <row r="3" spans="2:13" x14ac:dyDescent="0.3">
      <c r="J3" s="89"/>
      <c r="K3" s="89"/>
      <c r="L3" s="89"/>
      <c r="M3" s="89"/>
    </row>
    <row r="4" spans="2:13" x14ac:dyDescent="0.3">
      <c r="B4" s="141" t="s">
        <v>0</v>
      </c>
      <c r="C4" s="142">
        <f>EOMONTH(Assumptions!C4,1)</f>
        <v>46234</v>
      </c>
      <c r="D4" s="142">
        <f>EOMONTH(C4,1)</f>
        <v>46265</v>
      </c>
      <c r="E4" s="142">
        <f t="shared" ref="E4:H4" si="0">EOMONTH(D4,1)</f>
        <v>46295</v>
      </c>
      <c r="F4" s="142">
        <f t="shared" si="0"/>
        <v>46326</v>
      </c>
      <c r="G4" s="142">
        <f t="shared" si="0"/>
        <v>46356</v>
      </c>
      <c r="H4" s="142">
        <f t="shared" si="0"/>
        <v>46387</v>
      </c>
      <c r="I4" s="143"/>
      <c r="J4" s="89"/>
      <c r="K4" s="89"/>
      <c r="L4" s="89"/>
      <c r="M4" s="89"/>
    </row>
    <row r="5" spans="2:13" x14ac:dyDescent="0.3">
      <c r="B5" s="144" t="s">
        <v>47</v>
      </c>
      <c r="C5" s="145">
        <f t="shared" ref="C5:H5" si="1">+C41</f>
        <v>13529666.666666666</v>
      </c>
      <c r="D5" s="145">
        <f t="shared" si="1"/>
        <v>12345666.666666666</v>
      </c>
      <c r="E5" s="145">
        <f t="shared" si="1"/>
        <v>8062416.666666666</v>
      </c>
      <c r="F5" s="145">
        <f t="shared" si="1"/>
        <v>1811666.6666666665</v>
      </c>
      <c r="G5" s="145">
        <f t="shared" si="1"/>
        <v>1204666.6666666665</v>
      </c>
      <c r="H5" s="145">
        <f t="shared" si="1"/>
        <v>1204666.6666666665</v>
      </c>
      <c r="I5" s="146"/>
      <c r="J5" s="89"/>
      <c r="K5" s="89"/>
      <c r="L5" s="89"/>
      <c r="M5" s="89"/>
    </row>
    <row r="6" spans="2:13" x14ac:dyDescent="0.3">
      <c r="C6" s="84"/>
    </row>
    <row r="7" spans="2:13" x14ac:dyDescent="0.3">
      <c r="B7" s="91" t="s">
        <v>98</v>
      </c>
      <c r="C7" s="91" t="s">
        <v>133</v>
      </c>
      <c r="D7" s="91" t="s">
        <v>134</v>
      </c>
      <c r="E7" s="91" t="s">
        <v>135</v>
      </c>
      <c r="F7" s="91" t="s">
        <v>136</v>
      </c>
      <c r="G7" s="91" t="s">
        <v>137</v>
      </c>
      <c r="H7" s="91" t="s">
        <v>138</v>
      </c>
      <c r="I7" s="91" t="s">
        <v>16</v>
      </c>
    </row>
    <row r="8" spans="2:13" x14ac:dyDescent="0.3">
      <c r="B8" s="86" t="s">
        <v>75</v>
      </c>
      <c r="C8" s="87"/>
      <c r="D8" s="87"/>
      <c r="E8" s="87"/>
      <c r="F8" s="87"/>
      <c r="G8" s="87"/>
      <c r="H8" s="87"/>
      <c r="I8" s="87"/>
    </row>
    <row r="9" spans="2:13" x14ac:dyDescent="0.3">
      <c r="B9" s="94" t="s">
        <v>76</v>
      </c>
      <c r="C9" s="95">
        <v>3500000</v>
      </c>
      <c r="D9" s="95">
        <v>2140000</v>
      </c>
      <c r="E9" s="95">
        <v>0</v>
      </c>
      <c r="F9" s="95">
        <v>0</v>
      </c>
      <c r="G9" s="95"/>
      <c r="H9" s="95"/>
      <c r="I9" s="95">
        <f>SUM(C9:H9)</f>
        <v>5640000</v>
      </c>
    </row>
    <row r="10" spans="2:13" x14ac:dyDescent="0.3">
      <c r="B10" s="96" t="s">
        <v>77</v>
      </c>
      <c r="C10" s="97">
        <v>225000</v>
      </c>
      <c r="D10" s="97">
        <v>0</v>
      </c>
      <c r="E10" s="97">
        <v>0</v>
      </c>
      <c r="F10" s="97">
        <v>0</v>
      </c>
      <c r="G10" s="97"/>
      <c r="H10" s="97"/>
      <c r="I10" s="97">
        <f t="shared" ref="I10:I12" si="2">SUM(C10:H10)</f>
        <v>225000</v>
      </c>
    </row>
    <row r="11" spans="2:13" x14ac:dyDescent="0.3">
      <c r="B11" s="94" t="s">
        <v>78</v>
      </c>
      <c r="C11" s="95">
        <v>500000</v>
      </c>
      <c r="D11" s="95">
        <v>1000000</v>
      </c>
      <c r="E11" s="95">
        <v>1000000</v>
      </c>
      <c r="F11" s="95">
        <v>607000</v>
      </c>
      <c r="G11" s="95"/>
      <c r="H11" s="95"/>
      <c r="I11" s="95">
        <f t="shared" si="2"/>
        <v>3107000</v>
      </c>
    </row>
    <row r="12" spans="2:13" x14ac:dyDescent="0.3">
      <c r="B12" s="96" t="s">
        <v>79</v>
      </c>
      <c r="C12" s="97">
        <v>400000</v>
      </c>
      <c r="D12" s="97">
        <v>400000</v>
      </c>
      <c r="E12" s="97">
        <v>349000</v>
      </c>
      <c r="F12" s="97">
        <v>0</v>
      </c>
      <c r="G12" s="97"/>
      <c r="H12" s="97"/>
      <c r="I12" s="97">
        <f t="shared" si="2"/>
        <v>1149000</v>
      </c>
    </row>
    <row r="13" spans="2:13" s="89" customFormat="1" x14ac:dyDescent="0.3">
      <c r="B13" s="77" t="s">
        <v>80</v>
      </c>
      <c r="C13" s="78">
        <f>SUM(C9:C12)</f>
        <v>4625000</v>
      </c>
      <c r="D13" s="78">
        <f>SUM(D9:D12)</f>
        <v>3540000</v>
      </c>
      <c r="E13" s="78">
        <f>SUM(E9:E12)</f>
        <v>1349000</v>
      </c>
      <c r="F13" s="78">
        <f>SUM(F9:F12)</f>
        <v>607000</v>
      </c>
      <c r="G13" s="78"/>
      <c r="H13" s="78"/>
      <c r="I13" s="78">
        <f>SUM(C13:F13)</f>
        <v>10121000</v>
      </c>
      <c r="J13" s="83"/>
      <c r="K13" s="83"/>
    </row>
    <row r="14" spans="2:13" x14ac:dyDescent="0.3">
      <c r="B14" s="100"/>
      <c r="C14" s="100"/>
      <c r="D14" s="100"/>
      <c r="E14" s="100"/>
      <c r="F14" s="100"/>
      <c r="G14" s="100"/>
      <c r="H14" s="100"/>
      <c r="I14" s="100"/>
    </row>
    <row r="15" spans="2:13" x14ac:dyDescent="0.3">
      <c r="B15" s="86" t="s">
        <v>81</v>
      </c>
      <c r="C15" s="87"/>
      <c r="D15" s="87"/>
      <c r="E15" s="87"/>
      <c r="F15" s="87"/>
      <c r="G15" s="87"/>
      <c r="H15" s="87"/>
      <c r="I15" s="87"/>
    </row>
    <row r="16" spans="2:13" x14ac:dyDescent="0.3">
      <c r="B16" s="96" t="s">
        <v>82</v>
      </c>
      <c r="C16" s="97">
        <v>1000000</v>
      </c>
      <c r="D16" s="97">
        <v>1000000</v>
      </c>
      <c r="E16" s="97">
        <v>952500</v>
      </c>
      <c r="F16" s="97">
        <v>0</v>
      </c>
      <c r="G16" s="97"/>
      <c r="H16" s="97"/>
      <c r="I16" s="95">
        <f>SUM(C16:H16)</f>
        <v>2952500</v>
      </c>
    </row>
    <row r="17" spans="2:14" s="89" customFormat="1" x14ac:dyDescent="0.3">
      <c r="B17" s="94" t="s">
        <v>83</v>
      </c>
      <c r="C17" s="95">
        <v>500000</v>
      </c>
      <c r="D17" s="95">
        <v>500000</v>
      </c>
      <c r="E17" s="95">
        <v>361250</v>
      </c>
      <c r="F17" s="95">
        <v>0</v>
      </c>
      <c r="G17" s="95"/>
      <c r="H17" s="95"/>
      <c r="I17" s="97">
        <f t="shared" ref="I17:I18" si="3">SUM(C17:H17)</f>
        <v>1361250</v>
      </c>
      <c r="J17" s="83"/>
      <c r="K17" s="83"/>
      <c r="L17" s="83"/>
      <c r="M17" s="83"/>
      <c r="N17" s="83"/>
    </row>
    <row r="18" spans="2:14" x14ac:dyDescent="0.3">
      <c r="B18" s="96" t="s">
        <v>84</v>
      </c>
      <c r="C18" s="97">
        <v>2000000</v>
      </c>
      <c r="D18" s="97">
        <v>2000000</v>
      </c>
      <c r="E18" s="97">
        <v>1440000</v>
      </c>
      <c r="F18" s="97">
        <v>0</v>
      </c>
      <c r="G18" s="97"/>
      <c r="H18" s="97"/>
      <c r="I18" s="95">
        <f t="shared" si="3"/>
        <v>5440000</v>
      </c>
    </row>
    <row r="19" spans="2:14" s="89" customFormat="1" x14ac:dyDescent="0.3">
      <c r="B19" s="77" t="s">
        <v>85</v>
      </c>
      <c r="C19" s="78">
        <f>SUM(C16:C18)</f>
        <v>3500000</v>
      </c>
      <c r="D19" s="78">
        <f>SUM(D16:D18)</f>
        <v>3500000</v>
      </c>
      <c r="E19" s="78">
        <f>SUM(E16:E18)</f>
        <v>2753750</v>
      </c>
      <c r="F19" s="78">
        <f>SUM(F16:F18)</f>
        <v>0</v>
      </c>
      <c r="G19" s="78"/>
      <c r="H19" s="78"/>
      <c r="I19" s="78">
        <f>SUM(C19:F19)</f>
        <v>9753750</v>
      </c>
      <c r="J19" s="83"/>
      <c r="K19" s="83"/>
    </row>
    <row r="20" spans="2:14" x14ac:dyDescent="0.3">
      <c r="B20" s="100"/>
      <c r="C20" s="100"/>
      <c r="D20" s="100"/>
      <c r="E20" s="100"/>
      <c r="F20" s="100"/>
      <c r="G20" s="100"/>
      <c r="H20" s="100"/>
      <c r="I20" s="100"/>
    </row>
    <row r="21" spans="2:14" x14ac:dyDescent="0.3">
      <c r="B21" s="86" t="s">
        <v>86</v>
      </c>
      <c r="C21" s="87"/>
      <c r="D21" s="87"/>
      <c r="E21" s="87"/>
      <c r="F21" s="87"/>
      <c r="G21" s="87"/>
      <c r="H21" s="87"/>
      <c r="I21" s="87"/>
    </row>
    <row r="22" spans="2:14" x14ac:dyDescent="0.3">
      <c r="B22" s="96" t="s">
        <v>87</v>
      </c>
      <c r="C22" s="97">
        <v>300000</v>
      </c>
      <c r="D22" s="97">
        <v>275000</v>
      </c>
      <c r="E22" s="97">
        <v>0</v>
      </c>
      <c r="F22" s="97">
        <v>0</v>
      </c>
      <c r="G22" s="97"/>
      <c r="H22" s="97"/>
      <c r="I22" s="95">
        <f>SUM(C22:H22)</f>
        <v>575000</v>
      </c>
    </row>
    <row r="23" spans="2:14" x14ac:dyDescent="0.3">
      <c r="B23" s="94" t="s">
        <v>88</v>
      </c>
      <c r="C23" s="95">
        <v>500000</v>
      </c>
      <c r="D23" s="95">
        <v>500000</v>
      </c>
      <c r="E23" s="95">
        <v>250000</v>
      </c>
      <c r="F23" s="95">
        <v>0</v>
      </c>
      <c r="G23" s="95"/>
      <c r="H23" s="95"/>
      <c r="I23" s="97">
        <f t="shared" ref="I23:I24" si="4">SUM(C23:H23)</f>
        <v>1250000</v>
      </c>
    </row>
    <row r="24" spans="2:14" x14ac:dyDescent="0.3">
      <c r="B24" s="96" t="s">
        <v>89</v>
      </c>
      <c r="C24" s="97">
        <v>400000</v>
      </c>
      <c r="D24" s="97">
        <v>326000</v>
      </c>
      <c r="E24" s="97">
        <v>0</v>
      </c>
      <c r="F24" s="97">
        <v>0</v>
      </c>
      <c r="G24" s="97"/>
      <c r="H24" s="97"/>
      <c r="I24" s="95">
        <f t="shared" si="4"/>
        <v>726000</v>
      </c>
    </row>
    <row r="25" spans="2:14" s="89" customFormat="1" x14ac:dyDescent="0.3">
      <c r="B25" s="77" t="s">
        <v>90</v>
      </c>
      <c r="C25" s="78">
        <f>SUM(C22:C24)</f>
        <v>1200000</v>
      </c>
      <c r="D25" s="78">
        <f>SUM(D22:D24)</f>
        <v>1101000</v>
      </c>
      <c r="E25" s="78">
        <f>SUM(E22:E24)</f>
        <v>250000</v>
      </c>
      <c r="F25" s="78">
        <f>SUM(F22:F24)</f>
        <v>0</v>
      </c>
      <c r="G25" s="78"/>
      <c r="H25" s="78"/>
      <c r="I25" s="78">
        <f>SUM(C25:F25)</f>
        <v>2551000</v>
      </c>
      <c r="J25" s="83"/>
      <c r="K25" s="83"/>
    </row>
    <row r="26" spans="2:14" x14ac:dyDescent="0.3">
      <c r="B26" s="100"/>
      <c r="C26" s="100"/>
      <c r="D26" s="100"/>
      <c r="E26" s="100"/>
      <c r="F26" s="100"/>
      <c r="G26" s="100"/>
      <c r="H26" s="100"/>
      <c r="I26" s="100"/>
    </row>
    <row r="27" spans="2:14" x14ac:dyDescent="0.3">
      <c r="B27" s="86" t="s">
        <v>91</v>
      </c>
      <c r="C27" s="87"/>
      <c r="D27" s="87"/>
      <c r="E27" s="87"/>
      <c r="F27" s="87"/>
      <c r="G27" s="87"/>
      <c r="H27" s="87"/>
      <c r="I27" s="87"/>
    </row>
    <row r="28" spans="2:14" x14ac:dyDescent="0.3">
      <c r="B28" s="96" t="s">
        <v>92</v>
      </c>
      <c r="C28" s="97">
        <v>800000</v>
      </c>
      <c r="D28" s="97">
        <v>800000</v>
      </c>
      <c r="E28" s="97">
        <v>400000</v>
      </c>
      <c r="F28" s="97">
        <v>0</v>
      </c>
      <c r="G28" s="97"/>
      <c r="H28" s="97"/>
      <c r="I28" s="95">
        <f>SUM(C28:H28)</f>
        <v>2000000</v>
      </c>
    </row>
    <row r="29" spans="2:14" x14ac:dyDescent="0.3">
      <c r="B29" s="94" t="s">
        <v>93</v>
      </c>
      <c r="C29" s="95">
        <v>1000000</v>
      </c>
      <c r="D29" s="95">
        <v>1000000</v>
      </c>
      <c r="E29" s="95">
        <v>1275000</v>
      </c>
      <c r="F29" s="95">
        <v>0</v>
      </c>
      <c r="G29" s="95"/>
      <c r="H29" s="95"/>
      <c r="I29" s="97">
        <f t="shared" ref="I29:I31" si="5">SUM(C29:H29)</f>
        <v>3275000</v>
      </c>
    </row>
    <row r="30" spans="2:14" x14ac:dyDescent="0.3">
      <c r="B30" s="96" t="s">
        <v>94</v>
      </c>
      <c r="C30" s="97">
        <v>200000</v>
      </c>
      <c r="D30" s="97">
        <v>200000</v>
      </c>
      <c r="E30" s="97">
        <v>80000</v>
      </c>
      <c r="F30" s="97">
        <v>0</v>
      </c>
      <c r="G30" s="97"/>
      <c r="H30" s="97"/>
      <c r="I30" s="95">
        <f t="shared" si="5"/>
        <v>480000</v>
      </c>
    </row>
    <row r="31" spans="2:14" x14ac:dyDescent="0.3">
      <c r="B31" s="94" t="s">
        <v>95</v>
      </c>
      <c r="C31" s="95">
        <v>1000000</v>
      </c>
      <c r="D31" s="95">
        <v>1000000</v>
      </c>
      <c r="E31" s="95">
        <v>750000</v>
      </c>
      <c r="F31" s="95">
        <v>0</v>
      </c>
      <c r="G31" s="95"/>
      <c r="H31" s="95"/>
      <c r="I31" s="97">
        <f t="shared" si="5"/>
        <v>2750000</v>
      </c>
    </row>
    <row r="32" spans="2:14" s="89" customFormat="1" x14ac:dyDescent="0.3">
      <c r="B32" s="77" t="s">
        <v>96</v>
      </c>
      <c r="C32" s="78">
        <f>SUM(C28:C31)</f>
        <v>3000000</v>
      </c>
      <c r="D32" s="78">
        <f>SUM(D28:D31)</f>
        <v>3000000</v>
      </c>
      <c r="E32" s="78">
        <f>SUM(E28:E31)</f>
        <v>2505000</v>
      </c>
      <c r="F32" s="78">
        <f>SUM(F28:F31)</f>
        <v>0</v>
      </c>
      <c r="G32" s="78"/>
      <c r="H32" s="78"/>
      <c r="I32" s="78">
        <f>SUM(C32:F32)</f>
        <v>8505000</v>
      </c>
      <c r="J32" s="83"/>
      <c r="K32" s="83"/>
    </row>
    <row r="33" spans="2:11" s="89" customFormat="1" x14ac:dyDescent="0.3">
      <c r="B33" s="98"/>
      <c r="C33" s="99"/>
      <c r="D33" s="99"/>
      <c r="E33" s="99"/>
      <c r="F33" s="99"/>
      <c r="G33" s="99"/>
      <c r="H33" s="99"/>
      <c r="I33" s="99"/>
      <c r="J33" s="83"/>
      <c r="K33" s="83"/>
    </row>
    <row r="34" spans="2:11" x14ac:dyDescent="0.3">
      <c r="B34" s="86" t="s">
        <v>286</v>
      </c>
      <c r="C34" s="87"/>
      <c r="D34" s="87"/>
      <c r="E34" s="87"/>
      <c r="F34" s="87"/>
      <c r="G34" s="87"/>
      <c r="H34" s="87"/>
      <c r="I34" s="87"/>
    </row>
    <row r="35" spans="2:11" x14ac:dyDescent="0.3">
      <c r="B35" s="96" t="s">
        <v>287</v>
      </c>
      <c r="C35" s="97">
        <f>400000/6</f>
        <v>66666.666666666672</v>
      </c>
      <c r="D35" s="97">
        <v>66666.666666666672</v>
      </c>
      <c r="E35" s="97">
        <v>66666.666666666672</v>
      </c>
      <c r="F35" s="97">
        <v>66666.666666666672</v>
      </c>
      <c r="G35" s="97">
        <v>66666.666666666672</v>
      </c>
      <c r="H35" s="97">
        <v>66666.666666666672</v>
      </c>
      <c r="I35" s="95">
        <f>SUM(C35:H35)</f>
        <v>400000.00000000006</v>
      </c>
    </row>
    <row r="36" spans="2:11" x14ac:dyDescent="0.3">
      <c r="B36" s="94" t="s">
        <v>288</v>
      </c>
      <c r="C36" s="95">
        <f>5245000/6</f>
        <v>874166.66666666663</v>
      </c>
      <c r="D36" s="95">
        <v>874166.66666666663</v>
      </c>
      <c r="E36" s="95">
        <v>874166.66666666663</v>
      </c>
      <c r="F36" s="95">
        <v>874166.66666666663</v>
      </c>
      <c r="G36" s="95">
        <v>874166.66666666663</v>
      </c>
      <c r="H36" s="95">
        <v>874166.66666666663</v>
      </c>
      <c r="I36" s="97">
        <f t="shared" ref="I36:I38" si="6">SUM(C36:H36)</f>
        <v>5245000</v>
      </c>
    </row>
    <row r="37" spans="2:11" x14ac:dyDescent="0.3">
      <c r="B37" s="96" t="s">
        <v>289</v>
      </c>
      <c r="C37" s="97">
        <f>250000/6</f>
        <v>41666.666666666664</v>
      </c>
      <c r="D37" s="97">
        <v>41666.666666666664</v>
      </c>
      <c r="E37" s="97">
        <v>41666.666666666664</v>
      </c>
      <c r="F37" s="97">
        <v>41666.666666666664</v>
      </c>
      <c r="G37" s="97">
        <v>41666.666666666664</v>
      </c>
      <c r="H37" s="97">
        <v>41666.666666666664</v>
      </c>
      <c r="I37" s="95">
        <f t="shared" si="6"/>
        <v>249999.99999999997</v>
      </c>
    </row>
    <row r="38" spans="2:11" x14ac:dyDescent="0.3">
      <c r="B38" s="94" t="s">
        <v>290</v>
      </c>
      <c r="C38" s="95">
        <f>1333000/6</f>
        <v>222166.66666666666</v>
      </c>
      <c r="D38" s="95">
        <v>222166.66666666666</v>
      </c>
      <c r="E38" s="95">
        <v>222166.66666666666</v>
      </c>
      <c r="F38" s="95">
        <v>222166.66666666666</v>
      </c>
      <c r="G38" s="95">
        <v>222166.66666666666</v>
      </c>
      <c r="H38" s="95">
        <v>222166.66666666666</v>
      </c>
      <c r="I38" s="97">
        <f t="shared" si="6"/>
        <v>1333000</v>
      </c>
    </row>
    <row r="39" spans="2:11" s="89" customFormat="1" x14ac:dyDescent="0.3">
      <c r="B39" s="77" t="s">
        <v>291</v>
      </c>
      <c r="C39" s="78">
        <f>SUM(C35:C38)</f>
        <v>1204666.6666666665</v>
      </c>
      <c r="D39" s="78">
        <f t="shared" ref="D39:I39" si="7">SUM(D35:D38)</f>
        <v>1204666.6666666665</v>
      </c>
      <c r="E39" s="78">
        <f t="shared" si="7"/>
        <v>1204666.6666666665</v>
      </c>
      <c r="F39" s="78">
        <f t="shared" si="7"/>
        <v>1204666.6666666665</v>
      </c>
      <c r="G39" s="78">
        <f t="shared" si="7"/>
        <v>1204666.6666666665</v>
      </c>
      <c r="H39" s="78">
        <f t="shared" si="7"/>
        <v>1204666.6666666665</v>
      </c>
      <c r="I39" s="78">
        <f t="shared" si="7"/>
        <v>7228000</v>
      </c>
      <c r="J39" s="83"/>
      <c r="K39" s="83"/>
    </row>
    <row r="40" spans="2:11" s="89" customFormat="1" x14ac:dyDescent="0.3">
      <c r="B40" s="96"/>
      <c r="C40" s="99"/>
      <c r="D40" s="99"/>
      <c r="E40" s="99"/>
      <c r="F40" s="99"/>
      <c r="G40" s="99"/>
      <c r="H40" s="99"/>
      <c r="I40" s="99"/>
      <c r="J40" s="83"/>
      <c r="K40" s="83"/>
    </row>
    <row r="41" spans="2:11" ht="18.75" thickBot="1" x14ac:dyDescent="0.4">
      <c r="B41" s="92" t="s">
        <v>97</v>
      </c>
      <c r="C41" s="93">
        <f>+C32+C25+C13+C19+C39</f>
        <v>13529666.666666666</v>
      </c>
      <c r="D41" s="93">
        <f t="shared" ref="D41:G41" si="8">+D32+D25+D13+D19+D39</f>
        <v>12345666.666666666</v>
      </c>
      <c r="E41" s="93">
        <f t="shared" si="8"/>
        <v>8062416.666666666</v>
      </c>
      <c r="F41" s="93">
        <f t="shared" si="8"/>
        <v>1811666.6666666665</v>
      </c>
      <c r="G41" s="93">
        <f t="shared" si="8"/>
        <v>1204666.6666666665</v>
      </c>
      <c r="H41" s="93">
        <f t="shared" ref="H41" si="9">+H32+H25+H13+H19+H39</f>
        <v>1204666.6666666665</v>
      </c>
      <c r="I41" s="93">
        <f>SUM(C41:F41)</f>
        <v>35749416.666666664</v>
      </c>
    </row>
    <row r="43" spans="2:11" x14ac:dyDescent="0.3">
      <c r="I43" s="2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9001B-E223-46AB-A0E1-2B2107B71A26}">
  <sheetPr>
    <tabColor theme="0" tint="-0.249977111117893"/>
  </sheetPr>
  <dimension ref="B1:R17"/>
  <sheetViews>
    <sheetView showGridLines="0" workbookViewId="0"/>
  </sheetViews>
  <sheetFormatPr defaultRowHeight="15" x14ac:dyDescent="0.3"/>
  <cols>
    <col min="1" max="1" width="1.7109375" style="52" customWidth="1"/>
    <col min="2" max="2" width="49" style="52" bestFit="1" customWidth="1"/>
    <col min="3" max="3" width="14.5703125" style="52" bestFit="1" customWidth="1"/>
    <col min="4" max="4" width="61.28515625" style="52" bestFit="1" customWidth="1"/>
    <col min="5" max="5" width="4.7109375" style="52" bestFit="1" customWidth="1"/>
    <col min="6" max="6" width="12.42578125" style="52" bestFit="1" customWidth="1"/>
    <col min="7" max="7" width="2.42578125" style="128" customWidth="1"/>
    <col min="8" max="18" width="10.42578125" style="52" bestFit="1" customWidth="1"/>
    <col min="19" max="16384" width="9.140625" style="52"/>
  </cols>
  <sheetData>
    <row r="1" spans="2:18" x14ac:dyDescent="0.3">
      <c r="B1" s="178" t="s">
        <v>283</v>
      </c>
    </row>
    <row r="2" spans="2:18" ht="18" x14ac:dyDescent="0.35">
      <c r="B2" s="90" t="s">
        <v>231</v>
      </c>
      <c r="C2" s="123"/>
      <c r="D2" s="123"/>
      <c r="E2" s="123"/>
      <c r="F2" s="123"/>
      <c r="G2" s="37"/>
    </row>
    <row r="3" spans="2:18" x14ac:dyDescent="0.3">
      <c r="H3" s="52">
        <v>1</v>
      </c>
      <c r="I3" s="52">
        <f>+H3+1</f>
        <v>2</v>
      </c>
      <c r="J3" s="52">
        <f t="shared" ref="J3:Q3" si="0">+I3+1</f>
        <v>3</v>
      </c>
      <c r="K3" s="52">
        <f t="shared" si="0"/>
        <v>4</v>
      </c>
      <c r="L3" s="52">
        <f t="shared" si="0"/>
        <v>5</v>
      </c>
      <c r="M3" s="52">
        <f t="shared" si="0"/>
        <v>6</v>
      </c>
      <c r="N3" s="52">
        <f t="shared" si="0"/>
        <v>7</v>
      </c>
      <c r="O3" s="52">
        <f t="shared" si="0"/>
        <v>8</v>
      </c>
      <c r="P3" s="52">
        <f t="shared" si="0"/>
        <v>9</v>
      </c>
      <c r="Q3" s="52">
        <f t="shared" si="0"/>
        <v>10</v>
      </c>
    </row>
    <row r="4" spans="2:18" x14ac:dyDescent="0.3">
      <c r="B4" s="151" t="s">
        <v>232</v>
      </c>
      <c r="C4" s="151" t="s">
        <v>233</v>
      </c>
      <c r="D4" s="151" t="s">
        <v>279</v>
      </c>
      <c r="E4" s="151"/>
      <c r="F4" s="151" t="s">
        <v>254</v>
      </c>
      <c r="G4" s="103"/>
      <c r="H4" s="170">
        <v>46387</v>
      </c>
      <c r="I4" s="170">
        <f>EOMONTH(H4,12)</f>
        <v>46752</v>
      </c>
      <c r="J4" s="170">
        <f t="shared" ref="J4:Q4" si="1">EOMONTH(I4,12)</f>
        <v>47118</v>
      </c>
      <c r="K4" s="170">
        <f t="shared" si="1"/>
        <v>47483</v>
      </c>
      <c r="L4" s="170">
        <f t="shared" si="1"/>
        <v>47848</v>
      </c>
      <c r="M4" s="170">
        <f t="shared" si="1"/>
        <v>48213</v>
      </c>
      <c r="N4" s="170">
        <f t="shared" si="1"/>
        <v>48579</v>
      </c>
      <c r="O4" s="170">
        <f t="shared" si="1"/>
        <v>48944</v>
      </c>
      <c r="P4" s="170">
        <f t="shared" si="1"/>
        <v>49309</v>
      </c>
      <c r="Q4" s="170">
        <f t="shared" si="1"/>
        <v>49674</v>
      </c>
      <c r="R4" s="65"/>
    </row>
    <row r="5" spans="2:18" x14ac:dyDescent="0.3">
      <c r="B5" s="64" t="s">
        <v>255</v>
      </c>
    </row>
    <row r="6" spans="2:18" x14ac:dyDescent="0.3">
      <c r="B6" s="52" t="s">
        <v>234</v>
      </c>
      <c r="C6" s="154">
        <v>1000000</v>
      </c>
      <c r="D6" s="154" t="s">
        <v>236</v>
      </c>
      <c r="E6" s="154" t="s">
        <v>235</v>
      </c>
      <c r="F6" s="52">
        <v>15</v>
      </c>
      <c r="H6" s="115">
        <f>IF(H$3&gt;$F6, 0, IF($E6="SL", $C6/$F6, $C6*(2/$F6)*(1-(2/$F6))^(H$3-1)))</f>
        <v>66666.666666666672</v>
      </c>
      <c r="I6" s="115">
        <f t="shared" ref="I6:Q15" si="2">IF(I$3&gt;$F6, 0, IF($E6="SL", $C6/$F6, $C6*(2/$F6)*(1-(2/$F6))^(I$3-1)))</f>
        <v>66666.666666666672</v>
      </c>
      <c r="J6" s="115">
        <f t="shared" si="2"/>
        <v>66666.666666666672</v>
      </c>
      <c r="K6" s="115">
        <f t="shared" si="2"/>
        <v>66666.666666666672</v>
      </c>
      <c r="L6" s="115">
        <f t="shared" si="2"/>
        <v>66666.666666666672</v>
      </c>
      <c r="M6" s="115">
        <f t="shared" si="2"/>
        <v>66666.666666666672</v>
      </c>
      <c r="N6" s="115">
        <f t="shared" si="2"/>
        <v>66666.666666666672</v>
      </c>
      <c r="O6" s="115">
        <f t="shared" si="2"/>
        <v>66666.666666666672</v>
      </c>
      <c r="P6" s="115">
        <f t="shared" si="2"/>
        <v>66666.666666666672</v>
      </c>
      <c r="Q6" s="115">
        <f t="shared" si="2"/>
        <v>66666.666666666672</v>
      </c>
    </row>
    <row r="7" spans="2:18" x14ac:dyDescent="0.3">
      <c r="B7" s="52" t="s">
        <v>237</v>
      </c>
      <c r="C7" s="154">
        <v>1000000</v>
      </c>
      <c r="D7" s="154" t="s">
        <v>239</v>
      </c>
      <c r="E7" s="154" t="s">
        <v>238</v>
      </c>
      <c r="F7" s="52">
        <v>7</v>
      </c>
      <c r="H7" s="115">
        <f t="shared" ref="H7:H9" si="3">IF(H$3&gt;$F7, 0, IF($E7="SL", $C7/$F7, $C7*(2/$F7)*(1-(2/$F7))^(H$3-1)))</f>
        <v>285714.28571428568</v>
      </c>
      <c r="I7" s="115">
        <f t="shared" si="2"/>
        <v>204081.63265306121</v>
      </c>
      <c r="J7" s="115">
        <f t="shared" si="2"/>
        <v>145772.59475218659</v>
      </c>
      <c r="K7" s="115">
        <f t="shared" si="2"/>
        <v>104123.28196584756</v>
      </c>
      <c r="L7" s="115">
        <f t="shared" si="2"/>
        <v>74373.772832748262</v>
      </c>
      <c r="M7" s="115">
        <f t="shared" si="2"/>
        <v>53124.123451963038</v>
      </c>
      <c r="N7" s="115">
        <f t="shared" si="2"/>
        <v>37945.802465687884</v>
      </c>
      <c r="O7" s="115">
        <f t="shared" si="2"/>
        <v>0</v>
      </c>
      <c r="P7" s="115">
        <f t="shared" si="2"/>
        <v>0</v>
      </c>
      <c r="Q7" s="115">
        <f t="shared" si="2"/>
        <v>0</v>
      </c>
    </row>
    <row r="8" spans="2:18" x14ac:dyDescent="0.3">
      <c r="B8" s="52" t="s">
        <v>240</v>
      </c>
      <c r="C8" s="154">
        <v>999999</v>
      </c>
      <c r="D8" s="154" t="s">
        <v>241</v>
      </c>
      <c r="E8" s="154" t="s">
        <v>238</v>
      </c>
      <c r="F8" s="52">
        <v>7</v>
      </c>
      <c r="H8" s="115">
        <f t="shared" si="3"/>
        <v>285714</v>
      </c>
      <c r="I8" s="115">
        <f t="shared" si="2"/>
        <v>204081.42857142858</v>
      </c>
      <c r="J8" s="115">
        <f t="shared" si="2"/>
        <v>145772.44897959183</v>
      </c>
      <c r="K8" s="115">
        <f t="shared" si="2"/>
        <v>104123.17784256561</v>
      </c>
      <c r="L8" s="115">
        <f t="shared" si="2"/>
        <v>74373.698458975428</v>
      </c>
      <c r="M8" s="115">
        <f t="shared" si="2"/>
        <v>53124.070327839596</v>
      </c>
      <c r="N8" s="115">
        <f t="shared" si="2"/>
        <v>37945.764519885422</v>
      </c>
      <c r="O8" s="115">
        <f t="shared" si="2"/>
        <v>0</v>
      </c>
      <c r="P8" s="115">
        <f t="shared" si="2"/>
        <v>0</v>
      </c>
      <c r="Q8" s="115">
        <f t="shared" si="2"/>
        <v>0</v>
      </c>
    </row>
    <row r="9" spans="2:18" x14ac:dyDescent="0.3">
      <c r="B9" s="52" t="s">
        <v>242</v>
      </c>
      <c r="C9" s="154">
        <v>1000001</v>
      </c>
      <c r="D9" s="154" t="s">
        <v>243</v>
      </c>
      <c r="E9" s="154" t="s">
        <v>238</v>
      </c>
      <c r="F9" s="52">
        <v>7</v>
      </c>
      <c r="H9" s="115">
        <f t="shared" si="3"/>
        <v>285714.57142857142</v>
      </c>
      <c r="I9" s="115">
        <f t="shared" si="2"/>
        <v>204081.83673469388</v>
      </c>
      <c r="J9" s="115">
        <f t="shared" si="2"/>
        <v>145772.74052478134</v>
      </c>
      <c r="K9" s="115">
        <f t="shared" si="2"/>
        <v>104123.38608912953</v>
      </c>
      <c r="L9" s="115">
        <f t="shared" si="2"/>
        <v>74373.847206521095</v>
      </c>
      <c r="M9" s="115">
        <f t="shared" si="2"/>
        <v>53124.176576086495</v>
      </c>
      <c r="N9" s="115">
        <f t="shared" si="2"/>
        <v>37945.840411490353</v>
      </c>
      <c r="O9" s="115">
        <f t="shared" si="2"/>
        <v>0</v>
      </c>
      <c r="P9" s="115">
        <f t="shared" si="2"/>
        <v>0</v>
      </c>
      <c r="Q9" s="115">
        <f t="shared" si="2"/>
        <v>0</v>
      </c>
    </row>
    <row r="10" spans="2:18" x14ac:dyDescent="0.3">
      <c r="B10" s="64" t="s">
        <v>256</v>
      </c>
      <c r="H10" s="115"/>
      <c r="I10" s="115"/>
      <c r="J10" s="115"/>
      <c r="K10" s="115"/>
      <c r="L10" s="115"/>
      <c r="M10" s="115"/>
      <c r="N10" s="115"/>
      <c r="O10" s="115"/>
      <c r="P10" s="115"/>
      <c r="Q10" s="115"/>
    </row>
    <row r="11" spans="2:18" x14ac:dyDescent="0.3">
      <c r="B11" s="52" t="s">
        <v>244</v>
      </c>
      <c r="C11" s="154">
        <v>5865000</v>
      </c>
      <c r="D11" s="154" t="s">
        <v>245</v>
      </c>
      <c r="E11" s="154" t="s">
        <v>238</v>
      </c>
      <c r="F11" s="52">
        <v>7</v>
      </c>
      <c r="H11" s="115">
        <f>IF(H$3&gt;$F11, 0, IF($E11="SL", $C11/$F11, $C11*(2/$F11)*(1-(2/$F11))^(H$3-1)))</f>
        <v>1675714.2857142857</v>
      </c>
      <c r="I11" s="115">
        <f t="shared" si="2"/>
        <v>1196938.775510204</v>
      </c>
      <c r="J11" s="115">
        <f t="shared" si="2"/>
        <v>854956.26822157437</v>
      </c>
      <c r="K11" s="115">
        <f t="shared" si="2"/>
        <v>610683.04872969596</v>
      </c>
      <c r="L11" s="115">
        <f t="shared" si="2"/>
        <v>436202.17766406859</v>
      </c>
      <c r="M11" s="115">
        <f t="shared" si="2"/>
        <v>311572.98404576327</v>
      </c>
      <c r="N11" s="115">
        <f t="shared" si="2"/>
        <v>222552.13146125947</v>
      </c>
      <c r="O11" s="115">
        <f t="shared" si="2"/>
        <v>0</v>
      </c>
      <c r="P11" s="115">
        <f t="shared" si="2"/>
        <v>0</v>
      </c>
      <c r="Q11" s="115">
        <f t="shared" si="2"/>
        <v>0</v>
      </c>
    </row>
    <row r="12" spans="2:18" x14ac:dyDescent="0.3">
      <c r="B12" s="52" t="s">
        <v>246</v>
      </c>
      <c r="C12" s="154">
        <v>4256000</v>
      </c>
      <c r="D12" s="154" t="s">
        <v>247</v>
      </c>
      <c r="E12" s="154" t="s">
        <v>238</v>
      </c>
      <c r="F12" s="52">
        <v>10</v>
      </c>
      <c r="H12" s="115">
        <f t="shared" ref="H12:H15" si="4">IF(H$3&gt;$F12, 0, IF($E12="SL", $C12/$F12, $C12*(2/$F12)*(1-(2/$F12))^(H$3-1)))</f>
        <v>851200</v>
      </c>
      <c r="I12" s="115">
        <f t="shared" si="2"/>
        <v>680960</v>
      </c>
      <c r="J12" s="115">
        <f t="shared" si="2"/>
        <v>544768.00000000012</v>
      </c>
      <c r="K12" s="115">
        <f t="shared" si="2"/>
        <v>435814.40000000008</v>
      </c>
      <c r="L12" s="115">
        <f t="shared" si="2"/>
        <v>348651.52000000014</v>
      </c>
      <c r="M12" s="115">
        <f t="shared" si="2"/>
        <v>278921.21600000019</v>
      </c>
      <c r="N12" s="115">
        <f t="shared" si="2"/>
        <v>223136.97280000013</v>
      </c>
      <c r="O12" s="115">
        <f t="shared" si="2"/>
        <v>178509.57824000015</v>
      </c>
      <c r="P12" s="115">
        <f t="shared" si="2"/>
        <v>142807.66259200012</v>
      </c>
      <c r="Q12" s="115">
        <f t="shared" si="2"/>
        <v>114246.1300736001</v>
      </c>
    </row>
    <row r="13" spans="2:18" x14ac:dyDescent="0.3">
      <c r="B13" s="52" t="s">
        <v>248</v>
      </c>
      <c r="C13" s="154">
        <v>9753750</v>
      </c>
      <c r="D13" s="154" t="s">
        <v>249</v>
      </c>
      <c r="E13" s="154" t="s">
        <v>238</v>
      </c>
      <c r="F13" s="52">
        <v>7</v>
      </c>
      <c r="H13" s="115">
        <f t="shared" si="4"/>
        <v>2786785.7142857141</v>
      </c>
      <c r="I13" s="115">
        <f t="shared" si="2"/>
        <v>1990561.2244897957</v>
      </c>
      <c r="J13" s="115">
        <f t="shared" si="2"/>
        <v>1421829.4460641399</v>
      </c>
      <c r="K13" s="115">
        <f t="shared" si="2"/>
        <v>1015592.4614743857</v>
      </c>
      <c r="L13" s="115">
        <f t="shared" si="2"/>
        <v>725423.18676741829</v>
      </c>
      <c r="M13" s="115">
        <f t="shared" si="2"/>
        <v>518159.41911958449</v>
      </c>
      <c r="N13" s="115">
        <f t="shared" si="2"/>
        <v>370113.87079970323</v>
      </c>
      <c r="O13" s="115">
        <f t="shared" si="2"/>
        <v>0</v>
      </c>
      <c r="P13" s="115">
        <f t="shared" si="2"/>
        <v>0</v>
      </c>
      <c r="Q13" s="115">
        <f t="shared" si="2"/>
        <v>0</v>
      </c>
    </row>
    <row r="14" spans="2:18" x14ac:dyDescent="0.3">
      <c r="B14" s="52" t="s">
        <v>250</v>
      </c>
      <c r="C14" s="154">
        <v>2551000</v>
      </c>
      <c r="D14" s="154" t="s">
        <v>251</v>
      </c>
      <c r="E14" s="154" t="s">
        <v>235</v>
      </c>
      <c r="F14" s="52">
        <v>15</v>
      </c>
      <c r="H14" s="115">
        <f t="shared" si="4"/>
        <v>170066.66666666666</v>
      </c>
      <c r="I14" s="115">
        <f t="shared" si="2"/>
        <v>170066.66666666666</v>
      </c>
      <c r="J14" s="115">
        <f t="shared" si="2"/>
        <v>170066.66666666666</v>
      </c>
      <c r="K14" s="115">
        <f t="shared" si="2"/>
        <v>170066.66666666666</v>
      </c>
      <c r="L14" s="115">
        <f t="shared" si="2"/>
        <v>170066.66666666666</v>
      </c>
      <c r="M14" s="115">
        <f t="shared" si="2"/>
        <v>170066.66666666666</v>
      </c>
      <c r="N14" s="115">
        <f t="shared" si="2"/>
        <v>170066.66666666666</v>
      </c>
      <c r="O14" s="115">
        <f t="shared" si="2"/>
        <v>170066.66666666666</v>
      </c>
      <c r="P14" s="115">
        <f t="shared" si="2"/>
        <v>170066.66666666666</v>
      </c>
      <c r="Q14" s="115">
        <f t="shared" si="2"/>
        <v>170066.66666666666</v>
      </c>
    </row>
    <row r="15" spans="2:18" x14ac:dyDescent="0.3">
      <c r="B15" s="52" t="s">
        <v>252</v>
      </c>
      <c r="C15" s="154">
        <v>8505000</v>
      </c>
      <c r="D15" s="154" t="s">
        <v>253</v>
      </c>
      <c r="E15" s="154" t="s">
        <v>238</v>
      </c>
      <c r="F15" s="52">
        <v>7</v>
      </c>
      <c r="H15" s="115">
        <f t="shared" si="4"/>
        <v>2430000</v>
      </c>
      <c r="I15" s="115">
        <f t="shared" si="2"/>
        <v>1735714.2857142857</v>
      </c>
      <c r="J15" s="115">
        <f t="shared" si="2"/>
        <v>1239795.918367347</v>
      </c>
      <c r="K15" s="115">
        <f t="shared" si="2"/>
        <v>885568.51311953366</v>
      </c>
      <c r="L15" s="115">
        <f t="shared" si="2"/>
        <v>632548.93794252397</v>
      </c>
      <c r="M15" s="115">
        <f t="shared" si="2"/>
        <v>451820.66995894571</v>
      </c>
      <c r="N15" s="115">
        <f t="shared" si="2"/>
        <v>322729.04997067549</v>
      </c>
      <c r="O15" s="115">
        <f t="shared" si="2"/>
        <v>0</v>
      </c>
      <c r="P15" s="115">
        <f t="shared" si="2"/>
        <v>0</v>
      </c>
      <c r="Q15" s="115">
        <f t="shared" si="2"/>
        <v>0</v>
      </c>
    </row>
    <row r="17" spans="2:17" x14ac:dyDescent="0.3">
      <c r="B17" s="171" t="s">
        <v>16</v>
      </c>
      <c r="C17" s="172"/>
      <c r="D17" s="172"/>
      <c r="E17" s="172"/>
      <c r="F17" s="172"/>
      <c r="G17" s="172"/>
      <c r="H17" s="173">
        <f>SUM(H6:H15)</f>
        <v>8837576.1904761903</v>
      </c>
      <c r="I17" s="173">
        <f t="shared" ref="I17:Q17" si="5">SUM(I6:I15)</f>
        <v>6453152.5170068024</v>
      </c>
      <c r="J17" s="173">
        <f t="shared" si="5"/>
        <v>4735400.7502429541</v>
      </c>
      <c r="K17" s="173">
        <f t="shared" si="5"/>
        <v>3496761.6025544913</v>
      </c>
      <c r="L17" s="173">
        <f t="shared" si="5"/>
        <v>2602680.4742055889</v>
      </c>
      <c r="M17" s="173">
        <f t="shared" si="5"/>
        <v>1956579.9928135159</v>
      </c>
      <c r="N17" s="173">
        <f t="shared" si="5"/>
        <v>1489102.7657620355</v>
      </c>
      <c r="O17" s="173">
        <f t="shared" si="5"/>
        <v>415242.91157333343</v>
      </c>
      <c r="P17" s="173">
        <f t="shared" si="5"/>
        <v>379540.99592533347</v>
      </c>
      <c r="Q17" s="174">
        <f t="shared" si="5"/>
        <v>350979.46340693347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03CC2-A065-4B0B-8604-4B9574072269}">
  <sheetPr>
    <tabColor theme="8"/>
  </sheetPr>
  <dimension ref="B1:DU31"/>
  <sheetViews>
    <sheetView showGridLines="0" workbookViewId="0">
      <selection activeCell="O11" sqref="O11"/>
    </sheetView>
  </sheetViews>
  <sheetFormatPr defaultRowHeight="15" x14ac:dyDescent="0.3"/>
  <cols>
    <col min="1" max="1" width="1.7109375" style="52" customWidth="1"/>
    <col min="2" max="2" width="29.7109375" style="52" customWidth="1"/>
    <col min="3" max="6" width="11" style="52" bestFit="1" customWidth="1"/>
    <col min="7" max="21" width="12" style="52" bestFit="1" customWidth="1"/>
    <col min="22" max="122" width="12.42578125" style="52" bestFit="1" customWidth="1"/>
    <col min="123" max="123" width="9.140625" style="52"/>
    <col min="124" max="125" width="12.42578125" style="52" bestFit="1" customWidth="1"/>
    <col min="126" max="16384" width="9.140625" style="52"/>
  </cols>
  <sheetData>
    <row r="1" spans="2:125" s="83" customFormat="1" x14ac:dyDescent="0.3">
      <c r="B1" s="178" t="s">
        <v>283</v>
      </c>
    </row>
    <row r="2" spans="2:125" s="83" customFormat="1" ht="18" x14ac:dyDescent="0.35">
      <c r="B2" s="90" t="s">
        <v>165</v>
      </c>
      <c r="C2" s="82"/>
      <c r="D2" s="82"/>
      <c r="E2" s="82"/>
      <c r="F2" s="82"/>
      <c r="G2" s="82"/>
      <c r="H2" s="89"/>
      <c r="I2" s="89"/>
      <c r="J2" s="89"/>
      <c r="K2" s="89"/>
    </row>
    <row r="4" spans="2:125" x14ac:dyDescent="0.3">
      <c r="B4" s="64" t="s">
        <v>199</v>
      </c>
      <c r="C4" s="52">
        <f>INT(((YEAR(C27)-YEAR($C$27))*12 + MONTH(C27)-MONTH($C$27))/12) + 1</f>
        <v>1</v>
      </c>
      <c r="D4" s="52">
        <f t="shared" ref="D4:BO4" si="0">INT(((YEAR(D27)-YEAR($C$27))*12 + MONTH(D27)-MONTH($C$27))/12) + 1</f>
        <v>1</v>
      </c>
      <c r="E4" s="52">
        <f t="shared" si="0"/>
        <v>1</v>
      </c>
      <c r="F4" s="52">
        <f t="shared" si="0"/>
        <v>1</v>
      </c>
      <c r="G4" s="52">
        <f t="shared" si="0"/>
        <v>1</v>
      </c>
      <c r="H4" s="52">
        <f t="shared" si="0"/>
        <v>1</v>
      </c>
      <c r="I4" s="52">
        <f t="shared" si="0"/>
        <v>1</v>
      </c>
      <c r="J4" s="52">
        <f t="shared" si="0"/>
        <v>1</v>
      </c>
      <c r="K4" s="52">
        <f t="shared" si="0"/>
        <v>1</v>
      </c>
      <c r="L4" s="52">
        <f t="shared" si="0"/>
        <v>1</v>
      </c>
      <c r="M4" s="52">
        <f t="shared" si="0"/>
        <v>1</v>
      </c>
      <c r="N4" s="52">
        <f t="shared" si="0"/>
        <v>1</v>
      </c>
      <c r="O4" s="52">
        <f t="shared" si="0"/>
        <v>2</v>
      </c>
      <c r="P4" s="52">
        <f t="shared" si="0"/>
        <v>2</v>
      </c>
      <c r="Q4" s="52">
        <f t="shared" si="0"/>
        <v>2</v>
      </c>
      <c r="R4" s="52">
        <f t="shared" si="0"/>
        <v>2</v>
      </c>
      <c r="S4" s="52">
        <f t="shared" si="0"/>
        <v>2</v>
      </c>
      <c r="T4" s="52">
        <f t="shared" si="0"/>
        <v>2</v>
      </c>
      <c r="U4" s="52">
        <f t="shared" si="0"/>
        <v>2</v>
      </c>
      <c r="V4" s="52">
        <f t="shared" si="0"/>
        <v>2</v>
      </c>
      <c r="W4" s="52">
        <f t="shared" si="0"/>
        <v>2</v>
      </c>
      <c r="X4" s="52">
        <f t="shared" si="0"/>
        <v>2</v>
      </c>
      <c r="Y4" s="52">
        <f t="shared" si="0"/>
        <v>2</v>
      </c>
      <c r="Z4" s="52">
        <f t="shared" si="0"/>
        <v>2</v>
      </c>
      <c r="AA4" s="52">
        <f t="shared" si="0"/>
        <v>3</v>
      </c>
      <c r="AB4" s="52">
        <f t="shared" si="0"/>
        <v>3</v>
      </c>
      <c r="AC4" s="52">
        <f t="shared" si="0"/>
        <v>3</v>
      </c>
      <c r="AD4" s="52">
        <f t="shared" si="0"/>
        <v>3</v>
      </c>
      <c r="AE4" s="52">
        <f t="shared" si="0"/>
        <v>3</v>
      </c>
      <c r="AF4" s="52">
        <f t="shared" si="0"/>
        <v>3</v>
      </c>
      <c r="AG4" s="52">
        <f t="shared" si="0"/>
        <v>3</v>
      </c>
      <c r="AH4" s="52">
        <f t="shared" si="0"/>
        <v>3</v>
      </c>
      <c r="AI4" s="52">
        <f t="shared" si="0"/>
        <v>3</v>
      </c>
      <c r="AJ4" s="52">
        <f t="shared" si="0"/>
        <v>3</v>
      </c>
      <c r="AK4" s="52">
        <f t="shared" si="0"/>
        <v>3</v>
      </c>
      <c r="AL4" s="52">
        <f t="shared" si="0"/>
        <v>3</v>
      </c>
      <c r="AM4" s="52">
        <f t="shared" si="0"/>
        <v>4</v>
      </c>
      <c r="AN4" s="52">
        <f t="shared" si="0"/>
        <v>4</v>
      </c>
      <c r="AO4" s="52">
        <f t="shared" si="0"/>
        <v>4</v>
      </c>
      <c r="AP4" s="52">
        <f t="shared" si="0"/>
        <v>4</v>
      </c>
      <c r="AQ4" s="52">
        <f t="shared" si="0"/>
        <v>4</v>
      </c>
      <c r="AR4" s="52">
        <f t="shared" si="0"/>
        <v>4</v>
      </c>
      <c r="AS4" s="52">
        <f t="shared" si="0"/>
        <v>4</v>
      </c>
      <c r="AT4" s="52">
        <f t="shared" si="0"/>
        <v>4</v>
      </c>
      <c r="AU4" s="52">
        <f t="shared" si="0"/>
        <v>4</v>
      </c>
      <c r="AV4" s="52">
        <f t="shared" si="0"/>
        <v>4</v>
      </c>
      <c r="AW4" s="52">
        <f t="shared" si="0"/>
        <v>4</v>
      </c>
      <c r="AX4" s="52">
        <f t="shared" si="0"/>
        <v>4</v>
      </c>
      <c r="AY4" s="52">
        <f t="shared" si="0"/>
        <v>5</v>
      </c>
      <c r="AZ4" s="52">
        <f t="shared" si="0"/>
        <v>5</v>
      </c>
      <c r="BA4" s="52">
        <f t="shared" si="0"/>
        <v>5</v>
      </c>
      <c r="BB4" s="52">
        <f t="shared" si="0"/>
        <v>5</v>
      </c>
      <c r="BC4" s="52">
        <f t="shared" si="0"/>
        <v>5</v>
      </c>
      <c r="BD4" s="52">
        <f t="shared" si="0"/>
        <v>5</v>
      </c>
      <c r="BE4" s="52">
        <f t="shared" si="0"/>
        <v>5</v>
      </c>
      <c r="BF4" s="52">
        <f t="shared" si="0"/>
        <v>5</v>
      </c>
      <c r="BG4" s="52">
        <f t="shared" si="0"/>
        <v>5</v>
      </c>
      <c r="BH4" s="52">
        <f t="shared" si="0"/>
        <v>5</v>
      </c>
      <c r="BI4" s="52">
        <f t="shared" si="0"/>
        <v>5</v>
      </c>
      <c r="BJ4" s="52">
        <f t="shared" si="0"/>
        <v>5</v>
      </c>
      <c r="BK4" s="52">
        <f t="shared" si="0"/>
        <v>6</v>
      </c>
      <c r="BL4" s="52">
        <f t="shared" si="0"/>
        <v>6</v>
      </c>
      <c r="BM4" s="52">
        <f t="shared" si="0"/>
        <v>6</v>
      </c>
      <c r="BN4" s="52">
        <f t="shared" si="0"/>
        <v>6</v>
      </c>
      <c r="BO4" s="52">
        <f t="shared" si="0"/>
        <v>6</v>
      </c>
      <c r="BP4" s="52">
        <f t="shared" ref="BP4:DR4" si="1">INT(((YEAR(BP27)-YEAR($C$27))*12 + MONTH(BP27)-MONTH($C$27))/12) + 1</f>
        <v>6</v>
      </c>
      <c r="BQ4" s="52">
        <f t="shared" si="1"/>
        <v>6</v>
      </c>
      <c r="BR4" s="52">
        <f t="shared" si="1"/>
        <v>6</v>
      </c>
      <c r="BS4" s="52">
        <f t="shared" si="1"/>
        <v>6</v>
      </c>
      <c r="BT4" s="52">
        <f t="shared" si="1"/>
        <v>6</v>
      </c>
      <c r="BU4" s="52">
        <f t="shared" si="1"/>
        <v>6</v>
      </c>
      <c r="BV4" s="52">
        <f t="shared" si="1"/>
        <v>6</v>
      </c>
      <c r="BW4" s="52">
        <f t="shared" si="1"/>
        <v>7</v>
      </c>
      <c r="BX4" s="52">
        <f t="shared" si="1"/>
        <v>7</v>
      </c>
      <c r="BY4" s="52">
        <f t="shared" si="1"/>
        <v>7</v>
      </c>
      <c r="BZ4" s="52">
        <f t="shared" si="1"/>
        <v>7</v>
      </c>
      <c r="CA4" s="52">
        <f t="shared" si="1"/>
        <v>7</v>
      </c>
      <c r="CB4" s="52">
        <f t="shared" si="1"/>
        <v>7</v>
      </c>
      <c r="CC4" s="52">
        <f t="shared" si="1"/>
        <v>7</v>
      </c>
      <c r="CD4" s="52">
        <f t="shared" si="1"/>
        <v>7</v>
      </c>
      <c r="CE4" s="52">
        <f t="shared" si="1"/>
        <v>7</v>
      </c>
      <c r="CF4" s="52">
        <f t="shared" si="1"/>
        <v>7</v>
      </c>
      <c r="CG4" s="52">
        <f t="shared" si="1"/>
        <v>7</v>
      </c>
      <c r="CH4" s="52">
        <f t="shared" si="1"/>
        <v>7</v>
      </c>
      <c r="CI4" s="52">
        <f t="shared" si="1"/>
        <v>8</v>
      </c>
      <c r="CJ4" s="52">
        <f t="shared" si="1"/>
        <v>8</v>
      </c>
      <c r="CK4" s="52">
        <f t="shared" si="1"/>
        <v>8</v>
      </c>
      <c r="CL4" s="52">
        <f t="shared" si="1"/>
        <v>8</v>
      </c>
      <c r="CM4" s="52">
        <f t="shared" si="1"/>
        <v>8</v>
      </c>
      <c r="CN4" s="52">
        <f t="shared" si="1"/>
        <v>8</v>
      </c>
      <c r="CO4" s="52">
        <f t="shared" si="1"/>
        <v>8</v>
      </c>
      <c r="CP4" s="52">
        <f t="shared" si="1"/>
        <v>8</v>
      </c>
      <c r="CQ4" s="52">
        <f t="shared" si="1"/>
        <v>8</v>
      </c>
      <c r="CR4" s="52">
        <f t="shared" si="1"/>
        <v>8</v>
      </c>
      <c r="CS4" s="52">
        <f t="shared" si="1"/>
        <v>8</v>
      </c>
      <c r="CT4" s="52">
        <f t="shared" si="1"/>
        <v>8</v>
      </c>
      <c r="CU4" s="52">
        <f t="shared" si="1"/>
        <v>9</v>
      </c>
      <c r="CV4" s="52">
        <f t="shared" si="1"/>
        <v>9</v>
      </c>
      <c r="CW4" s="52">
        <f t="shared" si="1"/>
        <v>9</v>
      </c>
      <c r="CX4" s="52">
        <f t="shared" si="1"/>
        <v>9</v>
      </c>
      <c r="CY4" s="52">
        <f t="shared" si="1"/>
        <v>9</v>
      </c>
      <c r="CZ4" s="52">
        <f t="shared" si="1"/>
        <v>9</v>
      </c>
      <c r="DA4" s="52">
        <f t="shared" si="1"/>
        <v>9</v>
      </c>
      <c r="DB4" s="52">
        <f t="shared" si="1"/>
        <v>9</v>
      </c>
      <c r="DC4" s="52">
        <f t="shared" si="1"/>
        <v>9</v>
      </c>
      <c r="DD4" s="52">
        <f t="shared" si="1"/>
        <v>9</v>
      </c>
      <c r="DE4" s="52">
        <f t="shared" si="1"/>
        <v>9</v>
      </c>
      <c r="DF4" s="52">
        <f t="shared" si="1"/>
        <v>9</v>
      </c>
      <c r="DG4" s="52">
        <f t="shared" si="1"/>
        <v>10</v>
      </c>
      <c r="DH4" s="52">
        <f t="shared" si="1"/>
        <v>10</v>
      </c>
      <c r="DI4" s="52">
        <f t="shared" si="1"/>
        <v>10</v>
      </c>
      <c r="DJ4" s="52">
        <f t="shared" si="1"/>
        <v>10</v>
      </c>
      <c r="DK4" s="52">
        <f t="shared" si="1"/>
        <v>10</v>
      </c>
      <c r="DL4" s="52">
        <f t="shared" si="1"/>
        <v>10</v>
      </c>
      <c r="DM4" s="52">
        <f t="shared" si="1"/>
        <v>10</v>
      </c>
      <c r="DN4" s="52">
        <f t="shared" si="1"/>
        <v>10</v>
      </c>
      <c r="DO4" s="52">
        <f t="shared" si="1"/>
        <v>10</v>
      </c>
      <c r="DP4" s="52">
        <f t="shared" si="1"/>
        <v>10</v>
      </c>
      <c r="DQ4" s="52">
        <f t="shared" si="1"/>
        <v>10</v>
      </c>
      <c r="DR4" s="52">
        <f t="shared" si="1"/>
        <v>10</v>
      </c>
    </row>
    <row r="5" spans="2:125" x14ac:dyDescent="0.3">
      <c r="B5" s="147" t="s">
        <v>166</v>
      </c>
      <c r="C5" s="147">
        <f>IF(C27&lt;=Assumptions!$F$17, Assumptions!$D$17, IF(C27&lt;=Assumptions!$F$18, Assumptions!$D$18, Assumptions!$D$19))</f>
        <v>40</v>
      </c>
      <c r="D5" s="147">
        <f>IF(D27&lt;=Assumptions!$F$17, Assumptions!$D$17, IF(D27&lt;=Assumptions!$F$18, Assumptions!$D$18, Assumptions!$D$19))</f>
        <v>40</v>
      </c>
      <c r="E5" s="147">
        <f>IF(E27&lt;=Assumptions!$F$17, Assumptions!$D$17, IF(E27&lt;=Assumptions!$F$18, Assumptions!$D$18, Assumptions!$D$19))</f>
        <v>40</v>
      </c>
      <c r="F5" s="147">
        <f>IF(F27&lt;=Assumptions!$F$17, Assumptions!$D$17, IF(F27&lt;=Assumptions!$F$18, Assumptions!$D$18, Assumptions!$D$19))</f>
        <v>40</v>
      </c>
      <c r="G5" s="147">
        <f>IF(G27&lt;=Assumptions!$F$17, Assumptions!$D$17, IF(G27&lt;=Assumptions!$F$18, Assumptions!$D$18, Assumptions!$D$19))</f>
        <v>250</v>
      </c>
      <c r="H5" s="147">
        <f>IF(H27&lt;=Assumptions!$F$17, Assumptions!$D$17, IF(H27&lt;=Assumptions!$F$18, Assumptions!$D$18, Assumptions!$D$19))</f>
        <v>250</v>
      </c>
      <c r="I5" s="147">
        <f>IF(I27&lt;=Assumptions!$F$17, Assumptions!$D$17, IF(I27&lt;=Assumptions!$F$18, Assumptions!$D$18, Assumptions!$D$19))</f>
        <v>250</v>
      </c>
      <c r="J5" s="147">
        <f>IF(J27&lt;=Assumptions!$F$17, Assumptions!$D$17, IF(J27&lt;=Assumptions!$F$18, Assumptions!$D$18, Assumptions!$D$19))</f>
        <v>250</v>
      </c>
      <c r="K5" s="147">
        <f>IF(K27&lt;=Assumptions!$F$17, Assumptions!$D$17, IF(K27&lt;=Assumptions!$F$18, Assumptions!$D$18, Assumptions!$D$19))</f>
        <v>250</v>
      </c>
      <c r="L5" s="147">
        <f>IF(L27&lt;=Assumptions!$F$17, Assumptions!$D$17, IF(L27&lt;=Assumptions!$F$18, Assumptions!$D$18, Assumptions!$D$19))</f>
        <v>250</v>
      </c>
      <c r="M5" s="147">
        <f>IF(M27&lt;=Assumptions!$F$17, Assumptions!$D$17, IF(M27&lt;=Assumptions!$F$18, Assumptions!$D$18, Assumptions!$D$19))</f>
        <v>500</v>
      </c>
      <c r="N5" s="147">
        <f>IF(N27&lt;=Assumptions!$F$17, Assumptions!$D$17, IF(N27&lt;=Assumptions!$F$18, Assumptions!$D$18, Assumptions!$D$19))</f>
        <v>500</v>
      </c>
      <c r="O5" s="147">
        <f>IF(O27&lt;=Assumptions!$F$17, Assumptions!$D$17, IF(O27&lt;=Assumptions!$F$18, Assumptions!$D$18, Assumptions!$D$19))</f>
        <v>500</v>
      </c>
      <c r="P5" s="147">
        <f>IF(P27&lt;=Assumptions!$F$17, Assumptions!$D$17, IF(P27&lt;=Assumptions!$F$18, Assumptions!$D$18, Assumptions!$D$19))</f>
        <v>500</v>
      </c>
      <c r="Q5" s="147">
        <f>IF(Q27&lt;=Assumptions!$F$17, Assumptions!$D$17, IF(Q27&lt;=Assumptions!$F$18, Assumptions!$D$18, Assumptions!$D$19))</f>
        <v>500</v>
      </c>
      <c r="R5" s="147">
        <f>IF(R27&lt;=Assumptions!$F$17, Assumptions!$D$17, IF(R27&lt;=Assumptions!$F$18, Assumptions!$D$18, Assumptions!$D$19))</f>
        <v>500</v>
      </c>
      <c r="S5" s="147">
        <f>IF(S27&lt;=Assumptions!$F$17, Assumptions!$D$17, IF(S27&lt;=Assumptions!$F$18, Assumptions!$D$18, Assumptions!$D$19))</f>
        <v>500</v>
      </c>
      <c r="T5" s="147">
        <f>IF(T27&lt;=Assumptions!$F$17, Assumptions!$D$17, IF(T27&lt;=Assumptions!$F$18, Assumptions!$D$18, Assumptions!$D$19))</f>
        <v>500</v>
      </c>
      <c r="U5" s="147">
        <f>IF(U27&lt;=Assumptions!$F$17, Assumptions!$D$17, IF(U27&lt;=Assumptions!$F$18, Assumptions!$D$18, Assumptions!$D$19))</f>
        <v>500</v>
      </c>
      <c r="V5" s="147">
        <f>IF(V27&lt;=Assumptions!$F$17, Assumptions!$D$17, IF(V27&lt;=Assumptions!$F$18, Assumptions!$D$18, Assumptions!$D$19))</f>
        <v>500</v>
      </c>
      <c r="W5" s="147">
        <f>IF(W27&lt;=Assumptions!$F$17, Assumptions!$D$17, IF(W27&lt;=Assumptions!$F$18, Assumptions!$D$18, Assumptions!$D$19))</f>
        <v>500</v>
      </c>
      <c r="X5" s="147">
        <f>IF(X27&lt;=Assumptions!$F$17, Assumptions!$D$17, IF(X27&lt;=Assumptions!$F$18, Assumptions!$D$18, Assumptions!$D$19))</f>
        <v>500</v>
      </c>
      <c r="Y5" s="147">
        <f>IF(Y27&lt;=Assumptions!$F$17, Assumptions!$D$17, IF(Y27&lt;=Assumptions!$F$18, Assumptions!$D$18, Assumptions!$D$19))</f>
        <v>500</v>
      </c>
      <c r="Z5" s="147">
        <f>IF(Z27&lt;=Assumptions!$F$17, Assumptions!$D$17, IF(Z27&lt;=Assumptions!$F$18, Assumptions!$D$18, Assumptions!$D$19))</f>
        <v>500</v>
      </c>
      <c r="AA5" s="147">
        <f>IF(AA27&lt;=Assumptions!$F$17, Assumptions!$D$17, IF(AA27&lt;=Assumptions!$F$18, Assumptions!$D$18, Assumptions!$D$19))</f>
        <v>500</v>
      </c>
      <c r="AB5" s="147">
        <f>IF(AB27&lt;=Assumptions!$F$17, Assumptions!$D$17, IF(AB27&lt;=Assumptions!$F$18, Assumptions!$D$18, Assumptions!$D$19))</f>
        <v>500</v>
      </c>
      <c r="AC5" s="147">
        <f>IF(AC27&lt;=Assumptions!$F$17, Assumptions!$D$17, IF(AC27&lt;=Assumptions!$F$18, Assumptions!$D$18, Assumptions!$D$19))</f>
        <v>500</v>
      </c>
      <c r="AD5" s="147">
        <f>IF(AD27&lt;=Assumptions!$F$17, Assumptions!$D$17, IF(AD27&lt;=Assumptions!$F$18, Assumptions!$D$18, Assumptions!$D$19))</f>
        <v>500</v>
      </c>
      <c r="AE5" s="147">
        <f>IF(AE27&lt;=Assumptions!$F$17, Assumptions!$D$17, IF(AE27&lt;=Assumptions!$F$18, Assumptions!$D$18, Assumptions!$D$19))</f>
        <v>500</v>
      </c>
      <c r="AF5" s="147">
        <f>IF(AF27&lt;=Assumptions!$F$17, Assumptions!$D$17, IF(AF27&lt;=Assumptions!$F$18, Assumptions!$D$18, Assumptions!$D$19))</f>
        <v>500</v>
      </c>
      <c r="AG5" s="147">
        <f>IF(AG27&lt;=Assumptions!$F$17, Assumptions!$D$17, IF(AG27&lt;=Assumptions!$F$18, Assumptions!$D$18, Assumptions!$D$19))</f>
        <v>500</v>
      </c>
      <c r="AH5" s="147">
        <f>IF(AH27&lt;=Assumptions!$F$17, Assumptions!$D$17, IF(AH27&lt;=Assumptions!$F$18, Assumptions!$D$18, Assumptions!$D$19))</f>
        <v>500</v>
      </c>
      <c r="AI5" s="147">
        <f>IF(AI27&lt;=Assumptions!$F$17, Assumptions!$D$17, IF(AI27&lt;=Assumptions!$F$18, Assumptions!$D$18, Assumptions!$D$19))</f>
        <v>500</v>
      </c>
      <c r="AJ5" s="147">
        <f>IF(AJ27&lt;=Assumptions!$F$17, Assumptions!$D$17, IF(AJ27&lt;=Assumptions!$F$18, Assumptions!$D$18, Assumptions!$D$19))</f>
        <v>500</v>
      </c>
      <c r="AK5" s="147">
        <f>IF(AK27&lt;=Assumptions!$F$17, Assumptions!$D$17, IF(AK27&lt;=Assumptions!$F$18, Assumptions!$D$18, Assumptions!$D$19))</f>
        <v>500</v>
      </c>
      <c r="AL5" s="147">
        <f>IF(AL27&lt;=Assumptions!$F$17, Assumptions!$D$17, IF(AL27&lt;=Assumptions!$F$18, Assumptions!$D$18, Assumptions!$D$19))</f>
        <v>500</v>
      </c>
      <c r="AM5" s="147">
        <f>IF(AM27&lt;=Assumptions!$F$17, Assumptions!$D$17, IF(AM27&lt;=Assumptions!$F$18, Assumptions!$D$18, Assumptions!$D$19))</f>
        <v>500</v>
      </c>
      <c r="AN5" s="147">
        <f>IF(AN27&lt;=Assumptions!$F$17, Assumptions!$D$17, IF(AN27&lt;=Assumptions!$F$18, Assumptions!$D$18, Assumptions!$D$19))</f>
        <v>500</v>
      </c>
      <c r="AO5" s="147">
        <f>IF(AO27&lt;=Assumptions!$F$17, Assumptions!$D$17, IF(AO27&lt;=Assumptions!$F$18, Assumptions!$D$18, Assumptions!$D$19))</f>
        <v>500</v>
      </c>
      <c r="AP5" s="147">
        <f>IF(AP27&lt;=Assumptions!$F$17, Assumptions!$D$17, IF(AP27&lt;=Assumptions!$F$18, Assumptions!$D$18, Assumptions!$D$19))</f>
        <v>500</v>
      </c>
      <c r="AQ5" s="147">
        <f>IF(AQ27&lt;=Assumptions!$F$17, Assumptions!$D$17, IF(AQ27&lt;=Assumptions!$F$18, Assumptions!$D$18, Assumptions!$D$19))</f>
        <v>500</v>
      </c>
      <c r="AR5" s="147">
        <f>IF(AR27&lt;=Assumptions!$F$17, Assumptions!$D$17, IF(AR27&lt;=Assumptions!$F$18, Assumptions!$D$18, Assumptions!$D$19))</f>
        <v>500</v>
      </c>
      <c r="AS5" s="147">
        <f>IF(AS27&lt;=Assumptions!$F$17, Assumptions!$D$17, IF(AS27&lt;=Assumptions!$F$18, Assumptions!$D$18, Assumptions!$D$19))</f>
        <v>500</v>
      </c>
      <c r="AT5" s="147">
        <f>IF(AT27&lt;=Assumptions!$F$17, Assumptions!$D$17, IF(AT27&lt;=Assumptions!$F$18, Assumptions!$D$18, Assumptions!$D$19))</f>
        <v>500</v>
      </c>
      <c r="AU5" s="147">
        <f>IF(AU27&lt;=Assumptions!$F$17, Assumptions!$D$17, IF(AU27&lt;=Assumptions!$F$18, Assumptions!$D$18, Assumptions!$D$19))</f>
        <v>500</v>
      </c>
      <c r="AV5" s="147">
        <f>IF(AV27&lt;=Assumptions!$F$17, Assumptions!$D$17, IF(AV27&lt;=Assumptions!$F$18, Assumptions!$D$18, Assumptions!$D$19))</f>
        <v>500</v>
      </c>
      <c r="AW5" s="147">
        <f>IF(AW27&lt;=Assumptions!$F$17, Assumptions!$D$17, IF(AW27&lt;=Assumptions!$F$18, Assumptions!$D$18, Assumptions!$D$19))</f>
        <v>500</v>
      </c>
      <c r="AX5" s="147">
        <f>IF(AX27&lt;=Assumptions!$F$17, Assumptions!$D$17, IF(AX27&lt;=Assumptions!$F$18, Assumptions!$D$18, Assumptions!$D$19))</f>
        <v>500</v>
      </c>
      <c r="AY5" s="147">
        <f>IF(AY27&lt;=Assumptions!$F$17, Assumptions!$D$17, IF(AY27&lt;=Assumptions!$F$18, Assumptions!$D$18, Assumptions!$D$19))</f>
        <v>500</v>
      </c>
      <c r="AZ5" s="147">
        <f>IF(AZ27&lt;=Assumptions!$F$17, Assumptions!$D$17, IF(AZ27&lt;=Assumptions!$F$18, Assumptions!$D$18, Assumptions!$D$19))</f>
        <v>500</v>
      </c>
      <c r="BA5" s="147">
        <f>IF(BA27&lt;=Assumptions!$F$17, Assumptions!$D$17, IF(BA27&lt;=Assumptions!$F$18, Assumptions!$D$18, Assumptions!$D$19))</f>
        <v>500</v>
      </c>
      <c r="BB5" s="147">
        <f>IF(BB27&lt;=Assumptions!$F$17, Assumptions!$D$17, IF(BB27&lt;=Assumptions!$F$18, Assumptions!$D$18, Assumptions!$D$19))</f>
        <v>500</v>
      </c>
      <c r="BC5" s="147">
        <f>IF(BC27&lt;=Assumptions!$F$17, Assumptions!$D$17, IF(BC27&lt;=Assumptions!$F$18, Assumptions!$D$18, Assumptions!$D$19))</f>
        <v>500</v>
      </c>
      <c r="BD5" s="147">
        <f>IF(BD27&lt;=Assumptions!$F$17, Assumptions!$D$17, IF(BD27&lt;=Assumptions!$F$18, Assumptions!$D$18, Assumptions!$D$19))</f>
        <v>500</v>
      </c>
      <c r="BE5" s="147">
        <f>IF(BE27&lt;=Assumptions!$F$17, Assumptions!$D$17, IF(BE27&lt;=Assumptions!$F$18, Assumptions!$D$18, Assumptions!$D$19))</f>
        <v>500</v>
      </c>
      <c r="BF5" s="147">
        <f>IF(BF27&lt;=Assumptions!$F$17, Assumptions!$D$17, IF(BF27&lt;=Assumptions!$F$18, Assumptions!$D$18, Assumptions!$D$19))</f>
        <v>500</v>
      </c>
      <c r="BG5" s="147">
        <f>IF(BG27&lt;=Assumptions!$F$17, Assumptions!$D$17, IF(BG27&lt;=Assumptions!$F$18, Assumptions!$D$18, Assumptions!$D$19))</f>
        <v>500</v>
      </c>
      <c r="BH5" s="147">
        <f>IF(BH27&lt;=Assumptions!$F$17, Assumptions!$D$17, IF(BH27&lt;=Assumptions!$F$18, Assumptions!$D$18, Assumptions!$D$19))</f>
        <v>500</v>
      </c>
      <c r="BI5" s="147">
        <f>IF(BI27&lt;=Assumptions!$F$17, Assumptions!$D$17, IF(BI27&lt;=Assumptions!$F$18, Assumptions!$D$18, Assumptions!$D$19))</f>
        <v>500</v>
      </c>
      <c r="BJ5" s="147">
        <f>IF(BJ27&lt;=Assumptions!$F$17, Assumptions!$D$17, IF(BJ27&lt;=Assumptions!$F$18, Assumptions!$D$18, Assumptions!$D$19))</f>
        <v>500</v>
      </c>
      <c r="BK5" s="147">
        <f>IF(BK27&lt;=Assumptions!$F$17, Assumptions!$D$17, IF(BK27&lt;=Assumptions!$F$18, Assumptions!$D$18, Assumptions!$D$19))</f>
        <v>500</v>
      </c>
      <c r="BL5" s="147">
        <f>IF(BL27&lt;=Assumptions!$F$17, Assumptions!$D$17, IF(BL27&lt;=Assumptions!$F$18, Assumptions!$D$18, Assumptions!$D$19))</f>
        <v>500</v>
      </c>
      <c r="BM5" s="147">
        <f>IF(BM27&lt;=Assumptions!$F$17, Assumptions!$D$17, IF(BM27&lt;=Assumptions!$F$18, Assumptions!$D$18, Assumptions!$D$19))</f>
        <v>500</v>
      </c>
      <c r="BN5" s="147">
        <f>IF(BN27&lt;=Assumptions!$F$17, Assumptions!$D$17, IF(BN27&lt;=Assumptions!$F$18, Assumptions!$D$18, Assumptions!$D$19))</f>
        <v>500</v>
      </c>
      <c r="BO5" s="147">
        <f>IF(BO27&lt;=Assumptions!$F$17, Assumptions!$D$17, IF(BO27&lt;=Assumptions!$F$18, Assumptions!$D$18, Assumptions!$D$19))</f>
        <v>500</v>
      </c>
      <c r="BP5" s="147">
        <f>IF(BP27&lt;=Assumptions!$F$17, Assumptions!$D$17, IF(BP27&lt;=Assumptions!$F$18, Assumptions!$D$18, Assumptions!$D$19))</f>
        <v>500</v>
      </c>
      <c r="BQ5" s="147">
        <f>IF(BQ27&lt;=Assumptions!$F$17, Assumptions!$D$17, IF(BQ27&lt;=Assumptions!$F$18, Assumptions!$D$18, Assumptions!$D$19))</f>
        <v>500</v>
      </c>
      <c r="BR5" s="147">
        <f>IF(BR27&lt;=Assumptions!$F$17, Assumptions!$D$17, IF(BR27&lt;=Assumptions!$F$18, Assumptions!$D$18, Assumptions!$D$19))</f>
        <v>500</v>
      </c>
      <c r="BS5" s="147">
        <f>IF(BS27&lt;=Assumptions!$F$17, Assumptions!$D$17, IF(BS27&lt;=Assumptions!$F$18, Assumptions!$D$18, Assumptions!$D$19))</f>
        <v>500</v>
      </c>
      <c r="BT5" s="147">
        <f>IF(BT27&lt;=Assumptions!$F$17, Assumptions!$D$17, IF(BT27&lt;=Assumptions!$F$18, Assumptions!$D$18, Assumptions!$D$19))</f>
        <v>500</v>
      </c>
      <c r="BU5" s="147">
        <f>IF(BU27&lt;=Assumptions!$F$17, Assumptions!$D$17, IF(BU27&lt;=Assumptions!$F$18, Assumptions!$D$18, Assumptions!$D$19))</f>
        <v>500</v>
      </c>
      <c r="BV5" s="147">
        <f>IF(BV27&lt;=Assumptions!$F$17, Assumptions!$D$17, IF(BV27&lt;=Assumptions!$F$18, Assumptions!$D$18, Assumptions!$D$19))</f>
        <v>500</v>
      </c>
      <c r="BW5" s="147">
        <f>IF(BW27&lt;=Assumptions!$F$17, Assumptions!$D$17, IF(BW27&lt;=Assumptions!$F$18, Assumptions!$D$18, Assumptions!$D$19))</f>
        <v>500</v>
      </c>
      <c r="BX5" s="147">
        <f>IF(BX27&lt;=Assumptions!$F$17, Assumptions!$D$17, IF(BX27&lt;=Assumptions!$F$18, Assumptions!$D$18, Assumptions!$D$19))</f>
        <v>500</v>
      </c>
      <c r="BY5" s="147">
        <f>IF(BY27&lt;=Assumptions!$F$17, Assumptions!$D$17, IF(BY27&lt;=Assumptions!$F$18, Assumptions!$D$18, Assumptions!$D$19))</f>
        <v>500</v>
      </c>
      <c r="BZ5" s="147">
        <f>IF(BZ27&lt;=Assumptions!$F$17, Assumptions!$D$17, IF(BZ27&lt;=Assumptions!$F$18, Assumptions!$D$18, Assumptions!$D$19))</f>
        <v>500</v>
      </c>
      <c r="CA5" s="147">
        <f>IF(CA27&lt;=Assumptions!$F$17, Assumptions!$D$17, IF(CA27&lt;=Assumptions!$F$18, Assumptions!$D$18, Assumptions!$D$19))</f>
        <v>500</v>
      </c>
      <c r="CB5" s="147">
        <f>IF(CB27&lt;=Assumptions!$F$17, Assumptions!$D$17, IF(CB27&lt;=Assumptions!$F$18, Assumptions!$D$18, Assumptions!$D$19))</f>
        <v>500</v>
      </c>
      <c r="CC5" s="147">
        <f>IF(CC27&lt;=Assumptions!$F$17, Assumptions!$D$17, IF(CC27&lt;=Assumptions!$F$18, Assumptions!$D$18, Assumptions!$D$19))</f>
        <v>500</v>
      </c>
      <c r="CD5" s="147">
        <f>IF(CD27&lt;=Assumptions!$F$17, Assumptions!$D$17, IF(CD27&lt;=Assumptions!$F$18, Assumptions!$D$18, Assumptions!$D$19))</f>
        <v>500</v>
      </c>
      <c r="CE5" s="147">
        <f>IF(CE27&lt;=Assumptions!$F$17, Assumptions!$D$17, IF(CE27&lt;=Assumptions!$F$18, Assumptions!$D$18, Assumptions!$D$19))</f>
        <v>500</v>
      </c>
      <c r="CF5" s="147">
        <f>IF(CF27&lt;=Assumptions!$F$17, Assumptions!$D$17, IF(CF27&lt;=Assumptions!$F$18, Assumptions!$D$18, Assumptions!$D$19))</f>
        <v>500</v>
      </c>
      <c r="CG5" s="147">
        <f>IF(CG27&lt;=Assumptions!$F$17, Assumptions!$D$17, IF(CG27&lt;=Assumptions!$F$18, Assumptions!$D$18, Assumptions!$D$19))</f>
        <v>500</v>
      </c>
      <c r="CH5" s="147">
        <f>IF(CH27&lt;=Assumptions!$F$17, Assumptions!$D$17, IF(CH27&lt;=Assumptions!$F$18, Assumptions!$D$18, Assumptions!$D$19))</f>
        <v>500</v>
      </c>
      <c r="CI5" s="147">
        <f>IF(CI27&lt;=Assumptions!$F$17, Assumptions!$D$17, IF(CI27&lt;=Assumptions!$F$18, Assumptions!$D$18, Assumptions!$D$19))</f>
        <v>500</v>
      </c>
      <c r="CJ5" s="147">
        <f>IF(CJ27&lt;=Assumptions!$F$17, Assumptions!$D$17, IF(CJ27&lt;=Assumptions!$F$18, Assumptions!$D$18, Assumptions!$D$19))</f>
        <v>500</v>
      </c>
      <c r="CK5" s="147">
        <f>IF(CK27&lt;=Assumptions!$F$17, Assumptions!$D$17, IF(CK27&lt;=Assumptions!$F$18, Assumptions!$D$18, Assumptions!$D$19))</f>
        <v>500</v>
      </c>
      <c r="CL5" s="147">
        <f>IF(CL27&lt;=Assumptions!$F$17, Assumptions!$D$17, IF(CL27&lt;=Assumptions!$F$18, Assumptions!$D$18, Assumptions!$D$19))</f>
        <v>500</v>
      </c>
      <c r="CM5" s="147">
        <f>IF(CM27&lt;=Assumptions!$F$17, Assumptions!$D$17, IF(CM27&lt;=Assumptions!$F$18, Assumptions!$D$18, Assumptions!$D$19))</f>
        <v>500</v>
      </c>
      <c r="CN5" s="147">
        <f>IF(CN27&lt;=Assumptions!$F$17, Assumptions!$D$17, IF(CN27&lt;=Assumptions!$F$18, Assumptions!$D$18, Assumptions!$D$19))</f>
        <v>500</v>
      </c>
      <c r="CO5" s="147">
        <f>IF(CO27&lt;=Assumptions!$F$17, Assumptions!$D$17, IF(CO27&lt;=Assumptions!$F$18, Assumptions!$D$18, Assumptions!$D$19))</f>
        <v>500</v>
      </c>
      <c r="CP5" s="147">
        <f>IF(CP27&lt;=Assumptions!$F$17, Assumptions!$D$17, IF(CP27&lt;=Assumptions!$F$18, Assumptions!$D$18, Assumptions!$D$19))</f>
        <v>500</v>
      </c>
      <c r="CQ5" s="147">
        <f>IF(CQ27&lt;=Assumptions!$F$17, Assumptions!$D$17, IF(CQ27&lt;=Assumptions!$F$18, Assumptions!$D$18, Assumptions!$D$19))</f>
        <v>500</v>
      </c>
      <c r="CR5" s="147">
        <f>IF(CR27&lt;=Assumptions!$F$17, Assumptions!$D$17, IF(CR27&lt;=Assumptions!$F$18, Assumptions!$D$18, Assumptions!$D$19))</f>
        <v>500</v>
      </c>
      <c r="CS5" s="147">
        <f>IF(CS27&lt;=Assumptions!$F$17, Assumptions!$D$17, IF(CS27&lt;=Assumptions!$F$18, Assumptions!$D$18, Assumptions!$D$19))</f>
        <v>500</v>
      </c>
      <c r="CT5" s="147">
        <f>IF(CT27&lt;=Assumptions!$F$17, Assumptions!$D$17, IF(CT27&lt;=Assumptions!$F$18, Assumptions!$D$18, Assumptions!$D$19))</f>
        <v>500</v>
      </c>
      <c r="CU5" s="147">
        <f>IF(CU27&lt;=Assumptions!$F$17, Assumptions!$D$17, IF(CU27&lt;=Assumptions!$F$18, Assumptions!$D$18, Assumptions!$D$19))</f>
        <v>500</v>
      </c>
      <c r="CV5" s="147">
        <f>IF(CV27&lt;=Assumptions!$F$17, Assumptions!$D$17, IF(CV27&lt;=Assumptions!$F$18, Assumptions!$D$18, Assumptions!$D$19))</f>
        <v>500</v>
      </c>
      <c r="CW5" s="147">
        <f>IF(CW27&lt;=Assumptions!$F$17, Assumptions!$D$17, IF(CW27&lt;=Assumptions!$F$18, Assumptions!$D$18, Assumptions!$D$19))</f>
        <v>500</v>
      </c>
      <c r="CX5" s="147">
        <f>IF(CX27&lt;=Assumptions!$F$17, Assumptions!$D$17, IF(CX27&lt;=Assumptions!$F$18, Assumptions!$D$18, Assumptions!$D$19))</f>
        <v>500</v>
      </c>
      <c r="CY5" s="147">
        <f>IF(CY27&lt;=Assumptions!$F$17, Assumptions!$D$17, IF(CY27&lt;=Assumptions!$F$18, Assumptions!$D$18, Assumptions!$D$19))</f>
        <v>500</v>
      </c>
      <c r="CZ5" s="147">
        <f>IF(CZ27&lt;=Assumptions!$F$17, Assumptions!$D$17, IF(CZ27&lt;=Assumptions!$F$18, Assumptions!$D$18, Assumptions!$D$19))</f>
        <v>500</v>
      </c>
      <c r="DA5" s="147">
        <f>IF(DA27&lt;=Assumptions!$F$17, Assumptions!$D$17, IF(DA27&lt;=Assumptions!$F$18, Assumptions!$D$18, Assumptions!$D$19))</f>
        <v>500</v>
      </c>
      <c r="DB5" s="147">
        <f>IF(DB27&lt;=Assumptions!$F$17, Assumptions!$D$17, IF(DB27&lt;=Assumptions!$F$18, Assumptions!$D$18, Assumptions!$D$19))</f>
        <v>500</v>
      </c>
      <c r="DC5" s="147">
        <f>IF(DC27&lt;=Assumptions!$F$17, Assumptions!$D$17, IF(DC27&lt;=Assumptions!$F$18, Assumptions!$D$18, Assumptions!$D$19))</f>
        <v>500</v>
      </c>
      <c r="DD5" s="147">
        <f>IF(DD27&lt;=Assumptions!$F$17, Assumptions!$D$17, IF(DD27&lt;=Assumptions!$F$18, Assumptions!$D$18, Assumptions!$D$19))</f>
        <v>500</v>
      </c>
      <c r="DE5" s="147">
        <f>IF(DE27&lt;=Assumptions!$F$17, Assumptions!$D$17, IF(DE27&lt;=Assumptions!$F$18, Assumptions!$D$18, Assumptions!$D$19))</f>
        <v>500</v>
      </c>
      <c r="DF5" s="147">
        <f>IF(DF27&lt;=Assumptions!$F$17, Assumptions!$D$17, IF(DF27&lt;=Assumptions!$F$18, Assumptions!$D$18, Assumptions!$D$19))</f>
        <v>500</v>
      </c>
      <c r="DG5" s="147">
        <f>IF(DG27&lt;=Assumptions!$F$17, Assumptions!$D$17, IF(DG27&lt;=Assumptions!$F$18, Assumptions!$D$18, Assumptions!$D$19))</f>
        <v>500</v>
      </c>
      <c r="DH5" s="147">
        <f>IF(DH27&lt;=Assumptions!$F$17, Assumptions!$D$17, IF(DH27&lt;=Assumptions!$F$18, Assumptions!$D$18, Assumptions!$D$19))</f>
        <v>500</v>
      </c>
      <c r="DI5" s="147">
        <f>IF(DI27&lt;=Assumptions!$F$17, Assumptions!$D$17, IF(DI27&lt;=Assumptions!$F$18, Assumptions!$D$18, Assumptions!$D$19))</f>
        <v>500</v>
      </c>
      <c r="DJ5" s="147">
        <f>IF(DJ27&lt;=Assumptions!$F$17, Assumptions!$D$17, IF(DJ27&lt;=Assumptions!$F$18, Assumptions!$D$18, Assumptions!$D$19))</f>
        <v>500</v>
      </c>
      <c r="DK5" s="147">
        <f>IF(DK27&lt;=Assumptions!$F$17, Assumptions!$D$17, IF(DK27&lt;=Assumptions!$F$18, Assumptions!$D$18, Assumptions!$D$19))</f>
        <v>500</v>
      </c>
      <c r="DL5" s="147">
        <f>IF(DL27&lt;=Assumptions!$F$17, Assumptions!$D$17, IF(DL27&lt;=Assumptions!$F$18, Assumptions!$D$18, Assumptions!$D$19))</f>
        <v>500</v>
      </c>
      <c r="DM5" s="147">
        <f>IF(DM27&lt;=Assumptions!$F$17, Assumptions!$D$17, IF(DM27&lt;=Assumptions!$F$18, Assumptions!$D$18, Assumptions!$D$19))</f>
        <v>500</v>
      </c>
      <c r="DN5" s="147">
        <f>IF(DN27&lt;=Assumptions!$F$17, Assumptions!$D$17, IF(DN27&lt;=Assumptions!$F$18, Assumptions!$D$18, Assumptions!$D$19))</f>
        <v>500</v>
      </c>
      <c r="DO5" s="147">
        <f>IF(DO27&lt;=Assumptions!$F$17, Assumptions!$D$17, IF(DO27&lt;=Assumptions!$F$18, Assumptions!$D$18, Assumptions!$D$19))</f>
        <v>500</v>
      </c>
      <c r="DP5" s="147">
        <f>IF(DP27&lt;=Assumptions!$F$17, Assumptions!$D$17, IF(DP27&lt;=Assumptions!$F$18, Assumptions!$D$18, Assumptions!$D$19))</f>
        <v>500</v>
      </c>
      <c r="DQ5" s="147">
        <f>IF(DQ27&lt;=Assumptions!$F$17, Assumptions!$D$17, IF(DQ27&lt;=Assumptions!$F$18, Assumptions!$D$18, Assumptions!$D$19))</f>
        <v>500</v>
      </c>
      <c r="DR5" s="147">
        <f>IF(DR27&lt;=Assumptions!$F$17, Assumptions!$D$17, IF(DR27&lt;=Assumptions!$F$18, Assumptions!$D$18, Assumptions!$D$19))</f>
        <v>500</v>
      </c>
    </row>
    <row r="6" spans="2:125" x14ac:dyDescent="0.3">
      <c r="B6" s="52" t="s">
        <v>174</v>
      </c>
      <c r="C6" s="114" t="str">
        <f>IF(C27&lt;=Assumptions!$C$8,"No","Yes")</f>
        <v>No</v>
      </c>
      <c r="D6" s="114" t="str">
        <f>IF(D27&lt;=Assumptions!$C$8,"No","Yes")</f>
        <v>No</v>
      </c>
      <c r="E6" s="114" t="str">
        <f>IF(E27&lt;=Assumptions!$C$8,"No","Yes")</f>
        <v>Yes</v>
      </c>
      <c r="F6" s="114" t="str">
        <f>IF(F27&lt;=Assumptions!$C$8,"No","Yes")</f>
        <v>Yes</v>
      </c>
      <c r="G6" s="114" t="str">
        <f>IF(G27&lt;=Assumptions!$C$8,"No","Yes")</f>
        <v>Yes</v>
      </c>
      <c r="H6" s="114" t="str">
        <f>IF(H27&lt;=Assumptions!$C$8,"No","Yes")</f>
        <v>Yes</v>
      </c>
      <c r="I6" s="114" t="str">
        <f>IF(I27&lt;=Assumptions!$C$8,"No","Yes")</f>
        <v>Yes</v>
      </c>
      <c r="J6" s="114" t="str">
        <f>IF(J27&lt;=Assumptions!$C$8,"No","Yes")</f>
        <v>Yes</v>
      </c>
      <c r="K6" s="114" t="str">
        <f>IF(K27&lt;=Assumptions!$C$8,"No","Yes")</f>
        <v>Yes</v>
      </c>
      <c r="L6" s="114" t="str">
        <f>IF(L27&lt;=Assumptions!$C$8,"No","Yes")</f>
        <v>Yes</v>
      </c>
      <c r="M6" s="114" t="str">
        <f>IF(M27&lt;=Assumptions!$C$8,"No","Yes")</f>
        <v>Yes</v>
      </c>
      <c r="N6" s="114" t="str">
        <f>IF(N27&lt;=Assumptions!$C$8,"No","Yes")</f>
        <v>Yes</v>
      </c>
      <c r="O6" s="114" t="str">
        <f>IF(O27&lt;=Assumptions!$C$8,"No","Yes")</f>
        <v>Yes</v>
      </c>
      <c r="P6" s="114" t="str">
        <f>IF(P27&lt;=Assumptions!$C$8,"No","Yes")</f>
        <v>Yes</v>
      </c>
      <c r="Q6" s="114" t="str">
        <f>IF(Q27&lt;=Assumptions!$C$8,"No","Yes")</f>
        <v>Yes</v>
      </c>
      <c r="R6" s="114" t="str">
        <f>IF(R27&lt;=Assumptions!$C$8,"No","Yes")</f>
        <v>Yes</v>
      </c>
      <c r="S6" s="114" t="str">
        <f>IF(S27&lt;=Assumptions!$C$8,"No","Yes")</f>
        <v>Yes</v>
      </c>
      <c r="T6" s="114" t="str">
        <f>IF(T27&lt;=Assumptions!$C$8,"No","Yes")</f>
        <v>Yes</v>
      </c>
      <c r="U6" s="114" t="str">
        <f>IF(U27&lt;=Assumptions!$C$8,"No","Yes")</f>
        <v>Yes</v>
      </c>
      <c r="V6" s="114" t="str">
        <f>IF(V27&lt;=Assumptions!$C$8,"No","Yes")</f>
        <v>Yes</v>
      </c>
      <c r="W6" s="114" t="str">
        <f>IF(W27&lt;=Assumptions!$C$8,"No","Yes")</f>
        <v>Yes</v>
      </c>
      <c r="X6" s="114" t="str">
        <f>IF(X27&lt;=Assumptions!$C$8,"No","Yes")</f>
        <v>Yes</v>
      </c>
      <c r="Y6" s="114" t="str">
        <f>IF(Y27&lt;=Assumptions!$C$8,"No","Yes")</f>
        <v>Yes</v>
      </c>
      <c r="Z6" s="114" t="str">
        <f>IF(Z27&lt;=Assumptions!$C$8,"No","Yes")</f>
        <v>Yes</v>
      </c>
      <c r="AA6" s="114" t="str">
        <f>IF(AA27&lt;=Assumptions!$C$8,"No","Yes")</f>
        <v>Yes</v>
      </c>
      <c r="AB6" s="114" t="str">
        <f>IF(AB27&lt;=Assumptions!$C$8,"No","Yes")</f>
        <v>Yes</v>
      </c>
      <c r="AC6" s="114" t="str">
        <f>IF(AC27&lt;=Assumptions!$C$8,"No","Yes")</f>
        <v>Yes</v>
      </c>
      <c r="AD6" s="114" t="str">
        <f>IF(AD27&lt;=Assumptions!$C$8,"No","Yes")</f>
        <v>Yes</v>
      </c>
      <c r="AE6" s="114" t="str">
        <f>IF(AE27&lt;=Assumptions!$C$8,"No","Yes")</f>
        <v>Yes</v>
      </c>
      <c r="AF6" s="114" t="str">
        <f>IF(AF27&lt;=Assumptions!$C$8,"No","Yes")</f>
        <v>Yes</v>
      </c>
      <c r="AG6" s="114" t="str">
        <f>IF(AG27&lt;=Assumptions!$C$8,"No","Yes")</f>
        <v>Yes</v>
      </c>
      <c r="AH6" s="114" t="str">
        <f>IF(AH27&lt;=Assumptions!$C$8,"No","Yes")</f>
        <v>Yes</v>
      </c>
      <c r="AI6" s="114" t="str">
        <f>IF(AI27&lt;=Assumptions!$C$8,"No","Yes")</f>
        <v>Yes</v>
      </c>
      <c r="AJ6" s="114" t="str">
        <f>IF(AJ27&lt;=Assumptions!$C$8,"No","Yes")</f>
        <v>Yes</v>
      </c>
      <c r="AK6" s="114" t="str">
        <f>IF(AK27&lt;=Assumptions!$C$8,"No","Yes")</f>
        <v>Yes</v>
      </c>
      <c r="AL6" s="114" t="str">
        <f>IF(AL27&lt;=Assumptions!$C$8,"No","Yes")</f>
        <v>Yes</v>
      </c>
      <c r="AM6" s="114" t="str">
        <f>IF(AM27&lt;=Assumptions!$C$8,"No","Yes")</f>
        <v>Yes</v>
      </c>
      <c r="AN6" s="114" t="str">
        <f>IF(AN27&lt;=Assumptions!$C$8,"No","Yes")</f>
        <v>Yes</v>
      </c>
      <c r="AO6" s="114" t="str">
        <f>IF(AO27&lt;=Assumptions!$C$8,"No","Yes")</f>
        <v>Yes</v>
      </c>
      <c r="AP6" s="114" t="str">
        <f>IF(AP27&lt;=Assumptions!$C$8,"No","Yes")</f>
        <v>Yes</v>
      </c>
      <c r="AQ6" s="114" t="str">
        <f>IF(AQ27&lt;=Assumptions!$C$8,"No","Yes")</f>
        <v>Yes</v>
      </c>
      <c r="AR6" s="114" t="str">
        <f>IF(AR27&lt;=Assumptions!$C$8,"No","Yes")</f>
        <v>Yes</v>
      </c>
      <c r="AS6" s="114" t="str">
        <f>IF(AS27&lt;=Assumptions!$C$8,"No","Yes")</f>
        <v>Yes</v>
      </c>
      <c r="AT6" s="114" t="str">
        <f>IF(AT27&lt;=Assumptions!$C$8,"No","Yes")</f>
        <v>Yes</v>
      </c>
      <c r="AU6" s="114" t="str">
        <f>IF(AU27&lt;=Assumptions!$C$8,"No","Yes")</f>
        <v>Yes</v>
      </c>
      <c r="AV6" s="114" t="str">
        <f>IF(AV27&lt;=Assumptions!$C$8,"No","Yes")</f>
        <v>Yes</v>
      </c>
      <c r="AW6" s="114" t="str">
        <f>IF(AW27&lt;=Assumptions!$C$8,"No","Yes")</f>
        <v>Yes</v>
      </c>
      <c r="AX6" s="114" t="str">
        <f>IF(AX27&lt;=Assumptions!$C$8,"No","Yes")</f>
        <v>Yes</v>
      </c>
      <c r="AY6" s="114" t="str">
        <f>IF(AY27&lt;=Assumptions!$C$8,"No","Yes")</f>
        <v>Yes</v>
      </c>
      <c r="AZ6" s="114" t="str">
        <f>IF(AZ27&lt;=Assumptions!$C$8,"No","Yes")</f>
        <v>Yes</v>
      </c>
      <c r="BA6" s="114" t="str">
        <f>IF(BA27&lt;=Assumptions!$C$8,"No","Yes")</f>
        <v>Yes</v>
      </c>
      <c r="BB6" s="114" t="str">
        <f>IF(BB27&lt;=Assumptions!$C$8,"No","Yes")</f>
        <v>Yes</v>
      </c>
      <c r="BC6" s="114" t="str">
        <f>IF(BC27&lt;=Assumptions!$C$8,"No","Yes")</f>
        <v>Yes</v>
      </c>
      <c r="BD6" s="114" t="str">
        <f>IF(BD27&lt;=Assumptions!$C$8,"No","Yes")</f>
        <v>Yes</v>
      </c>
      <c r="BE6" s="114" t="str">
        <f>IF(BE27&lt;=Assumptions!$C$8,"No","Yes")</f>
        <v>Yes</v>
      </c>
      <c r="BF6" s="114" t="str">
        <f>IF(BF27&lt;=Assumptions!$C$8,"No","Yes")</f>
        <v>Yes</v>
      </c>
      <c r="BG6" s="114" t="str">
        <f>IF(BG27&lt;=Assumptions!$C$8,"No","Yes")</f>
        <v>Yes</v>
      </c>
      <c r="BH6" s="114" t="str">
        <f>IF(BH27&lt;=Assumptions!$C$8,"No","Yes")</f>
        <v>Yes</v>
      </c>
      <c r="BI6" s="114" t="str">
        <f>IF(BI27&lt;=Assumptions!$C$8,"No","Yes")</f>
        <v>Yes</v>
      </c>
      <c r="BJ6" s="114" t="str">
        <f>IF(BJ27&lt;=Assumptions!$C$8,"No","Yes")</f>
        <v>Yes</v>
      </c>
      <c r="BK6" s="114" t="str">
        <f>IF(BK27&lt;=Assumptions!$C$8,"No","Yes")</f>
        <v>Yes</v>
      </c>
      <c r="BL6" s="114" t="str">
        <f>IF(BL27&lt;=Assumptions!$C$8,"No","Yes")</f>
        <v>Yes</v>
      </c>
      <c r="BM6" s="114" t="str">
        <f>IF(BM27&lt;=Assumptions!$C$8,"No","Yes")</f>
        <v>Yes</v>
      </c>
      <c r="BN6" s="114" t="str">
        <f>IF(BN27&lt;=Assumptions!$C$8,"No","Yes")</f>
        <v>Yes</v>
      </c>
      <c r="BO6" s="114" t="str">
        <f>IF(BO27&lt;=Assumptions!$C$8,"No","Yes")</f>
        <v>Yes</v>
      </c>
      <c r="BP6" s="114" t="str">
        <f>IF(BP27&lt;=Assumptions!$C$8,"No","Yes")</f>
        <v>Yes</v>
      </c>
      <c r="BQ6" s="114" t="str">
        <f>IF(BQ27&lt;=Assumptions!$C$8,"No","Yes")</f>
        <v>Yes</v>
      </c>
      <c r="BR6" s="114" t="str">
        <f>IF(BR27&lt;=Assumptions!$C$8,"No","Yes")</f>
        <v>Yes</v>
      </c>
      <c r="BS6" s="114" t="str">
        <f>IF(BS27&lt;=Assumptions!$C$8,"No","Yes")</f>
        <v>Yes</v>
      </c>
      <c r="BT6" s="114" t="str">
        <f>IF(BT27&lt;=Assumptions!$C$8,"No","Yes")</f>
        <v>Yes</v>
      </c>
      <c r="BU6" s="114" t="str">
        <f>IF(BU27&lt;=Assumptions!$C$8,"No","Yes")</f>
        <v>Yes</v>
      </c>
      <c r="BV6" s="114" t="str">
        <f>IF(BV27&lt;=Assumptions!$C$8,"No","Yes")</f>
        <v>Yes</v>
      </c>
      <c r="BW6" s="114" t="str">
        <f>IF(BW27&lt;=Assumptions!$C$8,"No","Yes")</f>
        <v>Yes</v>
      </c>
      <c r="BX6" s="114" t="str">
        <f>IF(BX27&lt;=Assumptions!$C$8,"No","Yes")</f>
        <v>Yes</v>
      </c>
      <c r="BY6" s="114" t="str">
        <f>IF(BY27&lt;=Assumptions!$C$8,"No","Yes")</f>
        <v>Yes</v>
      </c>
      <c r="BZ6" s="114" t="str">
        <f>IF(BZ27&lt;=Assumptions!$C$8,"No","Yes")</f>
        <v>Yes</v>
      </c>
      <c r="CA6" s="114" t="str">
        <f>IF(CA27&lt;=Assumptions!$C$8,"No","Yes")</f>
        <v>Yes</v>
      </c>
      <c r="CB6" s="114" t="str">
        <f>IF(CB27&lt;=Assumptions!$C$8,"No","Yes")</f>
        <v>Yes</v>
      </c>
      <c r="CC6" s="114" t="str">
        <f>IF(CC27&lt;=Assumptions!$C$8,"No","Yes")</f>
        <v>Yes</v>
      </c>
      <c r="CD6" s="114" t="str">
        <f>IF(CD27&lt;=Assumptions!$C$8,"No","Yes")</f>
        <v>Yes</v>
      </c>
      <c r="CE6" s="114" t="str">
        <f>IF(CE27&lt;=Assumptions!$C$8,"No","Yes")</f>
        <v>Yes</v>
      </c>
      <c r="CF6" s="114" t="str">
        <f>IF(CF27&lt;=Assumptions!$C$8,"No","Yes")</f>
        <v>Yes</v>
      </c>
      <c r="CG6" s="114" t="str">
        <f>IF(CG27&lt;=Assumptions!$C$8,"No","Yes")</f>
        <v>Yes</v>
      </c>
      <c r="CH6" s="114" t="str">
        <f>IF(CH27&lt;=Assumptions!$C$8,"No","Yes")</f>
        <v>Yes</v>
      </c>
      <c r="CI6" s="114" t="str">
        <f>IF(CI27&lt;=Assumptions!$C$8,"No","Yes")</f>
        <v>Yes</v>
      </c>
      <c r="CJ6" s="114" t="str">
        <f>IF(CJ27&lt;=Assumptions!$C$8,"No","Yes")</f>
        <v>Yes</v>
      </c>
      <c r="CK6" s="114" t="str">
        <f>IF(CK27&lt;=Assumptions!$C$8,"No","Yes")</f>
        <v>Yes</v>
      </c>
      <c r="CL6" s="114" t="str">
        <f>IF(CL27&lt;=Assumptions!$C$8,"No","Yes")</f>
        <v>Yes</v>
      </c>
      <c r="CM6" s="114" t="str">
        <f>IF(CM27&lt;=Assumptions!$C$8,"No","Yes")</f>
        <v>Yes</v>
      </c>
      <c r="CN6" s="114" t="str">
        <f>IF(CN27&lt;=Assumptions!$C$8,"No","Yes")</f>
        <v>Yes</v>
      </c>
      <c r="CO6" s="114" t="str">
        <f>IF(CO27&lt;=Assumptions!$C$8,"No","Yes")</f>
        <v>Yes</v>
      </c>
      <c r="CP6" s="114" t="str">
        <f>IF(CP27&lt;=Assumptions!$C$8,"No","Yes")</f>
        <v>Yes</v>
      </c>
      <c r="CQ6" s="114" t="str">
        <f>IF(CQ27&lt;=Assumptions!$C$8,"No","Yes")</f>
        <v>Yes</v>
      </c>
      <c r="CR6" s="114" t="str">
        <f>IF(CR27&lt;=Assumptions!$C$8,"No","Yes")</f>
        <v>Yes</v>
      </c>
      <c r="CS6" s="114" t="str">
        <f>IF(CS27&lt;=Assumptions!$C$8,"No","Yes")</f>
        <v>Yes</v>
      </c>
      <c r="CT6" s="114" t="str">
        <f>IF(CT27&lt;=Assumptions!$C$8,"No","Yes")</f>
        <v>Yes</v>
      </c>
      <c r="CU6" s="114" t="str">
        <f>IF(CU27&lt;=Assumptions!$C$8,"No","Yes")</f>
        <v>Yes</v>
      </c>
      <c r="CV6" s="114" t="str">
        <f>IF(CV27&lt;=Assumptions!$C$8,"No","Yes")</f>
        <v>Yes</v>
      </c>
      <c r="CW6" s="114" t="str">
        <f>IF(CW27&lt;=Assumptions!$C$8,"No","Yes")</f>
        <v>Yes</v>
      </c>
      <c r="CX6" s="114" t="str">
        <f>IF(CX27&lt;=Assumptions!$C$8,"No","Yes")</f>
        <v>Yes</v>
      </c>
      <c r="CY6" s="114" t="str">
        <f>IF(CY27&lt;=Assumptions!$C$8,"No","Yes")</f>
        <v>Yes</v>
      </c>
      <c r="CZ6" s="114" t="str">
        <f>IF(CZ27&lt;=Assumptions!$C$8,"No","Yes")</f>
        <v>Yes</v>
      </c>
      <c r="DA6" s="114" t="str">
        <f>IF(DA27&lt;=Assumptions!$C$8,"No","Yes")</f>
        <v>Yes</v>
      </c>
      <c r="DB6" s="114" t="str">
        <f>IF(DB27&lt;=Assumptions!$C$8,"No","Yes")</f>
        <v>Yes</v>
      </c>
      <c r="DC6" s="114" t="str">
        <f>IF(DC27&lt;=Assumptions!$C$8,"No","Yes")</f>
        <v>Yes</v>
      </c>
      <c r="DD6" s="114" t="str">
        <f>IF(DD27&lt;=Assumptions!$C$8,"No","Yes")</f>
        <v>Yes</v>
      </c>
      <c r="DE6" s="114" t="str">
        <f>IF(DE27&lt;=Assumptions!$C$8,"No","Yes")</f>
        <v>Yes</v>
      </c>
      <c r="DF6" s="114" t="str">
        <f>IF(DF27&lt;=Assumptions!$C$8,"No","Yes")</f>
        <v>Yes</v>
      </c>
      <c r="DG6" s="114" t="str">
        <f>IF(DG27&lt;=Assumptions!$C$8,"No","Yes")</f>
        <v>Yes</v>
      </c>
      <c r="DH6" s="114" t="str">
        <f>IF(DH27&lt;=Assumptions!$C$8,"No","Yes")</f>
        <v>Yes</v>
      </c>
      <c r="DI6" s="114" t="str">
        <f>IF(DI27&lt;=Assumptions!$C$8,"No","Yes")</f>
        <v>Yes</v>
      </c>
      <c r="DJ6" s="114" t="str">
        <f>IF(DJ27&lt;=Assumptions!$C$8,"No","Yes")</f>
        <v>Yes</v>
      </c>
      <c r="DK6" s="114" t="str">
        <f>IF(DK27&lt;=Assumptions!$C$8,"No","Yes")</f>
        <v>Yes</v>
      </c>
      <c r="DL6" s="114" t="str">
        <f>IF(DL27&lt;=Assumptions!$C$8,"No","Yes")</f>
        <v>Yes</v>
      </c>
      <c r="DM6" s="114" t="str">
        <f>IF(DM27&lt;=Assumptions!$C$8,"No","Yes")</f>
        <v>Yes</v>
      </c>
      <c r="DN6" s="114" t="str">
        <f>IF(DN27&lt;=Assumptions!$C$8,"No","Yes")</f>
        <v>Yes</v>
      </c>
      <c r="DO6" s="114" t="str">
        <f>IF(DO27&lt;=Assumptions!$C$8,"No","Yes")</f>
        <v>Yes</v>
      </c>
      <c r="DP6" s="114" t="str">
        <f>IF(DP27&lt;=Assumptions!$C$8,"No","Yes")</f>
        <v>Yes</v>
      </c>
      <c r="DQ6" s="114" t="str">
        <f>IF(DQ27&lt;=Assumptions!$C$8,"No","Yes")</f>
        <v>Yes</v>
      </c>
      <c r="DR6" s="114" t="str">
        <f>IF(DR27&lt;=Assumptions!$C$8,"No","Yes")</f>
        <v>Yes</v>
      </c>
    </row>
    <row r="7" spans="2:125" x14ac:dyDescent="0.3">
      <c r="B7" s="52" t="s">
        <v>421</v>
      </c>
      <c r="C7" s="114" t="str">
        <f>IF(C5&lt;500,"Yes","No")</f>
        <v>Yes</v>
      </c>
      <c r="D7" s="114" t="str">
        <f t="shared" ref="D7:BO7" si="2">IF(D5&lt;500,"Yes","No")</f>
        <v>Yes</v>
      </c>
      <c r="E7" s="114" t="str">
        <f t="shared" si="2"/>
        <v>Yes</v>
      </c>
      <c r="F7" s="114" t="str">
        <f t="shared" si="2"/>
        <v>Yes</v>
      </c>
      <c r="G7" s="114" t="str">
        <f t="shared" si="2"/>
        <v>Yes</v>
      </c>
      <c r="H7" s="114" t="str">
        <f t="shared" si="2"/>
        <v>Yes</v>
      </c>
      <c r="I7" s="114" t="str">
        <f t="shared" si="2"/>
        <v>Yes</v>
      </c>
      <c r="J7" s="114" t="str">
        <f t="shared" si="2"/>
        <v>Yes</v>
      </c>
      <c r="K7" s="114" t="str">
        <f t="shared" si="2"/>
        <v>Yes</v>
      </c>
      <c r="L7" s="114" t="str">
        <f t="shared" si="2"/>
        <v>Yes</v>
      </c>
      <c r="M7" s="114" t="str">
        <f t="shared" si="2"/>
        <v>No</v>
      </c>
      <c r="N7" s="114" t="str">
        <f t="shared" si="2"/>
        <v>No</v>
      </c>
      <c r="O7" s="114" t="str">
        <f t="shared" si="2"/>
        <v>No</v>
      </c>
      <c r="P7" s="114" t="str">
        <f t="shared" si="2"/>
        <v>No</v>
      </c>
      <c r="Q7" s="114" t="str">
        <f t="shared" si="2"/>
        <v>No</v>
      </c>
      <c r="R7" s="114" t="str">
        <f t="shared" si="2"/>
        <v>No</v>
      </c>
      <c r="S7" s="114" t="str">
        <f t="shared" si="2"/>
        <v>No</v>
      </c>
      <c r="T7" s="114" t="str">
        <f t="shared" si="2"/>
        <v>No</v>
      </c>
      <c r="U7" s="114" t="str">
        <f t="shared" si="2"/>
        <v>No</v>
      </c>
      <c r="V7" s="114" t="str">
        <f t="shared" si="2"/>
        <v>No</v>
      </c>
      <c r="W7" s="114" t="str">
        <f t="shared" si="2"/>
        <v>No</v>
      </c>
      <c r="X7" s="114" t="str">
        <f t="shared" si="2"/>
        <v>No</v>
      </c>
      <c r="Y7" s="114" t="str">
        <f t="shared" si="2"/>
        <v>No</v>
      </c>
      <c r="Z7" s="114" t="str">
        <f t="shared" si="2"/>
        <v>No</v>
      </c>
      <c r="AA7" s="114" t="str">
        <f t="shared" si="2"/>
        <v>No</v>
      </c>
      <c r="AB7" s="114" t="str">
        <f t="shared" si="2"/>
        <v>No</v>
      </c>
      <c r="AC7" s="114" t="str">
        <f t="shared" si="2"/>
        <v>No</v>
      </c>
      <c r="AD7" s="114" t="str">
        <f t="shared" si="2"/>
        <v>No</v>
      </c>
      <c r="AE7" s="114" t="str">
        <f t="shared" si="2"/>
        <v>No</v>
      </c>
      <c r="AF7" s="114" t="str">
        <f t="shared" si="2"/>
        <v>No</v>
      </c>
      <c r="AG7" s="114" t="str">
        <f t="shared" si="2"/>
        <v>No</v>
      </c>
      <c r="AH7" s="114" t="str">
        <f t="shared" si="2"/>
        <v>No</v>
      </c>
      <c r="AI7" s="114" t="str">
        <f t="shared" si="2"/>
        <v>No</v>
      </c>
      <c r="AJ7" s="114" t="str">
        <f t="shared" si="2"/>
        <v>No</v>
      </c>
      <c r="AK7" s="114" t="str">
        <f t="shared" si="2"/>
        <v>No</v>
      </c>
      <c r="AL7" s="114" t="str">
        <f t="shared" si="2"/>
        <v>No</v>
      </c>
      <c r="AM7" s="114" t="str">
        <f t="shared" si="2"/>
        <v>No</v>
      </c>
      <c r="AN7" s="114" t="str">
        <f t="shared" si="2"/>
        <v>No</v>
      </c>
      <c r="AO7" s="114" t="str">
        <f t="shared" si="2"/>
        <v>No</v>
      </c>
      <c r="AP7" s="114" t="str">
        <f t="shared" si="2"/>
        <v>No</v>
      </c>
      <c r="AQ7" s="114" t="str">
        <f t="shared" si="2"/>
        <v>No</v>
      </c>
      <c r="AR7" s="114" t="str">
        <f t="shared" si="2"/>
        <v>No</v>
      </c>
      <c r="AS7" s="114" t="str">
        <f t="shared" si="2"/>
        <v>No</v>
      </c>
      <c r="AT7" s="114" t="str">
        <f t="shared" si="2"/>
        <v>No</v>
      </c>
      <c r="AU7" s="114" t="str">
        <f t="shared" si="2"/>
        <v>No</v>
      </c>
      <c r="AV7" s="114" t="str">
        <f t="shared" si="2"/>
        <v>No</v>
      </c>
      <c r="AW7" s="114" t="str">
        <f t="shared" si="2"/>
        <v>No</v>
      </c>
      <c r="AX7" s="114" t="str">
        <f t="shared" si="2"/>
        <v>No</v>
      </c>
      <c r="AY7" s="114" t="str">
        <f t="shared" si="2"/>
        <v>No</v>
      </c>
      <c r="AZ7" s="114" t="str">
        <f t="shared" si="2"/>
        <v>No</v>
      </c>
      <c r="BA7" s="114" t="str">
        <f t="shared" si="2"/>
        <v>No</v>
      </c>
      <c r="BB7" s="114" t="str">
        <f t="shared" si="2"/>
        <v>No</v>
      </c>
      <c r="BC7" s="114" t="str">
        <f t="shared" si="2"/>
        <v>No</v>
      </c>
      <c r="BD7" s="114" t="str">
        <f t="shared" si="2"/>
        <v>No</v>
      </c>
      <c r="BE7" s="114" t="str">
        <f t="shared" si="2"/>
        <v>No</v>
      </c>
      <c r="BF7" s="114" t="str">
        <f t="shared" si="2"/>
        <v>No</v>
      </c>
      <c r="BG7" s="114" t="str">
        <f t="shared" si="2"/>
        <v>No</v>
      </c>
      <c r="BH7" s="114" t="str">
        <f t="shared" si="2"/>
        <v>No</v>
      </c>
      <c r="BI7" s="114" t="str">
        <f t="shared" si="2"/>
        <v>No</v>
      </c>
      <c r="BJ7" s="114" t="str">
        <f t="shared" si="2"/>
        <v>No</v>
      </c>
      <c r="BK7" s="114" t="str">
        <f t="shared" si="2"/>
        <v>No</v>
      </c>
      <c r="BL7" s="114" t="str">
        <f t="shared" si="2"/>
        <v>No</v>
      </c>
      <c r="BM7" s="114" t="str">
        <f t="shared" si="2"/>
        <v>No</v>
      </c>
      <c r="BN7" s="114" t="str">
        <f t="shared" si="2"/>
        <v>No</v>
      </c>
      <c r="BO7" s="114" t="str">
        <f t="shared" si="2"/>
        <v>No</v>
      </c>
      <c r="BP7" s="114" t="str">
        <f t="shared" ref="BP7:DR7" si="3">IF(BP5&lt;500,"Yes","No")</f>
        <v>No</v>
      </c>
      <c r="BQ7" s="114" t="str">
        <f t="shared" si="3"/>
        <v>No</v>
      </c>
      <c r="BR7" s="114" t="str">
        <f t="shared" si="3"/>
        <v>No</v>
      </c>
      <c r="BS7" s="114" t="str">
        <f t="shared" si="3"/>
        <v>No</v>
      </c>
      <c r="BT7" s="114" t="str">
        <f t="shared" si="3"/>
        <v>No</v>
      </c>
      <c r="BU7" s="114" t="str">
        <f t="shared" si="3"/>
        <v>No</v>
      </c>
      <c r="BV7" s="114" t="str">
        <f t="shared" si="3"/>
        <v>No</v>
      </c>
      <c r="BW7" s="114" t="str">
        <f t="shared" si="3"/>
        <v>No</v>
      </c>
      <c r="BX7" s="114" t="str">
        <f t="shared" si="3"/>
        <v>No</v>
      </c>
      <c r="BY7" s="114" t="str">
        <f t="shared" si="3"/>
        <v>No</v>
      </c>
      <c r="BZ7" s="114" t="str">
        <f t="shared" si="3"/>
        <v>No</v>
      </c>
      <c r="CA7" s="114" t="str">
        <f t="shared" si="3"/>
        <v>No</v>
      </c>
      <c r="CB7" s="114" t="str">
        <f t="shared" si="3"/>
        <v>No</v>
      </c>
      <c r="CC7" s="114" t="str">
        <f t="shared" si="3"/>
        <v>No</v>
      </c>
      <c r="CD7" s="114" t="str">
        <f t="shared" si="3"/>
        <v>No</v>
      </c>
      <c r="CE7" s="114" t="str">
        <f t="shared" si="3"/>
        <v>No</v>
      </c>
      <c r="CF7" s="114" t="str">
        <f t="shared" si="3"/>
        <v>No</v>
      </c>
      <c r="CG7" s="114" t="str">
        <f t="shared" si="3"/>
        <v>No</v>
      </c>
      <c r="CH7" s="114" t="str">
        <f t="shared" si="3"/>
        <v>No</v>
      </c>
      <c r="CI7" s="114" t="str">
        <f t="shared" si="3"/>
        <v>No</v>
      </c>
      <c r="CJ7" s="114" t="str">
        <f t="shared" si="3"/>
        <v>No</v>
      </c>
      <c r="CK7" s="114" t="str">
        <f t="shared" si="3"/>
        <v>No</v>
      </c>
      <c r="CL7" s="114" t="str">
        <f t="shared" si="3"/>
        <v>No</v>
      </c>
      <c r="CM7" s="114" t="str">
        <f t="shared" si="3"/>
        <v>No</v>
      </c>
      <c r="CN7" s="114" t="str">
        <f t="shared" si="3"/>
        <v>No</v>
      </c>
      <c r="CO7" s="114" t="str">
        <f t="shared" si="3"/>
        <v>No</v>
      </c>
      <c r="CP7" s="114" t="str">
        <f t="shared" si="3"/>
        <v>No</v>
      </c>
      <c r="CQ7" s="114" t="str">
        <f t="shared" si="3"/>
        <v>No</v>
      </c>
      <c r="CR7" s="114" t="str">
        <f t="shared" si="3"/>
        <v>No</v>
      </c>
      <c r="CS7" s="114" t="str">
        <f t="shared" si="3"/>
        <v>No</v>
      </c>
      <c r="CT7" s="114" t="str">
        <f t="shared" si="3"/>
        <v>No</v>
      </c>
      <c r="CU7" s="114" t="str">
        <f t="shared" si="3"/>
        <v>No</v>
      </c>
      <c r="CV7" s="114" t="str">
        <f t="shared" si="3"/>
        <v>No</v>
      </c>
      <c r="CW7" s="114" t="str">
        <f t="shared" si="3"/>
        <v>No</v>
      </c>
      <c r="CX7" s="114" t="str">
        <f t="shared" si="3"/>
        <v>No</v>
      </c>
      <c r="CY7" s="114" t="str">
        <f t="shared" si="3"/>
        <v>No</v>
      </c>
      <c r="CZ7" s="114" t="str">
        <f t="shared" si="3"/>
        <v>No</v>
      </c>
      <c r="DA7" s="114" t="str">
        <f t="shared" si="3"/>
        <v>No</v>
      </c>
      <c r="DB7" s="114" t="str">
        <f t="shared" si="3"/>
        <v>No</v>
      </c>
      <c r="DC7" s="114" t="str">
        <f t="shared" si="3"/>
        <v>No</v>
      </c>
      <c r="DD7" s="114" t="str">
        <f t="shared" si="3"/>
        <v>No</v>
      </c>
      <c r="DE7" s="114" t="str">
        <f t="shared" si="3"/>
        <v>No</v>
      </c>
      <c r="DF7" s="114" t="str">
        <f t="shared" si="3"/>
        <v>No</v>
      </c>
      <c r="DG7" s="114" t="str">
        <f t="shared" si="3"/>
        <v>No</v>
      </c>
      <c r="DH7" s="114" t="str">
        <f t="shared" si="3"/>
        <v>No</v>
      </c>
      <c r="DI7" s="114" t="str">
        <f t="shared" si="3"/>
        <v>No</v>
      </c>
      <c r="DJ7" s="114" t="str">
        <f t="shared" si="3"/>
        <v>No</v>
      </c>
      <c r="DK7" s="114" t="str">
        <f t="shared" si="3"/>
        <v>No</v>
      </c>
      <c r="DL7" s="114" t="str">
        <f t="shared" si="3"/>
        <v>No</v>
      </c>
      <c r="DM7" s="114" t="str">
        <f t="shared" si="3"/>
        <v>No</v>
      </c>
      <c r="DN7" s="114" t="str">
        <f t="shared" si="3"/>
        <v>No</v>
      </c>
      <c r="DO7" s="114" t="str">
        <f t="shared" si="3"/>
        <v>No</v>
      </c>
      <c r="DP7" s="114" t="str">
        <f t="shared" si="3"/>
        <v>No</v>
      </c>
      <c r="DQ7" s="114" t="str">
        <f t="shared" si="3"/>
        <v>No</v>
      </c>
      <c r="DR7" s="114" t="str">
        <f t="shared" si="3"/>
        <v>No</v>
      </c>
    </row>
    <row r="8" spans="2:125" x14ac:dyDescent="0.3">
      <c r="B8" s="52" t="s">
        <v>425</v>
      </c>
      <c r="C8" s="68">
        <f>+Assumptions!$E$36</f>
        <v>2.4902453271028035E-3</v>
      </c>
      <c r="D8" s="68">
        <f>+Assumptions!$E$36</f>
        <v>2.4902453271028035E-3</v>
      </c>
      <c r="E8" s="68">
        <f>+Assumptions!$E$36</f>
        <v>2.4902453271028035E-3</v>
      </c>
      <c r="F8" s="68">
        <f>+Assumptions!$E$36</f>
        <v>2.4902453271028035E-3</v>
      </c>
      <c r="G8" s="68">
        <f>+Assumptions!$E$36</f>
        <v>2.4902453271028035E-3</v>
      </c>
      <c r="H8" s="68">
        <f>+Assumptions!$E$36</f>
        <v>2.4902453271028035E-3</v>
      </c>
      <c r="I8" s="68">
        <f>+Assumptions!$E$36</f>
        <v>2.4902453271028035E-3</v>
      </c>
      <c r="J8" s="68">
        <f>+Assumptions!$E$36</f>
        <v>2.4902453271028035E-3</v>
      </c>
      <c r="K8" s="68">
        <f>+Assumptions!$E$36</f>
        <v>2.4902453271028035E-3</v>
      </c>
      <c r="L8" s="68">
        <f>+Assumptions!$E$36</f>
        <v>2.4902453271028035E-3</v>
      </c>
      <c r="M8" s="68">
        <f>+Assumptions!$E$36</f>
        <v>2.4902453271028035E-3</v>
      </c>
      <c r="N8" s="68">
        <f>+Assumptions!$E$36</f>
        <v>2.4902453271028035E-3</v>
      </c>
      <c r="O8" s="68">
        <f>+Assumptions!$E$36</f>
        <v>2.4902453271028035E-3</v>
      </c>
      <c r="P8" s="68">
        <f>+Assumptions!$E$36</f>
        <v>2.4902453271028035E-3</v>
      </c>
      <c r="Q8" s="68">
        <f>+Assumptions!$E$36</f>
        <v>2.4902453271028035E-3</v>
      </c>
      <c r="R8" s="68">
        <f>+Assumptions!$E$36</f>
        <v>2.4902453271028035E-3</v>
      </c>
      <c r="S8" s="68">
        <f>+Assumptions!$E$36</f>
        <v>2.4902453271028035E-3</v>
      </c>
      <c r="T8" s="68">
        <f>+Assumptions!$E$36</f>
        <v>2.4902453271028035E-3</v>
      </c>
      <c r="U8" s="68">
        <f>+Assumptions!$E$36</f>
        <v>2.4902453271028035E-3</v>
      </c>
      <c r="V8" s="68">
        <f>+Assumptions!$E$36</f>
        <v>2.4902453271028035E-3</v>
      </c>
      <c r="W8" s="68">
        <f>+Assumptions!$E$36</f>
        <v>2.4902453271028035E-3</v>
      </c>
      <c r="X8" s="68">
        <f>+Assumptions!$E$36</f>
        <v>2.4902453271028035E-3</v>
      </c>
      <c r="Y8" s="68">
        <f>+Assumptions!$E$36</f>
        <v>2.4902453271028035E-3</v>
      </c>
      <c r="Z8" s="68">
        <f>+Assumptions!$E$36</f>
        <v>2.4902453271028035E-3</v>
      </c>
      <c r="AA8" s="68">
        <f>+Assumptions!$E$36</f>
        <v>2.4902453271028035E-3</v>
      </c>
      <c r="AB8" s="68">
        <f>+Assumptions!$E$36</f>
        <v>2.4902453271028035E-3</v>
      </c>
      <c r="AC8" s="68">
        <f>+Assumptions!$E$36</f>
        <v>2.4902453271028035E-3</v>
      </c>
      <c r="AD8" s="68">
        <f>+Assumptions!$E$36</f>
        <v>2.4902453271028035E-3</v>
      </c>
      <c r="AE8" s="68">
        <f>+Assumptions!$E$36</f>
        <v>2.4902453271028035E-3</v>
      </c>
      <c r="AF8" s="68">
        <f>+Assumptions!$E$36</f>
        <v>2.4902453271028035E-3</v>
      </c>
      <c r="AG8" s="68">
        <f>+Assumptions!$E$36</f>
        <v>2.4902453271028035E-3</v>
      </c>
      <c r="AH8" s="68">
        <f>+Assumptions!$E$36</f>
        <v>2.4902453271028035E-3</v>
      </c>
      <c r="AI8" s="68">
        <f>+Assumptions!$E$36</f>
        <v>2.4902453271028035E-3</v>
      </c>
      <c r="AJ8" s="68">
        <f>+Assumptions!$E$36</f>
        <v>2.4902453271028035E-3</v>
      </c>
      <c r="AK8" s="68">
        <f>+Assumptions!$E$36</f>
        <v>2.4902453271028035E-3</v>
      </c>
      <c r="AL8" s="68">
        <f>+Assumptions!$E$36</f>
        <v>2.4902453271028035E-3</v>
      </c>
      <c r="AM8" s="68">
        <f>+Assumptions!$E$36</f>
        <v>2.4902453271028035E-3</v>
      </c>
      <c r="AN8" s="68">
        <f>+Assumptions!$E$36</f>
        <v>2.4902453271028035E-3</v>
      </c>
      <c r="AO8" s="68">
        <f>+Assumptions!$E$36</f>
        <v>2.4902453271028035E-3</v>
      </c>
      <c r="AP8" s="68">
        <f>+Assumptions!$E$36</f>
        <v>2.4902453271028035E-3</v>
      </c>
      <c r="AQ8" s="68">
        <f>+Assumptions!$E$36</f>
        <v>2.4902453271028035E-3</v>
      </c>
      <c r="AR8" s="68">
        <f>+Assumptions!$E$36</f>
        <v>2.4902453271028035E-3</v>
      </c>
      <c r="AS8" s="68">
        <f>+Assumptions!$E$36</f>
        <v>2.4902453271028035E-3</v>
      </c>
      <c r="AT8" s="68">
        <f>+Assumptions!$E$36</f>
        <v>2.4902453271028035E-3</v>
      </c>
      <c r="AU8" s="68">
        <f>+Assumptions!$E$36</f>
        <v>2.4902453271028035E-3</v>
      </c>
      <c r="AV8" s="68">
        <f>+Assumptions!$E$36</f>
        <v>2.4902453271028035E-3</v>
      </c>
      <c r="AW8" s="68">
        <f>+Assumptions!$E$36</f>
        <v>2.4902453271028035E-3</v>
      </c>
      <c r="AX8" s="68">
        <f>+Assumptions!$E$36</f>
        <v>2.4902453271028035E-3</v>
      </c>
      <c r="AY8" s="68">
        <f>+Assumptions!$E$36</f>
        <v>2.4902453271028035E-3</v>
      </c>
      <c r="AZ8" s="68">
        <f>+Assumptions!$E$36</f>
        <v>2.4902453271028035E-3</v>
      </c>
      <c r="BA8" s="68">
        <f>+Assumptions!$E$36</f>
        <v>2.4902453271028035E-3</v>
      </c>
      <c r="BB8" s="68">
        <f>+Assumptions!$E$36</f>
        <v>2.4902453271028035E-3</v>
      </c>
      <c r="BC8" s="68">
        <f>+Assumptions!$E$36</f>
        <v>2.4902453271028035E-3</v>
      </c>
      <c r="BD8" s="68">
        <f>+Assumptions!$E$36</f>
        <v>2.4902453271028035E-3</v>
      </c>
      <c r="BE8" s="68">
        <f>+Assumptions!$E$36</f>
        <v>2.4902453271028035E-3</v>
      </c>
      <c r="BF8" s="68">
        <f>+Assumptions!$E$36</f>
        <v>2.4902453271028035E-3</v>
      </c>
      <c r="BG8" s="68">
        <f>+Assumptions!$E$36</f>
        <v>2.4902453271028035E-3</v>
      </c>
      <c r="BH8" s="68">
        <f>+Assumptions!$E$36</f>
        <v>2.4902453271028035E-3</v>
      </c>
      <c r="BI8" s="68">
        <f>+Assumptions!$E$36</f>
        <v>2.4902453271028035E-3</v>
      </c>
      <c r="BJ8" s="68">
        <f>+Assumptions!$E$36</f>
        <v>2.4902453271028035E-3</v>
      </c>
      <c r="BK8" s="68">
        <f>+Assumptions!$E$36</f>
        <v>2.4902453271028035E-3</v>
      </c>
      <c r="BL8" s="68">
        <f>+Assumptions!$E$36</f>
        <v>2.4902453271028035E-3</v>
      </c>
      <c r="BM8" s="68">
        <f>+Assumptions!$E$36</f>
        <v>2.4902453271028035E-3</v>
      </c>
      <c r="BN8" s="68">
        <f>+Assumptions!$E$36</f>
        <v>2.4902453271028035E-3</v>
      </c>
      <c r="BO8" s="68">
        <f>+Assumptions!$E$36</f>
        <v>2.4902453271028035E-3</v>
      </c>
      <c r="BP8" s="68">
        <f>+Assumptions!$E$36</f>
        <v>2.4902453271028035E-3</v>
      </c>
      <c r="BQ8" s="68">
        <f>+Assumptions!$E$36</f>
        <v>2.4902453271028035E-3</v>
      </c>
      <c r="BR8" s="68">
        <f>+Assumptions!$E$36</f>
        <v>2.4902453271028035E-3</v>
      </c>
      <c r="BS8" s="68">
        <f>+Assumptions!$E$36</f>
        <v>2.4902453271028035E-3</v>
      </c>
      <c r="BT8" s="68">
        <f>+Assumptions!$E$36</f>
        <v>2.4902453271028035E-3</v>
      </c>
      <c r="BU8" s="68">
        <f>+Assumptions!$E$36</f>
        <v>2.4902453271028035E-3</v>
      </c>
      <c r="BV8" s="68">
        <f>+Assumptions!$E$36</f>
        <v>2.4902453271028035E-3</v>
      </c>
      <c r="BW8" s="68">
        <f>+Assumptions!$E$36</f>
        <v>2.4902453271028035E-3</v>
      </c>
      <c r="BX8" s="68">
        <f>+Assumptions!$E$36</f>
        <v>2.4902453271028035E-3</v>
      </c>
      <c r="BY8" s="68">
        <f>+Assumptions!$E$36</f>
        <v>2.4902453271028035E-3</v>
      </c>
      <c r="BZ8" s="68">
        <f>+Assumptions!$E$36</f>
        <v>2.4902453271028035E-3</v>
      </c>
      <c r="CA8" s="68">
        <f>+Assumptions!$E$36</f>
        <v>2.4902453271028035E-3</v>
      </c>
      <c r="CB8" s="68">
        <f>+Assumptions!$E$36</f>
        <v>2.4902453271028035E-3</v>
      </c>
      <c r="CC8" s="68">
        <f>+Assumptions!$E$36</f>
        <v>2.4902453271028035E-3</v>
      </c>
      <c r="CD8" s="68">
        <f>+Assumptions!$E$36</f>
        <v>2.4902453271028035E-3</v>
      </c>
      <c r="CE8" s="68">
        <f>+Assumptions!$E$36</f>
        <v>2.4902453271028035E-3</v>
      </c>
      <c r="CF8" s="68">
        <f>+Assumptions!$E$36</f>
        <v>2.4902453271028035E-3</v>
      </c>
      <c r="CG8" s="68">
        <f>+Assumptions!$E$36</f>
        <v>2.4902453271028035E-3</v>
      </c>
      <c r="CH8" s="68">
        <f>+Assumptions!$E$36</f>
        <v>2.4902453271028035E-3</v>
      </c>
      <c r="CI8" s="68">
        <f>+Assumptions!$E$36</f>
        <v>2.4902453271028035E-3</v>
      </c>
      <c r="CJ8" s="68">
        <f>+Assumptions!$E$36</f>
        <v>2.4902453271028035E-3</v>
      </c>
      <c r="CK8" s="68">
        <f>+Assumptions!$E$36</f>
        <v>2.4902453271028035E-3</v>
      </c>
      <c r="CL8" s="68">
        <f>+Assumptions!$E$36</f>
        <v>2.4902453271028035E-3</v>
      </c>
      <c r="CM8" s="68">
        <f>+Assumptions!$E$36</f>
        <v>2.4902453271028035E-3</v>
      </c>
      <c r="CN8" s="68">
        <f>+Assumptions!$E$36</f>
        <v>2.4902453271028035E-3</v>
      </c>
      <c r="CO8" s="68">
        <f>+Assumptions!$E$36</f>
        <v>2.4902453271028035E-3</v>
      </c>
      <c r="CP8" s="68">
        <f>+Assumptions!$E$36</f>
        <v>2.4902453271028035E-3</v>
      </c>
      <c r="CQ8" s="68">
        <f>+Assumptions!$E$36</f>
        <v>2.4902453271028035E-3</v>
      </c>
      <c r="CR8" s="68">
        <f>+Assumptions!$E$36</f>
        <v>2.4902453271028035E-3</v>
      </c>
      <c r="CS8" s="68">
        <f>+Assumptions!$E$36</f>
        <v>2.4902453271028035E-3</v>
      </c>
      <c r="CT8" s="68">
        <f>+Assumptions!$E$36</f>
        <v>2.4902453271028035E-3</v>
      </c>
      <c r="CU8" s="68">
        <f>+Assumptions!$E$36</f>
        <v>2.4902453271028035E-3</v>
      </c>
      <c r="CV8" s="68">
        <f>+Assumptions!$E$36</f>
        <v>2.4902453271028035E-3</v>
      </c>
      <c r="CW8" s="68">
        <f>+Assumptions!$E$36</f>
        <v>2.4902453271028035E-3</v>
      </c>
      <c r="CX8" s="68">
        <f>+Assumptions!$E$36</f>
        <v>2.4902453271028035E-3</v>
      </c>
      <c r="CY8" s="68">
        <f>+Assumptions!$E$36</f>
        <v>2.4902453271028035E-3</v>
      </c>
      <c r="CZ8" s="68">
        <f>+Assumptions!$E$36</f>
        <v>2.4902453271028035E-3</v>
      </c>
      <c r="DA8" s="68">
        <f>+Assumptions!$E$36</f>
        <v>2.4902453271028035E-3</v>
      </c>
      <c r="DB8" s="68">
        <f>+Assumptions!$E$36</f>
        <v>2.4902453271028035E-3</v>
      </c>
      <c r="DC8" s="68">
        <f>+Assumptions!$E$36</f>
        <v>2.4902453271028035E-3</v>
      </c>
      <c r="DD8" s="68">
        <f>+Assumptions!$E$36</f>
        <v>2.4902453271028035E-3</v>
      </c>
      <c r="DE8" s="68">
        <f>+Assumptions!$E$36</f>
        <v>2.4902453271028035E-3</v>
      </c>
      <c r="DF8" s="68">
        <f>+Assumptions!$E$36</f>
        <v>2.4902453271028035E-3</v>
      </c>
      <c r="DG8" s="68">
        <f>+Assumptions!$E$36</f>
        <v>2.4902453271028035E-3</v>
      </c>
      <c r="DH8" s="68">
        <f>+Assumptions!$E$36</f>
        <v>2.4902453271028035E-3</v>
      </c>
      <c r="DI8" s="68">
        <f>+Assumptions!$E$36</f>
        <v>2.4902453271028035E-3</v>
      </c>
      <c r="DJ8" s="68">
        <f>+Assumptions!$E$36</f>
        <v>2.4902453271028035E-3</v>
      </c>
      <c r="DK8" s="68">
        <f>+Assumptions!$E$36</f>
        <v>2.4902453271028035E-3</v>
      </c>
      <c r="DL8" s="68">
        <f>+Assumptions!$E$36</f>
        <v>2.4902453271028035E-3</v>
      </c>
      <c r="DM8" s="68">
        <f>+Assumptions!$E$36</f>
        <v>2.4902453271028035E-3</v>
      </c>
      <c r="DN8" s="68">
        <f>+Assumptions!$E$36</f>
        <v>2.4902453271028035E-3</v>
      </c>
      <c r="DO8" s="68">
        <f>+Assumptions!$E$36</f>
        <v>2.4902453271028035E-3</v>
      </c>
      <c r="DP8" s="68">
        <f>+Assumptions!$E$36</f>
        <v>2.4902453271028035E-3</v>
      </c>
      <c r="DQ8" s="68">
        <f>+Assumptions!$E$36</f>
        <v>2.4902453271028035E-3</v>
      </c>
      <c r="DR8" s="68">
        <f>+Assumptions!$E$36</f>
        <v>2.4902453271028035E-3</v>
      </c>
      <c r="DT8" s="55"/>
    </row>
    <row r="9" spans="2:125" x14ac:dyDescent="0.3">
      <c r="B9" s="52" t="s">
        <v>426</v>
      </c>
      <c r="C9" s="68">
        <f>+Assumptions!$L$36</f>
        <v>6.6406542056074765E-3</v>
      </c>
      <c r="D9" s="68">
        <f>+Assumptions!$L$36</f>
        <v>6.6406542056074765E-3</v>
      </c>
      <c r="E9" s="68">
        <f>+Assumptions!$L$36</f>
        <v>6.6406542056074765E-3</v>
      </c>
      <c r="F9" s="68">
        <f>+Assumptions!$L$36</f>
        <v>6.6406542056074765E-3</v>
      </c>
      <c r="G9" s="68">
        <f>+Assumptions!$L$36</f>
        <v>6.6406542056074765E-3</v>
      </c>
      <c r="H9" s="68">
        <f>+Assumptions!$L$36</f>
        <v>6.6406542056074765E-3</v>
      </c>
      <c r="I9" s="68">
        <f>+Assumptions!$L$36</f>
        <v>6.6406542056074765E-3</v>
      </c>
      <c r="J9" s="68">
        <f>+Assumptions!$L$36</f>
        <v>6.6406542056074765E-3</v>
      </c>
      <c r="K9" s="68">
        <f>+Assumptions!$L$36</f>
        <v>6.6406542056074765E-3</v>
      </c>
      <c r="L9" s="68">
        <f>+Assumptions!$L$36</f>
        <v>6.6406542056074765E-3</v>
      </c>
      <c r="M9" s="68">
        <f>+Assumptions!$L$36</f>
        <v>6.6406542056074765E-3</v>
      </c>
      <c r="N9" s="68">
        <f>+Assumptions!$L$36</f>
        <v>6.6406542056074765E-3</v>
      </c>
      <c r="O9" s="68">
        <f>+Assumptions!$L$36</f>
        <v>6.6406542056074765E-3</v>
      </c>
      <c r="P9" s="68">
        <f>+Assumptions!$L$36</f>
        <v>6.6406542056074765E-3</v>
      </c>
      <c r="Q9" s="68">
        <f>+Assumptions!$L$36</f>
        <v>6.6406542056074765E-3</v>
      </c>
      <c r="R9" s="68">
        <f>+Assumptions!$L$36</f>
        <v>6.6406542056074765E-3</v>
      </c>
      <c r="S9" s="68">
        <f>+Assumptions!$L$36</f>
        <v>6.6406542056074765E-3</v>
      </c>
      <c r="T9" s="68">
        <f>+Assumptions!$L$36</f>
        <v>6.6406542056074765E-3</v>
      </c>
      <c r="U9" s="68">
        <f>+Assumptions!$L$36</f>
        <v>6.6406542056074765E-3</v>
      </c>
      <c r="V9" s="68">
        <f>+Assumptions!$L$36</f>
        <v>6.6406542056074765E-3</v>
      </c>
      <c r="W9" s="68">
        <f>+Assumptions!$L$36</f>
        <v>6.6406542056074765E-3</v>
      </c>
      <c r="X9" s="68">
        <f>+Assumptions!$L$36</f>
        <v>6.6406542056074765E-3</v>
      </c>
      <c r="Y9" s="68">
        <f>+Assumptions!$L$36</f>
        <v>6.6406542056074765E-3</v>
      </c>
      <c r="Z9" s="68">
        <f>+Assumptions!$L$36</f>
        <v>6.6406542056074765E-3</v>
      </c>
      <c r="AA9" s="68">
        <f>+Assumptions!$L$36</f>
        <v>6.6406542056074765E-3</v>
      </c>
      <c r="AB9" s="68">
        <f>+Assumptions!$L$36</f>
        <v>6.6406542056074765E-3</v>
      </c>
      <c r="AC9" s="68">
        <f>+Assumptions!$L$36</f>
        <v>6.6406542056074765E-3</v>
      </c>
      <c r="AD9" s="68">
        <f>+Assumptions!$L$36</f>
        <v>6.6406542056074765E-3</v>
      </c>
      <c r="AE9" s="68">
        <f>+Assumptions!$L$36</f>
        <v>6.6406542056074765E-3</v>
      </c>
      <c r="AF9" s="68">
        <f>+Assumptions!$L$36</f>
        <v>6.6406542056074765E-3</v>
      </c>
      <c r="AG9" s="68">
        <f>+Assumptions!$L$36</f>
        <v>6.6406542056074765E-3</v>
      </c>
      <c r="AH9" s="68">
        <f>+Assumptions!$L$36</f>
        <v>6.6406542056074765E-3</v>
      </c>
      <c r="AI9" s="68">
        <f>+Assumptions!$L$36</f>
        <v>6.6406542056074765E-3</v>
      </c>
      <c r="AJ9" s="68">
        <f>+Assumptions!$L$36</f>
        <v>6.6406542056074765E-3</v>
      </c>
      <c r="AK9" s="68">
        <f>+Assumptions!$L$36</f>
        <v>6.6406542056074765E-3</v>
      </c>
      <c r="AL9" s="68">
        <f>+Assumptions!$L$36</f>
        <v>6.6406542056074765E-3</v>
      </c>
      <c r="AM9" s="68">
        <f>+Assumptions!$L$36</f>
        <v>6.6406542056074765E-3</v>
      </c>
      <c r="AN9" s="68">
        <f>+Assumptions!$L$36</f>
        <v>6.6406542056074765E-3</v>
      </c>
      <c r="AO9" s="68">
        <f>+Assumptions!$L$36</f>
        <v>6.6406542056074765E-3</v>
      </c>
      <c r="AP9" s="68">
        <f>+Assumptions!$L$36</f>
        <v>6.6406542056074765E-3</v>
      </c>
      <c r="AQ9" s="68">
        <f>+Assumptions!$L$36</f>
        <v>6.6406542056074765E-3</v>
      </c>
      <c r="AR9" s="68">
        <f>+Assumptions!$L$36</f>
        <v>6.6406542056074765E-3</v>
      </c>
      <c r="AS9" s="68">
        <f>+Assumptions!$L$36</f>
        <v>6.6406542056074765E-3</v>
      </c>
      <c r="AT9" s="68">
        <f>+Assumptions!$L$36</f>
        <v>6.6406542056074765E-3</v>
      </c>
      <c r="AU9" s="68">
        <f>+Assumptions!$L$36</f>
        <v>6.6406542056074765E-3</v>
      </c>
      <c r="AV9" s="68">
        <f>+Assumptions!$L$36</f>
        <v>6.6406542056074765E-3</v>
      </c>
      <c r="AW9" s="68">
        <f>+Assumptions!$L$36</f>
        <v>6.6406542056074765E-3</v>
      </c>
      <c r="AX9" s="68">
        <f>+Assumptions!$L$36</f>
        <v>6.6406542056074765E-3</v>
      </c>
      <c r="AY9" s="68">
        <f>+Assumptions!$L$36</f>
        <v>6.6406542056074765E-3</v>
      </c>
      <c r="AZ9" s="68">
        <f>+Assumptions!$L$36</f>
        <v>6.6406542056074765E-3</v>
      </c>
      <c r="BA9" s="68">
        <f>+Assumptions!$L$36</f>
        <v>6.6406542056074765E-3</v>
      </c>
      <c r="BB9" s="68">
        <f>+Assumptions!$L$36</f>
        <v>6.6406542056074765E-3</v>
      </c>
      <c r="BC9" s="68">
        <f>+Assumptions!$L$36</f>
        <v>6.6406542056074765E-3</v>
      </c>
      <c r="BD9" s="68">
        <f>+Assumptions!$L$36</f>
        <v>6.6406542056074765E-3</v>
      </c>
      <c r="BE9" s="68">
        <f>+Assumptions!$L$36</f>
        <v>6.6406542056074765E-3</v>
      </c>
      <c r="BF9" s="68">
        <f>+Assumptions!$L$36</f>
        <v>6.6406542056074765E-3</v>
      </c>
      <c r="BG9" s="68">
        <f>+Assumptions!$L$36</f>
        <v>6.6406542056074765E-3</v>
      </c>
      <c r="BH9" s="68">
        <f>+Assumptions!$L$36</f>
        <v>6.6406542056074765E-3</v>
      </c>
      <c r="BI9" s="68">
        <f>+Assumptions!$L$36</f>
        <v>6.6406542056074765E-3</v>
      </c>
      <c r="BJ9" s="68">
        <f>+Assumptions!$L$36</f>
        <v>6.6406542056074765E-3</v>
      </c>
      <c r="BK9" s="68">
        <f>+Assumptions!$L$36</f>
        <v>6.6406542056074765E-3</v>
      </c>
      <c r="BL9" s="68">
        <f>+Assumptions!$L$36</f>
        <v>6.6406542056074765E-3</v>
      </c>
      <c r="BM9" s="68">
        <f>+Assumptions!$L$36</f>
        <v>6.6406542056074765E-3</v>
      </c>
      <c r="BN9" s="68">
        <f>+Assumptions!$L$36</f>
        <v>6.6406542056074765E-3</v>
      </c>
      <c r="BO9" s="68">
        <f>+Assumptions!$L$36</f>
        <v>6.6406542056074765E-3</v>
      </c>
      <c r="BP9" s="68">
        <f>+Assumptions!$L$36</f>
        <v>6.6406542056074765E-3</v>
      </c>
      <c r="BQ9" s="68">
        <f>+Assumptions!$L$36</f>
        <v>6.6406542056074765E-3</v>
      </c>
      <c r="BR9" s="68">
        <f>+Assumptions!$L$36</f>
        <v>6.6406542056074765E-3</v>
      </c>
      <c r="BS9" s="68">
        <f>+Assumptions!$L$36</f>
        <v>6.6406542056074765E-3</v>
      </c>
      <c r="BT9" s="68">
        <f>+Assumptions!$L$36</f>
        <v>6.6406542056074765E-3</v>
      </c>
      <c r="BU9" s="68">
        <f>+Assumptions!$L$36</f>
        <v>6.6406542056074765E-3</v>
      </c>
      <c r="BV9" s="68">
        <f>+Assumptions!$L$36</f>
        <v>6.6406542056074765E-3</v>
      </c>
      <c r="BW9" s="68">
        <f>+Assumptions!$L$36</f>
        <v>6.6406542056074765E-3</v>
      </c>
      <c r="BX9" s="68">
        <f>+Assumptions!$L$36</f>
        <v>6.6406542056074765E-3</v>
      </c>
      <c r="BY9" s="68">
        <f>+Assumptions!$L$36</f>
        <v>6.6406542056074765E-3</v>
      </c>
      <c r="BZ9" s="68">
        <f>+Assumptions!$L$36</f>
        <v>6.6406542056074765E-3</v>
      </c>
      <c r="CA9" s="68">
        <f>+Assumptions!$L$36</f>
        <v>6.6406542056074765E-3</v>
      </c>
      <c r="CB9" s="68">
        <f>+Assumptions!$L$36</f>
        <v>6.6406542056074765E-3</v>
      </c>
      <c r="CC9" s="68">
        <f>+Assumptions!$L$36</f>
        <v>6.6406542056074765E-3</v>
      </c>
      <c r="CD9" s="68">
        <f>+Assumptions!$L$36</f>
        <v>6.6406542056074765E-3</v>
      </c>
      <c r="CE9" s="68">
        <f>+Assumptions!$L$36</f>
        <v>6.6406542056074765E-3</v>
      </c>
      <c r="CF9" s="68">
        <f>+Assumptions!$L$36</f>
        <v>6.6406542056074765E-3</v>
      </c>
      <c r="CG9" s="68">
        <f>+Assumptions!$L$36</f>
        <v>6.6406542056074765E-3</v>
      </c>
      <c r="CH9" s="68">
        <f>+Assumptions!$L$36</f>
        <v>6.6406542056074765E-3</v>
      </c>
      <c r="CI9" s="68">
        <f>+Assumptions!$L$36</f>
        <v>6.6406542056074765E-3</v>
      </c>
      <c r="CJ9" s="68">
        <f>+Assumptions!$L$36</f>
        <v>6.6406542056074765E-3</v>
      </c>
      <c r="CK9" s="68">
        <f>+Assumptions!$L$36</f>
        <v>6.6406542056074765E-3</v>
      </c>
      <c r="CL9" s="68">
        <f>+Assumptions!$L$36</f>
        <v>6.6406542056074765E-3</v>
      </c>
      <c r="CM9" s="68">
        <f>+Assumptions!$L$36</f>
        <v>6.6406542056074765E-3</v>
      </c>
      <c r="CN9" s="68">
        <f>+Assumptions!$L$36</f>
        <v>6.6406542056074765E-3</v>
      </c>
      <c r="CO9" s="68">
        <f>+Assumptions!$L$36</f>
        <v>6.6406542056074765E-3</v>
      </c>
      <c r="CP9" s="68">
        <f>+Assumptions!$L$36</f>
        <v>6.6406542056074765E-3</v>
      </c>
      <c r="CQ9" s="68">
        <f>+Assumptions!$L$36</f>
        <v>6.6406542056074765E-3</v>
      </c>
      <c r="CR9" s="68">
        <f>+Assumptions!$L$36</f>
        <v>6.6406542056074765E-3</v>
      </c>
      <c r="CS9" s="68">
        <f>+Assumptions!$L$36</f>
        <v>6.6406542056074765E-3</v>
      </c>
      <c r="CT9" s="68">
        <f>+Assumptions!$L$36</f>
        <v>6.6406542056074765E-3</v>
      </c>
      <c r="CU9" s="68">
        <f>+Assumptions!$L$36</f>
        <v>6.6406542056074765E-3</v>
      </c>
      <c r="CV9" s="68">
        <f>+Assumptions!$L$36</f>
        <v>6.6406542056074765E-3</v>
      </c>
      <c r="CW9" s="68">
        <f>+Assumptions!$L$36</f>
        <v>6.6406542056074765E-3</v>
      </c>
      <c r="CX9" s="68">
        <f>+Assumptions!$L$36</f>
        <v>6.6406542056074765E-3</v>
      </c>
      <c r="CY9" s="68">
        <f>+Assumptions!$L$36</f>
        <v>6.6406542056074765E-3</v>
      </c>
      <c r="CZ9" s="68">
        <f>+Assumptions!$L$36</f>
        <v>6.6406542056074765E-3</v>
      </c>
      <c r="DA9" s="68">
        <f>+Assumptions!$L$36</f>
        <v>6.6406542056074765E-3</v>
      </c>
      <c r="DB9" s="68">
        <f>+Assumptions!$L$36</f>
        <v>6.6406542056074765E-3</v>
      </c>
      <c r="DC9" s="68">
        <f>+Assumptions!$L$36</f>
        <v>6.6406542056074765E-3</v>
      </c>
      <c r="DD9" s="68">
        <f>+Assumptions!$L$36</f>
        <v>6.6406542056074765E-3</v>
      </c>
      <c r="DE9" s="68">
        <f>+Assumptions!$L$36</f>
        <v>6.6406542056074765E-3</v>
      </c>
      <c r="DF9" s="68">
        <f>+Assumptions!$L$36</f>
        <v>6.6406542056074765E-3</v>
      </c>
      <c r="DG9" s="68">
        <f>+Assumptions!$L$36</f>
        <v>6.6406542056074765E-3</v>
      </c>
      <c r="DH9" s="68">
        <f>+Assumptions!$L$36</f>
        <v>6.6406542056074765E-3</v>
      </c>
      <c r="DI9" s="68">
        <f>+Assumptions!$L$36</f>
        <v>6.6406542056074765E-3</v>
      </c>
      <c r="DJ9" s="68">
        <f>+Assumptions!$L$36</f>
        <v>6.6406542056074765E-3</v>
      </c>
      <c r="DK9" s="68">
        <f>+Assumptions!$L$36</f>
        <v>6.6406542056074765E-3</v>
      </c>
      <c r="DL9" s="68">
        <f>+Assumptions!$L$36</f>
        <v>6.6406542056074765E-3</v>
      </c>
      <c r="DM9" s="68">
        <f>+Assumptions!$L$36</f>
        <v>6.6406542056074765E-3</v>
      </c>
      <c r="DN9" s="68">
        <f>+Assumptions!$L$36</f>
        <v>6.6406542056074765E-3</v>
      </c>
      <c r="DO9" s="68">
        <f>+Assumptions!$L$36</f>
        <v>6.6406542056074765E-3</v>
      </c>
      <c r="DP9" s="68">
        <f>+Assumptions!$L$36</f>
        <v>6.6406542056074765E-3</v>
      </c>
      <c r="DQ9" s="68">
        <f>+Assumptions!$L$36</f>
        <v>6.6406542056074765E-3</v>
      </c>
      <c r="DR9" s="68">
        <f>+Assumptions!$L$36</f>
        <v>6.6406542056074765E-3</v>
      </c>
      <c r="DT9" s="55"/>
    </row>
    <row r="10" spans="2:125" x14ac:dyDescent="0.3">
      <c r="B10" s="52" t="s">
        <v>412</v>
      </c>
      <c r="C10" s="68">
        <f>+Assumptions!$C$27*Assumptions!$D$27</f>
        <v>7.5120395869191061E-3</v>
      </c>
      <c r="D10" s="68">
        <f>+Assumptions!$C$27*Assumptions!$D$27</f>
        <v>7.5120395869191061E-3</v>
      </c>
      <c r="E10" s="68">
        <f>+Assumptions!$C$27*Assumptions!$D$27</f>
        <v>7.5120395869191061E-3</v>
      </c>
      <c r="F10" s="68">
        <f>+Assumptions!$C$27*Assumptions!$D$27</f>
        <v>7.5120395869191061E-3</v>
      </c>
      <c r="G10" s="68">
        <f>+Assumptions!$C$27*Assumptions!$D$27</f>
        <v>7.5120395869191061E-3</v>
      </c>
      <c r="H10" s="68">
        <f>+Assumptions!$C$27*Assumptions!$D$27</f>
        <v>7.5120395869191061E-3</v>
      </c>
      <c r="I10" s="68">
        <f>+Assumptions!$C$27*Assumptions!$D$27</f>
        <v>7.5120395869191061E-3</v>
      </c>
      <c r="J10" s="68">
        <f>+Assumptions!$C$27*Assumptions!$D$27</f>
        <v>7.5120395869191061E-3</v>
      </c>
      <c r="K10" s="68">
        <f>+Assumptions!$C$27*Assumptions!$D$27</f>
        <v>7.5120395869191061E-3</v>
      </c>
      <c r="L10" s="68">
        <f>+Assumptions!$C$27*Assumptions!$D$27</f>
        <v>7.5120395869191061E-3</v>
      </c>
      <c r="M10" s="68">
        <f>+Assumptions!$C$27*Assumptions!$D$27</f>
        <v>7.5120395869191061E-3</v>
      </c>
      <c r="N10" s="68">
        <f>+Assumptions!$C$27*Assumptions!$D$27</f>
        <v>7.5120395869191061E-3</v>
      </c>
      <c r="O10" s="68">
        <f>+Assumptions!$C$27*Assumptions!$D$27</f>
        <v>7.5120395869191061E-3</v>
      </c>
      <c r="P10" s="68">
        <f>+Assumptions!$C$27*Assumptions!$D$27</f>
        <v>7.5120395869191061E-3</v>
      </c>
      <c r="Q10" s="68">
        <f>+Assumptions!$C$27*Assumptions!$D$27</f>
        <v>7.5120395869191061E-3</v>
      </c>
      <c r="R10" s="68">
        <f>+Assumptions!$C$27*Assumptions!$D$27</f>
        <v>7.5120395869191061E-3</v>
      </c>
      <c r="S10" s="68">
        <f>+Assumptions!$C$27*Assumptions!$D$27</f>
        <v>7.5120395869191061E-3</v>
      </c>
      <c r="T10" s="68">
        <f>+Assumptions!$C$27*Assumptions!$D$27</f>
        <v>7.5120395869191061E-3</v>
      </c>
      <c r="U10" s="68">
        <f>+Assumptions!$C$27*Assumptions!$D$27</f>
        <v>7.5120395869191061E-3</v>
      </c>
      <c r="V10" s="68">
        <f>+Assumptions!$C$27*Assumptions!$D$27</f>
        <v>7.5120395869191061E-3</v>
      </c>
      <c r="W10" s="68">
        <f>+Assumptions!$C$27*Assumptions!$D$27</f>
        <v>7.5120395869191061E-3</v>
      </c>
      <c r="X10" s="68">
        <f>+Assumptions!$C$27*Assumptions!$D$27</f>
        <v>7.5120395869191061E-3</v>
      </c>
      <c r="Y10" s="68">
        <f>+Assumptions!$C$27*Assumptions!$D$27</f>
        <v>7.5120395869191061E-3</v>
      </c>
      <c r="Z10" s="68">
        <f>+Assumptions!$C$27*Assumptions!$D$27</f>
        <v>7.5120395869191061E-3</v>
      </c>
      <c r="AA10" s="68">
        <f>+Assumptions!$C$27*Assumptions!$D$27</f>
        <v>7.5120395869191061E-3</v>
      </c>
      <c r="AB10" s="68">
        <f>+Assumptions!$C$27*Assumptions!$D$27</f>
        <v>7.5120395869191061E-3</v>
      </c>
      <c r="AC10" s="68">
        <f>+Assumptions!$C$27*Assumptions!$D$27</f>
        <v>7.5120395869191061E-3</v>
      </c>
      <c r="AD10" s="68">
        <f>+Assumptions!$C$27*Assumptions!$D$27</f>
        <v>7.5120395869191061E-3</v>
      </c>
      <c r="AE10" s="68">
        <f>+Assumptions!$C$27*Assumptions!$D$27</f>
        <v>7.5120395869191061E-3</v>
      </c>
      <c r="AF10" s="68">
        <f>+Assumptions!$C$27*Assumptions!$D$27</f>
        <v>7.5120395869191061E-3</v>
      </c>
      <c r="AG10" s="68">
        <f>+Assumptions!$C$27*Assumptions!$D$27</f>
        <v>7.5120395869191061E-3</v>
      </c>
      <c r="AH10" s="68">
        <f>+Assumptions!$C$27*Assumptions!$D$27</f>
        <v>7.5120395869191061E-3</v>
      </c>
      <c r="AI10" s="68">
        <f>+Assumptions!$C$27*Assumptions!$D$27</f>
        <v>7.5120395869191061E-3</v>
      </c>
      <c r="AJ10" s="68">
        <f>+Assumptions!$C$27*Assumptions!$D$27</f>
        <v>7.5120395869191061E-3</v>
      </c>
      <c r="AK10" s="68">
        <f>+Assumptions!$C$27*Assumptions!$D$27</f>
        <v>7.5120395869191061E-3</v>
      </c>
      <c r="AL10" s="68">
        <f>+Assumptions!$C$27*Assumptions!$D$27</f>
        <v>7.5120395869191061E-3</v>
      </c>
      <c r="AM10" s="68">
        <f>+Assumptions!$C$27*Assumptions!$D$27</f>
        <v>7.5120395869191061E-3</v>
      </c>
      <c r="AN10" s="68">
        <f>+Assumptions!$C$27*Assumptions!$D$27</f>
        <v>7.5120395869191061E-3</v>
      </c>
      <c r="AO10" s="68">
        <f>+Assumptions!$C$27*Assumptions!$D$27</f>
        <v>7.5120395869191061E-3</v>
      </c>
      <c r="AP10" s="68">
        <f>+Assumptions!$C$27*Assumptions!$D$27</f>
        <v>7.5120395869191061E-3</v>
      </c>
      <c r="AQ10" s="68">
        <f>+Assumptions!$C$27*Assumptions!$D$27</f>
        <v>7.5120395869191061E-3</v>
      </c>
      <c r="AR10" s="68">
        <f>+Assumptions!$C$27*Assumptions!$D$27</f>
        <v>7.5120395869191061E-3</v>
      </c>
      <c r="AS10" s="68">
        <f>+Assumptions!$C$27*Assumptions!$D$27</f>
        <v>7.5120395869191061E-3</v>
      </c>
      <c r="AT10" s="68">
        <f>+Assumptions!$C$27*Assumptions!$D$27</f>
        <v>7.5120395869191061E-3</v>
      </c>
      <c r="AU10" s="68">
        <f>+Assumptions!$C$27*Assumptions!$D$27</f>
        <v>7.5120395869191061E-3</v>
      </c>
      <c r="AV10" s="68">
        <f>+Assumptions!$C$27*Assumptions!$D$27</f>
        <v>7.5120395869191061E-3</v>
      </c>
      <c r="AW10" s="68">
        <f>+Assumptions!$C$27*Assumptions!$D$27</f>
        <v>7.5120395869191061E-3</v>
      </c>
      <c r="AX10" s="68">
        <f>+Assumptions!$C$27*Assumptions!$D$27</f>
        <v>7.5120395869191061E-3</v>
      </c>
      <c r="AY10" s="68">
        <f>+Assumptions!$C$27*Assumptions!$D$27</f>
        <v>7.5120395869191061E-3</v>
      </c>
      <c r="AZ10" s="68">
        <f>+Assumptions!$C$27*Assumptions!$D$27</f>
        <v>7.5120395869191061E-3</v>
      </c>
      <c r="BA10" s="68">
        <f>+Assumptions!$C$27*Assumptions!$D$27</f>
        <v>7.5120395869191061E-3</v>
      </c>
      <c r="BB10" s="68">
        <f>+Assumptions!$C$27*Assumptions!$D$27</f>
        <v>7.5120395869191061E-3</v>
      </c>
      <c r="BC10" s="68">
        <f>+Assumptions!$C$27*Assumptions!$D$27</f>
        <v>7.5120395869191061E-3</v>
      </c>
      <c r="BD10" s="68">
        <f>+Assumptions!$C$27*Assumptions!$D$27</f>
        <v>7.5120395869191061E-3</v>
      </c>
      <c r="BE10" s="68">
        <f>+Assumptions!$C$27*Assumptions!$D$27</f>
        <v>7.5120395869191061E-3</v>
      </c>
      <c r="BF10" s="68">
        <f>+Assumptions!$C$27*Assumptions!$D$27</f>
        <v>7.5120395869191061E-3</v>
      </c>
      <c r="BG10" s="68">
        <f>+Assumptions!$C$27*Assumptions!$D$27</f>
        <v>7.5120395869191061E-3</v>
      </c>
      <c r="BH10" s="68">
        <f>+Assumptions!$C$27*Assumptions!$D$27</f>
        <v>7.5120395869191061E-3</v>
      </c>
      <c r="BI10" s="68">
        <f>+Assumptions!$C$27*Assumptions!$D$27</f>
        <v>7.5120395869191061E-3</v>
      </c>
      <c r="BJ10" s="68">
        <f>+Assumptions!$C$27*Assumptions!$D$27</f>
        <v>7.5120395869191061E-3</v>
      </c>
      <c r="BK10" s="68">
        <f>+Assumptions!$C$27*Assumptions!$D$27</f>
        <v>7.5120395869191061E-3</v>
      </c>
      <c r="BL10" s="68">
        <f>+Assumptions!$C$27*Assumptions!$D$27</f>
        <v>7.5120395869191061E-3</v>
      </c>
      <c r="BM10" s="68">
        <f>+Assumptions!$C$27*Assumptions!$D$27</f>
        <v>7.5120395869191061E-3</v>
      </c>
      <c r="BN10" s="68">
        <f>+Assumptions!$C$27*Assumptions!$D$27</f>
        <v>7.5120395869191061E-3</v>
      </c>
      <c r="BO10" s="68">
        <f>+Assumptions!$C$27*Assumptions!$D$27</f>
        <v>7.5120395869191061E-3</v>
      </c>
      <c r="BP10" s="68">
        <f>+Assumptions!$C$27*Assumptions!$D$27</f>
        <v>7.5120395869191061E-3</v>
      </c>
      <c r="BQ10" s="68">
        <f>+Assumptions!$C$27*Assumptions!$D$27</f>
        <v>7.5120395869191061E-3</v>
      </c>
      <c r="BR10" s="68">
        <f>+Assumptions!$C$27*Assumptions!$D$27</f>
        <v>7.5120395869191061E-3</v>
      </c>
      <c r="BS10" s="68">
        <f>+Assumptions!$C$27*Assumptions!$D$27</f>
        <v>7.5120395869191061E-3</v>
      </c>
      <c r="BT10" s="68">
        <f>+Assumptions!$C$27*Assumptions!$D$27</f>
        <v>7.5120395869191061E-3</v>
      </c>
      <c r="BU10" s="68">
        <f>+Assumptions!$C$27*Assumptions!$D$27</f>
        <v>7.5120395869191061E-3</v>
      </c>
      <c r="BV10" s="68">
        <f>+Assumptions!$C$27*Assumptions!$D$27</f>
        <v>7.5120395869191061E-3</v>
      </c>
      <c r="BW10" s="68">
        <f>+Assumptions!$C$27*Assumptions!$D$27</f>
        <v>7.5120395869191061E-3</v>
      </c>
      <c r="BX10" s="68">
        <f>+Assumptions!$C$27*Assumptions!$D$27</f>
        <v>7.5120395869191061E-3</v>
      </c>
      <c r="BY10" s="68">
        <f>+Assumptions!$C$27*Assumptions!$D$27</f>
        <v>7.5120395869191061E-3</v>
      </c>
      <c r="BZ10" s="68">
        <f>+Assumptions!$C$27*Assumptions!$D$27</f>
        <v>7.5120395869191061E-3</v>
      </c>
      <c r="CA10" s="68">
        <f>+Assumptions!$C$27*Assumptions!$D$27</f>
        <v>7.5120395869191061E-3</v>
      </c>
      <c r="CB10" s="68">
        <f>+Assumptions!$C$27*Assumptions!$D$27</f>
        <v>7.5120395869191061E-3</v>
      </c>
      <c r="CC10" s="68">
        <f>+Assumptions!$C$27*Assumptions!$D$27</f>
        <v>7.5120395869191061E-3</v>
      </c>
      <c r="CD10" s="68">
        <f>+Assumptions!$C$27*Assumptions!$D$27</f>
        <v>7.5120395869191061E-3</v>
      </c>
      <c r="CE10" s="68">
        <f>+Assumptions!$C$27*Assumptions!$D$27</f>
        <v>7.5120395869191061E-3</v>
      </c>
      <c r="CF10" s="68">
        <f>+Assumptions!$C$27*Assumptions!$D$27</f>
        <v>7.5120395869191061E-3</v>
      </c>
      <c r="CG10" s="68">
        <f>+Assumptions!$C$27*Assumptions!$D$27</f>
        <v>7.5120395869191061E-3</v>
      </c>
      <c r="CH10" s="68">
        <f>+Assumptions!$C$27*Assumptions!$D$27</f>
        <v>7.5120395869191061E-3</v>
      </c>
      <c r="CI10" s="68">
        <f>+Assumptions!$C$27*Assumptions!$D$27</f>
        <v>7.5120395869191061E-3</v>
      </c>
      <c r="CJ10" s="68">
        <f>+Assumptions!$C$27*Assumptions!$D$27</f>
        <v>7.5120395869191061E-3</v>
      </c>
      <c r="CK10" s="68">
        <f>+Assumptions!$C$27*Assumptions!$D$27</f>
        <v>7.5120395869191061E-3</v>
      </c>
      <c r="CL10" s="68">
        <f>+Assumptions!$C$27*Assumptions!$D$27</f>
        <v>7.5120395869191061E-3</v>
      </c>
      <c r="CM10" s="68">
        <f>+Assumptions!$C$27*Assumptions!$D$27</f>
        <v>7.5120395869191061E-3</v>
      </c>
      <c r="CN10" s="68">
        <f>+Assumptions!$C$27*Assumptions!$D$27</f>
        <v>7.5120395869191061E-3</v>
      </c>
      <c r="CO10" s="68">
        <f>+Assumptions!$C$27*Assumptions!$D$27</f>
        <v>7.5120395869191061E-3</v>
      </c>
      <c r="CP10" s="68">
        <f>+Assumptions!$C$27*Assumptions!$D$27</f>
        <v>7.5120395869191061E-3</v>
      </c>
      <c r="CQ10" s="68">
        <f>+Assumptions!$C$27*Assumptions!$D$27</f>
        <v>7.5120395869191061E-3</v>
      </c>
      <c r="CR10" s="68">
        <f>+Assumptions!$C$27*Assumptions!$D$27</f>
        <v>7.5120395869191061E-3</v>
      </c>
      <c r="CS10" s="68">
        <f>+Assumptions!$C$27*Assumptions!$D$27</f>
        <v>7.5120395869191061E-3</v>
      </c>
      <c r="CT10" s="68">
        <f>+Assumptions!$C$27*Assumptions!$D$27</f>
        <v>7.5120395869191061E-3</v>
      </c>
      <c r="CU10" s="68">
        <f>+Assumptions!$C$27*Assumptions!$D$27</f>
        <v>7.5120395869191061E-3</v>
      </c>
      <c r="CV10" s="68">
        <f>+Assumptions!$C$27*Assumptions!$D$27</f>
        <v>7.5120395869191061E-3</v>
      </c>
      <c r="CW10" s="68">
        <f>+Assumptions!$C$27*Assumptions!$D$27</f>
        <v>7.5120395869191061E-3</v>
      </c>
      <c r="CX10" s="68">
        <f>+Assumptions!$C$27*Assumptions!$D$27</f>
        <v>7.5120395869191061E-3</v>
      </c>
      <c r="CY10" s="68">
        <f>+Assumptions!$C$27*Assumptions!$D$27</f>
        <v>7.5120395869191061E-3</v>
      </c>
      <c r="CZ10" s="68">
        <f>+Assumptions!$C$27*Assumptions!$D$27</f>
        <v>7.5120395869191061E-3</v>
      </c>
      <c r="DA10" s="68">
        <f>+Assumptions!$C$27*Assumptions!$D$27</f>
        <v>7.5120395869191061E-3</v>
      </c>
      <c r="DB10" s="68">
        <f>+Assumptions!$C$27*Assumptions!$D$27</f>
        <v>7.5120395869191061E-3</v>
      </c>
      <c r="DC10" s="68">
        <f>+Assumptions!$C$27*Assumptions!$D$27</f>
        <v>7.5120395869191061E-3</v>
      </c>
      <c r="DD10" s="68">
        <f>+Assumptions!$C$27*Assumptions!$D$27</f>
        <v>7.5120395869191061E-3</v>
      </c>
      <c r="DE10" s="68">
        <f>+Assumptions!$C$27*Assumptions!$D$27</f>
        <v>7.5120395869191061E-3</v>
      </c>
      <c r="DF10" s="68">
        <f>+Assumptions!$C$27*Assumptions!$D$27</f>
        <v>7.5120395869191061E-3</v>
      </c>
      <c r="DG10" s="68">
        <f>+Assumptions!$C$27*Assumptions!$D$27</f>
        <v>7.5120395869191061E-3</v>
      </c>
      <c r="DH10" s="68">
        <f>+Assumptions!$C$27*Assumptions!$D$27</f>
        <v>7.5120395869191061E-3</v>
      </c>
      <c r="DI10" s="68">
        <f>+Assumptions!$C$27*Assumptions!$D$27</f>
        <v>7.5120395869191061E-3</v>
      </c>
      <c r="DJ10" s="68">
        <f>+Assumptions!$C$27*Assumptions!$D$27</f>
        <v>7.5120395869191061E-3</v>
      </c>
      <c r="DK10" s="68">
        <f>+Assumptions!$C$27*Assumptions!$D$27</f>
        <v>7.5120395869191061E-3</v>
      </c>
      <c r="DL10" s="68">
        <f>+Assumptions!$C$27*Assumptions!$D$27</f>
        <v>7.5120395869191061E-3</v>
      </c>
      <c r="DM10" s="68">
        <f>+Assumptions!$C$27*Assumptions!$D$27</f>
        <v>7.5120395869191061E-3</v>
      </c>
      <c r="DN10" s="68">
        <f>+Assumptions!$C$27*Assumptions!$D$27</f>
        <v>7.5120395869191061E-3</v>
      </c>
      <c r="DO10" s="68">
        <f>+Assumptions!$C$27*Assumptions!$D$27</f>
        <v>7.5120395869191061E-3</v>
      </c>
      <c r="DP10" s="68">
        <f>+Assumptions!$C$27*Assumptions!$D$27</f>
        <v>7.5120395869191061E-3</v>
      </c>
      <c r="DQ10" s="68">
        <f>+Assumptions!$C$27*Assumptions!$D$27</f>
        <v>7.5120395869191061E-3</v>
      </c>
      <c r="DR10" s="68">
        <f>+Assumptions!$C$27*Assumptions!$D$27</f>
        <v>7.5120395869191061E-3</v>
      </c>
      <c r="DT10" s="55"/>
    </row>
    <row r="11" spans="2:125" x14ac:dyDescent="0.3">
      <c r="B11" s="52" t="s">
        <v>413</v>
      </c>
      <c r="C11" s="68">
        <f>IF(C$6&amp;C$7="Noyes",$C9,IF(C$6&amp;C$7="yesyes",C10*(Assumptions!$C$12/(Assumptions!$C$12+Assumptions!$C$14))+C9*(Assumptions!$C$14/(Assumptions!$C$12+Assumptions!$C$14)),Assumptions!$C$12/SUM(Assumptions!$C$12:$C$14)*'Tungsten Model'!C10+'Tungsten Model'!C8*(SUM(Assumptions!$C$13:$C$14)/SUM(Assumptions!$C$12:$C$14))))</f>
        <v>6.6406542056074765E-3</v>
      </c>
      <c r="D11" s="68">
        <f>IF(D$6&amp;D$7="Noyes",$C9,IF(D$6&amp;D$7="yesyes",D10*(Assumptions!$C$12/(Assumptions!$C$12+Assumptions!$C$14))+D9*(Assumptions!$C$14/(Assumptions!$C$12+Assumptions!$C$14)),Assumptions!$C$12/SUM(Assumptions!$C$12:$C$14)*'Tungsten Model'!D10+'Tungsten Model'!D8*(SUM(Assumptions!$C$13:$C$14)/SUM(Assumptions!$C$12:$C$14))))</f>
        <v>6.6406542056074765E-3</v>
      </c>
      <c r="E11" s="68">
        <f>IF(E$6&amp;E$7="Noyes",$C9,IF(E$6&amp;E$7="yesyes",E10*(Assumptions!$C$12/(Assumptions!$C$12+Assumptions!$C$14))+E9*(Assumptions!$C$14/(Assumptions!$C$12+Assumptions!$C$14)),Assumptions!$C$12/SUM(Assumptions!$C$12:$C$14)*'Tungsten Model'!E10+'Tungsten Model'!E8*(SUM(Assumptions!$C$13:$C$14)/SUM(Assumptions!$C$12:$C$14))))</f>
        <v>6.9892083581321283E-3</v>
      </c>
      <c r="F11" s="68">
        <f>IF(F$6&amp;F$7="Noyes",$C9,IF(F$6&amp;F$7="yesyes",F10*(Assumptions!$C$12/(Assumptions!$C$12+Assumptions!$C$14))+F9*(Assumptions!$C$14/(Assumptions!$C$12+Assumptions!$C$14)),Assumptions!$C$12/SUM(Assumptions!$C$12:$C$14)*'Tungsten Model'!F10+'Tungsten Model'!F8*(SUM(Assumptions!$C$13:$C$14)/SUM(Assumptions!$C$12:$C$14))))</f>
        <v>6.9892083581321283E-3</v>
      </c>
      <c r="G11" s="68">
        <f>IF(G$6&amp;G$7="Noyes",$C9,IF(G$6&amp;G$7="yesyes",G10*(Assumptions!$C$12/(Assumptions!$C$12+Assumptions!$C$14))+G9*(Assumptions!$C$14/(Assumptions!$C$12+Assumptions!$C$14)),Assumptions!$C$12/SUM(Assumptions!$C$12:$C$14)*'Tungsten Model'!G10+'Tungsten Model'!G8*(SUM(Assumptions!$C$13:$C$14)/SUM(Assumptions!$C$12:$C$14))))</f>
        <v>6.9892083581321283E-3</v>
      </c>
      <c r="H11" s="68">
        <f>IF(H$6&amp;H$7="Noyes",$C9,IF(H$6&amp;H$7="yesyes",H10*(Assumptions!$C$12/(Assumptions!$C$12+Assumptions!$C$14))+H9*(Assumptions!$C$14/(Assumptions!$C$12+Assumptions!$C$14)),Assumptions!$C$12/SUM(Assumptions!$C$12:$C$14)*'Tungsten Model'!H10+'Tungsten Model'!H8*(SUM(Assumptions!$C$13:$C$14)/SUM(Assumptions!$C$12:$C$14))))</f>
        <v>6.9892083581321283E-3</v>
      </c>
      <c r="I11" s="68">
        <f>IF(I$6&amp;I$7="Noyes",$C9,IF(I$6&amp;I$7="yesyes",I10*(Assumptions!$C$12/(Assumptions!$C$12+Assumptions!$C$14))+I9*(Assumptions!$C$14/(Assumptions!$C$12+Assumptions!$C$14)),Assumptions!$C$12/SUM(Assumptions!$C$12:$C$14)*'Tungsten Model'!I10+'Tungsten Model'!I8*(SUM(Assumptions!$C$13:$C$14)/SUM(Assumptions!$C$12:$C$14))))</f>
        <v>6.9892083581321283E-3</v>
      </c>
      <c r="J11" s="68">
        <f>IF(J$6&amp;J$7="Noyes",$C9,IF(J$6&amp;J$7="yesyes",J10*(Assumptions!$C$12/(Assumptions!$C$12+Assumptions!$C$14))+J9*(Assumptions!$C$14/(Assumptions!$C$12+Assumptions!$C$14)),Assumptions!$C$12/SUM(Assumptions!$C$12:$C$14)*'Tungsten Model'!J10+'Tungsten Model'!J8*(SUM(Assumptions!$C$13:$C$14)/SUM(Assumptions!$C$12:$C$14))))</f>
        <v>6.9892083581321283E-3</v>
      </c>
      <c r="K11" s="68">
        <f>IF(K$6&amp;K$7="Noyes",$C9,IF(K$6&amp;K$7="yesyes",K10*(Assumptions!$C$12/(Assumptions!$C$12+Assumptions!$C$14))+K9*(Assumptions!$C$14/(Assumptions!$C$12+Assumptions!$C$14)),Assumptions!$C$12/SUM(Assumptions!$C$12:$C$14)*'Tungsten Model'!K10+'Tungsten Model'!K8*(SUM(Assumptions!$C$13:$C$14)/SUM(Assumptions!$C$12:$C$14))))</f>
        <v>6.9892083581321283E-3</v>
      </c>
      <c r="L11" s="68">
        <f>IF(L$6&amp;L$7="Noyes",$C9,IF(L$6&amp;L$7="yesyes",L10*(Assumptions!$C$12/(Assumptions!$C$12+Assumptions!$C$14))+L9*(Assumptions!$C$14/(Assumptions!$C$12+Assumptions!$C$14)),Assumptions!$C$12/SUM(Assumptions!$C$12:$C$14)*'Tungsten Model'!L10+'Tungsten Model'!L8*(SUM(Assumptions!$C$13:$C$14)/SUM(Assumptions!$C$12:$C$14))))</f>
        <v>6.9892083581321283E-3</v>
      </c>
      <c r="M11" s="68">
        <f>IF(M$6&amp;M$7="Noyes",$C9,IF(M$6&amp;M$7="yesyes",M10*(Assumptions!$C$12/(Assumptions!$C$12+Assumptions!$C$14))+M9*(Assumptions!$C$14/(Assumptions!$C$12+Assumptions!$C$14)),Assumptions!$C$12/SUM(Assumptions!$C$12:$C$14)*'Tungsten Model'!M10+'Tungsten Model'!M8*(SUM(Assumptions!$C$13:$C$14)/SUM(Assumptions!$C$12:$C$14))))</f>
        <v>3.4946041790660642E-3</v>
      </c>
      <c r="N11" s="68">
        <f>IF(N$6&amp;N$7="Noyes",$C9,IF(N$6&amp;N$7="yesyes",N10*(Assumptions!$C$12/(Assumptions!$C$12+Assumptions!$C$14))+N9*(Assumptions!$C$14/(Assumptions!$C$12+Assumptions!$C$14)),Assumptions!$C$12/SUM(Assumptions!$C$12:$C$14)*'Tungsten Model'!N10+'Tungsten Model'!N8*(SUM(Assumptions!$C$13:$C$14)/SUM(Assumptions!$C$12:$C$14))))</f>
        <v>3.4946041790660642E-3</v>
      </c>
      <c r="O11" s="68">
        <f>IF(O$6&amp;O$7="Noyes",$C9,IF(O$6&amp;O$7="yesyes",O10*(Assumptions!$C$12/(Assumptions!$C$12+Assumptions!$C$14))+O9*(Assumptions!$C$14/(Assumptions!$C$12+Assumptions!$C$14)),Assumptions!$C$12/SUM(Assumptions!$C$12:$C$14)*'Tungsten Model'!O10+'Tungsten Model'!O8*(SUM(Assumptions!$C$13:$C$14)/SUM(Assumptions!$C$12:$C$14))))</f>
        <v>3.4946041790660642E-3</v>
      </c>
      <c r="P11" s="68">
        <f>IF(P$6&amp;P$7="Noyes",$C9,IF(P$6&amp;P$7="yesyes",P10*(Assumptions!$C$12/(Assumptions!$C$12+Assumptions!$C$14))+P9*(Assumptions!$C$14/(Assumptions!$C$12+Assumptions!$C$14)),Assumptions!$C$12/SUM(Assumptions!$C$12:$C$14)*'Tungsten Model'!P10+'Tungsten Model'!P8*(SUM(Assumptions!$C$13:$C$14)/SUM(Assumptions!$C$12:$C$14))))</f>
        <v>3.4946041790660642E-3</v>
      </c>
      <c r="Q11" s="68">
        <f>IF(Q$6&amp;Q$7="Noyes",$C9,IF(Q$6&amp;Q$7="yesyes",Q10*(Assumptions!$C$12/(Assumptions!$C$12+Assumptions!$C$14))+Q9*(Assumptions!$C$14/(Assumptions!$C$12+Assumptions!$C$14)),Assumptions!$C$12/SUM(Assumptions!$C$12:$C$14)*'Tungsten Model'!Q10+'Tungsten Model'!Q8*(SUM(Assumptions!$C$13:$C$14)/SUM(Assumptions!$C$12:$C$14))))</f>
        <v>3.4946041790660642E-3</v>
      </c>
      <c r="R11" s="68">
        <f>IF(R$6&amp;R$7="Noyes",$C9,IF(R$6&amp;R$7="yesyes",R10*(Assumptions!$C$12/(Assumptions!$C$12+Assumptions!$C$14))+R9*(Assumptions!$C$14/(Assumptions!$C$12+Assumptions!$C$14)),Assumptions!$C$12/SUM(Assumptions!$C$12:$C$14)*'Tungsten Model'!R10+'Tungsten Model'!R8*(SUM(Assumptions!$C$13:$C$14)/SUM(Assumptions!$C$12:$C$14))))</f>
        <v>3.4946041790660642E-3</v>
      </c>
      <c r="S11" s="68">
        <f>IF(S$6&amp;S$7="Noyes",$C9,IF(S$6&amp;S$7="yesyes",S10*(Assumptions!$C$12/(Assumptions!$C$12+Assumptions!$C$14))+S9*(Assumptions!$C$14/(Assumptions!$C$12+Assumptions!$C$14)),Assumptions!$C$12/SUM(Assumptions!$C$12:$C$14)*'Tungsten Model'!S10+'Tungsten Model'!S8*(SUM(Assumptions!$C$13:$C$14)/SUM(Assumptions!$C$12:$C$14))))</f>
        <v>3.4946041790660642E-3</v>
      </c>
      <c r="T11" s="68">
        <f>IF(T$6&amp;T$7="Noyes",$C9,IF(T$6&amp;T$7="yesyes",T10*(Assumptions!$C$12/(Assumptions!$C$12+Assumptions!$C$14))+T9*(Assumptions!$C$14/(Assumptions!$C$12+Assumptions!$C$14)),Assumptions!$C$12/SUM(Assumptions!$C$12:$C$14)*'Tungsten Model'!T10+'Tungsten Model'!T8*(SUM(Assumptions!$C$13:$C$14)/SUM(Assumptions!$C$12:$C$14))))</f>
        <v>3.4946041790660642E-3</v>
      </c>
      <c r="U11" s="68">
        <f>IF(U$6&amp;U$7="Noyes",$C9,IF(U$6&amp;U$7="yesyes",U10*(Assumptions!$C$12/(Assumptions!$C$12+Assumptions!$C$14))+U9*(Assumptions!$C$14/(Assumptions!$C$12+Assumptions!$C$14)),Assumptions!$C$12/SUM(Assumptions!$C$12:$C$14)*'Tungsten Model'!U10+'Tungsten Model'!U8*(SUM(Assumptions!$C$13:$C$14)/SUM(Assumptions!$C$12:$C$14))))</f>
        <v>3.4946041790660642E-3</v>
      </c>
      <c r="V11" s="68">
        <f>IF(V$6&amp;V$7="Noyes",$C9,IF(V$6&amp;V$7="yesyes",V10*(Assumptions!$C$12/(Assumptions!$C$12+Assumptions!$C$14))+V9*(Assumptions!$C$14/(Assumptions!$C$12+Assumptions!$C$14)),Assumptions!$C$12/SUM(Assumptions!$C$12:$C$14)*'Tungsten Model'!V10+'Tungsten Model'!V8*(SUM(Assumptions!$C$13:$C$14)/SUM(Assumptions!$C$12:$C$14))))</f>
        <v>3.4946041790660642E-3</v>
      </c>
      <c r="W11" s="68">
        <f>IF(W$6&amp;W$7="Noyes",$C9,IF(W$6&amp;W$7="yesyes",W10*(Assumptions!$C$12/(Assumptions!$C$12+Assumptions!$C$14))+W9*(Assumptions!$C$14/(Assumptions!$C$12+Assumptions!$C$14)),Assumptions!$C$12/SUM(Assumptions!$C$12:$C$14)*'Tungsten Model'!W10+'Tungsten Model'!W8*(SUM(Assumptions!$C$13:$C$14)/SUM(Assumptions!$C$12:$C$14))))</f>
        <v>3.4946041790660642E-3</v>
      </c>
      <c r="X11" s="68">
        <f>IF(X$6&amp;X$7="Noyes",$C9,IF(X$6&amp;X$7="yesyes",X10*(Assumptions!$C$12/(Assumptions!$C$12+Assumptions!$C$14))+X9*(Assumptions!$C$14/(Assumptions!$C$12+Assumptions!$C$14)),Assumptions!$C$12/SUM(Assumptions!$C$12:$C$14)*'Tungsten Model'!X10+'Tungsten Model'!X8*(SUM(Assumptions!$C$13:$C$14)/SUM(Assumptions!$C$12:$C$14))))</f>
        <v>3.4946041790660642E-3</v>
      </c>
      <c r="Y11" s="68">
        <f>IF(Y$6&amp;Y$7="Noyes",$C9,IF(Y$6&amp;Y$7="yesyes",Y10*(Assumptions!$C$12/(Assumptions!$C$12+Assumptions!$C$14))+Y9*(Assumptions!$C$14/(Assumptions!$C$12+Assumptions!$C$14)),Assumptions!$C$12/SUM(Assumptions!$C$12:$C$14)*'Tungsten Model'!Y10+'Tungsten Model'!Y8*(SUM(Assumptions!$C$13:$C$14)/SUM(Assumptions!$C$12:$C$14))))</f>
        <v>3.4946041790660642E-3</v>
      </c>
      <c r="Z11" s="68">
        <f>IF(Z$6&amp;Z$7="Noyes",$C9,IF(Z$6&amp;Z$7="yesyes",Z10*(Assumptions!$C$12/(Assumptions!$C$12+Assumptions!$C$14))+Z9*(Assumptions!$C$14/(Assumptions!$C$12+Assumptions!$C$14)),Assumptions!$C$12/SUM(Assumptions!$C$12:$C$14)*'Tungsten Model'!Z10+'Tungsten Model'!Z8*(SUM(Assumptions!$C$13:$C$14)/SUM(Assumptions!$C$12:$C$14))))</f>
        <v>3.4946041790660642E-3</v>
      </c>
      <c r="AA11" s="68">
        <f>IF(AA$6&amp;AA$7="Noyes",$C9,IF(AA$6&amp;AA$7="yesyes",AA10*(Assumptions!$C$12/(Assumptions!$C$12+Assumptions!$C$14))+AA9*(Assumptions!$C$14/(Assumptions!$C$12+Assumptions!$C$14)),Assumptions!$C$12/SUM(Assumptions!$C$12:$C$14)*'Tungsten Model'!AA10+'Tungsten Model'!AA8*(SUM(Assumptions!$C$13:$C$14)/SUM(Assumptions!$C$12:$C$14))))</f>
        <v>3.4946041790660642E-3</v>
      </c>
      <c r="AB11" s="68">
        <f>IF(AB$6&amp;AB$7="Noyes",$C9,IF(AB$6&amp;AB$7="yesyes",AB10*(Assumptions!$C$12/(Assumptions!$C$12+Assumptions!$C$14))+AB9*(Assumptions!$C$14/(Assumptions!$C$12+Assumptions!$C$14)),Assumptions!$C$12/SUM(Assumptions!$C$12:$C$14)*'Tungsten Model'!AB10+'Tungsten Model'!AB8*(SUM(Assumptions!$C$13:$C$14)/SUM(Assumptions!$C$12:$C$14))))</f>
        <v>3.4946041790660642E-3</v>
      </c>
      <c r="AC11" s="68">
        <f>IF(AC$6&amp;AC$7="Noyes",$C9,IF(AC$6&amp;AC$7="yesyes",AC10*(Assumptions!$C$12/(Assumptions!$C$12+Assumptions!$C$14))+AC9*(Assumptions!$C$14/(Assumptions!$C$12+Assumptions!$C$14)),Assumptions!$C$12/SUM(Assumptions!$C$12:$C$14)*'Tungsten Model'!AC10+'Tungsten Model'!AC8*(SUM(Assumptions!$C$13:$C$14)/SUM(Assumptions!$C$12:$C$14))))</f>
        <v>3.4946041790660642E-3</v>
      </c>
      <c r="AD11" s="68">
        <f>IF(AD$6&amp;AD$7="Noyes",$C9,IF(AD$6&amp;AD$7="yesyes",AD10*(Assumptions!$C$12/(Assumptions!$C$12+Assumptions!$C$14))+AD9*(Assumptions!$C$14/(Assumptions!$C$12+Assumptions!$C$14)),Assumptions!$C$12/SUM(Assumptions!$C$12:$C$14)*'Tungsten Model'!AD10+'Tungsten Model'!AD8*(SUM(Assumptions!$C$13:$C$14)/SUM(Assumptions!$C$12:$C$14))))</f>
        <v>3.4946041790660642E-3</v>
      </c>
      <c r="AE11" s="68">
        <f>IF(AE$6&amp;AE$7="Noyes",$C9,IF(AE$6&amp;AE$7="yesyes",AE10*(Assumptions!$C$12/(Assumptions!$C$12+Assumptions!$C$14))+AE9*(Assumptions!$C$14/(Assumptions!$C$12+Assumptions!$C$14)),Assumptions!$C$12/SUM(Assumptions!$C$12:$C$14)*'Tungsten Model'!AE10+'Tungsten Model'!AE8*(SUM(Assumptions!$C$13:$C$14)/SUM(Assumptions!$C$12:$C$14))))</f>
        <v>3.4946041790660642E-3</v>
      </c>
      <c r="AF11" s="68">
        <f>IF(AF$6&amp;AF$7="Noyes",$C9,IF(AF$6&amp;AF$7="yesyes",AF10*(Assumptions!$C$12/(Assumptions!$C$12+Assumptions!$C$14))+AF9*(Assumptions!$C$14/(Assumptions!$C$12+Assumptions!$C$14)),Assumptions!$C$12/SUM(Assumptions!$C$12:$C$14)*'Tungsten Model'!AF10+'Tungsten Model'!AF8*(SUM(Assumptions!$C$13:$C$14)/SUM(Assumptions!$C$12:$C$14))))</f>
        <v>3.4946041790660642E-3</v>
      </c>
      <c r="AG11" s="68">
        <f>IF(AG$6&amp;AG$7="Noyes",$C9,IF(AG$6&amp;AG$7="yesyes",AG10*(Assumptions!$C$12/(Assumptions!$C$12+Assumptions!$C$14))+AG9*(Assumptions!$C$14/(Assumptions!$C$12+Assumptions!$C$14)),Assumptions!$C$12/SUM(Assumptions!$C$12:$C$14)*'Tungsten Model'!AG10+'Tungsten Model'!AG8*(SUM(Assumptions!$C$13:$C$14)/SUM(Assumptions!$C$12:$C$14))))</f>
        <v>3.4946041790660642E-3</v>
      </c>
      <c r="AH11" s="68">
        <f>IF(AH$6&amp;AH$7="Noyes",$C9,IF(AH$6&amp;AH$7="yesyes",AH10*(Assumptions!$C$12/(Assumptions!$C$12+Assumptions!$C$14))+AH9*(Assumptions!$C$14/(Assumptions!$C$12+Assumptions!$C$14)),Assumptions!$C$12/SUM(Assumptions!$C$12:$C$14)*'Tungsten Model'!AH10+'Tungsten Model'!AH8*(SUM(Assumptions!$C$13:$C$14)/SUM(Assumptions!$C$12:$C$14))))</f>
        <v>3.4946041790660642E-3</v>
      </c>
      <c r="AI11" s="68">
        <f>IF(AI$6&amp;AI$7="Noyes",$C9,IF(AI$6&amp;AI$7="yesyes",AI10*(Assumptions!$C$12/(Assumptions!$C$12+Assumptions!$C$14))+AI9*(Assumptions!$C$14/(Assumptions!$C$12+Assumptions!$C$14)),Assumptions!$C$12/SUM(Assumptions!$C$12:$C$14)*'Tungsten Model'!AI10+'Tungsten Model'!AI8*(SUM(Assumptions!$C$13:$C$14)/SUM(Assumptions!$C$12:$C$14))))</f>
        <v>3.4946041790660642E-3</v>
      </c>
      <c r="AJ11" s="68">
        <f>IF(AJ$6&amp;AJ$7="Noyes",$C9,IF(AJ$6&amp;AJ$7="yesyes",AJ10*(Assumptions!$C$12/(Assumptions!$C$12+Assumptions!$C$14))+AJ9*(Assumptions!$C$14/(Assumptions!$C$12+Assumptions!$C$14)),Assumptions!$C$12/SUM(Assumptions!$C$12:$C$14)*'Tungsten Model'!AJ10+'Tungsten Model'!AJ8*(SUM(Assumptions!$C$13:$C$14)/SUM(Assumptions!$C$12:$C$14))))</f>
        <v>3.4946041790660642E-3</v>
      </c>
      <c r="AK11" s="68">
        <f>IF(AK$6&amp;AK$7="Noyes",$C9,IF(AK$6&amp;AK$7="yesyes",AK10*(Assumptions!$C$12/(Assumptions!$C$12+Assumptions!$C$14))+AK9*(Assumptions!$C$14/(Assumptions!$C$12+Assumptions!$C$14)),Assumptions!$C$12/SUM(Assumptions!$C$12:$C$14)*'Tungsten Model'!AK10+'Tungsten Model'!AK8*(SUM(Assumptions!$C$13:$C$14)/SUM(Assumptions!$C$12:$C$14))))</f>
        <v>3.4946041790660642E-3</v>
      </c>
      <c r="AL11" s="68">
        <f>IF(AL$6&amp;AL$7="Noyes",$C9,IF(AL$6&amp;AL$7="yesyes",AL10*(Assumptions!$C$12/(Assumptions!$C$12+Assumptions!$C$14))+AL9*(Assumptions!$C$14/(Assumptions!$C$12+Assumptions!$C$14)),Assumptions!$C$12/SUM(Assumptions!$C$12:$C$14)*'Tungsten Model'!AL10+'Tungsten Model'!AL8*(SUM(Assumptions!$C$13:$C$14)/SUM(Assumptions!$C$12:$C$14))))</f>
        <v>3.4946041790660642E-3</v>
      </c>
      <c r="AM11" s="68">
        <f>IF(AM$6&amp;AM$7="Noyes",$C9,IF(AM$6&amp;AM$7="yesyes",AM10*(Assumptions!$C$12/(Assumptions!$C$12+Assumptions!$C$14))+AM9*(Assumptions!$C$14/(Assumptions!$C$12+Assumptions!$C$14)),Assumptions!$C$12/SUM(Assumptions!$C$12:$C$14)*'Tungsten Model'!AM10+'Tungsten Model'!AM8*(SUM(Assumptions!$C$13:$C$14)/SUM(Assumptions!$C$12:$C$14))))</f>
        <v>3.4946041790660642E-3</v>
      </c>
      <c r="AN11" s="68">
        <f>IF(AN$6&amp;AN$7="Noyes",$C9,IF(AN$6&amp;AN$7="yesyes",AN10*(Assumptions!$C$12/(Assumptions!$C$12+Assumptions!$C$14))+AN9*(Assumptions!$C$14/(Assumptions!$C$12+Assumptions!$C$14)),Assumptions!$C$12/SUM(Assumptions!$C$12:$C$14)*'Tungsten Model'!AN10+'Tungsten Model'!AN8*(SUM(Assumptions!$C$13:$C$14)/SUM(Assumptions!$C$12:$C$14))))</f>
        <v>3.4946041790660642E-3</v>
      </c>
      <c r="AO11" s="68">
        <f>IF(AO$6&amp;AO$7="Noyes",$C9,IF(AO$6&amp;AO$7="yesyes",AO10*(Assumptions!$C$12/(Assumptions!$C$12+Assumptions!$C$14))+AO9*(Assumptions!$C$14/(Assumptions!$C$12+Assumptions!$C$14)),Assumptions!$C$12/SUM(Assumptions!$C$12:$C$14)*'Tungsten Model'!AO10+'Tungsten Model'!AO8*(SUM(Assumptions!$C$13:$C$14)/SUM(Assumptions!$C$12:$C$14))))</f>
        <v>3.4946041790660642E-3</v>
      </c>
      <c r="AP11" s="68">
        <f>IF(AP$6&amp;AP$7="Noyes",$C9,IF(AP$6&amp;AP$7="yesyes",AP10*(Assumptions!$C$12/(Assumptions!$C$12+Assumptions!$C$14))+AP9*(Assumptions!$C$14/(Assumptions!$C$12+Assumptions!$C$14)),Assumptions!$C$12/SUM(Assumptions!$C$12:$C$14)*'Tungsten Model'!AP10+'Tungsten Model'!AP8*(SUM(Assumptions!$C$13:$C$14)/SUM(Assumptions!$C$12:$C$14))))</f>
        <v>3.4946041790660642E-3</v>
      </c>
      <c r="AQ11" s="68">
        <f>IF(AQ$6&amp;AQ$7="Noyes",$C9,IF(AQ$6&amp;AQ$7="yesyes",AQ10*(Assumptions!$C$12/(Assumptions!$C$12+Assumptions!$C$14))+AQ9*(Assumptions!$C$14/(Assumptions!$C$12+Assumptions!$C$14)),Assumptions!$C$12/SUM(Assumptions!$C$12:$C$14)*'Tungsten Model'!AQ10+'Tungsten Model'!AQ8*(SUM(Assumptions!$C$13:$C$14)/SUM(Assumptions!$C$12:$C$14))))</f>
        <v>3.4946041790660642E-3</v>
      </c>
      <c r="AR11" s="68">
        <f>IF(AR$6&amp;AR$7="Noyes",$C9,IF(AR$6&amp;AR$7="yesyes",AR10*(Assumptions!$C$12/(Assumptions!$C$12+Assumptions!$C$14))+AR9*(Assumptions!$C$14/(Assumptions!$C$12+Assumptions!$C$14)),Assumptions!$C$12/SUM(Assumptions!$C$12:$C$14)*'Tungsten Model'!AR10+'Tungsten Model'!AR8*(SUM(Assumptions!$C$13:$C$14)/SUM(Assumptions!$C$12:$C$14))))</f>
        <v>3.4946041790660642E-3</v>
      </c>
      <c r="AS11" s="68">
        <f>IF(AS$6&amp;AS$7="Noyes",$C9,IF(AS$6&amp;AS$7="yesyes",AS10*(Assumptions!$C$12/(Assumptions!$C$12+Assumptions!$C$14))+AS9*(Assumptions!$C$14/(Assumptions!$C$12+Assumptions!$C$14)),Assumptions!$C$12/SUM(Assumptions!$C$12:$C$14)*'Tungsten Model'!AS10+'Tungsten Model'!AS8*(SUM(Assumptions!$C$13:$C$14)/SUM(Assumptions!$C$12:$C$14))))</f>
        <v>3.4946041790660642E-3</v>
      </c>
      <c r="AT11" s="68">
        <f>IF(AT$6&amp;AT$7="Noyes",$C9,IF(AT$6&amp;AT$7="yesyes",AT10*(Assumptions!$C$12/(Assumptions!$C$12+Assumptions!$C$14))+AT9*(Assumptions!$C$14/(Assumptions!$C$12+Assumptions!$C$14)),Assumptions!$C$12/SUM(Assumptions!$C$12:$C$14)*'Tungsten Model'!AT10+'Tungsten Model'!AT8*(SUM(Assumptions!$C$13:$C$14)/SUM(Assumptions!$C$12:$C$14))))</f>
        <v>3.4946041790660642E-3</v>
      </c>
      <c r="AU11" s="68">
        <f>IF(AU$6&amp;AU$7="Noyes",$C9,IF(AU$6&amp;AU$7="yesyes",AU10*(Assumptions!$C$12/(Assumptions!$C$12+Assumptions!$C$14))+AU9*(Assumptions!$C$14/(Assumptions!$C$12+Assumptions!$C$14)),Assumptions!$C$12/SUM(Assumptions!$C$12:$C$14)*'Tungsten Model'!AU10+'Tungsten Model'!AU8*(SUM(Assumptions!$C$13:$C$14)/SUM(Assumptions!$C$12:$C$14))))</f>
        <v>3.4946041790660642E-3</v>
      </c>
      <c r="AV11" s="68">
        <f>IF(AV$6&amp;AV$7="Noyes",$C9,IF(AV$6&amp;AV$7="yesyes",AV10*(Assumptions!$C$12/(Assumptions!$C$12+Assumptions!$C$14))+AV9*(Assumptions!$C$14/(Assumptions!$C$12+Assumptions!$C$14)),Assumptions!$C$12/SUM(Assumptions!$C$12:$C$14)*'Tungsten Model'!AV10+'Tungsten Model'!AV8*(SUM(Assumptions!$C$13:$C$14)/SUM(Assumptions!$C$12:$C$14))))</f>
        <v>3.4946041790660642E-3</v>
      </c>
      <c r="AW11" s="68">
        <f>IF(AW$6&amp;AW$7="Noyes",$C9,IF(AW$6&amp;AW$7="yesyes",AW10*(Assumptions!$C$12/(Assumptions!$C$12+Assumptions!$C$14))+AW9*(Assumptions!$C$14/(Assumptions!$C$12+Assumptions!$C$14)),Assumptions!$C$12/SUM(Assumptions!$C$12:$C$14)*'Tungsten Model'!AW10+'Tungsten Model'!AW8*(SUM(Assumptions!$C$13:$C$14)/SUM(Assumptions!$C$12:$C$14))))</f>
        <v>3.4946041790660642E-3</v>
      </c>
      <c r="AX11" s="68">
        <f>IF(AX$6&amp;AX$7="Noyes",$C9,IF(AX$6&amp;AX$7="yesyes",AX10*(Assumptions!$C$12/(Assumptions!$C$12+Assumptions!$C$14))+AX9*(Assumptions!$C$14/(Assumptions!$C$12+Assumptions!$C$14)),Assumptions!$C$12/SUM(Assumptions!$C$12:$C$14)*'Tungsten Model'!AX10+'Tungsten Model'!AX8*(SUM(Assumptions!$C$13:$C$14)/SUM(Assumptions!$C$12:$C$14))))</f>
        <v>3.4946041790660642E-3</v>
      </c>
      <c r="AY11" s="68">
        <f>IF(AY$6&amp;AY$7="Noyes",$C9,IF(AY$6&amp;AY$7="yesyes",AY10*(Assumptions!$C$12/(Assumptions!$C$12+Assumptions!$C$14))+AY9*(Assumptions!$C$14/(Assumptions!$C$12+Assumptions!$C$14)),Assumptions!$C$12/SUM(Assumptions!$C$12:$C$14)*'Tungsten Model'!AY10+'Tungsten Model'!AY8*(SUM(Assumptions!$C$13:$C$14)/SUM(Assumptions!$C$12:$C$14))))</f>
        <v>3.4946041790660642E-3</v>
      </c>
      <c r="AZ11" s="68">
        <f>IF(AZ$6&amp;AZ$7="Noyes",$C9,IF(AZ$6&amp;AZ$7="yesyes",AZ10*(Assumptions!$C$12/(Assumptions!$C$12+Assumptions!$C$14))+AZ9*(Assumptions!$C$14/(Assumptions!$C$12+Assumptions!$C$14)),Assumptions!$C$12/SUM(Assumptions!$C$12:$C$14)*'Tungsten Model'!AZ10+'Tungsten Model'!AZ8*(SUM(Assumptions!$C$13:$C$14)/SUM(Assumptions!$C$12:$C$14))))</f>
        <v>3.4946041790660642E-3</v>
      </c>
      <c r="BA11" s="68">
        <f>IF(BA$6&amp;BA$7="Noyes",$C9,IF(BA$6&amp;BA$7="yesyes",BA10*(Assumptions!$C$12/(Assumptions!$C$12+Assumptions!$C$14))+BA9*(Assumptions!$C$14/(Assumptions!$C$12+Assumptions!$C$14)),Assumptions!$C$12/SUM(Assumptions!$C$12:$C$14)*'Tungsten Model'!BA10+'Tungsten Model'!BA8*(SUM(Assumptions!$C$13:$C$14)/SUM(Assumptions!$C$12:$C$14))))</f>
        <v>3.4946041790660642E-3</v>
      </c>
      <c r="BB11" s="68">
        <f>IF(BB$6&amp;BB$7="Noyes",$C9,IF(BB$6&amp;BB$7="yesyes",BB10*(Assumptions!$C$12/(Assumptions!$C$12+Assumptions!$C$14))+BB9*(Assumptions!$C$14/(Assumptions!$C$12+Assumptions!$C$14)),Assumptions!$C$12/SUM(Assumptions!$C$12:$C$14)*'Tungsten Model'!BB10+'Tungsten Model'!BB8*(SUM(Assumptions!$C$13:$C$14)/SUM(Assumptions!$C$12:$C$14))))</f>
        <v>3.4946041790660642E-3</v>
      </c>
      <c r="BC11" s="68">
        <f>IF(BC$6&amp;BC$7="Noyes",$C9,IF(BC$6&amp;BC$7="yesyes",BC10*(Assumptions!$C$12/(Assumptions!$C$12+Assumptions!$C$14))+BC9*(Assumptions!$C$14/(Assumptions!$C$12+Assumptions!$C$14)),Assumptions!$C$12/SUM(Assumptions!$C$12:$C$14)*'Tungsten Model'!BC10+'Tungsten Model'!BC8*(SUM(Assumptions!$C$13:$C$14)/SUM(Assumptions!$C$12:$C$14))))</f>
        <v>3.4946041790660642E-3</v>
      </c>
      <c r="BD11" s="68">
        <f>IF(BD$6&amp;BD$7="Noyes",$C9,IF(BD$6&amp;BD$7="yesyes",BD10*(Assumptions!$C$12/(Assumptions!$C$12+Assumptions!$C$14))+BD9*(Assumptions!$C$14/(Assumptions!$C$12+Assumptions!$C$14)),Assumptions!$C$12/SUM(Assumptions!$C$12:$C$14)*'Tungsten Model'!BD10+'Tungsten Model'!BD8*(SUM(Assumptions!$C$13:$C$14)/SUM(Assumptions!$C$12:$C$14))))</f>
        <v>3.4946041790660642E-3</v>
      </c>
      <c r="BE11" s="68">
        <f>IF(BE$6&amp;BE$7="Noyes",$C9,IF(BE$6&amp;BE$7="yesyes",BE10*(Assumptions!$C$12/(Assumptions!$C$12+Assumptions!$C$14))+BE9*(Assumptions!$C$14/(Assumptions!$C$12+Assumptions!$C$14)),Assumptions!$C$12/SUM(Assumptions!$C$12:$C$14)*'Tungsten Model'!BE10+'Tungsten Model'!BE8*(SUM(Assumptions!$C$13:$C$14)/SUM(Assumptions!$C$12:$C$14))))</f>
        <v>3.4946041790660642E-3</v>
      </c>
      <c r="BF11" s="68">
        <f>IF(BF$6&amp;BF$7="Noyes",$C9,IF(BF$6&amp;BF$7="yesyes",BF10*(Assumptions!$C$12/(Assumptions!$C$12+Assumptions!$C$14))+BF9*(Assumptions!$C$14/(Assumptions!$C$12+Assumptions!$C$14)),Assumptions!$C$12/SUM(Assumptions!$C$12:$C$14)*'Tungsten Model'!BF10+'Tungsten Model'!BF8*(SUM(Assumptions!$C$13:$C$14)/SUM(Assumptions!$C$12:$C$14))))</f>
        <v>3.4946041790660642E-3</v>
      </c>
      <c r="BG11" s="68">
        <f>IF(BG$6&amp;BG$7="Noyes",$C9,IF(BG$6&amp;BG$7="yesyes",BG10*(Assumptions!$C$12/(Assumptions!$C$12+Assumptions!$C$14))+BG9*(Assumptions!$C$14/(Assumptions!$C$12+Assumptions!$C$14)),Assumptions!$C$12/SUM(Assumptions!$C$12:$C$14)*'Tungsten Model'!BG10+'Tungsten Model'!BG8*(SUM(Assumptions!$C$13:$C$14)/SUM(Assumptions!$C$12:$C$14))))</f>
        <v>3.4946041790660642E-3</v>
      </c>
      <c r="BH11" s="68">
        <f>IF(BH$6&amp;BH$7="Noyes",$C9,IF(BH$6&amp;BH$7="yesyes",BH10*(Assumptions!$C$12/(Assumptions!$C$12+Assumptions!$C$14))+BH9*(Assumptions!$C$14/(Assumptions!$C$12+Assumptions!$C$14)),Assumptions!$C$12/SUM(Assumptions!$C$12:$C$14)*'Tungsten Model'!BH10+'Tungsten Model'!BH8*(SUM(Assumptions!$C$13:$C$14)/SUM(Assumptions!$C$12:$C$14))))</f>
        <v>3.4946041790660642E-3</v>
      </c>
      <c r="BI11" s="68">
        <f>IF(BI$6&amp;BI$7="Noyes",$C9,IF(BI$6&amp;BI$7="yesyes",BI10*(Assumptions!$C$12/(Assumptions!$C$12+Assumptions!$C$14))+BI9*(Assumptions!$C$14/(Assumptions!$C$12+Assumptions!$C$14)),Assumptions!$C$12/SUM(Assumptions!$C$12:$C$14)*'Tungsten Model'!BI10+'Tungsten Model'!BI8*(SUM(Assumptions!$C$13:$C$14)/SUM(Assumptions!$C$12:$C$14))))</f>
        <v>3.4946041790660642E-3</v>
      </c>
      <c r="BJ11" s="68">
        <f>IF(BJ$6&amp;BJ$7="Noyes",$C9,IF(BJ$6&amp;BJ$7="yesyes",BJ10*(Assumptions!$C$12/(Assumptions!$C$12+Assumptions!$C$14))+BJ9*(Assumptions!$C$14/(Assumptions!$C$12+Assumptions!$C$14)),Assumptions!$C$12/SUM(Assumptions!$C$12:$C$14)*'Tungsten Model'!BJ10+'Tungsten Model'!BJ8*(SUM(Assumptions!$C$13:$C$14)/SUM(Assumptions!$C$12:$C$14))))</f>
        <v>3.4946041790660642E-3</v>
      </c>
      <c r="BK11" s="68">
        <f>IF(BK$6&amp;BK$7="Noyes",$C9,IF(BK$6&amp;BK$7="yesyes",BK10*(Assumptions!$C$12/(Assumptions!$C$12+Assumptions!$C$14))+BK9*(Assumptions!$C$14/(Assumptions!$C$12+Assumptions!$C$14)),Assumptions!$C$12/SUM(Assumptions!$C$12:$C$14)*'Tungsten Model'!BK10+'Tungsten Model'!BK8*(SUM(Assumptions!$C$13:$C$14)/SUM(Assumptions!$C$12:$C$14))))</f>
        <v>3.4946041790660642E-3</v>
      </c>
      <c r="BL11" s="68">
        <f>IF(BL$6&amp;BL$7="Noyes",$C9,IF(BL$6&amp;BL$7="yesyes",BL10*(Assumptions!$C$12/(Assumptions!$C$12+Assumptions!$C$14))+BL9*(Assumptions!$C$14/(Assumptions!$C$12+Assumptions!$C$14)),Assumptions!$C$12/SUM(Assumptions!$C$12:$C$14)*'Tungsten Model'!BL10+'Tungsten Model'!BL8*(SUM(Assumptions!$C$13:$C$14)/SUM(Assumptions!$C$12:$C$14))))</f>
        <v>3.4946041790660642E-3</v>
      </c>
      <c r="BM11" s="68">
        <f>IF(BM$6&amp;BM$7="Noyes",$C9,IF(BM$6&amp;BM$7="yesyes",BM10*(Assumptions!$C$12/(Assumptions!$C$12+Assumptions!$C$14))+BM9*(Assumptions!$C$14/(Assumptions!$C$12+Assumptions!$C$14)),Assumptions!$C$12/SUM(Assumptions!$C$12:$C$14)*'Tungsten Model'!BM10+'Tungsten Model'!BM8*(SUM(Assumptions!$C$13:$C$14)/SUM(Assumptions!$C$12:$C$14))))</f>
        <v>3.4946041790660642E-3</v>
      </c>
      <c r="BN11" s="68">
        <f>IF(BN$6&amp;BN$7="Noyes",$C9,IF(BN$6&amp;BN$7="yesyes",BN10*(Assumptions!$C$12/(Assumptions!$C$12+Assumptions!$C$14))+BN9*(Assumptions!$C$14/(Assumptions!$C$12+Assumptions!$C$14)),Assumptions!$C$12/SUM(Assumptions!$C$12:$C$14)*'Tungsten Model'!BN10+'Tungsten Model'!BN8*(SUM(Assumptions!$C$13:$C$14)/SUM(Assumptions!$C$12:$C$14))))</f>
        <v>3.4946041790660642E-3</v>
      </c>
      <c r="BO11" s="68">
        <f>IF(BO$6&amp;BO$7="Noyes",$C9,IF(BO$6&amp;BO$7="yesyes",BO10*(Assumptions!$C$12/(Assumptions!$C$12+Assumptions!$C$14))+BO9*(Assumptions!$C$14/(Assumptions!$C$12+Assumptions!$C$14)),Assumptions!$C$12/SUM(Assumptions!$C$12:$C$14)*'Tungsten Model'!BO10+'Tungsten Model'!BO8*(SUM(Assumptions!$C$13:$C$14)/SUM(Assumptions!$C$12:$C$14))))</f>
        <v>3.4946041790660642E-3</v>
      </c>
      <c r="BP11" s="68">
        <f>IF(BP$6&amp;BP$7="Noyes",$C9,IF(BP$6&amp;BP$7="yesyes",BP10*(Assumptions!$C$12/(Assumptions!$C$12+Assumptions!$C$14))+BP9*(Assumptions!$C$14/(Assumptions!$C$12+Assumptions!$C$14)),Assumptions!$C$12/SUM(Assumptions!$C$12:$C$14)*'Tungsten Model'!BP10+'Tungsten Model'!BP8*(SUM(Assumptions!$C$13:$C$14)/SUM(Assumptions!$C$12:$C$14))))</f>
        <v>3.4946041790660642E-3</v>
      </c>
      <c r="BQ11" s="68">
        <f>IF(BQ$6&amp;BQ$7="Noyes",$C9,IF(BQ$6&amp;BQ$7="yesyes",BQ10*(Assumptions!$C$12/(Assumptions!$C$12+Assumptions!$C$14))+BQ9*(Assumptions!$C$14/(Assumptions!$C$12+Assumptions!$C$14)),Assumptions!$C$12/SUM(Assumptions!$C$12:$C$14)*'Tungsten Model'!BQ10+'Tungsten Model'!BQ8*(SUM(Assumptions!$C$13:$C$14)/SUM(Assumptions!$C$12:$C$14))))</f>
        <v>3.4946041790660642E-3</v>
      </c>
      <c r="BR11" s="68">
        <f>IF(BR$6&amp;BR$7="Noyes",$C9,IF(BR$6&amp;BR$7="yesyes",BR10*(Assumptions!$C$12/(Assumptions!$C$12+Assumptions!$C$14))+BR9*(Assumptions!$C$14/(Assumptions!$C$12+Assumptions!$C$14)),Assumptions!$C$12/SUM(Assumptions!$C$12:$C$14)*'Tungsten Model'!BR10+'Tungsten Model'!BR8*(SUM(Assumptions!$C$13:$C$14)/SUM(Assumptions!$C$12:$C$14))))</f>
        <v>3.4946041790660642E-3</v>
      </c>
      <c r="BS11" s="68">
        <f>IF(BS$6&amp;BS$7="Noyes",$C9,IF(BS$6&amp;BS$7="yesyes",BS10*(Assumptions!$C$12/(Assumptions!$C$12+Assumptions!$C$14))+BS9*(Assumptions!$C$14/(Assumptions!$C$12+Assumptions!$C$14)),Assumptions!$C$12/SUM(Assumptions!$C$12:$C$14)*'Tungsten Model'!BS10+'Tungsten Model'!BS8*(SUM(Assumptions!$C$13:$C$14)/SUM(Assumptions!$C$12:$C$14))))</f>
        <v>3.4946041790660642E-3</v>
      </c>
      <c r="BT11" s="68">
        <f>IF(BT$6&amp;BT$7="Noyes",$C9,IF(BT$6&amp;BT$7="yesyes",BT10*(Assumptions!$C$12/(Assumptions!$C$12+Assumptions!$C$14))+BT9*(Assumptions!$C$14/(Assumptions!$C$12+Assumptions!$C$14)),Assumptions!$C$12/SUM(Assumptions!$C$12:$C$14)*'Tungsten Model'!BT10+'Tungsten Model'!BT8*(SUM(Assumptions!$C$13:$C$14)/SUM(Assumptions!$C$12:$C$14))))</f>
        <v>3.4946041790660642E-3</v>
      </c>
      <c r="BU11" s="68">
        <f>IF(BU$6&amp;BU$7="Noyes",$C9,IF(BU$6&amp;BU$7="yesyes",BU10*(Assumptions!$C$12/(Assumptions!$C$12+Assumptions!$C$14))+BU9*(Assumptions!$C$14/(Assumptions!$C$12+Assumptions!$C$14)),Assumptions!$C$12/SUM(Assumptions!$C$12:$C$14)*'Tungsten Model'!BU10+'Tungsten Model'!BU8*(SUM(Assumptions!$C$13:$C$14)/SUM(Assumptions!$C$12:$C$14))))</f>
        <v>3.4946041790660642E-3</v>
      </c>
      <c r="BV11" s="68">
        <f>IF(BV$6&amp;BV$7="Noyes",$C9,IF(BV$6&amp;BV$7="yesyes",BV10*(Assumptions!$C$12/(Assumptions!$C$12+Assumptions!$C$14))+BV9*(Assumptions!$C$14/(Assumptions!$C$12+Assumptions!$C$14)),Assumptions!$C$12/SUM(Assumptions!$C$12:$C$14)*'Tungsten Model'!BV10+'Tungsten Model'!BV8*(SUM(Assumptions!$C$13:$C$14)/SUM(Assumptions!$C$12:$C$14))))</f>
        <v>3.4946041790660642E-3</v>
      </c>
      <c r="BW11" s="68">
        <f>IF(BW$6&amp;BW$7="Noyes",$C9,IF(BW$6&amp;BW$7="yesyes",BW10*(Assumptions!$C$12/(Assumptions!$C$12+Assumptions!$C$14))+BW9*(Assumptions!$C$14/(Assumptions!$C$12+Assumptions!$C$14)),Assumptions!$C$12/SUM(Assumptions!$C$12:$C$14)*'Tungsten Model'!BW10+'Tungsten Model'!BW8*(SUM(Assumptions!$C$13:$C$14)/SUM(Assumptions!$C$12:$C$14))))</f>
        <v>3.4946041790660642E-3</v>
      </c>
      <c r="BX11" s="68">
        <f>IF(BX$6&amp;BX$7="Noyes",$C9,IF(BX$6&amp;BX$7="yesyes",BX10*(Assumptions!$C$12/(Assumptions!$C$12+Assumptions!$C$14))+BX9*(Assumptions!$C$14/(Assumptions!$C$12+Assumptions!$C$14)),Assumptions!$C$12/SUM(Assumptions!$C$12:$C$14)*'Tungsten Model'!BX10+'Tungsten Model'!BX8*(SUM(Assumptions!$C$13:$C$14)/SUM(Assumptions!$C$12:$C$14))))</f>
        <v>3.4946041790660642E-3</v>
      </c>
      <c r="BY11" s="68">
        <f>IF(BY$6&amp;BY$7="Noyes",$C9,IF(BY$6&amp;BY$7="yesyes",BY10*(Assumptions!$C$12/(Assumptions!$C$12+Assumptions!$C$14))+BY9*(Assumptions!$C$14/(Assumptions!$C$12+Assumptions!$C$14)),Assumptions!$C$12/SUM(Assumptions!$C$12:$C$14)*'Tungsten Model'!BY10+'Tungsten Model'!BY8*(SUM(Assumptions!$C$13:$C$14)/SUM(Assumptions!$C$12:$C$14))))</f>
        <v>3.4946041790660642E-3</v>
      </c>
      <c r="BZ11" s="68">
        <f>IF(BZ$6&amp;BZ$7="Noyes",$C9,IF(BZ$6&amp;BZ$7="yesyes",BZ10*(Assumptions!$C$12/(Assumptions!$C$12+Assumptions!$C$14))+BZ9*(Assumptions!$C$14/(Assumptions!$C$12+Assumptions!$C$14)),Assumptions!$C$12/SUM(Assumptions!$C$12:$C$14)*'Tungsten Model'!BZ10+'Tungsten Model'!BZ8*(SUM(Assumptions!$C$13:$C$14)/SUM(Assumptions!$C$12:$C$14))))</f>
        <v>3.4946041790660642E-3</v>
      </c>
      <c r="CA11" s="68">
        <f>IF(CA$6&amp;CA$7="Noyes",$C9,IF(CA$6&amp;CA$7="yesyes",CA10*(Assumptions!$C$12/(Assumptions!$C$12+Assumptions!$C$14))+CA9*(Assumptions!$C$14/(Assumptions!$C$12+Assumptions!$C$14)),Assumptions!$C$12/SUM(Assumptions!$C$12:$C$14)*'Tungsten Model'!CA10+'Tungsten Model'!CA8*(SUM(Assumptions!$C$13:$C$14)/SUM(Assumptions!$C$12:$C$14))))</f>
        <v>3.4946041790660642E-3</v>
      </c>
      <c r="CB11" s="68">
        <f>IF(CB$6&amp;CB$7="Noyes",$C9,IF(CB$6&amp;CB$7="yesyes",CB10*(Assumptions!$C$12/(Assumptions!$C$12+Assumptions!$C$14))+CB9*(Assumptions!$C$14/(Assumptions!$C$12+Assumptions!$C$14)),Assumptions!$C$12/SUM(Assumptions!$C$12:$C$14)*'Tungsten Model'!CB10+'Tungsten Model'!CB8*(SUM(Assumptions!$C$13:$C$14)/SUM(Assumptions!$C$12:$C$14))))</f>
        <v>3.4946041790660642E-3</v>
      </c>
      <c r="CC11" s="68">
        <f>IF(CC$6&amp;CC$7="Noyes",$C9,IF(CC$6&amp;CC$7="yesyes",CC10*(Assumptions!$C$12/(Assumptions!$C$12+Assumptions!$C$14))+CC9*(Assumptions!$C$14/(Assumptions!$C$12+Assumptions!$C$14)),Assumptions!$C$12/SUM(Assumptions!$C$12:$C$14)*'Tungsten Model'!CC10+'Tungsten Model'!CC8*(SUM(Assumptions!$C$13:$C$14)/SUM(Assumptions!$C$12:$C$14))))</f>
        <v>3.4946041790660642E-3</v>
      </c>
      <c r="CD11" s="68">
        <f>IF(CD$6&amp;CD$7="Noyes",$C9,IF(CD$6&amp;CD$7="yesyes",CD10*(Assumptions!$C$12/(Assumptions!$C$12+Assumptions!$C$14))+CD9*(Assumptions!$C$14/(Assumptions!$C$12+Assumptions!$C$14)),Assumptions!$C$12/SUM(Assumptions!$C$12:$C$14)*'Tungsten Model'!CD10+'Tungsten Model'!CD8*(SUM(Assumptions!$C$13:$C$14)/SUM(Assumptions!$C$12:$C$14))))</f>
        <v>3.4946041790660642E-3</v>
      </c>
      <c r="CE11" s="68">
        <f>IF(CE$6&amp;CE$7="Noyes",$C9,IF(CE$6&amp;CE$7="yesyes",CE10*(Assumptions!$C$12/(Assumptions!$C$12+Assumptions!$C$14))+CE9*(Assumptions!$C$14/(Assumptions!$C$12+Assumptions!$C$14)),Assumptions!$C$12/SUM(Assumptions!$C$12:$C$14)*'Tungsten Model'!CE10+'Tungsten Model'!CE8*(SUM(Assumptions!$C$13:$C$14)/SUM(Assumptions!$C$12:$C$14))))</f>
        <v>3.4946041790660642E-3</v>
      </c>
      <c r="CF11" s="68">
        <f>IF(CF$6&amp;CF$7="Noyes",$C9,IF(CF$6&amp;CF$7="yesyes",CF10*(Assumptions!$C$12/(Assumptions!$C$12+Assumptions!$C$14))+CF9*(Assumptions!$C$14/(Assumptions!$C$12+Assumptions!$C$14)),Assumptions!$C$12/SUM(Assumptions!$C$12:$C$14)*'Tungsten Model'!CF10+'Tungsten Model'!CF8*(SUM(Assumptions!$C$13:$C$14)/SUM(Assumptions!$C$12:$C$14))))</f>
        <v>3.4946041790660642E-3</v>
      </c>
      <c r="CG11" s="68">
        <f>IF(CG$6&amp;CG$7="Noyes",$C9,IF(CG$6&amp;CG$7="yesyes",CG10*(Assumptions!$C$12/(Assumptions!$C$12+Assumptions!$C$14))+CG9*(Assumptions!$C$14/(Assumptions!$C$12+Assumptions!$C$14)),Assumptions!$C$12/SUM(Assumptions!$C$12:$C$14)*'Tungsten Model'!CG10+'Tungsten Model'!CG8*(SUM(Assumptions!$C$13:$C$14)/SUM(Assumptions!$C$12:$C$14))))</f>
        <v>3.4946041790660642E-3</v>
      </c>
      <c r="CH11" s="68">
        <f>IF(CH$6&amp;CH$7="Noyes",$C9,IF(CH$6&amp;CH$7="yesyes",CH10*(Assumptions!$C$12/(Assumptions!$C$12+Assumptions!$C$14))+CH9*(Assumptions!$C$14/(Assumptions!$C$12+Assumptions!$C$14)),Assumptions!$C$12/SUM(Assumptions!$C$12:$C$14)*'Tungsten Model'!CH10+'Tungsten Model'!CH8*(SUM(Assumptions!$C$13:$C$14)/SUM(Assumptions!$C$12:$C$14))))</f>
        <v>3.4946041790660642E-3</v>
      </c>
      <c r="CI11" s="68">
        <f>IF(CI$6&amp;CI$7="Noyes",$C9,IF(CI$6&amp;CI$7="yesyes",CI10*(Assumptions!$C$12/(Assumptions!$C$12+Assumptions!$C$14))+CI9*(Assumptions!$C$14/(Assumptions!$C$12+Assumptions!$C$14)),Assumptions!$C$12/SUM(Assumptions!$C$12:$C$14)*'Tungsten Model'!CI10+'Tungsten Model'!CI8*(SUM(Assumptions!$C$13:$C$14)/SUM(Assumptions!$C$12:$C$14))))</f>
        <v>3.4946041790660642E-3</v>
      </c>
      <c r="CJ11" s="68">
        <f>IF(CJ$6&amp;CJ$7="Noyes",$C9,IF(CJ$6&amp;CJ$7="yesyes",CJ10*(Assumptions!$C$12/(Assumptions!$C$12+Assumptions!$C$14))+CJ9*(Assumptions!$C$14/(Assumptions!$C$12+Assumptions!$C$14)),Assumptions!$C$12/SUM(Assumptions!$C$12:$C$14)*'Tungsten Model'!CJ10+'Tungsten Model'!CJ8*(SUM(Assumptions!$C$13:$C$14)/SUM(Assumptions!$C$12:$C$14))))</f>
        <v>3.4946041790660642E-3</v>
      </c>
      <c r="CK11" s="68">
        <f>IF(CK$6&amp;CK$7="Noyes",$C9,IF(CK$6&amp;CK$7="yesyes",CK10*(Assumptions!$C$12/(Assumptions!$C$12+Assumptions!$C$14))+CK9*(Assumptions!$C$14/(Assumptions!$C$12+Assumptions!$C$14)),Assumptions!$C$12/SUM(Assumptions!$C$12:$C$14)*'Tungsten Model'!CK10+'Tungsten Model'!CK8*(SUM(Assumptions!$C$13:$C$14)/SUM(Assumptions!$C$12:$C$14))))</f>
        <v>3.4946041790660642E-3</v>
      </c>
      <c r="CL11" s="68">
        <f>IF(CL$6&amp;CL$7="Noyes",$C9,IF(CL$6&amp;CL$7="yesyes",CL10*(Assumptions!$C$12/(Assumptions!$C$12+Assumptions!$C$14))+CL9*(Assumptions!$C$14/(Assumptions!$C$12+Assumptions!$C$14)),Assumptions!$C$12/SUM(Assumptions!$C$12:$C$14)*'Tungsten Model'!CL10+'Tungsten Model'!CL8*(SUM(Assumptions!$C$13:$C$14)/SUM(Assumptions!$C$12:$C$14))))</f>
        <v>3.4946041790660642E-3</v>
      </c>
      <c r="CM11" s="68">
        <f>IF(CM$6&amp;CM$7="Noyes",$C9,IF(CM$6&amp;CM$7="yesyes",CM10*(Assumptions!$C$12/(Assumptions!$C$12+Assumptions!$C$14))+CM9*(Assumptions!$C$14/(Assumptions!$C$12+Assumptions!$C$14)),Assumptions!$C$12/SUM(Assumptions!$C$12:$C$14)*'Tungsten Model'!CM10+'Tungsten Model'!CM8*(SUM(Assumptions!$C$13:$C$14)/SUM(Assumptions!$C$12:$C$14))))</f>
        <v>3.4946041790660642E-3</v>
      </c>
      <c r="CN11" s="68">
        <f>IF(CN$6&amp;CN$7="Noyes",$C9,IF(CN$6&amp;CN$7="yesyes",CN10*(Assumptions!$C$12/(Assumptions!$C$12+Assumptions!$C$14))+CN9*(Assumptions!$C$14/(Assumptions!$C$12+Assumptions!$C$14)),Assumptions!$C$12/SUM(Assumptions!$C$12:$C$14)*'Tungsten Model'!CN10+'Tungsten Model'!CN8*(SUM(Assumptions!$C$13:$C$14)/SUM(Assumptions!$C$12:$C$14))))</f>
        <v>3.4946041790660642E-3</v>
      </c>
      <c r="CO11" s="68">
        <f>IF(CO$6&amp;CO$7="Noyes",$C9,IF(CO$6&amp;CO$7="yesyes",CO10*(Assumptions!$C$12/(Assumptions!$C$12+Assumptions!$C$14))+CO9*(Assumptions!$C$14/(Assumptions!$C$12+Assumptions!$C$14)),Assumptions!$C$12/SUM(Assumptions!$C$12:$C$14)*'Tungsten Model'!CO10+'Tungsten Model'!CO8*(SUM(Assumptions!$C$13:$C$14)/SUM(Assumptions!$C$12:$C$14))))</f>
        <v>3.4946041790660642E-3</v>
      </c>
      <c r="CP11" s="68">
        <f>IF(CP$6&amp;CP$7="Noyes",$C9,IF(CP$6&amp;CP$7="yesyes",CP10*(Assumptions!$C$12/(Assumptions!$C$12+Assumptions!$C$14))+CP9*(Assumptions!$C$14/(Assumptions!$C$12+Assumptions!$C$14)),Assumptions!$C$12/SUM(Assumptions!$C$12:$C$14)*'Tungsten Model'!CP10+'Tungsten Model'!CP8*(SUM(Assumptions!$C$13:$C$14)/SUM(Assumptions!$C$12:$C$14))))</f>
        <v>3.4946041790660642E-3</v>
      </c>
      <c r="CQ11" s="68">
        <f>IF(CQ$6&amp;CQ$7="Noyes",$C9,IF(CQ$6&amp;CQ$7="yesyes",CQ10*(Assumptions!$C$12/(Assumptions!$C$12+Assumptions!$C$14))+CQ9*(Assumptions!$C$14/(Assumptions!$C$12+Assumptions!$C$14)),Assumptions!$C$12/SUM(Assumptions!$C$12:$C$14)*'Tungsten Model'!CQ10+'Tungsten Model'!CQ8*(SUM(Assumptions!$C$13:$C$14)/SUM(Assumptions!$C$12:$C$14))))</f>
        <v>3.4946041790660642E-3</v>
      </c>
      <c r="CR11" s="68">
        <f>IF(CR$6&amp;CR$7="Noyes",$C9,IF(CR$6&amp;CR$7="yesyes",CR10*(Assumptions!$C$12/(Assumptions!$C$12+Assumptions!$C$14))+CR9*(Assumptions!$C$14/(Assumptions!$C$12+Assumptions!$C$14)),Assumptions!$C$12/SUM(Assumptions!$C$12:$C$14)*'Tungsten Model'!CR10+'Tungsten Model'!CR8*(SUM(Assumptions!$C$13:$C$14)/SUM(Assumptions!$C$12:$C$14))))</f>
        <v>3.4946041790660642E-3</v>
      </c>
      <c r="CS11" s="68">
        <f>IF(CS$6&amp;CS$7="Noyes",$C9,IF(CS$6&amp;CS$7="yesyes",CS10*(Assumptions!$C$12/(Assumptions!$C$12+Assumptions!$C$14))+CS9*(Assumptions!$C$14/(Assumptions!$C$12+Assumptions!$C$14)),Assumptions!$C$12/SUM(Assumptions!$C$12:$C$14)*'Tungsten Model'!CS10+'Tungsten Model'!CS8*(SUM(Assumptions!$C$13:$C$14)/SUM(Assumptions!$C$12:$C$14))))</f>
        <v>3.4946041790660642E-3</v>
      </c>
      <c r="CT11" s="68">
        <f>IF(CT$6&amp;CT$7="Noyes",$C9,IF(CT$6&amp;CT$7="yesyes",CT10*(Assumptions!$C$12/(Assumptions!$C$12+Assumptions!$C$14))+CT9*(Assumptions!$C$14/(Assumptions!$C$12+Assumptions!$C$14)),Assumptions!$C$12/SUM(Assumptions!$C$12:$C$14)*'Tungsten Model'!CT10+'Tungsten Model'!CT8*(SUM(Assumptions!$C$13:$C$14)/SUM(Assumptions!$C$12:$C$14))))</f>
        <v>3.4946041790660642E-3</v>
      </c>
      <c r="CU11" s="68">
        <f>IF(CU$6&amp;CU$7="Noyes",$C9,IF(CU$6&amp;CU$7="yesyes",CU10*(Assumptions!$C$12/(Assumptions!$C$12+Assumptions!$C$14))+CU9*(Assumptions!$C$14/(Assumptions!$C$12+Assumptions!$C$14)),Assumptions!$C$12/SUM(Assumptions!$C$12:$C$14)*'Tungsten Model'!CU10+'Tungsten Model'!CU8*(SUM(Assumptions!$C$13:$C$14)/SUM(Assumptions!$C$12:$C$14))))</f>
        <v>3.4946041790660642E-3</v>
      </c>
      <c r="CV11" s="68">
        <f>IF(CV$6&amp;CV$7="Noyes",$C9,IF(CV$6&amp;CV$7="yesyes",CV10*(Assumptions!$C$12/(Assumptions!$C$12+Assumptions!$C$14))+CV9*(Assumptions!$C$14/(Assumptions!$C$12+Assumptions!$C$14)),Assumptions!$C$12/SUM(Assumptions!$C$12:$C$14)*'Tungsten Model'!CV10+'Tungsten Model'!CV8*(SUM(Assumptions!$C$13:$C$14)/SUM(Assumptions!$C$12:$C$14))))</f>
        <v>3.4946041790660642E-3</v>
      </c>
      <c r="CW11" s="68">
        <f>IF(CW$6&amp;CW$7="Noyes",$C9,IF(CW$6&amp;CW$7="yesyes",CW10*(Assumptions!$C$12/(Assumptions!$C$12+Assumptions!$C$14))+CW9*(Assumptions!$C$14/(Assumptions!$C$12+Assumptions!$C$14)),Assumptions!$C$12/SUM(Assumptions!$C$12:$C$14)*'Tungsten Model'!CW10+'Tungsten Model'!CW8*(SUM(Assumptions!$C$13:$C$14)/SUM(Assumptions!$C$12:$C$14))))</f>
        <v>3.4946041790660642E-3</v>
      </c>
      <c r="CX11" s="68">
        <f>IF(CX$6&amp;CX$7="Noyes",$C9,IF(CX$6&amp;CX$7="yesyes",CX10*(Assumptions!$C$12/(Assumptions!$C$12+Assumptions!$C$14))+CX9*(Assumptions!$C$14/(Assumptions!$C$12+Assumptions!$C$14)),Assumptions!$C$12/SUM(Assumptions!$C$12:$C$14)*'Tungsten Model'!CX10+'Tungsten Model'!CX8*(SUM(Assumptions!$C$13:$C$14)/SUM(Assumptions!$C$12:$C$14))))</f>
        <v>3.4946041790660642E-3</v>
      </c>
      <c r="CY11" s="68">
        <f>IF(CY$6&amp;CY$7="Noyes",$C9,IF(CY$6&amp;CY$7="yesyes",CY10*(Assumptions!$C$12/(Assumptions!$C$12+Assumptions!$C$14))+CY9*(Assumptions!$C$14/(Assumptions!$C$12+Assumptions!$C$14)),Assumptions!$C$12/SUM(Assumptions!$C$12:$C$14)*'Tungsten Model'!CY10+'Tungsten Model'!CY8*(SUM(Assumptions!$C$13:$C$14)/SUM(Assumptions!$C$12:$C$14))))</f>
        <v>3.4946041790660642E-3</v>
      </c>
      <c r="CZ11" s="68">
        <f>IF(CZ$6&amp;CZ$7="Noyes",$C9,IF(CZ$6&amp;CZ$7="yesyes",CZ10*(Assumptions!$C$12/(Assumptions!$C$12+Assumptions!$C$14))+CZ9*(Assumptions!$C$14/(Assumptions!$C$12+Assumptions!$C$14)),Assumptions!$C$12/SUM(Assumptions!$C$12:$C$14)*'Tungsten Model'!CZ10+'Tungsten Model'!CZ8*(SUM(Assumptions!$C$13:$C$14)/SUM(Assumptions!$C$12:$C$14))))</f>
        <v>3.4946041790660642E-3</v>
      </c>
      <c r="DA11" s="68">
        <f>IF(DA$6&amp;DA$7="Noyes",$C9,IF(DA$6&amp;DA$7="yesyes",DA10*(Assumptions!$C$12/(Assumptions!$C$12+Assumptions!$C$14))+DA9*(Assumptions!$C$14/(Assumptions!$C$12+Assumptions!$C$14)),Assumptions!$C$12/SUM(Assumptions!$C$12:$C$14)*'Tungsten Model'!DA10+'Tungsten Model'!DA8*(SUM(Assumptions!$C$13:$C$14)/SUM(Assumptions!$C$12:$C$14))))</f>
        <v>3.4946041790660642E-3</v>
      </c>
      <c r="DB11" s="68">
        <f>IF(DB$6&amp;DB$7="Noyes",$C9,IF(DB$6&amp;DB$7="yesyes",DB10*(Assumptions!$C$12/(Assumptions!$C$12+Assumptions!$C$14))+DB9*(Assumptions!$C$14/(Assumptions!$C$12+Assumptions!$C$14)),Assumptions!$C$12/SUM(Assumptions!$C$12:$C$14)*'Tungsten Model'!DB10+'Tungsten Model'!DB8*(SUM(Assumptions!$C$13:$C$14)/SUM(Assumptions!$C$12:$C$14))))</f>
        <v>3.4946041790660642E-3</v>
      </c>
      <c r="DC11" s="68">
        <f>IF(DC$6&amp;DC$7="Noyes",$C9,IF(DC$6&amp;DC$7="yesyes",DC10*(Assumptions!$C$12/(Assumptions!$C$12+Assumptions!$C$14))+DC9*(Assumptions!$C$14/(Assumptions!$C$12+Assumptions!$C$14)),Assumptions!$C$12/SUM(Assumptions!$C$12:$C$14)*'Tungsten Model'!DC10+'Tungsten Model'!DC8*(SUM(Assumptions!$C$13:$C$14)/SUM(Assumptions!$C$12:$C$14))))</f>
        <v>3.4946041790660642E-3</v>
      </c>
      <c r="DD11" s="68">
        <f>IF(DD$6&amp;DD$7="Noyes",$C9,IF(DD$6&amp;DD$7="yesyes",DD10*(Assumptions!$C$12/(Assumptions!$C$12+Assumptions!$C$14))+DD9*(Assumptions!$C$14/(Assumptions!$C$12+Assumptions!$C$14)),Assumptions!$C$12/SUM(Assumptions!$C$12:$C$14)*'Tungsten Model'!DD10+'Tungsten Model'!DD8*(SUM(Assumptions!$C$13:$C$14)/SUM(Assumptions!$C$12:$C$14))))</f>
        <v>3.4946041790660642E-3</v>
      </c>
      <c r="DE11" s="68">
        <f>IF(DE$6&amp;DE$7="Noyes",$C9,IF(DE$6&amp;DE$7="yesyes",DE10*(Assumptions!$C$12/(Assumptions!$C$12+Assumptions!$C$14))+DE9*(Assumptions!$C$14/(Assumptions!$C$12+Assumptions!$C$14)),Assumptions!$C$12/SUM(Assumptions!$C$12:$C$14)*'Tungsten Model'!DE10+'Tungsten Model'!DE8*(SUM(Assumptions!$C$13:$C$14)/SUM(Assumptions!$C$12:$C$14))))</f>
        <v>3.4946041790660642E-3</v>
      </c>
      <c r="DF11" s="68">
        <f>IF(DF$6&amp;DF$7="Noyes",$C9,IF(DF$6&amp;DF$7="yesyes",DF10*(Assumptions!$C$12/(Assumptions!$C$12+Assumptions!$C$14))+DF9*(Assumptions!$C$14/(Assumptions!$C$12+Assumptions!$C$14)),Assumptions!$C$12/SUM(Assumptions!$C$12:$C$14)*'Tungsten Model'!DF10+'Tungsten Model'!DF8*(SUM(Assumptions!$C$13:$C$14)/SUM(Assumptions!$C$12:$C$14))))</f>
        <v>3.4946041790660642E-3</v>
      </c>
      <c r="DG11" s="68">
        <f>IF(DG$6&amp;DG$7="Noyes",$C9,IF(DG$6&amp;DG$7="yesyes",DG10*(Assumptions!$C$12/(Assumptions!$C$12+Assumptions!$C$14))+DG9*(Assumptions!$C$14/(Assumptions!$C$12+Assumptions!$C$14)),Assumptions!$C$12/SUM(Assumptions!$C$12:$C$14)*'Tungsten Model'!DG10+'Tungsten Model'!DG8*(SUM(Assumptions!$C$13:$C$14)/SUM(Assumptions!$C$12:$C$14))))</f>
        <v>3.4946041790660642E-3</v>
      </c>
      <c r="DH11" s="68">
        <f>IF(DH$6&amp;DH$7="Noyes",$C9,IF(DH$6&amp;DH$7="yesyes",DH10*(Assumptions!$C$12/(Assumptions!$C$12+Assumptions!$C$14))+DH9*(Assumptions!$C$14/(Assumptions!$C$12+Assumptions!$C$14)),Assumptions!$C$12/SUM(Assumptions!$C$12:$C$14)*'Tungsten Model'!DH10+'Tungsten Model'!DH8*(SUM(Assumptions!$C$13:$C$14)/SUM(Assumptions!$C$12:$C$14))))</f>
        <v>3.4946041790660642E-3</v>
      </c>
      <c r="DI11" s="68">
        <f>IF(DI$6&amp;DI$7="Noyes",$C9,IF(DI$6&amp;DI$7="yesyes",DI10*(Assumptions!$C$12/(Assumptions!$C$12+Assumptions!$C$14))+DI9*(Assumptions!$C$14/(Assumptions!$C$12+Assumptions!$C$14)),Assumptions!$C$12/SUM(Assumptions!$C$12:$C$14)*'Tungsten Model'!DI10+'Tungsten Model'!DI8*(SUM(Assumptions!$C$13:$C$14)/SUM(Assumptions!$C$12:$C$14))))</f>
        <v>3.4946041790660642E-3</v>
      </c>
      <c r="DJ11" s="68">
        <f>IF(DJ$6&amp;DJ$7="Noyes",$C9,IF(DJ$6&amp;DJ$7="yesyes",DJ10*(Assumptions!$C$12/(Assumptions!$C$12+Assumptions!$C$14))+DJ9*(Assumptions!$C$14/(Assumptions!$C$12+Assumptions!$C$14)),Assumptions!$C$12/SUM(Assumptions!$C$12:$C$14)*'Tungsten Model'!DJ10+'Tungsten Model'!DJ8*(SUM(Assumptions!$C$13:$C$14)/SUM(Assumptions!$C$12:$C$14))))</f>
        <v>3.4946041790660642E-3</v>
      </c>
      <c r="DK11" s="68">
        <f>IF(DK$6&amp;DK$7="Noyes",$C9,IF(DK$6&amp;DK$7="yesyes",DK10*(Assumptions!$C$12/(Assumptions!$C$12+Assumptions!$C$14))+DK9*(Assumptions!$C$14/(Assumptions!$C$12+Assumptions!$C$14)),Assumptions!$C$12/SUM(Assumptions!$C$12:$C$14)*'Tungsten Model'!DK10+'Tungsten Model'!DK8*(SUM(Assumptions!$C$13:$C$14)/SUM(Assumptions!$C$12:$C$14))))</f>
        <v>3.4946041790660642E-3</v>
      </c>
      <c r="DL11" s="68">
        <f>IF(DL$6&amp;DL$7="Noyes",$C9,IF(DL$6&amp;DL$7="yesyes",DL10*(Assumptions!$C$12/(Assumptions!$C$12+Assumptions!$C$14))+DL9*(Assumptions!$C$14/(Assumptions!$C$12+Assumptions!$C$14)),Assumptions!$C$12/SUM(Assumptions!$C$12:$C$14)*'Tungsten Model'!DL10+'Tungsten Model'!DL8*(SUM(Assumptions!$C$13:$C$14)/SUM(Assumptions!$C$12:$C$14))))</f>
        <v>3.4946041790660642E-3</v>
      </c>
      <c r="DM11" s="68">
        <f>IF(DM$6&amp;DM$7="Noyes",$C9,IF(DM$6&amp;DM$7="yesyes",DM10*(Assumptions!$C$12/(Assumptions!$C$12+Assumptions!$C$14))+DM9*(Assumptions!$C$14/(Assumptions!$C$12+Assumptions!$C$14)),Assumptions!$C$12/SUM(Assumptions!$C$12:$C$14)*'Tungsten Model'!DM10+'Tungsten Model'!DM8*(SUM(Assumptions!$C$13:$C$14)/SUM(Assumptions!$C$12:$C$14))))</f>
        <v>3.4946041790660642E-3</v>
      </c>
      <c r="DN11" s="68">
        <f>IF(DN$6&amp;DN$7="Noyes",$C9,IF(DN$6&amp;DN$7="yesyes",DN10*(Assumptions!$C$12/(Assumptions!$C$12+Assumptions!$C$14))+DN9*(Assumptions!$C$14/(Assumptions!$C$12+Assumptions!$C$14)),Assumptions!$C$12/SUM(Assumptions!$C$12:$C$14)*'Tungsten Model'!DN10+'Tungsten Model'!DN8*(SUM(Assumptions!$C$13:$C$14)/SUM(Assumptions!$C$12:$C$14))))</f>
        <v>3.4946041790660642E-3</v>
      </c>
      <c r="DO11" s="68">
        <f>IF(DO$6&amp;DO$7="Noyes",$C9,IF(DO$6&amp;DO$7="yesyes",DO10*(Assumptions!$C$12/(Assumptions!$C$12+Assumptions!$C$14))+DO9*(Assumptions!$C$14/(Assumptions!$C$12+Assumptions!$C$14)),Assumptions!$C$12/SUM(Assumptions!$C$12:$C$14)*'Tungsten Model'!DO10+'Tungsten Model'!DO8*(SUM(Assumptions!$C$13:$C$14)/SUM(Assumptions!$C$12:$C$14))))</f>
        <v>3.4946041790660642E-3</v>
      </c>
      <c r="DP11" s="68">
        <f>IF(DP$6&amp;DP$7="Noyes",$C9,IF(DP$6&amp;DP$7="yesyes",DP10*(Assumptions!$C$12/(Assumptions!$C$12+Assumptions!$C$14))+DP9*(Assumptions!$C$14/(Assumptions!$C$12+Assumptions!$C$14)),Assumptions!$C$12/SUM(Assumptions!$C$12:$C$14)*'Tungsten Model'!DP10+'Tungsten Model'!DP8*(SUM(Assumptions!$C$13:$C$14)/SUM(Assumptions!$C$12:$C$14))))</f>
        <v>3.4946041790660642E-3</v>
      </c>
      <c r="DQ11" s="68">
        <f>IF(DQ$6&amp;DQ$7="Noyes",$C9,IF(DQ$6&amp;DQ$7="yesyes",DQ10*(Assumptions!$C$12/(Assumptions!$C$12+Assumptions!$C$14))+DQ9*(Assumptions!$C$14/(Assumptions!$C$12+Assumptions!$C$14)),Assumptions!$C$12/SUM(Assumptions!$C$12:$C$14)*'Tungsten Model'!DQ10+'Tungsten Model'!DQ8*(SUM(Assumptions!$C$13:$C$14)/SUM(Assumptions!$C$12:$C$14))))</f>
        <v>3.4946041790660642E-3</v>
      </c>
      <c r="DR11" s="68">
        <f>IF(DR$6&amp;DR$7="Noyes",$C9,IF(DR$6&amp;DR$7="yesyes",DR10*(Assumptions!$C$12/(Assumptions!$C$12+Assumptions!$C$14))+DR9*(Assumptions!$C$14/(Assumptions!$C$12+Assumptions!$C$14)),Assumptions!$C$12/SUM(Assumptions!$C$12:$C$14)*'Tungsten Model'!DR10+'Tungsten Model'!DR8*(SUM(Assumptions!$C$13:$C$14)/SUM(Assumptions!$C$12:$C$14))))</f>
        <v>3.4946041790660642E-3</v>
      </c>
      <c r="DT11" s="55"/>
    </row>
    <row r="12" spans="2:125" x14ac:dyDescent="0.3">
      <c r="B12" s="52" t="s">
        <v>167</v>
      </c>
      <c r="C12" s="115">
        <f>+Assumptions!$C$7/12</f>
        <v>27.083333333333332</v>
      </c>
      <c r="D12" s="115">
        <f>+Assumptions!$C$7/12</f>
        <v>27.083333333333332</v>
      </c>
      <c r="E12" s="115">
        <f>+Assumptions!$C$7/12</f>
        <v>27.083333333333332</v>
      </c>
      <c r="F12" s="115">
        <f>+Assumptions!$C$7/12</f>
        <v>27.083333333333332</v>
      </c>
      <c r="G12" s="115">
        <f>+Assumptions!$C$7/12</f>
        <v>27.083333333333332</v>
      </c>
      <c r="H12" s="115">
        <f>+Assumptions!$C$7/12</f>
        <v>27.083333333333332</v>
      </c>
      <c r="I12" s="115">
        <f>+Assumptions!$C$7/12</f>
        <v>27.083333333333332</v>
      </c>
      <c r="J12" s="115">
        <f>+Assumptions!$C$7/12</f>
        <v>27.083333333333332</v>
      </c>
      <c r="K12" s="115">
        <f>+Assumptions!$C$7/12</f>
        <v>27.083333333333332</v>
      </c>
      <c r="L12" s="115">
        <f>+Assumptions!$C$7/12</f>
        <v>27.083333333333332</v>
      </c>
      <c r="M12" s="115">
        <f>+Assumptions!$C$7/12</f>
        <v>27.083333333333332</v>
      </c>
      <c r="N12" s="115">
        <f>+Assumptions!$C$7/12</f>
        <v>27.083333333333332</v>
      </c>
      <c r="O12" s="115">
        <f>+Assumptions!$C$7/12</f>
        <v>27.083333333333332</v>
      </c>
      <c r="P12" s="115">
        <f>+Assumptions!$C$7/12</f>
        <v>27.083333333333332</v>
      </c>
      <c r="Q12" s="115">
        <f>+Assumptions!$C$7/12</f>
        <v>27.083333333333332</v>
      </c>
      <c r="R12" s="115">
        <f>+Assumptions!$C$7/12</f>
        <v>27.083333333333332</v>
      </c>
      <c r="S12" s="115">
        <f>+Assumptions!$C$7/12</f>
        <v>27.083333333333332</v>
      </c>
      <c r="T12" s="115">
        <f>+Assumptions!$C$7/12</f>
        <v>27.083333333333332</v>
      </c>
      <c r="U12" s="115">
        <f>+Assumptions!$C$7/12</f>
        <v>27.083333333333332</v>
      </c>
      <c r="V12" s="115">
        <f>+Assumptions!$C$7/12</f>
        <v>27.083333333333332</v>
      </c>
      <c r="W12" s="115">
        <f>+Assumptions!$C$7/12</f>
        <v>27.083333333333332</v>
      </c>
      <c r="X12" s="115">
        <f>+Assumptions!$C$7/12</f>
        <v>27.083333333333332</v>
      </c>
      <c r="Y12" s="115">
        <f>+Assumptions!$C$7/12</f>
        <v>27.083333333333332</v>
      </c>
      <c r="Z12" s="115">
        <f>+Assumptions!$C$7/12</f>
        <v>27.083333333333332</v>
      </c>
      <c r="AA12" s="115">
        <f>+Assumptions!$C$7/12</f>
        <v>27.083333333333332</v>
      </c>
      <c r="AB12" s="115">
        <f>+Assumptions!$C$7/12</f>
        <v>27.083333333333332</v>
      </c>
      <c r="AC12" s="115">
        <f>+Assumptions!$C$7/12</f>
        <v>27.083333333333332</v>
      </c>
      <c r="AD12" s="115">
        <f>+Assumptions!$C$7/12</f>
        <v>27.083333333333332</v>
      </c>
      <c r="AE12" s="115">
        <f>+Assumptions!$C$7/12</f>
        <v>27.083333333333332</v>
      </c>
      <c r="AF12" s="115">
        <f>+Assumptions!$C$7/12</f>
        <v>27.083333333333332</v>
      </c>
      <c r="AG12" s="115">
        <f>+Assumptions!$C$7/12</f>
        <v>27.083333333333332</v>
      </c>
      <c r="AH12" s="115">
        <f>+Assumptions!$C$7/12</f>
        <v>27.083333333333332</v>
      </c>
      <c r="AI12" s="115">
        <f>+Assumptions!$C$7/12</f>
        <v>27.083333333333332</v>
      </c>
      <c r="AJ12" s="115">
        <f>+Assumptions!$C$7/12</f>
        <v>27.083333333333332</v>
      </c>
      <c r="AK12" s="115">
        <f>+Assumptions!$C$7/12</f>
        <v>27.083333333333332</v>
      </c>
      <c r="AL12" s="115">
        <f>+Assumptions!$C$7/12</f>
        <v>27.083333333333332</v>
      </c>
      <c r="AM12" s="115">
        <f>+Assumptions!$C$7/12</f>
        <v>27.083333333333332</v>
      </c>
      <c r="AN12" s="115">
        <f>+Assumptions!$C$7/12</f>
        <v>27.083333333333332</v>
      </c>
      <c r="AO12" s="115">
        <f>+Assumptions!$C$7/12</f>
        <v>27.083333333333332</v>
      </c>
      <c r="AP12" s="115">
        <f>+Assumptions!$C$7/12</f>
        <v>27.083333333333332</v>
      </c>
      <c r="AQ12" s="115">
        <f>+Assumptions!$C$7/12</f>
        <v>27.083333333333332</v>
      </c>
      <c r="AR12" s="115">
        <f>+Assumptions!$C$7/12</f>
        <v>27.083333333333332</v>
      </c>
      <c r="AS12" s="115">
        <f>+Assumptions!$C$7/12</f>
        <v>27.083333333333332</v>
      </c>
      <c r="AT12" s="115">
        <f>+Assumptions!$C$7/12</f>
        <v>27.083333333333332</v>
      </c>
      <c r="AU12" s="115">
        <f>+Assumptions!$C$7/12</f>
        <v>27.083333333333332</v>
      </c>
      <c r="AV12" s="115">
        <f>+Assumptions!$C$7/12</f>
        <v>27.083333333333332</v>
      </c>
      <c r="AW12" s="115">
        <f>+Assumptions!$C$7/12</f>
        <v>27.083333333333332</v>
      </c>
      <c r="AX12" s="115">
        <f>+Assumptions!$C$7/12</f>
        <v>27.083333333333332</v>
      </c>
      <c r="AY12" s="115">
        <f>+Assumptions!$C$7/12</f>
        <v>27.083333333333332</v>
      </c>
      <c r="AZ12" s="115">
        <f>+Assumptions!$C$7/12</f>
        <v>27.083333333333332</v>
      </c>
      <c r="BA12" s="115">
        <f>+Assumptions!$C$7/12</f>
        <v>27.083333333333332</v>
      </c>
      <c r="BB12" s="115">
        <f>+Assumptions!$C$7/12</f>
        <v>27.083333333333332</v>
      </c>
      <c r="BC12" s="115">
        <f>+Assumptions!$C$7/12</f>
        <v>27.083333333333332</v>
      </c>
      <c r="BD12" s="115">
        <f>+Assumptions!$C$7/12</f>
        <v>27.083333333333332</v>
      </c>
      <c r="BE12" s="115">
        <f>+Assumptions!$C$7/12</f>
        <v>27.083333333333332</v>
      </c>
      <c r="BF12" s="115">
        <f>+Assumptions!$C$7/12</f>
        <v>27.083333333333332</v>
      </c>
      <c r="BG12" s="115">
        <f>+Assumptions!$C$7/12</f>
        <v>27.083333333333332</v>
      </c>
      <c r="BH12" s="115">
        <f>+Assumptions!$C$7/12</f>
        <v>27.083333333333332</v>
      </c>
      <c r="BI12" s="115">
        <f>+Assumptions!$C$7/12</f>
        <v>27.083333333333332</v>
      </c>
      <c r="BJ12" s="115">
        <f>+Assumptions!$C$7/12</f>
        <v>27.083333333333332</v>
      </c>
      <c r="BK12" s="115">
        <f>+Assumptions!$C$7/12</f>
        <v>27.083333333333332</v>
      </c>
      <c r="BL12" s="115">
        <f>+Assumptions!$C$7/12</f>
        <v>27.083333333333332</v>
      </c>
      <c r="BM12" s="115">
        <f>+Assumptions!$C$7/12</f>
        <v>27.083333333333332</v>
      </c>
      <c r="BN12" s="115">
        <f>+Assumptions!$C$7/12</f>
        <v>27.083333333333332</v>
      </c>
      <c r="BO12" s="115">
        <f>+Assumptions!$C$7/12</f>
        <v>27.083333333333332</v>
      </c>
      <c r="BP12" s="115">
        <f>+Assumptions!$C$7/12</f>
        <v>27.083333333333332</v>
      </c>
      <c r="BQ12" s="115">
        <f>+Assumptions!$C$7/12</f>
        <v>27.083333333333332</v>
      </c>
      <c r="BR12" s="115">
        <f>+Assumptions!$C$7/12</f>
        <v>27.083333333333332</v>
      </c>
      <c r="BS12" s="115">
        <f>+Assumptions!$C$7/12</f>
        <v>27.083333333333332</v>
      </c>
      <c r="BT12" s="115">
        <f>+Assumptions!$C$7/12</f>
        <v>27.083333333333332</v>
      </c>
      <c r="BU12" s="115">
        <f>+Assumptions!$C$7/12</f>
        <v>27.083333333333332</v>
      </c>
      <c r="BV12" s="115">
        <f>+Assumptions!$C$7/12</f>
        <v>27.083333333333332</v>
      </c>
      <c r="BW12" s="115">
        <f>+Assumptions!$C$7/12</f>
        <v>27.083333333333332</v>
      </c>
      <c r="BX12" s="115">
        <f>+Assumptions!$C$7/12</f>
        <v>27.083333333333332</v>
      </c>
      <c r="BY12" s="115">
        <f>+Assumptions!$C$7/12</f>
        <v>27.083333333333332</v>
      </c>
      <c r="BZ12" s="115">
        <f>+Assumptions!$C$7/12</f>
        <v>27.083333333333332</v>
      </c>
      <c r="CA12" s="115">
        <f>+Assumptions!$C$7/12</f>
        <v>27.083333333333332</v>
      </c>
      <c r="CB12" s="115">
        <f>+Assumptions!$C$7/12</f>
        <v>27.083333333333332</v>
      </c>
      <c r="CC12" s="115">
        <f>+Assumptions!$C$7/12</f>
        <v>27.083333333333332</v>
      </c>
      <c r="CD12" s="115">
        <f>+Assumptions!$C$7/12</f>
        <v>27.083333333333332</v>
      </c>
      <c r="CE12" s="115">
        <f>+Assumptions!$C$7/12</f>
        <v>27.083333333333332</v>
      </c>
      <c r="CF12" s="115">
        <f>+Assumptions!$C$7/12</f>
        <v>27.083333333333332</v>
      </c>
      <c r="CG12" s="115">
        <f>+Assumptions!$C$7/12</f>
        <v>27.083333333333332</v>
      </c>
      <c r="CH12" s="115">
        <f>+Assumptions!$C$7/12</f>
        <v>27.083333333333332</v>
      </c>
      <c r="CI12" s="115">
        <f>+Assumptions!$C$7/12</f>
        <v>27.083333333333332</v>
      </c>
      <c r="CJ12" s="115">
        <f>+Assumptions!$C$7/12</f>
        <v>27.083333333333332</v>
      </c>
      <c r="CK12" s="115">
        <f>+Assumptions!$C$7/12</f>
        <v>27.083333333333332</v>
      </c>
      <c r="CL12" s="115">
        <f>+Assumptions!$C$7/12</f>
        <v>27.083333333333332</v>
      </c>
      <c r="CM12" s="115">
        <f>+Assumptions!$C$7/12</f>
        <v>27.083333333333332</v>
      </c>
      <c r="CN12" s="115">
        <f>+Assumptions!$C$7/12</f>
        <v>27.083333333333332</v>
      </c>
      <c r="CO12" s="115">
        <f>+Assumptions!$C$7/12</f>
        <v>27.083333333333332</v>
      </c>
      <c r="CP12" s="115">
        <f>+Assumptions!$C$7/12</f>
        <v>27.083333333333332</v>
      </c>
      <c r="CQ12" s="115">
        <f>+Assumptions!$C$7/12</f>
        <v>27.083333333333332</v>
      </c>
      <c r="CR12" s="115">
        <f>+Assumptions!$C$7/12</f>
        <v>27.083333333333332</v>
      </c>
      <c r="CS12" s="115">
        <f>+Assumptions!$C$7/12</f>
        <v>27.083333333333332</v>
      </c>
      <c r="CT12" s="115">
        <f>+Assumptions!$C$7/12</f>
        <v>27.083333333333332</v>
      </c>
      <c r="CU12" s="115">
        <f>+Assumptions!$C$7/12</f>
        <v>27.083333333333332</v>
      </c>
      <c r="CV12" s="115">
        <f>+Assumptions!$C$7/12</f>
        <v>27.083333333333332</v>
      </c>
      <c r="CW12" s="115">
        <f>+Assumptions!$C$7/12</f>
        <v>27.083333333333332</v>
      </c>
      <c r="CX12" s="115">
        <f>+Assumptions!$C$7/12</f>
        <v>27.083333333333332</v>
      </c>
      <c r="CY12" s="115">
        <f>+Assumptions!$C$7/12</f>
        <v>27.083333333333332</v>
      </c>
      <c r="CZ12" s="115">
        <f>+Assumptions!$C$7/12</f>
        <v>27.083333333333332</v>
      </c>
      <c r="DA12" s="115">
        <f>+Assumptions!$C$7/12</f>
        <v>27.083333333333332</v>
      </c>
      <c r="DB12" s="115">
        <f>+Assumptions!$C$7/12</f>
        <v>27.083333333333332</v>
      </c>
      <c r="DC12" s="115">
        <f>+Assumptions!$C$7/12</f>
        <v>27.083333333333332</v>
      </c>
      <c r="DD12" s="115">
        <f>+Assumptions!$C$7/12</f>
        <v>27.083333333333332</v>
      </c>
      <c r="DE12" s="115">
        <f>+Assumptions!$C$7/12</f>
        <v>27.083333333333332</v>
      </c>
      <c r="DF12" s="115">
        <f>+Assumptions!$C$7/12</f>
        <v>27.083333333333332</v>
      </c>
      <c r="DG12" s="115">
        <f>+Assumptions!$C$7/12</f>
        <v>27.083333333333332</v>
      </c>
      <c r="DH12" s="115">
        <f>+Assumptions!$C$7/12</f>
        <v>27.083333333333332</v>
      </c>
      <c r="DI12" s="115">
        <f>+Assumptions!$C$7/12</f>
        <v>27.083333333333332</v>
      </c>
      <c r="DJ12" s="115">
        <f>+Assumptions!$C$7/12</f>
        <v>27.083333333333332</v>
      </c>
      <c r="DK12" s="115">
        <f>+Assumptions!$C$7/12</f>
        <v>27.083333333333332</v>
      </c>
      <c r="DL12" s="115">
        <f>+Assumptions!$C$7/12</f>
        <v>27.083333333333332</v>
      </c>
      <c r="DM12" s="115">
        <f>+Assumptions!$C$7/12</f>
        <v>27.083333333333332</v>
      </c>
      <c r="DN12" s="115">
        <f>+Assumptions!$C$7/12</f>
        <v>27.083333333333332</v>
      </c>
      <c r="DO12" s="115">
        <f>+Assumptions!$C$7/12</f>
        <v>27.083333333333332</v>
      </c>
      <c r="DP12" s="115">
        <f>+Assumptions!$C$7/12</f>
        <v>27.083333333333332</v>
      </c>
      <c r="DQ12" s="115">
        <f>+Assumptions!$C$7/12</f>
        <v>27.083333333333332</v>
      </c>
      <c r="DR12" s="115">
        <f>+Assumptions!$C$7/12</f>
        <v>27.083333333333332</v>
      </c>
    </row>
    <row r="13" spans="2:125" x14ac:dyDescent="0.3">
      <c r="B13" s="52" t="s">
        <v>177</v>
      </c>
      <c r="C13" s="52">
        <f t="shared" ref="C13:AH13" si="4">+C5</f>
        <v>40</v>
      </c>
      <c r="D13" s="52">
        <f t="shared" si="4"/>
        <v>40</v>
      </c>
      <c r="E13" s="52">
        <f t="shared" si="4"/>
        <v>40</v>
      </c>
      <c r="F13" s="52">
        <f t="shared" si="4"/>
        <v>40</v>
      </c>
      <c r="G13" s="52">
        <f t="shared" si="4"/>
        <v>250</v>
      </c>
      <c r="H13" s="52">
        <f t="shared" si="4"/>
        <v>250</v>
      </c>
      <c r="I13" s="52">
        <f t="shared" si="4"/>
        <v>250</v>
      </c>
      <c r="J13" s="52">
        <f t="shared" si="4"/>
        <v>250</v>
      </c>
      <c r="K13" s="52">
        <f t="shared" si="4"/>
        <v>250</v>
      </c>
      <c r="L13" s="52">
        <f t="shared" si="4"/>
        <v>250</v>
      </c>
      <c r="M13" s="52">
        <f t="shared" si="4"/>
        <v>500</v>
      </c>
      <c r="N13" s="52">
        <f t="shared" si="4"/>
        <v>500</v>
      </c>
      <c r="O13" s="52">
        <f t="shared" si="4"/>
        <v>500</v>
      </c>
      <c r="P13" s="52">
        <f t="shared" si="4"/>
        <v>500</v>
      </c>
      <c r="Q13" s="52">
        <f t="shared" si="4"/>
        <v>500</v>
      </c>
      <c r="R13" s="52">
        <f t="shared" si="4"/>
        <v>500</v>
      </c>
      <c r="S13" s="52">
        <f t="shared" si="4"/>
        <v>500</v>
      </c>
      <c r="T13" s="52">
        <f t="shared" si="4"/>
        <v>500</v>
      </c>
      <c r="U13" s="52">
        <f t="shared" si="4"/>
        <v>500</v>
      </c>
      <c r="V13" s="52">
        <f t="shared" si="4"/>
        <v>500</v>
      </c>
      <c r="W13" s="52">
        <f t="shared" si="4"/>
        <v>500</v>
      </c>
      <c r="X13" s="52">
        <f t="shared" si="4"/>
        <v>500</v>
      </c>
      <c r="Y13" s="52">
        <f t="shared" si="4"/>
        <v>500</v>
      </c>
      <c r="Z13" s="52">
        <f t="shared" si="4"/>
        <v>500</v>
      </c>
      <c r="AA13" s="52">
        <f t="shared" si="4"/>
        <v>500</v>
      </c>
      <c r="AB13" s="52">
        <f t="shared" si="4"/>
        <v>500</v>
      </c>
      <c r="AC13" s="52">
        <f t="shared" si="4"/>
        <v>500</v>
      </c>
      <c r="AD13" s="52">
        <f t="shared" si="4"/>
        <v>500</v>
      </c>
      <c r="AE13" s="52">
        <f t="shared" si="4"/>
        <v>500</v>
      </c>
      <c r="AF13" s="52">
        <f t="shared" si="4"/>
        <v>500</v>
      </c>
      <c r="AG13" s="52">
        <f t="shared" si="4"/>
        <v>500</v>
      </c>
      <c r="AH13" s="52">
        <f t="shared" si="4"/>
        <v>500</v>
      </c>
      <c r="AI13" s="52">
        <f t="shared" ref="AI13:BN13" si="5">+AI5</f>
        <v>500</v>
      </c>
      <c r="AJ13" s="52">
        <f t="shared" si="5"/>
        <v>500</v>
      </c>
      <c r="AK13" s="52">
        <f t="shared" si="5"/>
        <v>500</v>
      </c>
      <c r="AL13" s="52">
        <f t="shared" si="5"/>
        <v>500</v>
      </c>
      <c r="AM13" s="52">
        <f t="shared" si="5"/>
        <v>500</v>
      </c>
      <c r="AN13" s="52">
        <f t="shared" si="5"/>
        <v>500</v>
      </c>
      <c r="AO13" s="52">
        <f t="shared" si="5"/>
        <v>500</v>
      </c>
      <c r="AP13" s="52">
        <f t="shared" si="5"/>
        <v>500</v>
      </c>
      <c r="AQ13" s="52">
        <f t="shared" si="5"/>
        <v>500</v>
      </c>
      <c r="AR13" s="52">
        <f t="shared" si="5"/>
        <v>500</v>
      </c>
      <c r="AS13" s="52">
        <f t="shared" si="5"/>
        <v>500</v>
      </c>
      <c r="AT13" s="52">
        <f t="shared" si="5"/>
        <v>500</v>
      </c>
      <c r="AU13" s="52">
        <f t="shared" si="5"/>
        <v>500</v>
      </c>
      <c r="AV13" s="52">
        <f t="shared" si="5"/>
        <v>500</v>
      </c>
      <c r="AW13" s="52">
        <f t="shared" si="5"/>
        <v>500</v>
      </c>
      <c r="AX13" s="52">
        <f t="shared" si="5"/>
        <v>500</v>
      </c>
      <c r="AY13" s="52">
        <f t="shared" si="5"/>
        <v>500</v>
      </c>
      <c r="AZ13" s="52">
        <f t="shared" si="5"/>
        <v>500</v>
      </c>
      <c r="BA13" s="52">
        <f t="shared" si="5"/>
        <v>500</v>
      </c>
      <c r="BB13" s="52">
        <f t="shared" si="5"/>
        <v>500</v>
      </c>
      <c r="BC13" s="52">
        <f t="shared" si="5"/>
        <v>500</v>
      </c>
      <c r="BD13" s="52">
        <f t="shared" si="5"/>
        <v>500</v>
      </c>
      <c r="BE13" s="52">
        <f t="shared" si="5"/>
        <v>500</v>
      </c>
      <c r="BF13" s="52">
        <f t="shared" si="5"/>
        <v>500</v>
      </c>
      <c r="BG13" s="52">
        <f t="shared" si="5"/>
        <v>500</v>
      </c>
      <c r="BH13" s="52">
        <f t="shared" si="5"/>
        <v>500</v>
      </c>
      <c r="BI13" s="52">
        <f t="shared" si="5"/>
        <v>500</v>
      </c>
      <c r="BJ13" s="52">
        <f t="shared" si="5"/>
        <v>500</v>
      </c>
      <c r="BK13" s="52">
        <f t="shared" si="5"/>
        <v>500</v>
      </c>
      <c r="BL13" s="52">
        <f t="shared" si="5"/>
        <v>500</v>
      </c>
      <c r="BM13" s="52">
        <f t="shared" si="5"/>
        <v>500</v>
      </c>
      <c r="BN13" s="52">
        <f t="shared" si="5"/>
        <v>500</v>
      </c>
      <c r="BO13" s="52">
        <f t="shared" ref="BO13:CT13" si="6">+BO5</f>
        <v>500</v>
      </c>
      <c r="BP13" s="52">
        <f t="shared" si="6"/>
        <v>500</v>
      </c>
      <c r="BQ13" s="52">
        <f t="shared" si="6"/>
        <v>500</v>
      </c>
      <c r="BR13" s="52">
        <f t="shared" si="6"/>
        <v>500</v>
      </c>
      <c r="BS13" s="52">
        <f t="shared" si="6"/>
        <v>500</v>
      </c>
      <c r="BT13" s="52">
        <f t="shared" si="6"/>
        <v>500</v>
      </c>
      <c r="BU13" s="52">
        <f t="shared" si="6"/>
        <v>500</v>
      </c>
      <c r="BV13" s="52">
        <f t="shared" si="6"/>
        <v>500</v>
      </c>
      <c r="BW13" s="52">
        <f t="shared" si="6"/>
        <v>500</v>
      </c>
      <c r="BX13" s="52">
        <f t="shared" si="6"/>
        <v>500</v>
      </c>
      <c r="BY13" s="52">
        <f t="shared" si="6"/>
        <v>500</v>
      </c>
      <c r="BZ13" s="52">
        <f t="shared" si="6"/>
        <v>500</v>
      </c>
      <c r="CA13" s="52">
        <f t="shared" si="6"/>
        <v>500</v>
      </c>
      <c r="CB13" s="52">
        <f t="shared" si="6"/>
        <v>500</v>
      </c>
      <c r="CC13" s="52">
        <f t="shared" si="6"/>
        <v>500</v>
      </c>
      <c r="CD13" s="52">
        <f t="shared" si="6"/>
        <v>500</v>
      </c>
      <c r="CE13" s="52">
        <f t="shared" si="6"/>
        <v>500</v>
      </c>
      <c r="CF13" s="52">
        <f t="shared" si="6"/>
        <v>500</v>
      </c>
      <c r="CG13" s="52">
        <f t="shared" si="6"/>
        <v>500</v>
      </c>
      <c r="CH13" s="52">
        <f t="shared" si="6"/>
        <v>500</v>
      </c>
      <c r="CI13" s="52">
        <f t="shared" si="6"/>
        <v>500</v>
      </c>
      <c r="CJ13" s="52">
        <f t="shared" si="6"/>
        <v>500</v>
      </c>
      <c r="CK13" s="52">
        <f t="shared" si="6"/>
        <v>500</v>
      </c>
      <c r="CL13" s="52">
        <f t="shared" si="6"/>
        <v>500</v>
      </c>
      <c r="CM13" s="52">
        <f t="shared" si="6"/>
        <v>500</v>
      </c>
      <c r="CN13" s="52">
        <f t="shared" si="6"/>
        <v>500</v>
      </c>
      <c r="CO13" s="52">
        <f t="shared" si="6"/>
        <v>500</v>
      </c>
      <c r="CP13" s="52">
        <f t="shared" si="6"/>
        <v>500</v>
      </c>
      <c r="CQ13" s="52">
        <f t="shared" si="6"/>
        <v>500</v>
      </c>
      <c r="CR13" s="52">
        <f t="shared" si="6"/>
        <v>500</v>
      </c>
      <c r="CS13" s="52">
        <f t="shared" si="6"/>
        <v>500</v>
      </c>
      <c r="CT13" s="52">
        <f t="shared" si="6"/>
        <v>500</v>
      </c>
      <c r="CU13" s="52">
        <f t="shared" ref="CU13:DR13" si="7">+CU5</f>
        <v>500</v>
      </c>
      <c r="CV13" s="52">
        <f t="shared" si="7"/>
        <v>500</v>
      </c>
      <c r="CW13" s="52">
        <f t="shared" si="7"/>
        <v>500</v>
      </c>
      <c r="CX13" s="52">
        <f t="shared" si="7"/>
        <v>500</v>
      </c>
      <c r="CY13" s="52">
        <f t="shared" si="7"/>
        <v>500</v>
      </c>
      <c r="CZ13" s="52">
        <f t="shared" si="7"/>
        <v>500</v>
      </c>
      <c r="DA13" s="52">
        <f t="shared" si="7"/>
        <v>500</v>
      </c>
      <c r="DB13" s="52">
        <f t="shared" si="7"/>
        <v>500</v>
      </c>
      <c r="DC13" s="52">
        <f t="shared" si="7"/>
        <v>500</v>
      </c>
      <c r="DD13" s="52">
        <f t="shared" si="7"/>
        <v>500</v>
      </c>
      <c r="DE13" s="52">
        <f t="shared" si="7"/>
        <v>500</v>
      </c>
      <c r="DF13" s="52">
        <f t="shared" si="7"/>
        <v>500</v>
      </c>
      <c r="DG13" s="52">
        <f t="shared" si="7"/>
        <v>500</v>
      </c>
      <c r="DH13" s="52">
        <f t="shared" si="7"/>
        <v>500</v>
      </c>
      <c r="DI13" s="52">
        <f t="shared" si="7"/>
        <v>500</v>
      </c>
      <c r="DJ13" s="52">
        <f t="shared" si="7"/>
        <v>500</v>
      </c>
      <c r="DK13" s="52">
        <f t="shared" si="7"/>
        <v>500</v>
      </c>
      <c r="DL13" s="52">
        <f t="shared" si="7"/>
        <v>500</v>
      </c>
      <c r="DM13" s="52">
        <f t="shared" si="7"/>
        <v>500</v>
      </c>
      <c r="DN13" s="52">
        <f t="shared" si="7"/>
        <v>500</v>
      </c>
      <c r="DO13" s="52">
        <f t="shared" si="7"/>
        <v>500</v>
      </c>
      <c r="DP13" s="52">
        <f t="shared" si="7"/>
        <v>500</v>
      </c>
      <c r="DQ13" s="52">
        <f t="shared" si="7"/>
        <v>500</v>
      </c>
      <c r="DR13" s="52">
        <f t="shared" si="7"/>
        <v>500</v>
      </c>
    </row>
    <row r="14" spans="2:125" x14ac:dyDescent="0.3">
      <c r="B14" s="52" t="s">
        <v>178</v>
      </c>
      <c r="C14" s="115">
        <f t="shared" ref="C14:AH14" si="8">+C12*C5</f>
        <v>1083.3333333333333</v>
      </c>
      <c r="D14" s="115">
        <f t="shared" si="8"/>
        <v>1083.3333333333333</v>
      </c>
      <c r="E14" s="115">
        <f t="shared" si="8"/>
        <v>1083.3333333333333</v>
      </c>
      <c r="F14" s="115">
        <f t="shared" si="8"/>
        <v>1083.3333333333333</v>
      </c>
      <c r="G14" s="115">
        <f t="shared" si="8"/>
        <v>6770.833333333333</v>
      </c>
      <c r="H14" s="115">
        <f t="shared" si="8"/>
        <v>6770.833333333333</v>
      </c>
      <c r="I14" s="115">
        <f t="shared" si="8"/>
        <v>6770.833333333333</v>
      </c>
      <c r="J14" s="115">
        <f t="shared" si="8"/>
        <v>6770.833333333333</v>
      </c>
      <c r="K14" s="115">
        <f t="shared" si="8"/>
        <v>6770.833333333333</v>
      </c>
      <c r="L14" s="115">
        <f t="shared" si="8"/>
        <v>6770.833333333333</v>
      </c>
      <c r="M14" s="115">
        <f t="shared" si="8"/>
        <v>13541.666666666666</v>
      </c>
      <c r="N14" s="115">
        <f t="shared" si="8"/>
        <v>13541.666666666666</v>
      </c>
      <c r="O14" s="115">
        <f t="shared" si="8"/>
        <v>13541.666666666666</v>
      </c>
      <c r="P14" s="115">
        <f t="shared" si="8"/>
        <v>13541.666666666666</v>
      </c>
      <c r="Q14" s="115">
        <f t="shared" si="8"/>
        <v>13541.666666666666</v>
      </c>
      <c r="R14" s="115">
        <f t="shared" si="8"/>
        <v>13541.666666666666</v>
      </c>
      <c r="S14" s="115">
        <f t="shared" si="8"/>
        <v>13541.666666666666</v>
      </c>
      <c r="T14" s="115">
        <f t="shared" si="8"/>
        <v>13541.666666666666</v>
      </c>
      <c r="U14" s="115">
        <f t="shared" si="8"/>
        <v>13541.666666666666</v>
      </c>
      <c r="V14" s="115">
        <f t="shared" si="8"/>
        <v>13541.666666666666</v>
      </c>
      <c r="W14" s="115">
        <f t="shared" si="8"/>
        <v>13541.666666666666</v>
      </c>
      <c r="X14" s="115">
        <f t="shared" si="8"/>
        <v>13541.666666666666</v>
      </c>
      <c r="Y14" s="115">
        <f t="shared" si="8"/>
        <v>13541.666666666666</v>
      </c>
      <c r="Z14" s="115">
        <f t="shared" si="8"/>
        <v>13541.666666666666</v>
      </c>
      <c r="AA14" s="115">
        <f t="shared" si="8"/>
        <v>13541.666666666666</v>
      </c>
      <c r="AB14" s="115">
        <f t="shared" si="8"/>
        <v>13541.666666666666</v>
      </c>
      <c r="AC14" s="115">
        <f t="shared" si="8"/>
        <v>13541.666666666666</v>
      </c>
      <c r="AD14" s="115">
        <f t="shared" si="8"/>
        <v>13541.666666666666</v>
      </c>
      <c r="AE14" s="115">
        <f t="shared" si="8"/>
        <v>13541.666666666666</v>
      </c>
      <c r="AF14" s="115">
        <f t="shared" si="8"/>
        <v>13541.666666666666</v>
      </c>
      <c r="AG14" s="115">
        <f t="shared" si="8"/>
        <v>13541.666666666666</v>
      </c>
      <c r="AH14" s="115">
        <f t="shared" si="8"/>
        <v>13541.666666666666</v>
      </c>
      <c r="AI14" s="115">
        <f t="shared" ref="AI14:BN14" si="9">+AI12*AI5</f>
        <v>13541.666666666666</v>
      </c>
      <c r="AJ14" s="115">
        <f t="shared" si="9"/>
        <v>13541.666666666666</v>
      </c>
      <c r="AK14" s="115">
        <f t="shared" si="9"/>
        <v>13541.666666666666</v>
      </c>
      <c r="AL14" s="115">
        <f t="shared" si="9"/>
        <v>13541.666666666666</v>
      </c>
      <c r="AM14" s="115">
        <f t="shared" si="9"/>
        <v>13541.666666666666</v>
      </c>
      <c r="AN14" s="115">
        <f t="shared" si="9"/>
        <v>13541.666666666666</v>
      </c>
      <c r="AO14" s="115">
        <f t="shared" si="9"/>
        <v>13541.666666666666</v>
      </c>
      <c r="AP14" s="115">
        <f t="shared" si="9"/>
        <v>13541.666666666666</v>
      </c>
      <c r="AQ14" s="115">
        <f t="shared" si="9"/>
        <v>13541.666666666666</v>
      </c>
      <c r="AR14" s="115">
        <f t="shared" si="9"/>
        <v>13541.666666666666</v>
      </c>
      <c r="AS14" s="115">
        <f t="shared" si="9"/>
        <v>13541.666666666666</v>
      </c>
      <c r="AT14" s="115">
        <f t="shared" si="9"/>
        <v>13541.666666666666</v>
      </c>
      <c r="AU14" s="115">
        <f t="shared" si="9"/>
        <v>13541.666666666666</v>
      </c>
      <c r="AV14" s="115">
        <f t="shared" si="9"/>
        <v>13541.666666666666</v>
      </c>
      <c r="AW14" s="115">
        <f t="shared" si="9"/>
        <v>13541.666666666666</v>
      </c>
      <c r="AX14" s="115">
        <f t="shared" si="9"/>
        <v>13541.666666666666</v>
      </c>
      <c r="AY14" s="115">
        <f t="shared" si="9"/>
        <v>13541.666666666666</v>
      </c>
      <c r="AZ14" s="115">
        <f t="shared" si="9"/>
        <v>13541.666666666666</v>
      </c>
      <c r="BA14" s="115">
        <f t="shared" si="9"/>
        <v>13541.666666666666</v>
      </c>
      <c r="BB14" s="115">
        <f t="shared" si="9"/>
        <v>13541.666666666666</v>
      </c>
      <c r="BC14" s="115">
        <f t="shared" si="9"/>
        <v>13541.666666666666</v>
      </c>
      <c r="BD14" s="115">
        <f t="shared" si="9"/>
        <v>13541.666666666666</v>
      </c>
      <c r="BE14" s="115">
        <f t="shared" si="9"/>
        <v>13541.666666666666</v>
      </c>
      <c r="BF14" s="115">
        <f t="shared" si="9"/>
        <v>13541.666666666666</v>
      </c>
      <c r="BG14" s="115">
        <f t="shared" si="9"/>
        <v>13541.666666666666</v>
      </c>
      <c r="BH14" s="115">
        <f t="shared" si="9"/>
        <v>13541.666666666666</v>
      </c>
      <c r="BI14" s="115">
        <f t="shared" si="9"/>
        <v>13541.666666666666</v>
      </c>
      <c r="BJ14" s="115">
        <f t="shared" si="9"/>
        <v>13541.666666666666</v>
      </c>
      <c r="BK14" s="115">
        <f t="shared" si="9"/>
        <v>13541.666666666666</v>
      </c>
      <c r="BL14" s="115">
        <f t="shared" si="9"/>
        <v>13541.666666666666</v>
      </c>
      <c r="BM14" s="115">
        <f t="shared" si="9"/>
        <v>13541.666666666666</v>
      </c>
      <c r="BN14" s="115">
        <f t="shared" si="9"/>
        <v>13541.666666666666</v>
      </c>
      <c r="BO14" s="115">
        <f t="shared" ref="BO14:CT14" si="10">+BO12*BO5</f>
        <v>13541.666666666666</v>
      </c>
      <c r="BP14" s="115">
        <f t="shared" si="10"/>
        <v>13541.666666666666</v>
      </c>
      <c r="BQ14" s="115">
        <f t="shared" si="10"/>
        <v>13541.666666666666</v>
      </c>
      <c r="BR14" s="115">
        <f t="shared" si="10"/>
        <v>13541.666666666666</v>
      </c>
      <c r="BS14" s="115">
        <f t="shared" si="10"/>
        <v>13541.666666666666</v>
      </c>
      <c r="BT14" s="115">
        <f t="shared" si="10"/>
        <v>13541.666666666666</v>
      </c>
      <c r="BU14" s="115">
        <f t="shared" si="10"/>
        <v>13541.666666666666</v>
      </c>
      <c r="BV14" s="115">
        <f t="shared" si="10"/>
        <v>13541.666666666666</v>
      </c>
      <c r="BW14" s="115">
        <f t="shared" si="10"/>
        <v>13541.666666666666</v>
      </c>
      <c r="BX14" s="115">
        <f t="shared" si="10"/>
        <v>13541.666666666666</v>
      </c>
      <c r="BY14" s="115">
        <f t="shared" si="10"/>
        <v>13541.666666666666</v>
      </c>
      <c r="BZ14" s="115">
        <f t="shared" si="10"/>
        <v>13541.666666666666</v>
      </c>
      <c r="CA14" s="115">
        <f t="shared" si="10"/>
        <v>13541.666666666666</v>
      </c>
      <c r="CB14" s="115">
        <f t="shared" si="10"/>
        <v>13541.666666666666</v>
      </c>
      <c r="CC14" s="115">
        <f t="shared" si="10"/>
        <v>13541.666666666666</v>
      </c>
      <c r="CD14" s="115">
        <f t="shared" si="10"/>
        <v>13541.666666666666</v>
      </c>
      <c r="CE14" s="115">
        <f t="shared" si="10"/>
        <v>13541.666666666666</v>
      </c>
      <c r="CF14" s="115">
        <f t="shared" si="10"/>
        <v>13541.666666666666</v>
      </c>
      <c r="CG14" s="115">
        <f t="shared" si="10"/>
        <v>13541.666666666666</v>
      </c>
      <c r="CH14" s="115">
        <f t="shared" si="10"/>
        <v>13541.666666666666</v>
      </c>
      <c r="CI14" s="115">
        <f t="shared" si="10"/>
        <v>13541.666666666666</v>
      </c>
      <c r="CJ14" s="115">
        <f t="shared" si="10"/>
        <v>13541.666666666666</v>
      </c>
      <c r="CK14" s="115">
        <f t="shared" si="10"/>
        <v>13541.666666666666</v>
      </c>
      <c r="CL14" s="115">
        <f t="shared" si="10"/>
        <v>13541.666666666666</v>
      </c>
      <c r="CM14" s="115">
        <f t="shared" si="10"/>
        <v>13541.666666666666</v>
      </c>
      <c r="CN14" s="115">
        <f t="shared" si="10"/>
        <v>13541.666666666666</v>
      </c>
      <c r="CO14" s="115">
        <f t="shared" si="10"/>
        <v>13541.666666666666</v>
      </c>
      <c r="CP14" s="115">
        <f t="shared" si="10"/>
        <v>13541.666666666666</v>
      </c>
      <c r="CQ14" s="115">
        <f t="shared" si="10"/>
        <v>13541.666666666666</v>
      </c>
      <c r="CR14" s="115">
        <f t="shared" si="10"/>
        <v>13541.666666666666</v>
      </c>
      <c r="CS14" s="115">
        <f t="shared" si="10"/>
        <v>13541.666666666666</v>
      </c>
      <c r="CT14" s="115">
        <f t="shared" si="10"/>
        <v>13541.666666666666</v>
      </c>
      <c r="CU14" s="115">
        <f t="shared" ref="CU14:DR14" si="11">+CU12*CU5</f>
        <v>13541.666666666666</v>
      </c>
      <c r="CV14" s="115">
        <f t="shared" si="11"/>
        <v>13541.666666666666</v>
      </c>
      <c r="CW14" s="115">
        <f t="shared" si="11"/>
        <v>13541.666666666666</v>
      </c>
      <c r="CX14" s="115">
        <f t="shared" si="11"/>
        <v>13541.666666666666</v>
      </c>
      <c r="CY14" s="115">
        <f t="shared" si="11"/>
        <v>13541.666666666666</v>
      </c>
      <c r="CZ14" s="115">
        <f t="shared" si="11"/>
        <v>13541.666666666666</v>
      </c>
      <c r="DA14" s="115">
        <f t="shared" si="11"/>
        <v>13541.666666666666</v>
      </c>
      <c r="DB14" s="115">
        <f t="shared" si="11"/>
        <v>13541.666666666666</v>
      </c>
      <c r="DC14" s="115">
        <f t="shared" si="11"/>
        <v>13541.666666666666</v>
      </c>
      <c r="DD14" s="115">
        <f t="shared" si="11"/>
        <v>13541.666666666666</v>
      </c>
      <c r="DE14" s="115">
        <f t="shared" si="11"/>
        <v>13541.666666666666</v>
      </c>
      <c r="DF14" s="115">
        <f t="shared" si="11"/>
        <v>13541.666666666666</v>
      </c>
      <c r="DG14" s="115">
        <f t="shared" si="11"/>
        <v>13541.666666666666</v>
      </c>
      <c r="DH14" s="115">
        <f t="shared" si="11"/>
        <v>13541.666666666666</v>
      </c>
      <c r="DI14" s="115">
        <f t="shared" si="11"/>
        <v>13541.666666666666</v>
      </c>
      <c r="DJ14" s="115">
        <f t="shared" si="11"/>
        <v>13541.666666666666</v>
      </c>
      <c r="DK14" s="115">
        <f t="shared" si="11"/>
        <v>13541.666666666666</v>
      </c>
      <c r="DL14" s="115">
        <f t="shared" si="11"/>
        <v>13541.666666666666</v>
      </c>
      <c r="DM14" s="115">
        <f t="shared" si="11"/>
        <v>13541.666666666666</v>
      </c>
      <c r="DN14" s="115">
        <f t="shared" si="11"/>
        <v>13541.666666666666</v>
      </c>
      <c r="DO14" s="115">
        <f t="shared" si="11"/>
        <v>13541.666666666666</v>
      </c>
      <c r="DP14" s="115">
        <f t="shared" si="11"/>
        <v>13541.666666666666</v>
      </c>
      <c r="DQ14" s="115">
        <f t="shared" si="11"/>
        <v>13541.666666666666</v>
      </c>
      <c r="DR14" s="115">
        <f t="shared" si="11"/>
        <v>13541.666666666666</v>
      </c>
      <c r="DU14" s="55"/>
    </row>
    <row r="15" spans="2:125" x14ac:dyDescent="0.3">
      <c r="B15" s="52" t="s">
        <v>179</v>
      </c>
      <c r="C15" s="115">
        <f>+C14*Assumptions!$C$57</f>
        <v>982.8</v>
      </c>
      <c r="D15" s="115">
        <f>+D14*Assumptions!$C$57</f>
        <v>982.8</v>
      </c>
      <c r="E15" s="115">
        <f>+E14*Assumptions!$C$57</f>
        <v>982.8</v>
      </c>
      <c r="F15" s="115">
        <f>+F14*Assumptions!$C$57</f>
        <v>982.8</v>
      </c>
      <c r="G15" s="115">
        <f>+G14*Assumptions!$C$57</f>
        <v>6142.5</v>
      </c>
      <c r="H15" s="115">
        <f>+H14*Assumptions!$C$57</f>
        <v>6142.5</v>
      </c>
      <c r="I15" s="115">
        <f>+I14*Assumptions!$C$57</f>
        <v>6142.5</v>
      </c>
      <c r="J15" s="115">
        <f>+J14*Assumptions!$C$57</f>
        <v>6142.5</v>
      </c>
      <c r="K15" s="115">
        <f>+K14*Assumptions!$C$57</f>
        <v>6142.5</v>
      </c>
      <c r="L15" s="115">
        <f>+L14*Assumptions!$C$57</f>
        <v>6142.5</v>
      </c>
      <c r="M15" s="115">
        <f>+M14*Assumptions!$C$57</f>
        <v>12285</v>
      </c>
      <c r="N15" s="115">
        <f>+N14*Assumptions!$C$57</f>
        <v>12285</v>
      </c>
      <c r="O15" s="115">
        <f>+O14*Assumptions!$C$57</f>
        <v>12285</v>
      </c>
      <c r="P15" s="115">
        <f>+P14*Assumptions!$C$57</f>
        <v>12285</v>
      </c>
      <c r="Q15" s="115">
        <f>+Q14*Assumptions!$C$57</f>
        <v>12285</v>
      </c>
      <c r="R15" s="115">
        <f>+R14*Assumptions!$C$57</f>
        <v>12285</v>
      </c>
      <c r="S15" s="115">
        <f>+S14*Assumptions!$C$57</f>
        <v>12285</v>
      </c>
      <c r="T15" s="115">
        <f>+T14*Assumptions!$C$57</f>
        <v>12285</v>
      </c>
      <c r="U15" s="115">
        <f>+U14*Assumptions!$C$57</f>
        <v>12285</v>
      </c>
      <c r="V15" s="115">
        <f>+V14*Assumptions!$C$57</f>
        <v>12285</v>
      </c>
      <c r="W15" s="115">
        <f>+W14*Assumptions!$C$57</f>
        <v>12285</v>
      </c>
      <c r="X15" s="115">
        <f>+X14*Assumptions!$C$57</f>
        <v>12285</v>
      </c>
      <c r="Y15" s="115">
        <f>+Y14*Assumptions!$C$57</f>
        <v>12285</v>
      </c>
      <c r="Z15" s="115">
        <f>+Z14*Assumptions!$C$57</f>
        <v>12285</v>
      </c>
      <c r="AA15" s="115">
        <f>+AA14*Assumptions!$C$57</f>
        <v>12285</v>
      </c>
      <c r="AB15" s="115">
        <f>+AB14*Assumptions!$C$57</f>
        <v>12285</v>
      </c>
      <c r="AC15" s="115">
        <f>+AC14*Assumptions!$C$57</f>
        <v>12285</v>
      </c>
      <c r="AD15" s="115">
        <f>+AD14*Assumptions!$C$57</f>
        <v>12285</v>
      </c>
      <c r="AE15" s="115">
        <f>+AE14*Assumptions!$C$57</f>
        <v>12285</v>
      </c>
      <c r="AF15" s="115">
        <f>+AF14*Assumptions!$C$57</f>
        <v>12285</v>
      </c>
      <c r="AG15" s="115">
        <f>+AG14*Assumptions!$C$57</f>
        <v>12285</v>
      </c>
      <c r="AH15" s="115">
        <f>+AH14*Assumptions!$C$57</f>
        <v>12285</v>
      </c>
      <c r="AI15" s="115">
        <f>+AI14*Assumptions!$C$57</f>
        <v>12285</v>
      </c>
      <c r="AJ15" s="115">
        <f>+AJ14*Assumptions!$C$57</f>
        <v>12285</v>
      </c>
      <c r="AK15" s="115">
        <f>+AK14*Assumptions!$C$57</f>
        <v>12285</v>
      </c>
      <c r="AL15" s="115">
        <f>+AL14*Assumptions!$C$57</f>
        <v>12285</v>
      </c>
      <c r="AM15" s="115">
        <f>+AM14*Assumptions!$C$57</f>
        <v>12285</v>
      </c>
      <c r="AN15" s="115">
        <f>+AN14*Assumptions!$C$57</f>
        <v>12285</v>
      </c>
      <c r="AO15" s="115">
        <f>+AO14*Assumptions!$C$57</f>
        <v>12285</v>
      </c>
      <c r="AP15" s="115">
        <f>+AP14*Assumptions!$C$57</f>
        <v>12285</v>
      </c>
      <c r="AQ15" s="115">
        <f>+AQ14*Assumptions!$C$57</f>
        <v>12285</v>
      </c>
      <c r="AR15" s="115">
        <f>+AR14*Assumptions!$C$57</f>
        <v>12285</v>
      </c>
      <c r="AS15" s="115">
        <f>+AS14*Assumptions!$C$57</f>
        <v>12285</v>
      </c>
      <c r="AT15" s="115">
        <f>+AT14*Assumptions!$C$57</f>
        <v>12285</v>
      </c>
      <c r="AU15" s="115">
        <f>+AU14*Assumptions!$C$57</f>
        <v>12285</v>
      </c>
      <c r="AV15" s="115">
        <f>+AV14*Assumptions!$C$57</f>
        <v>12285</v>
      </c>
      <c r="AW15" s="115">
        <f>+AW14*Assumptions!$C$57</f>
        <v>12285</v>
      </c>
      <c r="AX15" s="115">
        <f>+AX14*Assumptions!$C$57</f>
        <v>12285</v>
      </c>
      <c r="AY15" s="115">
        <f>+AY14*Assumptions!$C$57</f>
        <v>12285</v>
      </c>
      <c r="AZ15" s="115">
        <f>+AZ14*Assumptions!$C$57</f>
        <v>12285</v>
      </c>
      <c r="BA15" s="115">
        <f>+BA14*Assumptions!$C$57</f>
        <v>12285</v>
      </c>
      <c r="BB15" s="115">
        <f>+BB14*Assumptions!$C$57</f>
        <v>12285</v>
      </c>
      <c r="BC15" s="115">
        <f>+BC14*Assumptions!$C$57</f>
        <v>12285</v>
      </c>
      <c r="BD15" s="115">
        <f>+BD14*Assumptions!$C$57</f>
        <v>12285</v>
      </c>
      <c r="BE15" s="115">
        <f>+BE14*Assumptions!$C$57</f>
        <v>12285</v>
      </c>
      <c r="BF15" s="115">
        <f>+BF14*Assumptions!$C$57</f>
        <v>12285</v>
      </c>
      <c r="BG15" s="115">
        <f>+BG14*Assumptions!$C$57</f>
        <v>12285</v>
      </c>
      <c r="BH15" s="115">
        <f>+BH14*Assumptions!$C$57</f>
        <v>12285</v>
      </c>
      <c r="BI15" s="115">
        <f>+BI14*Assumptions!$C$57</f>
        <v>12285</v>
      </c>
      <c r="BJ15" s="115">
        <f>+BJ14*Assumptions!$C$57</f>
        <v>12285</v>
      </c>
      <c r="BK15" s="115">
        <f>+BK14*Assumptions!$C$57</f>
        <v>12285</v>
      </c>
      <c r="BL15" s="115">
        <f>+BL14*Assumptions!$C$57</f>
        <v>12285</v>
      </c>
      <c r="BM15" s="115">
        <f>+BM14*Assumptions!$C$57</f>
        <v>12285</v>
      </c>
      <c r="BN15" s="115">
        <f>+BN14*Assumptions!$C$57</f>
        <v>12285</v>
      </c>
      <c r="BO15" s="115">
        <f>+BO14*Assumptions!$C$57</f>
        <v>12285</v>
      </c>
      <c r="BP15" s="115">
        <f>+BP14*Assumptions!$C$57</f>
        <v>12285</v>
      </c>
      <c r="BQ15" s="115">
        <f>+BQ14*Assumptions!$C$57</f>
        <v>12285</v>
      </c>
      <c r="BR15" s="115">
        <f>+BR14*Assumptions!$C$57</f>
        <v>12285</v>
      </c>
      <c r="BS15" s="115">
        <f>+BS14*Assumptions!$C$57</f>
        <v>12285</v>
      </c>
      <c r="BT15" s="115">
        <f>+BT14*Assumptions!$C$57</f>
        <v>12285</v>
      </c>
      <c r="BU15" s="115">
        <f>+BU14*Assumptions!$C$57</f>
        <v>12285</v>
      </c>
      <c r="BV15" s="115">
        <f>+BV14*Assumptions!$C$57</f>
        <v>12285</v>
      </c>
      <c r="BW15" s="115">
        <f>+BW14*Assumptions!$C$57</f>
        <v>12285</v>
      </c>
      <c r="BX15" s="115">
        <f>+BX14*Assumptions!$C$57</f>
        <v>12285</v>
      </c>
      <c r="BY15" s="115">
        <f>+BY14*Assumptions!$C$57</f>
        <v>12285</v>
      </c>
      <c r="BZ15" s="115">
        <f>+BZ14*Assumptions!$C$57</f>
        <v>12285</v>
      </c>
      <c r="CA15" s="115">
        <f>+CA14*Assumptions!$C$57</f>
        <v>12285</v>
      </c>
      <c r="CB15" s="115">
        <f>+CB14*Assumptions!$C$57</f>
        <v>12285</v>
      </c>
      <c r="CC15" s="115">
        <f>+CC14*Assumptions!$C$57</f>
        <v>12285</v>
      </c>
      <c r="CD15" s="115">
        <f>+CD14*Assumptions!$C$57</f>
        <v>12285</v>
      </c>
      <c r="CE15" s="115">
        <f>+CE14*Assumptions!$C$57</f>
        <v>12285</v>
      </c>
      <c r="CF15" s="115">
        <f>+CF14*Assumptions!$C$57</f>
        <v>12285</v>
      </c>
      <c r="CG15" s="115">
        <f>+CG14*Assumptions!$C$57</f>
        <v>12285</v>
      </c>
      <c r="CH15" s="115">
        <f>+CH14*Assumptions!$C$57</f>
        <v>12285</v>
      </c>
      <c r="CI15" s="115">
        <f>+CI14*Assumptions!$C$57</f>
        <v>12285</v>
      </c>
      <c r="CJ15" s="115">
        <f>+CJ14*Assumptions!$C$57</f>
        <v>12285</v>
      </c>
      <c r="CK15" s="115">
        <f>+CK14*Assumptions!$C$57</f>
        <v>12285</v>
      </c>
      <c r="CL15" s="115">
        <f>+CL14*Assumptions!$C$57</f>
        <v>12285</v>
      </c>
      <c r="CM15" s="115">
        <f>+CM14*Assumptions!$C$57</f>
        <v>12285</v>
      </c>
      <c r="CN15" s="115">
        <f>+CN14*Assumptions!$C$57</f>
        <v>12285</v>
      </c>
      <c r="CO15" s="115">
        <f>+CO14*Assumptions!$C$57</f>
        <v>12285</v>
      </c>
      <c r="CP15" s="115">
        <f>+CP14*Assumptions!$C$57</f>
        <v>12285</v>
      </c>
      <c r="CQ15" s="115">
        <f>+CQ14*Assumptions!$C$57</f>
        <v>12285</v>
      </c>
      <c r="CR15" s="115">
        <f>+CR14*Assumptions!$C$57</f>
        <v>12285</v>
      </c>
      <c r="CS15" s="115">
        <f>+CS14*Assumptions!$C$57</f>
        <v>12285</v>
      </c>
      <c r="CT15" s="115">
        <f>+CT14*Assumptions!$C$57</f>
        <v>12285</v>
      </c>
      <c r="CU15" s="115">
        <f>+CU14*Assumptions!$C$57</f>
        <v>12285</v>
      </c>
      <c r="CV15" s="115">
        <f>+CV14*Assumptions!$C$57</f>
        <v>12285</v>
      </c>
      <c r="CW15" s="115">
        <f>+CW14*Assumptions!$C$57</f>
        <v>12285</v>
      </c>
      <c r="CX15" s="115">
        <f>+CX14*Assumptions!$C$57</f>
        <v>12285</v>
      </c>
      <c r="CY15" s="115">
        <f>+CY14*Assumptions!$C$57</f>
        <v>12285</v>
      </c>
      <c r="CZ15" s="115">
        <f>+CZ14*Assumptions!$C$57</f>
        <v>12285</v>
      </c>
      <c r="DA15" s="115">
        <f>+DA14*Assumptions!$C$57</f>
        <v>12285</v>
      </c>
      <c r="DB15" s="115">
        <f>+DB14*Assumptions!$C$57</f>
        <v>12285</v>
      </c>
      <c r="DC15" s="115">
        <f>+DC14*Assumptions!$C$57</f>
        <v>12285</v>
      </c>
      <c r="DD15" s="115">
        <f>+DD14*Assumptions!$C$57</f>
        <v>12285</v>
      </c>
      <c r="DE15" s="115">
        <f>+DE14*Assumptions!$C$57</f>
        <v>12285</v>
      </c>
      <c r="DF15" s="115">
        <f>+DF14*Assumptions!$C$57</f>
        <v>12285</v>
      </c>
      <c r="DG15" s="115">
        <f>+DG14*Assumptions!$C$57</f>
        <v>12285</v>
      </c>
      <c r="DH15" s="115">
        <f>+DH14*Assumptions!$C$57</f>
        <v>12285</v>
      </c>
      <c r="DI15" s="115">
        <f>+DI14*Assumptions!$C$57</f>
        <v>12285</v>
      </c>
      <c r="DJ15" s="115">
        <f>+DJ14*Assumptions!$C$57</f>
        <v>12285</v>
      </c>
      <c r="DK15" s="115">
        <f>+DK14*Assumptions!$C$57</f>
        <v>12285</v>
      </c>
      <c r="DL15" s="115">
        <f>+DL14*Assumptions!$C$57</f>
        <v>12285</v>
      </c>
      <c r="DM15" s="115">
        <f>+DM14*Assumptions!$C$57</f>
        <v>12285</v>
      </c>
      <c r="DN15" s="115">
        <f>+DN14*Assumptions!$C$57</f>
        <v>12285</v>
      </c>
      <c r="DO15" s="115">
        <f>+DO14*Assumptions!$C$57</f>
        <v>12285</v>
      </c>
      <c r="DP15" s="115">
        <f>+DP14*Assumptions!$C$57</f>
        <v>12285</v>
      </c>
      <c r="DQ15" s="115">
        <f>+DQ14*Assumptions!$C$57</f>
        <v>12285</v>
      </c>
      <c r="DR15" s="115">
        <f>+DR14*Assumptions!$C$57</f>
        <v>12285</v>
      </c>
    </row>
    <row r="16" spans="2:125" x14ac:dyDescent="0.3">
      <c r="B16" s="52" t="s">
        <v>427</v>
      </c>
      <c r="C16" s="55">
        <f>+C15*C11</f>
        <v>6.5264349532710275</v>
      </c>
      <c r="D16" s="55">
        <f t="shared" ref="D16:BO16" si="12">+D15*D11</f>
        <v>6.5264349532710275</v>
      </c>
      <c r="E16" s="55">
        <f t="shared" si="12"/>
        <v>6.8689939743722555</v>
      </c>
      <c r="F16" s="55">
        <f t="shared" si="12"/>
        <v>6.8689939743722555</v>
      </c>
      <c r="G16" s="55">
        <f t="shared" si="12"/>
        <v>42.931212339826601</v>
      </c>
      <c r="H16" s="55">
        <f t="shared" si="12"/>
        <v>42.931212339826601</v>
      </c>
      <c r="I16" s="55">
        <f t="shared" si="12"/>
        <v>42.931212339826601</v>
      </c>
      <c r="J16" s="55">
        <f t="shared" si="12"/>
        <v>42.931212339826601</v>
      </c>
      <c r="K16" s="55">
        <f t="shared" si="12"/>
        <v>42.931212339826601</v>
      </c>
      <c r="L16" s="55">
        <f t="shared" si="12"/>
        <v>42.931212339826601</v>
      </c>
      <c r="M16" s="55">
        <f t="shared" si="12"/>
        <v>42.931212339826601</v>
      </c>
      <c r="N16" s="55">
        <f t="shared" si="12"/>
        <v>42.931212339826601</v>
      </c>
      <c r="O16" s="55">
        <f t="shared" si="12"/>
        <v>42.931212339826601</v>
      </c>
      <c r="P16" s="55">
        <f t="shared" si="12"/>
        <v>42.931212339826601</v>
      </c>
      <c r="Q16" s="55">
        <f t="shared" si="12"/>
        <v>42.931212339826601</v>
      </c>
      <c r="R16" s="55">
        <f t="shared" si="12"/>
        <v>42.931212339826601</v>
      </c>
      <c r="S16" s="55">
        <f t="shared" si="12"/>
        <v>42.931212339826601</v>
      </c>
      <c r="T16" s="55">
        <f t="shared" si="12"/>
        <v>42.931212339826601</v>
      </c>
      <c r="U16" s="55">
        <f t="shared" si="12"/>
        <v>42.931212339826601</v>
      </c>
      <c r="V16" s="55">
        <f t="shared" si="12"/>
        <v>42.931212339826601</v>
      </c>
      <c r="W16" s="55">
        <f t="shared" si="12"/>
        <v>42.931212339826601</v>
      </c>
      <c r="X16" s="55">
        <f t="shared" si="12"/>
        <v>42.931212339826601</v>
      </c>
      <c r="Y16" s="55">
        <f t="shared" si="12"/>
        <v>42.931212339826601</v>
      </c>
      <c r="Z16" s="55">
        <f t="shared" si="12"/>
        <v>42.931212339826601</v>
      </c>
      <c r="AA16" s="55">
        <f t="shared" si="12"/>
        <v>42.931212339826601</v>
      </c>
      <c r="AB16" s="55">
        <f t="shared" si="12"/>
        <v>42.931212339826601</v>
      </c>
      <c r="AC16" s="55">
        <f t="shared" si="12"/>
        <v>42.931212339826601</v>
      </c>
      <c r="AD16" s="55">
        <f t="shared" si="12"/>
        <v>42.931212339826601</v>
      </c>
      <c r="AE16" s="55">
        <f t="shared" si="12"/>
        <v>42.931212339826601</v>
      </c>
      <c r="AF16" s="55">
        <f t="shared" si="12"/>
        <v>42.931212339826601</v>
      </c>
      <c r="AG16" s="55">
        <f t="shared" si="12"/>
        <v>42.931212339826601</v>
      </c>
      <c r="AH16" s="55">
        <f t="shared" si="12"/>
        <v>42.931212339826601</v>
      </c>
      <c r="AI16" s="55">
        <f t="shared" si="12"/>
        <v>42.931212339826601</v>
      </c>
      <c r="AJ16" s="55">
        <f t="shared" si="12"/>
        <v>42.931212339826601</v>
      </c>
      <c r="AK16" s="55">
        <f t="shared" si="12"/>
        <v>42.931212339826601</v>
      </c>
      <c r="AL16" s="55">
        <f t="shared" si="12"/>
        <v>42.931212339826601</v>
      </c>
      <c r="AM16" s="55">
        <f t="shared" si="12"/>
        <v>42.931212339826601</v>
      </c>
      <c r="AN16" s="55">
        <f t="shared" si="12"/>
        <v>42.931212339826601</v>
      </c>
      <c r="AO16" s="55">
        <f t="shared" si="12"/>
        <v>42.931212339826601</v>
      </c>
      <c r="AP16" s="55">
        <f t="shared" si="12"/>
        <v>42.931212339826601</v>
      </c>
      <c r="AQ16" s="55">
        <f t="shared" si="12"/>
        <v>42.931212339826601</v>
      </c>
      <c r="AR16" s="55">
        <f t="shared" si="12"/>
        <v>42.931212339826601</v>
      </c>
      <c r="AS16" s="55">
        <f t="shared" si="12"/>
        <v>42.931212339826601</v>
      </c>
      <c r="AT16" s="55">
        <f t="shared" si="12"/>
        <v>42.931212339826601</v>
      </c>
      <c r="AU16" s="55">
        <f t="shared" si="12"/>
        <v>42.931212339826601</v>
      </c>
      <c r="AV16" s="55">
        <f t="shared" si="12"/>
        <v>42.931212339826601</v>
      </c>
      <c r="AW16" s="55">
        <f t="shared" si="12"/>
        <v>42.931212339826601</v>
      </c>
      <c r="AX16" s="55">
        <f t="shared" si="12"/>
        <v>42.931212339826601</v>
      </c>
      <c r="AY16" s="55">
        <f t="shared" si="12"/>
        <v>42.931212339826601</v>
      </c>
      <c r="AZ16" s="55">
        <f t="shared" si="12"/>
        <v>42.931212339826601</v>
      </c>
      <c r="BA16" s="55">
        <f t="shared" si="12"/>
        <v>42.931212339826601</v>
      </c>
      <c r="BB16" s="55">
        <f t="shared" si="12"/>
        <v>42.931212339826601</v>
      </c>
      <c r="BC16" s="55">
        <f t="shared" si="12"/>
        <v>42.931212339826601</v>
      </c>
      <c r="BD16" s="55">
        <f t="shared" si="12"/>
        <v>42.931212339826601</v>
      </c>
      <c r="BE16" s="55">
        <f t="shared" si="12"/>
        <v>42.931212339826601</v>
      </c>
      <c r="BF16" s="55">
        <f t="shared" si="12"/>
        <v>42.931212339826601</v>
      </c>
      <c r="BG16" s="55">
        <f t="shared" si="12"/>
        <v>42.931212339826601</v>
      </c>
      <c r="BH16" s="55">
        <f t="shared" si="12"/>
        <v>42.931212339826601</v>
      </c>
      <c r="BI16" s="55">
        <f t="shared" si="12"/>
        <v>42.931212339826601</v>
      </c>
      <c r="BJ16" s="55">
        <f t="shared" si="12"/>
        <v>42.931212339826601</v>
      </c>
      <c r="BK16" s="55">
        <f t="shared" si="12"/>
        <v>42.931212339826601</v>
      </c>
      <c r="BL16" s="55">
        <f t="shared" si="12"/>
        <v>42.931212339826601</v>
      </c>
      <c r="BM16" s="55">
        <f t="shared" si="12"/>
        <v>42.931212339826601</v>
      </c>
      <c r="BN16" s="55">
        <f t="shared" si="12"/>
        <v>42.931212339826601</v>
      </c>
      <c r="BO16" s="55">
        <f t="shared" si="12"/>
        <v>42.931212339826601</v>
      </c>
      <c r="BP16" s="55">
        <f t="shared" ref="BP16:DR16" si="13">+BP15*BP11</f>
        <v>42.931212339826601</v>
      </c>
      <c r="BQ16" s="55">
        <f t="shared" si="13"/>
        <v>42.931212339826601</v>
      </c>
      <c r="BR16" s="55">
        <f t="shared" si="13"/>
        <v>42.931212339826601</v>
      </c>
      <c r="BS16" s="55">
        <f t="shared" si="13"/>
        <v>42.931212339826601</v>
      </c>
      <c r="BT16" s="55">
        <f t="shared" si="13"/>
        <v>42.931212339826601</v>
      </c>
      <c r="BU16" s="55">
        <f t="shared" si="13"/>
        <v>42.931212339826601</v>
      </c>
      <c r="BV16" s="55">
        <f t="shared" si="13"/>
        <v>42.931212339826601</v>
      </c>
      <c r="BW16" s="55">
        <f t="shared" si="13"/>
        <v>42.931212339826601</v>
      </c>
      <c r="BX16" s="55">
        <f t="shared" si="13"/>
        <v>42.931212339826601</v>
      </c>
      <c r="BY16" s="55">
        <f t="shared" si="13"/>
        <v>42.931212339826601</v>
      </c>
      <c r="BZ16" s="55">
        <f t="shared" si="13"/>
        <v>42.931212339826601</v>
      </c>
      <c r="CA16" s="55">
        <f t="shared" si="13"/>
        <v>42.931212339826601</v>
      </c>
      <c r="CB16" s="55">
        <f t="shared" si="13"/>
        <v>42.931212339826601</v>
      </c>
      <c r="CC16" s="55">
        <f t="shared" si="13"/>
        <v>42.931212339826601</v>
      </c>
      <c r="CD16" s="55">
        <f t="shared" si="13"/>
        <v>42.931212339826601</v>
      </c>
      <c r="CE16" s="55">
        <f t="shared" si="13"/>
        <v>42.931212339826601</v>
      </c>
      <c r="CF16" s="55">
        <f t="shared" si="13"/>
        <v>42.931212339826601</v>
      </c>
      <c r="CG16" s="55">
        <f t="shared" si="13"/>
        <v>42.931212339826601</v>
      </c>
      <c r="CH16" s="55">
        <f t="shared" si="13"/>
        <v>42.931212339826601</v>
      </c>
      <c r="CI16" s="55">
        <f t="shared" si="13"/>
        <v>42.931212339826601</v>
      </c>
      <c r="CJ16" s="55">
        <f t="shared" si="13"/>
        <v>42.931212339826601</v>
      </c>
      <c r="CK16" s="55">
        <f t="shared" si="13"/>
        <v>42.931212339826601</v>
      </c>
      <c r="CL16" s="55">
        <f t="shared" si="13"/>
        <v>42.931212339826601</v>
      </c>
      <c r="CM16" s="55">
        <f t="shared" si="13"/>
        <v>42.931212339826601</v>
      </c>
      <c r="CN16" s="55">
        <f t="shared" si="13"/>
        <v>42.931212339826601</v>
      </c>
      <c r="CO16" s="55">
        <f t="shared" si="13"/>
        <v>42.931212339826601</v>
      </c>
      <c r="CP16" s="55">
        <f t="shared" si="13"/>
        <v>42.931212339826601</v>
      </c>
      <c r="CQ16" s="55">
        <f t="shared" si="13"/>
        <v>42.931212339826601</v>
      </c>
      <c r="CR16" s="55">
        <f t="shared" si="13"/>
        <v>42.931212339826601</v>
      </c>
      <c r="CS16" s="55">
        <f t="shared" si="13"/>
        <v>42.931212339826601</v>
      </c>
      <c r="CT16" s="55">
        <f t="shared" si="13"/>
        <v>42.931212339826601</v>
      </c>
      <c r="CU16" s="55">
        <f t="shared" si="13"/>
        <v>42.931212339826601</v>
      </c>
      <c r="CV16" s="55">
        <f t="shared" si="13"/>
        <v>42.931212339826601</v>
      </c>
      <c r="CW16" s="55">
        <f t="shared" si="13"/>
        <v>42.931212339826601</v>
      </c>
      <c r="CX16" s="55">
        <f t="shared" si="13"/>
        <v>42.931212339826601</v>
      </c>
      <c r="CY16" s="55">
        <f t="shared" si="13"/>
        <v>42.931212339826601</v>
      </c>
      <c r="CZ16" s="55">
        <f t="shared" si="13"/>
        <v>42.931212339826601</v>
      </c>
      <c r="DA16" s="55">
        <f t="shared" si="13"/>
        <v>42.931212339826601</v>
      </c>
      <c r="DB16" s="55">
        <f t="shared" si="13"/>
        <v>42.931212339826601</v>
      </c>
      <c r="DC16" s="55">
        <f t="shared" si="13"/>
        <v>42.931212339826601</v>
      </c>
      <c r="DD16" s="55">
        <f t="shared" si="13"/>
        <v>42.931212339826601</v>
      </c>
      <c r="DE16" s="55">
        <f t="shared" si="13"/>
        <v>42.931212339826601</v>
      </c>
      <c r="DF16" s="55">
        <f t="shared" si="13"/>
        <v>42.931212339826601</v>
      </c>
      <c r="DG16" s="55">
        <f t="shared" si="13"/>
        <v>42.931212339826601</v>
      </c>
      <c r="DH16" s="55">
        <f t="shared" si="13"/>
        <v>42.931212339826601</v>
      </c>
      <c r="DI16" s="55">
        <f t="shared" si="13"/>
        <v>42.931212339826601</v>
      </c>
      <c r="DJ16" s="55">
        <f t="shared" si="13"/>
        <v>42.931212339826601</v>
      </c>
      <c r="DK16" s="55">
        <f t="shared" si="13"/>
        <v>42.931212339826601</v>
      </c>
      <c r="DL16" s="55">
        <f t="shared" si="13"/>
        <v>42.931212339826601</v>
      </c>
      <c r="DM16" s="55">
        <f t="shared" si="13"/>
        <v>42.931212339826601</v>
      </c>
      <c r="DN16" s="55">
        <f t="shared" si="13"/>
        <v>42.931212339826601</v>
      </c>
      <c r="DO16" s="55">
        <f t="shared" si="13"/>
        <v>42.931212339826601</v>
      </c>
      <c r="DP16" s="55">
        <f t="shared" si="13"/>
        <v>42.931212339826601</v>
      </c>
      <c r="DQ16" s="55">
        <f t="shared" si="13"/>
        <v>42.931212339826601</v>
      </c>
      <c r="DR16" s="55">
        <f t="shared" si="13"/>
        <v>42.931212339826601</v>
      </c>
    </row>
    <row r="17" spans="2:124" x14ac:dyDescent="0.3">
      <c r="B17" s="52" t="s">
        <v>180</v>
      </c>
      <c r="C17" s="55">
        <f>+C16*1000*Assumptions!$C$59</f>
        <v>8229.8344760747659</v>
      </c>
      <c r="D17" s="55">
        <f>+D16*1000*Assumptions!$C$59</f>
        <v>8229.8344760747659</v>
      </c>
      <c r="E17" s="55">
        <f>+E16*1000*Assumptions!$C$59</f>
        <v>8661.8014016834131</v>
      </c>
      <c r="F17" s="55">
        <f>+F16*1000*Assumptions!$C$59</f>
        <v>8661.8014016834131</v>
      </c>
      <c r="G17" s="55">
        <f>+G16*1000*Assumptions!$C$59</f>
        <v>54136.258760521334</v>
      </c>
      <c r="H17" s="55">
        <f>+H16*1000*Assumptions!$C$59</f>
        <v>54136.258760521334</v>
      </c>
      <c r="I17" s="55">
        <f>+I16*1000*Assumptions!$C$59</f>
        <v>54136.258760521334</v>
      </c>
      <c r="J17" s="55">
        <f>+J16*1000*Assumptions!$C$59</f>
        <v>54136.258760521334</v>
      </c>
      <c r="K17" s="55">
        <f>+K16*1000*Assumptions!$C$59</f>
        <v>54136.258760521334</v>
      </c>
      <c r="L17" s="55">
        <f>+L16*1000*Assumptions!$C$59</f>
        <v>54136.258760521334</v>
      </c>
      <c r="M17" s="55">
        <f>+M16*1000*Assumptions!$C$59</f>
        <v>54136.258760521334</v>
      </c>
      <c r="N17" s="55">
        <f>+N16*1000*Assumptions!$C$59</f>
        <v>54136.258760521334</v>
      </c>
      <c r="O17" s="55">
        <f>+O16*1000*Assumptions!$C$59</f>
        <v>54136.258760521334</v>
      </c>
      <c r="P17" s="55">
        <f>+P16*1000*Assumptions!$C$59</f>
        <v>54136.258760521334</v>
      </c>
      <c r="Q17" s="55">
        <f>+Q16*1000*Assumptions!$C$59</f>
        <v>54136.258760521334</v>
      </c>
      <c r="R17" s="55">
        <f>+R16*1000*Assumptions!$C$59</f>
        <v>54136.258760521334</v>
      </c>
      <c r="S17" s="55">
        <f>+S16*1000*Assumptions!$C$59</f>
        <v>54136.258760521334</v>
      </c>
      <c r="T17" s="55">
        <f>+T16*1000*Assumptions!$C$59</f>
        <v>54136.258760521334</v>
      </c>
      <c r="U17" s="55">
        <f>+U16*1000*Assumptions!$C$59</f>
        <v>54136.258760521334</v>
      </c>
      <c r="V17" s="55">
        <f>+V16*1000*Assumptions!$C$59</f>
        <v>54136.258760521334</v>
      </c>
      <c r="W17" s="55">
        <f>+W16*1000*Assumptions!$C$59</f>
        <v>54136.258760521334</v>
      </c>
      <c r="X17" s="55">
        <f>+X16*1000*Assumptions!$C$59</f>
        <v>54136.258760521334</v>
      </c>
      <c r="Y17" s="55">
        <f>+Y16*1000*Assumptions!$C$59</f>
        <v>54136.258760521334</v>
      </c>
      <c r="Z17" s="55">
        <f>+Z16*1000*Assumptions!$C$59</f>
        <v>54136.258760521334</v>
      </c>
      <c r="AA17" s="55">
        <f>+AA16*1000*Assumptions!$C$59</f>
        <v>54136.258760521334</v>
      </c>
      <c r="AB17" s="55">
        <f>+AB16*1000*Assumptions!$C$59</f>
        <v>54136.258760521334</v>
      </c>
      <c r="AC17" s="55">
        <f>+AC16*1000*Assumptions!$C$59</f>
        <v>54136.258760521334</v>
      </c>
      <c r="AD17" s="55">
        <f>+AD16*1000*Assumptions!$C$59</f>
        <v>54136.258760521334</v>
      </c>
      <c r="AE17" s="55">
        <f>+AE16*1000*Assumptions!$C$59</f>
        <v>54136.258760521334</v>
      </c>
      <c r="AF17" s="55">
        <f>+AF16*1000*Assumptions!$C$59</f>
        <v>54136.258760521334</v>
      </c>
      <c r="AG17" s="55">
        <f>+AG16*1000*Assumptions!$C$59</f>
        <v>54136.258760521334</v>
      </c>
      <c r="AH17" s="55">
        <f>+AH16*1000*Assumptions!$C$59</f>
        <v>54136.258760521334</v>
      </c>
      <c r="AI17" s="55">
        <f>+AI16*1000*Assumptions!$C$59</f>
        <v>54136.258760521334</v>
      </c>
      <c r="AJ17" s="55">
        <f>+AJ16*1000*Assumptions!$C$59</f>
        <v>54136.258760521334</v>
      </c>
      <c r="AK17" s="55">
        <f>+AK16*1000*Assumptions!$C$59</f>
        <v>54136.258760521334</v>
      </c>
      <c r="AL17" s="55">
        <f>+AL16*1000*Assumptions!$C$59</f>
        <v>54136.258760521334</v>
      </c>
      <c r="AM17" s="55">
        <f>+AM16*1000*Assumptions!$C$59</f>
        <v>54136.258760521334</v>
      </c>
      <c r="AN17" s="55">
        <f>+AN16*1000*Assumptions!$C$59</f>
        <v>54136.258760521334</v>
      </c>
      <c r="AO17" s="55">
        <f>+AO16*1000*Assumptions!$C$59</f>
        <v>54136.258760521334</v>
      </c>
      <c r="AP17" s="55">
        <f>+AP16*1000*Assumptions!$C$59</f>
        <v>54136.258760521334</v>
      </c>
      <c r="AQ17" s="55">
        <f>+AQ16*1000*Assumptions!$C$59</f>
        <v>54136.258760521334</v>
      </c>
      <c r="AR17" s="55">
        <f>+AR16*1000*Assumptions!$C$59</f>
        <v>54136.258760521334</v>
      </c>
      <c r="AS17" s="55">
        <f>+AS16*1000*Assumptions!$C$59</f>
        <v>54136.258760521334</v>
      </c>
      <c r="AT17" s="55">
        <f>+AT16*1000*Assumptions!$C$59</f>
        <v>54136.258760521334</v>
      </c>
      <c r="AU17" s="55">
        <f>+AU16*1000*Assumptions!$C$59</f>
        <v>54136.258760521334</v>
      </c>
      <c r="AV17" s="55">
        <f>+AV16*1000*Assumptions!$C$59</f>
        <v>54136.258760521334</v>
      </c>
      <c r="AW17" s="55">
        <f>+AW16*1000*Assumptions!$C$59</f>
        <v>54136.258760521334</v>
      </c>
      <c r="AX17" s="55">
        <f>+AX16*1000*Assumptions!$C$59</f>
        <v>54136.258760521334</v>
      </c>
      <c r="AY17" s="55">
        <f>+AY16*1000*Assumptions!$C$59</f>
        <v>54136.258760521334</v>
      </c>
      <c r="AZ17" s="55">
        <f>+AZ16*1000*Assumptions!$C$59</f>
        <v>54136.258760521334</v>
      </c>
      <c r="BA17" s="55">
        <f>+BA16*1000*Assumptions!$C$59</f>
        <v>54136.258760521334</v>
      </c>
      <c r="BB17" s="55">
        <f>+BB16*1000*Assumptions!$C$59</f>
        <v>54136.258760521334</v>
      </c>
      <c r="BC17" s="55">
        <f>+BC16*1000*Assumptions!$C$59</f>
        <v>54136.258760521334</v>
      </c>
      <c r="BD17" s="55">
        <f>+BD16*1000*Assumptions!$C$59</f>
        <v>54136.258760521334</v>
      </c>
      <c r="BE17" s="55">
        <f>+BE16*1000*Assumptions!$C$59</f>
        <v>54136.258760521334</v>
      </c>
      <c r="BF17" s="55">
        <f>+BF16*1000*Assumptions!$C$59</f>
        <v>54136.258760521334</v>
      </c>
      <c r="BG17" s="55">
        <f>+BG16*1000*Assumptions!$C$59</f>
        <v>54136.258760521334</v>
      </c>
      <c r="BH17" s="55">
        <f>+BH16*1000*Assumptions!$C$59</f>
        <v>54136.258760521334</v>
      </c>
      <c r="BI17" s="55">
        <f>+BI16*1000*Assumptions!$C$59</f>
        <v>54136.258760521334</v>
      </c>
      <c r="BJ17" s="55">
        <f>+BJ16*1000*Assumptions!$C$59</f>
        <v>54136.258760521334</v>
      </c>
      <c r="BK17" s="55">
        <f>+BK16*1000*Assumptions!$C$59</f>
        <v>54136.258760521334</v>
      </c>
      <c r="BL17" s="55">
        <f>+BL16*1000*Assumptions!$C$59</f>
        <v>54136.258760521334</v>
      </c>
      <c r="BM17" s="55">
        <f>+BM16*1000*Assumptions!$C$59</f>
        <v>54136.258760521334</v>
      </c>
      <c r="BN17" s="55">
        <f>+BN16*1000*Assumptions!$C$59</f>
        <v>54136.258760521334</v>
      </c>
      <c r="BO17" s="55">
        <f>+BO16*1000*Assumptions!$C$59</f>
        <v>54136.258760521334</v>
      </c>
      <c r="BP17" s="55">
        <f>+BP16*1000*Assumptions!$C$59</f>
        <v>54136.258760521334</v>
      </c>
      <c r="BQ17" s="55">
        <f>+BQ16*1000*Assumptions!$C$59</f>
        <v>54136.258760521334</v>
      </c>
      <c r="BR17" s="55">
        <f>+BR16*1000*Assumptions!$C$59</f>
        <v>54136.258760521334</v>
      </c>
      <c r="BS17" s="55">
        <f>+BS16*1000*Assumptions!$C$59</f>
        <v>54136.258760521334</v>
      </c>
      <c r="BT17" s="55">
        <f>+BT16*1000*Assumptions!$C$59</f>
        <v>54136.258760521334</v>
      </c>
      <c r="BU17" s="55">
        <f>+BU16*1000*Assumptions!$C$59</f>
        <v>54136.258760521334</v>
      </c>
      <c r="BV17" s="55">
        <f>+BV16*1000*Assumptions!$C$59</f>
        <v>54136.258760521334</v>
      </c>
      <c r="BW17" s="55">
        <f>+BW16*1000*Assumptions!$C$59</f>
        <v>54136.258760521334</v>
      </c>
      <c r="BX17" s="55">
        <f>+BX16*1000*Assumptions!$C$59</f>
        <v>54136.258760521334</v>
      </c>
      <c r="BY17" s="55">
        <f>+BY16*1000*Assumptions!$C$59</f>
        <v>54136.258760521334</v>
      </c>
      <c r="BZ17" s="55">
        <f>+BZ16*1000*Assumptions!$C$59</f>
        <v>54136.258760521334</v>
      </c>
      <c r="CA17" s="55">
        <f>+CA16*1000*Assumptions!$C$59</f>
        <v>54136.258760521334</v>
      </c>
      <c r="CB17" s="55">
        <f>+CB16*1000*Assumptions!$C$59</f>
        <v>54136.258760521334</v>
      </c>
      <c r="CC17" s="55">
        <f>+CC16*1000*Assumptions!$C$59</f>
        <v>54136.258760521334</v>
      </c>
      <c r="CD17" s="55">
        <f>+CD16*1000*Assumptions!$C$59</f>
        <v>54136.258760521334</v>
      </c>
      <c r="CE17" s="55">
        <f>+CE16*1000*Assumptions!$C$59</f>
        <v>54136.258760521334</v>
      </c>
      <c r="CF17" s="55">
        <f>+CF16*1000*Assumptions!$C$59</f>
        <v>54136.258760521334</v>
      </c>
      <c r="CG17" s="55">
        <f>+CG16*1000*Assumptions!$C$59</f>
        <v>54136.258760521334</v>
      </c>
      <c r="CH17" s="55">
        <f>+CH16*1000*Assumptions!$C$59</f>
        <v>54136.258760521334</v>
      </c>
      <c r="CI17" s="55">
        <f>+CI16*1000*Assumptions!$C$59</f>
        <v>54136.258760521334</v>
      </c>
      <c r="CJ17" s="55">
        <f>+CJ16*1000*Assumptions!$C$59</f>
        <v>54136.258760521334</v>
      </c>
      <c r="CK17" s="55">
        <f>+CK16*1000*Assumptions!$C$59</f>
        <v>54136.258760521334</v>
      </c>
      <c r="CL17" s="55">
        <f>+CL16*1000*Assumptions!$C$59</f>
        <v>54136.258760521334</v>
      </c>
      <c r="CM17" s="55">
        <f>+CM16*1000*Assumptions!$C$59</f>
        <v>54136.258760521334</v>
      </c>
      <c r="CN17" s="55">
        <f>+CN16*1000*Assumptions!$C$59</f>
        <v>54136.258760521334</v>
      </c>
      <c r="CO17" s="55">
        <f>+CO16*1000*Assumptions!$C$59</f>
        <v>54136.258760521334</v>
      </c>
      <c r="CP17" s="55">
        <f>+CP16*1000*Assumptions!$C$59</f>
        <v>54136.258760521334</v>
      </c>
      <c r="CQ17" s="55">
        <f>+CQ16*1000*Assumptions!$C$59</f>
        <v>54136.258760521334</v>
      </c>
      <c r="CR17" s="55">
        <f>+CR16*1000*Assumptions!$C$59</f>
        <v>54136.258760521334</v>
      </c>
      <c r="CS17" s="55">
        <f>+CS16*1000*Assumptions!$C$59</f>
        <v>54136.258760521334</v>
      </c>
      <c r="CT17" s="55">
        <f>+CT16*1000*Assumptions!$C$59</f>
        <v>54136.258760521334</v>
      </c>
      <c r="CU17" s="55">
        <f>+CU16*1000*Assumptions!$C$59</f>
        <v>54136.258760521334</v>
      </c>
      <c r="CV17" s="55">
        <f>+CV16*1000*Assumptions!$C$59</f>
        <v>54136.258760521334</v>
      </c>
      <c r="CW17" s="55">
        <f>+CW16*1000*Assumptions!$C$59</f>
        <v>54136.258760521334</v>
      </c>
      <c r="CX17" s="55">
        <f>+CX16*1000*Assumptions!$C$59</f>
        <v>54136.258760521334</v>
      </c>
      <c r="CY17" s="55">
        <f>+CY16*1000*Assumptions!$C$59</f>
        <v>54136.258760521334</v>
      </c>
      <c r="CZ17" s="55">
        <f>+CZ16*1000*Assumptions!$C$59</f>
        <v>54136.258760521334</v>
      </c>
      <c r="DA17" s="55">
        <f>+DA16*1000*Assumptions!$C$59</f>
        <v>54136.258760521334</v>
      </c>
      <c r="DB17" s="55">
        <f>+DB16*1000*Assumptions!$C$59</f>
        <v>54136.258760521334</v>
      </c>
      <c r="DC17" s="55">
        <f>+DC16*1000*Assumptions!$C$59</f>
        <v>54136.258760521334</v>
      </c>
      <c r="DD17" s="55">
        <f>+DD16*1000*Assumptions!$C$59</f>
        <v>54136.258760521334</v>
      </c>
      <c r="DE17" s="55">
        <f>+DE16*1000*Assumptions!$C$59</f>
        <v>54136.258760521334</v>
      </c>
      <c r="DF17" s="55">
        <f>+DF16*1000*Assumptions!$C$59</f>
        <v>54136.258760521334</v>
      </c>
      <c r="DG17" s="55">
        <f>+DG16*1000*Assumptions!$C$59</f>
        <v>54136.258760521334</v>
      </c>
      <c r="DH17" s="55">
        <f>+DH16*1000*Assumptions!$C$59</f>
        <v>54136.258760521334</v>
      </c>
      <c r="DI17" s="55">
        <f>+DI16*1000*Assumptions!$C$59</f>
        <v>54136.258760521334</v>
      </c>
      <c r="DJ17" s="55">
        <f>+DJ16*1000*Assumptions!$C$59</f>
        <v>54136.258760521334</v>
      </c>
      <c r="DK17" s="55">
        <f>+DK16*1000*Assumptions!$C$59</f>
        <v>54136.258760521334</v>
      </c>
      <c r="DL17" s="55">
        <f>+DL16*1000*Assumptions!$C$59</f>
        <v>54136.258760521334</v>
      </c>
      <c r="DM17" s="55">
        <f>+DM16*1000*Assumptions!$C$59</f>
        <v>54136.258760521334</v>
      </c>
      <c r="DN17" s="55">
        <f>+DN16*1000*Assumptions!$C$59</f>
        <v>54136.258760521334</v>
      </c>
      <c r="DO17" s="55">
        <f>+DO16*1000*Assumptions!$C$59</f>
        <v>54136.258760521334</v>
      </c>
      <c r="DP17" s="55">
        <f>+DP16*1000*Assumptions!$C$59</f>
        <v>54136.258760521334</v>
      </c>
      <c r="DQ17" s="55">
        <f>+DQ16*1000*Assumptions!$C$59</f>
        <v>54136.258760521334</v>
      </c>
      <c r="DR17" s="55">
        <f>+DR16*1000*Assumptions!$C$59</f>
        <v>54136.258760521334</v>
      </c>
      <c r="DT17" s="58"/>
    </row>
    <row r="18" spans="2:124" x14ac:dyDescent="0.3">
      <c r="B18" s="52" t="s">
        <v>181</v>
      </c>
      <c r="C18" s="55">
        <f>+C17/Assumptions!$C$58</f>
        <v>822.98344760747659</v>
      </c>
      <c r="D18" s="55">
        <f>+D17/Assumptions!$C$58</f>
        <v>822.98344760747659</v>
      </c>
      <c r="E18" s="55">
        <f>+E17/Assumptions!$C$58</f>
        <v>866.18014016834127</v>
      </c>
      <c r="F18" s="55">
        <f>+F17/Assumptions!$C$58</f>
        <v>866.18014016834127</v>
      </c>
      <c r="G18" s="55">
        <f>+G17/Assumptions!$C$58</f>
        <v>5413.6258760521332</v>
      </c>
      <c r="H18" s="55">
        <f>+H17/Assumptions!$C$58</f>
        <v>5413.6258760521332</v>
      </c>
      <c r="I18" s="55">
        <f>+I17/Assumptions!$C$58</f>
        <v>5413.6258760521332</v>
      </c>
      <c r="J18" s="55">
        <f>+J17/Assumptions!$C$58</f>
        <v>5413.6258760521332</v>
      </c>
      <c r="K18" s="55">
        <f>+K17/Assumptions!$C$58</f>
        <v>5413.6258760521332</v>
      </c>
      <c r="L18" s="55">
        <f>+L17/Assumptions!$C$58</f>
        <v>5413.6258760521332</v>
      </c>
      <c r="M18" s="55">
        <f>+M17/Assumptions!$C$58</f>
        <v>5413.6258760521332</v>
      </c>
      <c r="N18" s="55">
        <f>+N17/Assumptions!$C$58</f>
        <v>5413.6258760521332</v>
      </c>
      <c r="O18" s="55">
        <f>+O17/Assumptions!$C$58</f>
        <v>5413.6258760521332</v>
      </c>
      <c r="P18" s="55">
        <f>+P17/Assumptions!$C$58</f>
        <v>5413.6258760521332</v>
      </c>
      <c r="Q18" s="55">
        <f>+Q17/Assumptions!$C$58</f>
        <v>5413.6258760521332</v>
      </c>
      <c r="R18" s="55">
        <f>+R17/Assumptions!$C$58</f>
        <v>5413.6258760521332</v>
      </c>
      <c r="S18" s="55">
        <f>+S17/Assumptions!$C$58</f>
        <v>5413.6258760521332</v>
      </c>
      <c r="T18" s="55">
        <f>+T17/Assumptions!$C$58</f>
        <v>5413.6258760521332</v>
      </c>
      <c r="U18" s="55">
        <f>+U17/Assumptions!$C$58</f>
        <v>5413.6258760521332</v>
      </c>
      <c r="V18" s="55">
        <f>+V17/Assumptions!$C$58</f>
        <v>5413.6258760521332</v>
      </c>
      <c r="W18" s="55">
        <f>+W17/Assumptions!$C$58</f>
        <v>5413.6258760521332</v>
      </c>
      <c r="X18" s="55">
        <f>+X17/Assumptions!$C$58</f>
        <v>5413.6258760521332</v>
      </c>
      <c r="Y18" s="55">
        <f>+Y17/Assumptions!$C$58</f>
        <v>5413.6258760521332</v>
      </c>
      <c r="Z18" s="55">
        <f>+Z17/Assumptions!$C$58</f>
        <v>5413.6258760521332</v>
      </c>
      <c r="AA18" s="55">
        <f>+AA17/Assumptions!$C$58</f>
        <v>5413.6258760521332</v>
      </c>
      <c r="AB18" s="55">
        <f>+AB17/Assumptions!$C$58</f>
        <v>5413.6258760521332</v>
      </c>
      <c r="AC18" s="55">
        <f>+AC17/Assumptions!$C$58</f>
        <v>5413.6258760521332</v>
      </c>
      <c r="AD18" s="55">
        <f>+AD17/Assumptions!$C$58</f>
        <v>5413.6258760521332</v>
      </c>
      <c r="AE18" s="55">
        <f>+AE17/Assumptions!$C$58</f>
        <v>5413.6258760521332</v>
      </c>
      <c r="AF18" s="55">
        <f>+AF17/Assumptions!$C$58</f>
        <v>5413.6258760521332</v>
      </c>
      <c r="AG18" s="55">
        <f>+AG17/Assumptions!$C$58</f>
        <v>5413.6258760521332</v>
      </c>
      <c r="AH18" s="55">
        <f>+AH17/Assumptions!$C$58</f>
        <v>5413.6258760521332</v>
      </c>
      <c r="AI18" s="55">
        <f>+AI17/Assumptions!$C$58</f>
        <v>5413.6258760521332</v>
      </c>
      <c r="AJ18" s="55">
        <f>+AJ17/Assumptions!$C$58</f>
        <v>5413.6258760521332</v>
      </c>
      <c r="AK18" s="55">
        <f>+AK17/Assumptions!$C$58</f>
        <v>5413.6258760521332</v>
      </c>
      <c r="AL18" s="55">
        <f>+AL17/Assumptions!$C$58</f>
        <v>5413.6258760521332</v>
      </c>
      <c r="AM18" s="55">
        <f>+AM17/Assumptions!$C$58</f>
        <v>5413.6258760521332</v>
      </c>
      <c r="AN18" s="55">
        <f>+AN17/Assumptions!$C$58</f>
        <v>5413.6258760521332</v>
      </c>
      <c r="AO18" s="55">
        <f>+AO17/Assumptions!$C$58</f>
        <v>5413.6258760521332</v>
      </c>
      <c r="AP18" s="55">
        <f>+AP17/Assumptions!$C$58</f>
        <v>5413.6258760521332</v>
      </c>
      <c r="AQ18" s="55">
        <f>+AQ17/Assumptions!$C$58</f>
        <v>5413.6258760521332</v>
      </c>
      <c r="AR18" s="55">
        <f>+AR17/Assumptions!$C$58</f>
        <v>5413.6258760521332</v>
      </c>
      <c r="AS18" s="55">
        <f>+AS17/Assumptions!$C$58</f>
        <v>5413.6258760521332</v>
      </c>
      <c r="AT18" s="55">
        <f>+AT17/Assumptions!$C$58</f>
        <v>5413.6258760521332</v>
      </c>
      <c r="AU18" s="55">
        <f>+AU17/Assumptions!$C$58</f>
        <v>5413.6258760521332</v>
      </c>
      <c r="AV18" s="55">
        <f>+AV17/Assumptions!$C$58</f>
        <v>5413.6258760521332</v>
      </c>
      <c r="AW18" s="55">
        <f>+AW17/Assumptions!$C$58</f>
        <v>5413.6258760521332</v>
      </c>
      <c r="AX18" s="55">
        <f>+AX17/Assumptions!$C$58</f>
        <v>5413.6258760521332</v>
      </c>
      <c r="AY18" s="55">
        <f>+AY17/Assumptions!$C$58</f>
        <v>5413.6258760521332</v>
      </c>
      <c r="AZ18" s="55">
        <f>+AZ17/Assumptions!$C$58</f>
        <v>5413.6258760521332</v>
      </c>
      <c r="BA18" s="55">
        <f>+BA17/Assumptions!$C$58</f>
        <v>5413.6258760521332</v>
      </c>
      <c r="BB18" s="55">
        <f>+BB17/Assumptions!$C$58</f>
        <v>5413.6258760521332</v>
      </c>
      <c r="BC18" s="55">
        <f>+BC17/Assumptions!$C$58</f>
        <v>5413.6258760521332</v>
      </c>
      <c r="BD18" s="55">
        <f>+BD17/Assumptions!$C$58</f>
        <v>5413.6258760521332</v>
      </c>
      <c r="BE18" s="55">
        <f>+BE17/Assumptions!$C$58</f>
        <v>5413.6258760521332</v>
      </c>
      <c r="BF18" s="55">
        <f>+BF17/Assumptions!$C$58</f>
        <v>5413.6258760521332</v>
      </c>
      <c r="BG18" s="55">
        <f>+BG17/Assumptions!$C$58</f>
        <v>5413.6258760521332</v>
      </c>
      <c r="BH18" s="55">
        <f>+BH17/Assumptions!$C$58</f>
        <v>5413.6258760521332</v>
      </c>
      <c r="BI18" s="55">
        <f>+BI17/Assumptions!$C$58</f>
        <v>5413.6258760521332</v>
      </c>
      <c r="BJ18" s="55">
        <f>+BJ17/Assumptions!$C$58</f>
        <v>5413.6258760521332</v>
      </c>
      <c r="BK18" s="55">
        <f>+BK17/Assumptions!$C$58</f>
        <v>5413.6258760521332</v>
      </c>
      <c r="BL18" s="55">
        <f>+BL17/Assumptions!$C$58</f>
        <v>5413.6258760521332</v>
      </c>
      <c r="BM18" s="55">
        <f>+BM17/Assumptions!$C$58</f>
        <v>5413.6258760521332</v>
      </c>
      <c r="BN18" s="55">
        <f>+BN17/Assumptions!$C$58</f>
        <v>5413.6258760521332</v>
      </c>
      <c r="BO18" s="55">
        <f>+BO17/Assumptions!$C$58</f>
        <v>5413.6258760521332</v>
      </c>
      <c r="BP18" s="55">
        <f>+BP17/Assumptions!$C$58</f>
        <v>5413.6258760521332</v>
      </c>
      <c r="BQ18" s="55">
        <f>+BQ17/Assumptions!$C$58</f>
        <v>5413.6258760521332</v>
      </c>
      <c r="BR18" s="55">
        <f>+BR17/Assumptions!$C$58</f>
        <v>5413.6258760521332</v>
      </c>
      <c r="BS18" s="55">
        <f>+BS17/Assumptions!$C$58</f>
        <v>5413.6258760521332</v>
      </c>
      <c r="BT18" s="55">
        <f>+BT17/Assumptions!$C$58</f>
        <v>5413.6258760521332</v>
      </c>
      <c r="BU18" s="55">
        <f>+BU17/Assumptions!$C$58</f>
        <v>5413.6258760521332</v>
      </c>
      <c r="BV18" s="55">
        <f>+BV17/Assumptions!$C$58</f>
        <v>5413.6258760521332</v>
      </c>
      <c r="BW18" s="55">
        <f>+BW17/Assumptions!$C$58</f>
        <v>5413.6258760521332</v>
      </c>
      <c r="BX18" s="55">
        <f>+BX17/Assumptions!$C$58</f>
        <v>5413.6258760521332</v>
      </c>
      <c r="BY18" s="55">
        <f>+BY17/Assumptions!$C$58</f>
        <v>5413.6258760521332</v>
      </c>
      <c r="BZ18" s="55">
        <f>+BZ17/Assumptions!$C$58</f>
        <v>5413.6258760521332</v>
      </c>
      <c r="CA18" s="55">
        <f>+CA17/Assumptions!$C$58</f>
        <v>5413.6258760521332</v>
      </c>
      <c r="CB18" s="55">
        <f>+CB17/Assumptions!$C$58</f>
        <v>5413.6258760521332</v>
      </c>
      <c r="CC18" s="55">
        <f>+CC17/Assumptions!$C$58</f>
        <v>5413.6258760521332</v>
      </c>
      <c r="CD18" s="55">
        <f>+CD17/Assumptions!$C$58</f>
        <v>5413.6258760521332</v>
      </c>
      <c r="CE18" s="55">
        <f>+CE17/Assumptions!$C$58</f>
        <v>5413.6258760521332</v>
      </c>
      <c r="CF18" s="55">
        <f>+CF17/Assumptions!$C$58</f>
        <v>5413.6258760521332</v>
      </c>
      <c r="CG18" s="55">
        <f>+CG17/Assumptions!$C$58</f>
        <v>5413.6258760521332</v>
      </c>
      <c r="CH18" s="55">
        <f>+CH17/Assumptions!$C$58</f>
        <v>5413.6258760521332</v>
      </c>
      <c r="CI18" s="55">
        <f>+CI17/Assumptions!$C$58</f>
        <v>5413.6258760521332</v>
      </c>
      <c r="CJ18" s="55">
        <f>+CJ17/Assumptions!$C$58</f>
        <v>5413.6258760521332</v>
      </c>
      <c r="CK18" s="55">
        <f>+CK17/Assumptions!$C$58</f>
        <v>5413.6258760521332</v>
      </c>
      <c r="CL18" s="55">
        <f>+CL17/Assumptions!$C$58</f>
        <v>5413.6258760521332</v>
      </c>
      <c r="CM18" s="55">
        <f>+CM17/Assumptions!$C$58</f>
        <v>5413.6258760521332</v>
      </c>
      <c r="CN18" s="55">
        <f>+CN17/Assumptions!$C$58</f>
        <v>5413.6258760521332</v>
      </c>
      <c r="CO18" s="55">
        <f>+CO17/Assumptions!$C$58</f>
        <v>5413.6258760521332</v>
      </c>
      <c r="CP18" s="55">
        <f>+CP17/Assumptions!$C$58</f>
        <v>5413.6258760521332</v>
      </c>
      <c r="CQ18" s="55">
        <f>+CQ17/Assumptions!$C$58</f>
        <v>5413.6258760521332</v>
      </c>
      <c r="CR18" s="55">
        <f>+CR17/Assumptions!$C$58</f>
        <v>5413.6258760521332</v>
      </c>
      <c r="CS18" s="55">
        <f>+CS17/Assumptions!$C$58</f>
        <v>5413.6258760521332</v>
      </c>
      <c r="CT18" s="55">
        <f>+CT17/Assumptions!$C$58</f>
        <v>5413.6258760521332</v>
      </c>
      <c r="CU18" s="55">
        <f>+CU17/Assumptions!$C$58</f>
        <v>5413.6258760521332</v>
      </c>
      <c r="CV18" s="55">
        <f>+CV17/Assumptions!$C$58</f>
        <v>5413.6258760521332</v>
      </c>
      <c r="CW18" s="55">
        <f>+CW17/Assumptions!$C$58</f>
        <v>5413.6258760521332</v>
      </c>
      <c r="CX18" s="55">
        <f>+CX17/Assumptions!$C$58</f>
        <v>5413.6258760521332</v>
      </c>
      <c r="CY18" s="55">
        <f>+CY17/Assumptions!$C$58</f>
        <v>5413.6258760521332</v>
      </c>
      <c r="CZ18" s="55">
        <f>+CZ17/Assumptions!$C$58</f>
        <v>5413.6258760521332</v>
      </c>
      <c r="DA18" s="55">
        <f>+DA17/Assumptions!$C$58</f>
        <v>5413.6258760521332</v>
      </c>
      <c r="DB18" s="55">
        <f>+DB17/Assumptions!$C$58</f>
        <v>5413.6258760521332</v>
      </c>
      <c r="DC18" s="55">
        <f>+DC17/Assumptions!$C$58</f>
        <v>5413.6258760521332</v>
      </c>
      <c r="DD18" s="55">
        <f>+DD17/Assumptions!$C$58</f>
        <v>5413.6258760521332</v>
      </c>
      <c r="DE18" s="55">
        <f>+DE17/Assumptions!$C$58</f>
        <v>5413.6258760521332</v>
      </c>
      <c r="DF18" s="55">
        <f>+DF17/Assumptions!$C$58</f>
        <v>5413.6258760521332</v>
      </c>
      <c r="DG18" s="55">
        <f>+DG17/Assumptions!$C$58</f>
        <v>5413.6258760521332</v>
      </c>
      <c r="DH18" s="55">
        <f>+DH17/Assumptions!$C$58</f>
        <v>5413.6258760521332</v>
      </c>
      <c r="DI18" s="55">
        <f>+DI17/Assumptions!$C$58</f>
        <v>5413.6258760521332</v>
      </c>
      <c r="DJ18" s="55">
        <f>+DJ17/Assumptions!$C$58</f>
        <v>5413.6258760521332</v>
      </c>
      <c r="DK18" s="55">
        <f>+DK17/Assumptions!$C$58</f>
        <v>5413.6258760521332</v>
      </c>
      <c r="DL18" s="55">
        <f>+DL17/Assumptions!$C$58</f>
        <v>5413.6258760521332</v>
      </c>
      <c r="DM18" s="55">
        <f>+DM17/Assumptions!$C$58</f>
        <v>5413.6258760521332</v>
      </c>
      <c r="DN18" s="55">
        <f>+DN17/Assumptions!$C$58</f>
        <v>5413.6258760521332</v>
      </c>
      <c r="DO18" s="55">
        <f>+DO17/Assumptions!$C$58</f>
        <v>5413.6258760521332</v>
      </c>
      <c r="DP18" s="55">
        <f>+DP17/Assumptions!$C$58</f>
        <v>5413.6258760521332</v>
      </c>
      <c r="DQ18" s="55">
        <f>+DQ17/Assumptions!$C$58</f>
        <v>5413.6258760521332</v>
      </c>
      <c r="DR18" s="55">
        <f>+DR17/Assumptions!$C$58</f>
        <v>5413.6258760521332</v>
      </c>
    </row>
    <row r="19" spans="2:124" x14ac:dyDescent="0.3">
      <c r="B19" s="52" t="s">
        <v>182</v>
      </c>
      <c r="C19" s="116">
        <f>+C$18*Assumptions!$C41*Assumptions!$C$44</f>
        <v>1705221.7034426916</v>
      </c>
      <c r="D19" s="116">
        <f>+D$18*Assumptions!$C41*Assumptions!$C$44</f>
        <v>1705221.7034426916</v>
      </c>
      <c r="E19" s="116">
        <f>+E$18*Assumptions!$C41*Assumptions!$C$44</f>
        <v>1794725.250428803</v>
      </c>
      <c r="F19" s="116">
        <f>+F$18*Assumptions!$C41*Assumptions!$C$44</f>
        <v>1794725.250428803</v>
      </c>
      <c r="G19" s="116">
        <f>+G$18*Assumptions!$C41*Assumptions!$C$44</f>
        <v>11217032.81518002</v>
      </c>
      <c r="H19" s="116">
        <f>+H$18*Assumptions!$C41*Assumptions!$C$44</f>
        <v>11217032.81518002</v>
      </c>
      <c r="I19" s="116">
        <f>+I$18*Assumptions!$C41*Assumptions!$C$44</f>
        <v>11217032.81518002</v>
      </c>
      <c r="J19" s="116">
        <f>+J$18*Assumptions!$C41*Assumptions!$C$44</f>
        <v>11217032.81518002</v>
      </c>
      <c r="K19" s="116">
        <f>+K$18*Assumptions!$C41*Assumptions!$C$44</f>
        <v>11217032.81518002</v>
      </c>
      <c r="L19" s="116">
        <f>+L$18*Assumptions!$C41*Assumptions!$C$44</f>
        <v>11217032.81518002</v>
      </c>
      <c r="M19" s="116">
        <f>+M$18*Assumptions!$C41*Assumptions!$C$44</f>
        <v>11217032.81518002</v>
      </c>
      <c r="N19" s="116">
        <f>+N$18*Assumptions!$C41*Assumptions!$C$44</f>
        <v>11217032.81518002</v>
      </c>
      <c r="O19" s="116">
        <f>+O$18*Assumptions!$C41*Assumptions!$C$44</f>
        <v>11217032.81518002</v>
      </c>
      <c r="P19" s="116">
        <f>+P$18*Assumptions!$C41*Assumptions!$C$44</f>
        <v>11217032.81518002</v>
      </c>
      <c r="Q19" s="116">
        <f>+Q$18*Assumptions!$C41*Assumptions!$C$44</f>
        <v>11217032.81518002</v>
      </c>
      <c r="R19" s="116">
        <f>+R$18*Assumptions!$C41*Assumptions!$C$44</f>
        <v>11217032.81518002</v>
      </c>
      <c r="S19" s="116">
        <f>+S$18*Assumptions!$C41*Assumptions!$C$44</f>
        <v>11217032.81518002</v>
      </c>
      <c r="T19" s="116">
        <f>+T$18*Assumptions!$C41*Assumptions!$C$44</f>
        <v>11217032.81518002</v>
      </c>
      <c r="U19" s="116">
        <f>+U$18*Assumptions!$C41*Assumptions!$C$44</f>
        <v>11217032.81518002</v>
      </c>
      <c r="V19" s="116">
        <f>+V$18*Assumptions!$C41*Assumptions!$C$44</f>
        <v>11217032.81518002</v>
      </c>
      <c r="W19" s="116">
        <f>+W$18*Assumptions!$C41*Assumptions!$C$44</f>
        <v>11217032.81518002</v>
      </c>
      <c r="X19" s="116">
        <f>+X$18*Assumptions!$C41*Assumptions!$C$44</f>
        <v>11217032.81518002</v>
      </c>
      <c r="Y19" s="116">
        <f>+Y$18*Assumptions!$C41*Assumptions!$C$44</f>
        <v>11217032.81518002</v>
      </c>
      <c r="Z19" s="116">
        <f>+Z$18*Assumptions!$C41*Assumptions!$C$44</f>
        <v>11217032.81518002</v>
      </c>
      <c r="AA19" s="116">
        <f>+AA$18*Assumptions!$C41*Assumptions!$C$44</f>
        <v>11217032.81518002</v>
      </c>
      <c r="AB19" s="116">
        <f>+AB$18*Assumptions!$C41*Assumptions!$C$44</f>
        <v>11217032.81518002</v>
      </c>
      <c r="AC19" s="116">
        <f>+AC$18*Assumptions!$C41*Assumptions!$C$44</f>
        <v>11217032.81518002</v>
      </c>
      <c r="AD19" s="116">
        <f>+AD$18*Assumptions!$C41*Assumptions!$C$44</f>
        <v>11217032.81518002</v>
      </c>
      <c r="AE19" s="116">
        <f>+AE$18*Assumptions!$C41*Assumptions!$C$44</f>
        <v>11217032.81518002</v>
      </c>
      <c r="AF19" s="116">
        <f>+AF$18*Assumptions!$C41*Assumptions!$C$44</f>
        <v>11217032.81518002</v>
      </c>
      <c r="AG19" s="116">
        <f>+AG$18*Assumptions!$C41*Assumptions!$C$44</f>
        <v>11217032.81518002</v>
      </c>
      <c r="AH19" s="116">
        <f>+AH$18*Assumptions!$C41*Assumptions!$C$44</f>
        <v>11217032.81518002</v>
      </c>
      <c r="AI19" s="116">
        <f>+AI$18*Assumptions!$C41*Assumptions!$C$44</f>
        <v>11217032.81518002</v>
      </c>
      <c r="AJ19" s="116">
        <f>+AJ$18*Assumptions!$C41*Assumptions!$C$44</f>
        <v>11217032.81518002</v>
      </c>
      <c r="AK19" s="116">
        <f>+AK$18*Assumptions!$C41*Assumptions!$C$44</f>
        <v>11217032.81518002</v>
      </c>
      <c r="AL19" s="116">
        <f>+AL$18*Assumptions!$C41*Assumptions!$C$44</f>
        <v>11217032.81518002</v>
      </c>
      <c r="AM19" s="116">
        <f>+AM$18*Assumptions!$C41*Assumptions!$C$44</f>
        <v>11217032.81518002</v>
      </c>
      <c r="AN19" s="116">
        <f>+AN$18*Assumptions!$C41*Assumptions!$C$44</f>
        <v>11217032.81518002</v>
      </c>
      <c r="AO19" s="116">
        <f>+AO$18*Assumptions!$C41*Assumptions!$C$44</f>
        <v>11217032.81518002</v>
      </c>
      <c r="AP19" s="116">
        <f>+AP$18*Assumptions!$C41*Assumptions!$C$44</f>
        <v>11217032.81518002</v>
      </c>
      <c r="AQ19" s="116">
        <f>+AQ$18*Assumptions!$C41*Assumptions!$C$44</f>
        <v>11217032.81518002</v>
      </c>
      <c r="AR19" s="116">
        <f>+AR$18*Assumptions!$C41*Assumptions!$C$44</f>
        <v>11217032.81518002</v>
      </c>
      <c r="AS19" s="116">
        <f>+AS$18*Assumptions!$C41*Assumptions!$C$44</f>
        <v>11217032.81518002</v>
      </c>
      <c r="AT19" s="116">
        <f>+AT$18*Assumptions!$C41*Assumptions!$C$44</f>
        <v>11217032.81518002</v>
      </c>
      <c r="AU19" s="116">
        <f>+AU$18*Assumptions!$C41*Assumptions!$C$44</f>
        <v>11217032.81518002</v>
      </c>
      <c r="AV19" s="116">
        <f>+AV$18*Assumptions!$C41*Assumptions!$C$44</f>
        <v>11217032.81518002</v>
      </c>
      <c r="AW19" s="116">
        <f>+AW$18*Assumptions!$C41*Assumptions!$C$44</f>
        <v>11217032.81518002</v>
      </c>
      <c r="AX19" s="116">
        <f>+AX$18*Assumptions!$C41*Assumptions!$C$44</f>
        <v>11217032.81518002</v>
      </c>
      <c r="AY19" s="116">
        <f>+AY$18*Assumptions!$C41*Assumptions!$C$44</f>
        <v>11217032.81518002</v>
      </c>
      <c r="AZ19" s="116">
        <f>+AZ$18*Assumptions!$C41*Assumptions!$C$44</f>
        <v>11217032.81518002</v>
      </c>
      <c r="BA19" s="116">
        <f>+BA$18*Assumptions!$C41*Assumptions!$C$44</f>
        <v>11217032.81518002</v>
      </c>
      <c r="BB19" s="116">
        <f>+BB$18*Assumptions!$C41*Assumptions!$C$44</f>
        <v>11217032.81518002</v>
      </c>
      <c r="BC19" s="116">
        <f>+BC$18*Assumptions!$C41*Assumptions!$C$44</f>
        <v>11217032.81518002</v>
      </c>
      <c r="BD19" s="116">
        <f>+BD$18*Assumptions!$C41*Assumptions!$C$44</f>
        <v>11217032.81518002</v>
      </c>
      <c r="BE19" s="116">
        <f>+BE$18*Assumptions!$C41*Assumptions!$C$44</f>
        <v>11217032.81518002</v>
      </c>
      <c r="BF19" s="116">
        <f>+BF$18*Assumptions!$C41*Assumptions!$C$44</f>
        <v>11217032.81518002</v>
      </c>
      <c r="BG19" s="116">
        <f>+BG$18*Assumptions!$C41*Assumptions!$C$44</f>
        <v>11217032.81518002</v>
      </c>
      <c r="BH19" s="116">
        <f>+BH$18*Assumptions!$C41*Assumptions!$C$44</f>
        <v>11217032.81518002</v>
      </c>
      <c r="BI19" s="116">
        <f>+BI$18*Assumptions!$C41*Assumptions!$C$44</f>
        <v>11217032.81518002</v>
      </c>
      <c r="BJ19" s="116">
        <f>+BJ$18*Assumptions!$C41*Assumptions!$C$44</f>
        <v>11217032.81518002</v>
      </c>
      <c r="BK19" s="116">
        <f>+BK$18*Assumptions!$C41*Assumptions!$C$44</f>
        <v>11217032.81518002</v>
      </c>
      <c r="BL19" s="116">
        <f>+BL$18*Assumptions!$C41*Assumptions!$C$44</f>
        <v>11217032.81518002</v>
      </c>
      <c r="BM19" s="116">
        <f>+BM$18*Assumptions!$C41*Assumptions!$C$44</f>
        <v>11217032.81518002</v>
      </c>
      <c r="BN19" s="116">
        <f>+BN$18*Assumptions!$C41*Assumptions!$C$44</f>
        <v>11217032.81518002</v>
      </c>
      <c r="BO19" s="116">
        <f>+BO$18*Assumptions!$C41*Assumptions!$C$44</f>
        <v>11217032.81518002</v>
      </c>
      <c r="BP19" s="116">
        <f>+BP$18*Assumptions!$C41*Assumptions!$C$44</f>
        <v>11217032.81518002</v>
      </c>
      <c r="BQ19" s="116">
        <f>+BQ$18*Assumptions!$C41*Assumptions!$C$44</f>
        <v>11217032.81518002</v>
      </c>
      <c r="BR19" s="116">
        <f>+BR$18*Assumptions!$C41*Assumptions!$C$44</f>
        <v>11217032.81518002</v>
      </c>
      <c r="BS19" s="116">
        <f>+BS$18*Assumptions!$C41*Assumptions!$C$44</f>
        <v>11217032.81518002</v>
      </c>
      <c r="BT19" s="116">
        <f>+BT$18*Assumptions!$C41*Assumptions!$C$44</f>
        <v>11217032.81518002</v>
      </c>
      <c r="BU19" s="116">
        <f>+BU$18*Assumptions!$C41*Assumptions!$C$44</f>
        <v>11217032.81518002</v>
      </c>
      <c r="BV19" s="116">
        <f>+BV$18*Assumptions!$C41*Assumptions!$C$44</f>
        <v>11217032.81518002</v>
      </c>
      <c r="BW19" s="116">
        <f>+BW$18*Assumptions!$C41*Assumptions!$C$44</f>
        <v>11217032.81518002</v>
      </c>
      <c r="BX19" s="116">
        <f>+BX$18*Assumptions!$C41*Assumptions!$C$44</f>
        <v>11217032.81518002</v>
      </c>
      <c r="BY19" s="116">
        <f>+BY$18*Assumptions!$C41*Assumptions!$C$44</f>
        <v>11217032.81518002</v>
      </c>
      <c r="BZ19" s="116">
        <f>+BZ$18*Assumptions!$C41*Assumptions!$C$44</f>
        <v>11217032.81518002</v>
      </c>
      <c r="CA19" s="116">
        <f>+CA$18*Assumptions!$C41*Assumptions!$C$44</f>
        <v>11217032.81518002</v>
      </c>
      <c r="CB19" s="116">
        <f>+CB$18*Assumptions!$C41*Assumptions!$C$44</f>
        <v>11217032.81518002</v>
      </c>
      <c r="CC19" s="116">
        <f>+CC$18*Assumptions!$C41*Assumptions!$C$44</f>
        <v>11217032.81518002</v>
      </c>
      <c r="CD19" s="116">
        <f>+CD$18*Assumptions!$C41*Assumptions!$C$44</f>
        <v>11217032.81518002</v>
      </c>
      <c r="CE19" s="116">
        <f>+CE$18*Assumptions!$C41*Assumptions!$C$44</f>
        <v>11217032.81518002</v>
      </c>
      <c r="CF19" s="116">
        <f>+CF$18*Assumptions!$C41*Assumptions!$C$44</f>
        <v>11217032.81518002</v>
      </c>
      <c r="CG19" s="116">
        <f>+CG$18*Assumptions!$C41*Assumptions!$C$44</f>
        <v>11217032.81518002</v>
      </c>
      <c r="CH19" s="116">
        <f>+CH$18*Assumptions!$C41*Assumptions!$C$44</f>
        <v>11217032.81518002</v>
      </c>
      <c r="CI19" s="116">
        <f>+CI$18*Assumptions!$C41*Assumptions!$C$44</f>
        <v>11217032.81518002</v>
      </c>
      <c r="CJ19" s="116">
        <f>+CJ$18*Assumptions!$C41*Assumptions!$C$44</f>
        <v>11217032.81518002</v>
      </c>
      <c r="CK19" s="116">
        <f>+CK$18*Assumptions!$C41*Assumptions!$C$44</f>
        <v>11217032.81518002</v>
      </c>
      <c r="CL19" s="116">
        <f>+CL$18*Assumptions!$C41*Assumptions!$C$44</f>
        <v>11217032.81518002</v>
      </c>
      <c r="CM19" s="116">
        <f>+CM$18*Assumptions!$C41*Assumptions!$C$44</f>
        <v>11217032.81518002</v>
      </c>
      <c r="CN19" s="116">
        <f>+CN$18*Assumptions!$C41*Assumptions!$C$44</f>
        <v>11217032.81518002</v>
      </c>
      <c r="CO19" s="116">
        <f>+CO$18*Assumptions!$C41*Assumptions!$C$44</f>
        <v>11217032.81518002</v>
      </c>
      <c r="CP19" s="116">
        <f>+CP$18*Assumptions!$C41*Assumptions!$C$44</f>
        <v>11217032.81518002</v>
      </c>
      <c r="CQ19" s="116">
        <f>+CQ$18*Assumptions!$C41*Assumptions!$C$44</f>
        <v>11217032.81518002</v>
      </c>
      <c r="CR19" s="116">
        <f>+CR$18*Assumptions!$C41*Assumptions!$C$44</f>
        <v>11217032.81518002</v>
      </c>
      <c r="CS19" s="116">
        <f>+CS$18*Assumptions!$C41*Assumptions!$C$44</f>
        <v>11217032.81518002</v>
      </c>
      <c r="CT19" s="116">
        <f>+CT$18*Assumptions!$C41*Assumptions!$C$44</f>
        <v>11217032.81518002</v>
      </c>
      <c r="CU19" s="116">
        <f>+CU$18*Assumptions!$C41*Assumptions!$C$44</f>
        <v>11217032.81518002</v>
      </c>
      <c r="CV19" s="116">
        <f>+CV$18*Assumptions!$C41*Assumptions!$C$44</f>
        <v>11217032.81518002</v>
      </c>
      <c r="CW19" s="116">
        <f>+CW$18*Assumptions!$C41*Assumptions!$C$44</f>
        <v>11217032.81518002</v>
      </c>
      <c r="CX19" s="116">
        <f>+CX$18*Assumptions!$C41*Assumptions!$C$44</f>
        <v>11217032.81518002</v>
      </c>
      <c r="CY19" s="116">
        <f>+CY$18*Assumptions!$C41*Assumptions!$C$44</f>
        <v>11217032.81518002</v>
      </c>
      <c r="CZ19" s="116">
        <f>+CZ$18*Assumptions!$C41*Assumptions!$C$44</f>
        <v>11217032.81518002</v>
      </c>
      <c r="DA19" s="116">
        <f>+DA$18*Assumptions!$C41*Assumptions!$C$44</f>
        <v>11217032.81518002</v>
      </c>
      <c r="DB19" s="116">
        <f>+DB$18*Assumptions!$C41*Assumptions!$C$44</f>
        <v>11217032.81518002</v>
      </c>
      <c r="DC19" s="116">
        <f>+DC$18*Assumptions!$C41*Assumptions!$C$44</f>
        <v>11217032.81518002</v>
      </c>
      <c r="DD19" s="116">
        <f>+DD$18*Assumptions!$C41*Assumptions!$C$44</f>
        <v>11217032.81518002</v>
      </c>
      <c r="DE19" s="116">
        <f>+DE$18*Assumptions!$C41*Assumptions!$C$44</f>
        <v>11217032.81518002</v>
      </c>
      <c r="DF19" s="116">
        <f>+DF$18*Assumptions!$C41*Assumptions!$C$44</f>
        <v>11217032.81518002</v>
      </c>
      <c r="DG19" s="116">
        <f>+DG$18*Assumptions!$C41*Assumptions!$C$44</f>
        <v>11217032.81518002</v>
      </c>
      <c r="DH19" s="116">
        <f>+DH$18*Assumptions!$C41*Assumptions!$C$44</f>
        <v>11217032.81518002</v>
      </c>
      <c r="DI19" s="116">
        <f>+DI$18*Assumptions!$C41*Assumptions!$C$44</f>
        <v>11217032.81518002</v>
      </c>
      <c r="DJ19" s="116">
        <f>+DJ$18*Assumptions!$C41*Assumptions!$C$44</f>
        <v>11217032.81518002</v>
      </c>
      <c r="DK19" s="116">
        <f>+DK$18*Assumptions!$C41*Assumptions!$C$44</f>
        <v>11217032.81518002</v>
      </c>
      <c r="DL19" s="116">
        <f>+DL$18*Assumptions!$C41*Assumptions!$C$44</f>
        <v>11217032.81518002</v>
      </c>
      <c r="DM19" s="116">
        <f>+DM$18*Assumptions!$C41*Assumptions!$C$44</f>
        <v>11217032.81518002</v>
      </c>
      <c r="DN19" s="116">
        <f>+DN$18*Assumptions!$C41*Assumptions!$C$44</f>
        <v>11217032.81518002</v>
      </c>
      <c r="DO19" s="116">
        <f>+DO$18*Assumptions!$C41*Assumptions!$C$44</f>
        <v>11217032.81518002</v>
      </c>
      <c r="DP19" s="116">
        <f>+DP$18*Assumptions!$C41*Assumptions!$C$44</f>
        <v>11217032.81518002</v>
      </c>
      <c r="DQ19" s="116">
        <f>+DQ$18*Assumptions!$C41*Assumptions!$C$44</f>
        <v>11217032.81518002</v>
      </c>
      <c r="DR19" s="116">
        <f>+DR$18*Assumptions!$C41*Assumptions!$C$44</f>
        <v>11217032.81518002</v>
      </c>
    </row>
    <row r="20" spans="2:124" x14ac:dyDescent="0.3">
      <c r="B20" s="52" t="s">
        <v>183</v>
      </c>
      <c r="C20" s="116">
        <f>+C$18*Assumptions!$C42*Assumptions!$C$44</f>
        <v>1851383.5637377794</v>
      </c>
      <c r="D20" s="116">
        <f>+D$18*Assumptions!$C42*Assumptions!$C$44</f>
        <v>1851383.5637377794</v>
      </c>
      <c r="E20" s="116">
        <f>+E$18*Assumptions!$C42*Assumptions!$C$44</f>
        <v>1948558.8433227006</v>
      </c>
      <c r="F20" s="116">
        <f>+F$18*Assumptions!$C42*Assumptions!$C$44</f>
        <v>1948558.8433227006</v>
      </c>
      <c r="G20" s="116">
        <f>+G$18*Assumptions!$C42*Assumptions!$C$44</f>
        <v>12178492.770766879</v>
      </c>
      <c r="H20" s="116">
        <f>+H$18*Assumptions!$C42*Assumptions!$C$44</f>
        <v>12178492.770766879</v>
      </c>
      <c r="I20" s="116">
        <f>+I$18*Assumptions!$C42*Assumptions!$C$44</f>
        <v>12178492.770766879</v>
      </c>
      <c r="J20" s="116">
        <f>+J$18*Assumptions!$C42*Assumptions!$C$44</f>
        <v>12178492.770766879</v>
      </c>
      <c r="K20" s="116">
        <f>+K$18*Assumptions!$C42*Assumptions!$C$44</f>
        <v>12178492.770766879</v>
      </c>
      <c r="L20" s="116">
        <f>+L$18*Assumptions!$C42*Assumptions!$C$44</f>
        <v>12178492.770766879</v>
      </c>
      <c r="M20" s="116">
        <f>+M$18*Assumptions!$C42*Assumptions!$C$44</f>
        <v>12178492.770766879</v>
      </c>
      <c r="N20" s="116">
        <f>+N$18*Assumptions!$C42*Assumptions!$C$44</f>
        <v>12178492.770766879</v>
      </c>
      <c r="O20" s="116">
        <f>+O$18*Assumptions!$C42*Assumptions!$C$44</f>
        <v>12178492.770766879</v>
      </c>
      <c r="P20" s="116">
        <f>+P$18*Assumptions!$C42*Assumptions!$C$44</f>
        <v>12178492.770766879</v>
      </c>
      <c r="Q20" s="116">
        <f>+Q$18*Assumptions!$C42*Assumptions!$C$44</f>
        <v>12178492.770766879</v>
      </c>
      <c r="R20" s="116">
        <f>+R$18*Assumptions!$C42*Assumptions!$C$44</f>
        <v>12178492.770766879</v>
      </c>
      <c r="S20" s="116">
        <f>+S$18*Assumptions!$C42*Assumptions!$C$44</f>
        <v>12178492.770766879</v>
      </c>
      <c r="T20" s="116">
        <f>+T$18*Assumptions!$C42*Assumptions!$C$44</f>
        <v>12178492.770766879</v>
      </c>
      <c r="U20" s="116">
        <f>+U$18*Assumptions!$C42*Assumptions!$C$44</f>
        <v>12178492.770766879</v>
      </c>
      <c r="V20" s="116">
        <f>+V$18*Assumptions!$C42*Assumptions!$C$44</f>
        <v>12178492.770766879</v>
      </c>
      <c r="W20" s="116">
        <f>+W$18*Assumptions!$C42*Assumptions!$C$44</f>
        <v>12178492.770766879</v>
      </c>
      <c r="X20" s="116">
        <f>+X$18*Assumptions!$C42*Assumptions!$C$44</f>
        <v>12178492.770766879</v>
      </c>
      <c r="Y20" s="116">
        <f>+Y$18*Assumptions!$C42*Assumptions!$C$44</f>
        <v>12178492.770766879</v>
      </c>
      <c r="Z20" s="116">
        <f>+Z$18*Assumptions!$C42*Assumptions!$C$44</f>
        <v>12178492.770766879</v>
      </c>
      <c r="AA20" s="116">
        <f>+AA$18*Assumptions!$C42*Assumptions!$C$44</f>
        <v>12178492.770766879</v>
      </c>
      <c r="AB20" s="116">
        <f>+AB$18*Assumptions!$C42*Assumptions!$C$44</f>
        <v>12178492.770766879</v>
      </c>
      <c r="AC20" s="116">
        <f>+AC$18*Assumptions!$C42*Assumptions!$C$44</f>
        <v>12178492.770766879</v>
      </c>
      <c r="AD20" s="116">
        <f>+AD$18*Assumptions!$C42*Assumptions!$C$44</f>
        <v>12178492.770766879</v>
      </c>
      <c r="AE20" s="116">
        <f>+AE$18*Assumptions!$C42*Assumptions!$C$44</f>
        <v>12178492.770766879</v>
      </c>
      <c r="AF20" s="116">
        <f>+AF$18*Assumptions!$C42*Assumptions!$C$44</f>
        <v>12178492.770766879</v>
      </c>
      <c r="AG20" s="116">
        <f>+AG$18*Assumptions!$C42*Assumptions!$C$44</f>
        <v>12178492.770766879</v>
      </c>
      <c r="AH20" s="116">
        <f>+AH$18*Assumptions!$C42*Assumptions!$C$44</f>
        <v>12178492.770766879</v>
      </c>
      <c r="AI20" s="116">
        <f>+AI$18*Assumptions!$C42*Assumptions!$C$44</f>
        <v>12178492.770766879</v>
      </c>
      <c r="AJ20" s="116">
        <f>+AJ$18*Assumptions!$C42*Assumptions!$C$44</f>
        <v>12178492.770766879</v>
      </c>
      <c r="AK20" s="116">
        <f>+AK$18*Assumptions!$C42*Assumptions!$C$44</f>
        <v>12178492.770766879</v>
      </c>
      <c r="AL20" s="116">
        <f>+AL$18*Assumptions!$C42*Assumptions!$C$44</f>
        <v>12178492.770766879</v>
      </c>
      <c r="AM20" s="116">
        <f>+AM$18*Assumptions!$C42*Assumptions!$C$44</f>
        <v>12178492.770766879</v>
      </c>
      <c r="AN20" s="116">
        <f>+AN$18*Assumptions!$C42*Assumptions!$C$44</f>
        <v>12178492.770766879</v>
      </c>
      <c r="AO20" s="116">
        <f>+AO$18*Assumptions!$C42*Assumptions!$C$44</f>
        <v>12178492.770766879</v>
      </c>
      <c r="AP20" s="116">
        <f>+AP$18*Assumptions!$C42*Assumptions!$C$44</f>
        <v>12178492.770766879</v>
      </c>
      <c r="AQ20" s="116">
        <f>+AQ$18*Assumptions!$C42*Assumptions!$C$44</f>
        <v>12178492.770766879</v>
      </c>
      <c r="AR20" s="116">
        <f>+AR$18*Assumptions!$C42*Assumptions!$C$44</f>
        <v>12178492.770766879</v>
      </c>
      <c r="AS20" s="116">
        <f>+AS$18*Assumptions!$C42*Assumptions!$C$44</f>
        <v>12178492.770766879</v>
      </c>
      <c r="AT20" s="116">
        <f>+AT$18*Assumptions!$C42*Assumptions!$C$44</f>
        <v>12178492.770766879</v>
      </c>
      <c r="AU20" s="116">
        <f>+AU$18*Assumptions!$C42*Assumptions!$C$44</f>
        <v>12178492.770766879</v>
      </c>
      <c r="AV20" s="116">
        <f>+AV$18*Assumptions!$C42*Assumptions!$C$44</f>
        <v>12178492.770766879</v>
      </c>
      <c r="AW20" s="116">
        <f>+AW$18*Assumptions!$C42*Assumptions!$C$44</f>
        <v>12178492.770766879</v>
      </c>
      <c r="AX20" s="116">
        <f>+AX$18*Assumptions!$C42*Assumptions!$C$44</f>
        <v>12178492.770766879</v>
      </c>
      <c r="AY20" s="116">
        <f>+AY$18*Assumptions!$C42*Assumptions!$C$44</f>
        <v>12178492.770766879</v>
      </c>
      <c r="AZ20" s="116">
        <f>+AZ$18*Assumptions!$C42*Assumptions!$C$44</f>
        <v>12178492.770766879</v>
      </c>
      <c r="BA20" s="116">
        <f>+BA$18*Assumptions!$C42*Assumptions!$C$44</f>
        <v>12178492.770766879</v>
      </c>
      <c r="BB20" s="116">
        <f>+BB$18*Assumptions!$C42*Assumptions!$C$44</f>
        <v>12178492.770766879</v>
      </c>
      <c r="BC20" s="116">
        <f>+BC$18*Assumptions!$C42*Assumptions!$C$44</f>
        <v>12178492.770766879</v>
      </c>
      <c r="BD20" s="116">
        <f>+BD$18*Assumptions!$C42*Assumptions!$C$44</f>
        <v>12178492.770766879</v>
      </c>
      <c r="BE20" s="116">
        <f>+BE$18*Assumptions!$C42*Assumptions!$C$44</f>
        <v>12178492.770766879</v>
      </c>
      <c r="BF20" s="116">
        <f>+BF$18*Assumptions!$C42*Assumptions!$C$44</f>
        <v>12178492.770766879</v>
      </c>
      <c r="BG20" s="116">
        <f>+BG$18*Assumptions!$C42*Assumptions!$C$44</f>
        <v>12178492.770766879</v>
      </c>
      <c r="BH20" s="116">
        <f>+BH$18*Assumptions!$C42*Assumptions!$C$44</f>
        <v>12178492.770766879</v>
      </c>
      <c r="BI20" s="116">
        <f>+BI$18*Assumptions!$C42*Assumptions!$C$44</f>
        <v>12178492.770766879</v>
      </c>
      <c r="BJ20" s="116">
        <f>+BJ$18*Assumptions!$C42*Assumptions!$C$44</f>
        <v>12178492.770766879</v>
      </c>
      <c r="BK20" s="116">
        <f>+BK$18*Assumptions!$C42*Assumptions!$C$44</f>
        <v>12178492.770766879</v>
      </c>
      <c r="BL20" s="116">
        <f>+BL$18*Assumptions!$C42*Assumptions!$C$44</f>
        <v>12178492.770766879</v>
      </c>
      <c r="BM20" s="116">
        <f>+BM$18*Assumptions!$C42*Assumptions!$C$44</f>
        <v>12178492.770766879</v>
      </c>
      <c r="BN20" s="116">
        <f>+BN$18*Assumptions!$C42*Assumptions!$C$44</f>
        <v>12178492.770766879</v>
      </c>
      <c r="BO20" s="116">
        <f>+BO$18*Assumptions!$C42*Assumptions!$C$44</f>
        <v>12178492.770766879</v>
      </c>
      <c r="BP20" s="116">
        <f>+BP$18*Assumptions!$C42*Assumptions!$C$44</f>
        <v>12178492.770766879</v>
      </c>
      <c r="BQ20" s="116">
        <f>+BQ$18*Assumptions!$C42*Assumptions!$C$44</f>
        <v>12178492.770766879</v>
      </c>
      <c r="BR20" s="116">
        <f>+BR$18*Assumptions!$C42*Assumptions!$C$44</f>
        <v>12178492.770766879</v>
      </c>
      <c r="BS20" s="116">
        <f>+BS$18*Assumptions!$C42*Assumptions!$C$44</f>
        <v>12178492.770766879</v>
      </c>
      <c r="BT20" s="116">
        <f>+BT$18*Assumptions!$C42*Assumptions!$C$44</f>
        <v>12178492.770766879</v>
      </c>
      <c r="BU20" s="116">
        <f>+BU$18*Assumptions!$C42*Assumptions!$C$44</f>
        <v>12178492.770766879</v>
      </c>
      <c r="BV20" s="116">
        <f>+BV$18*Assumptions!$C42*Assumptions!$C$44</f>
        <v>12178492.770766879</v>
      </c>
      <c r="BW20" s="116">
        <f>+BW$18*Assumptions!$C42*Assumptions!$C$44</f>
        <v>12178492.770766879</v>
      </c>
      <c r="BX20" s="116">
        <f>+BX$18*Assumptions!$C42*Assumptions!$C$44</f>
        <v>12178492.770766879</v>
      </c>
      <c r="BY20" s="116">
        <f>+BY$18*Assumptions!$C42*Assumptions!$C$44</f>
        <v>12178492.770766879</v>
      </c>
      <c r="BZ20" s="116">
        <f>+BZ$18*Assumptions!$C42*Assumptions!$C$44</f>
        <v>12178492.770766879</v>
      </c>
      <c r="CA20" s="116">
        <f>+CA$18*Assumptions!$C42*Assumptions!$C$44</f>
        <v>12178492.770766879</v>
      </c>
      <c r="CB20" s="116">
        <f>+CB$18*Assumptions!$C42*Assumptions!$C$44</f>
        <v>12178492.770766879</v>
      </c>
      <c r="CC20" s="116">
        <f>+CC$18*Assumptions!$C42*Assumptions!$C$44</f>
        <v>12178492.770766879</v>
      </c>
      <c r="CD20" s="116">
        <f>+CD$18*Assumptions!$C42*Assumptions!$C$44</f>
        <v>12178492.770766879</v>
      </c>
      <c r="CE20" s="116">
        <f>+CE$18*Assumptions!$C42*Assumptions!$C$44</f>
        <v>12178492.770766879</v>
      </c>
      <c r="CF20" s="116">
        <f>+CF$18*Assumptions!$C42*Assumptions!$C$44</f>
        <v>12178492.770766879</v>
      </c>
      <c r="CG20" s="116">
        <f>+CG$18*Assumptions!$C42*Assumptions!$C$44</f>
        <v>12178492.770766879</v>
      </c>
      <c r="CH20" s="116">
        <f>+CH$18*Assumptions!$C42*Assumptions!$C$44</f>
        <v>12178492.770766879</v>
      </c>
      <c r="CI20" s="116">
        <f>+CI$18*Assumptions!$C42*Assumptions!$C$44</f>
        <v>12178492.770766879</v>
      </c>
      <c r="CJ20" s="116">
        <f>+CJ$18*Assumptions!$C42*Assumptions!$C$44</f>
        <v>12178492.770766879</v>
      </c>
      <c r="CK20" s="116">
        <f>+CK$18*Assumptions!$C42*Assumptions!$C$44</f>
        <v>12178492.770766879</v>
      </c>
      <c r="CL20" s="116">
        <f>+CL$18*Assumptions!$C42*Assumptions!$C$44</f>
        <v>12178492.770766879</v>
      </c>
      <c r="CM20" s="116">
        <f>+CM$18*Assumptions!$C42*Assumptions!$C$44</f>
        <v>12178492.770766879</v>
      </c>
      <c r="CN20" s="116">
        <f>+CN$18*Assumptions!$C42*Assumptions!$C$44</f>
        <v>12178492.770766879</v>
      </c>
      <c r="CO20" s="116">
        <f>+CO$18*Assumptions!$C42*Assumptions!$C$44</f>
        <v>12178492.770766879</v>
      </c>
      <c r="CP20" s="116">
        <f>+CP$18*Assumptions!$C42*Assumptions!$C$44</f>
        <v>12178492.770766879</v>
      </c>
      <c r="CQ20" s="116">
        <f>+CQ$18*Assumptions!$C42*Assumptions!$C$44</f>
        <v>12178492.770766879</v>
      </c>
      <c r="CR20" s="116">
        <f>+CR$18*Assumptions!$C42*Assumptions!$C$44</f>
        <v>12178492.770766879</v>
      </c>
      <c r="CS20" s="116">
        <f>+CS$18*Assumptions!$C42*Assumptions!$C$44</f>
        <v>12178492.770766879</v>
      </c>
      <c r="CT20" s="116">
        <f>+CT$18*Assumptions!$C42*Assumptions!$C$44</f>
        <v>12178492.770766879</v>
      </c>
      <c r="CU20" s="116">
        <f>+CU$18*Assumptions!$C42*Assumptions!$C$44</f>
        <v>12178492.770766879</v>
      </c>
      <c r="CV20" s="116">
        <f>+CV$18*Assumptions!$C42*Assumptions!$C$44</f>
        <v>12178492.770766879</v>
      </c>
      <c r="CW20" s="116">
        <f>+CW$18*Assumptions!$C42*Assumptions!$C$44</f>
        <v>12178492.770766879</v>
      </c>
      <c r="CX20" s="116">
        <f>+CX$18*Assumptions!$C42*Assumptions!$C$44</f>
        <v>12178492.770766879</v>
      </c>
      <c r="CY20" s="116">
        <f>+CY$18*Assumptions!$C42*Assumptions!$C$44</f>
        <v>12178492.770766879</v>
      </c>
      <c r="CZ20" s="116">
        <f>+CZ$18*Assumptions!$C42*Assumptions!$C$44</f>
        <v>12178492.770766879</v>
      </c>
      <c r="DA20" s="116">
        <f>+DA$18*Assumptions!$C42*Assumptions!$C$44</f>
        <v>12178492.770766879</v>
      </c>
      <c r="DB20" s="116">
        <f>+DB$18*Assumptions!$C42*Assumptions!$C$44</f>
        <v>12178492.770766879</v>
      </c>
      <c r="DC20" s="116">
        <f>+DC$18*Assumptions!$C42*Assumptions!$C$44</f>
        <v>12178492.770766879</v>
      </c>
      <c r="DD20" s="116">
        <f>+DD$18*Assumptions!$C42*Assumptions!$C$44</f>
        <v>12178492.770766879</v>
      </c>
      <c r="DE20" s="116">
        <f>+DE$18*Assumptions!$C42*Assumptions!$C$44</f>
        <v>12178492.770766879</v>
      </c>
      <c r="DF20" s="116">
        <f>+DF$18*Assumptions!$C42*Assumptions!$C$44</f>
        <v>12178492.770766879</v>
      </c>
      <c r="DG20" s="116">
        <f>+DG$18*Assumptions!$C42*Assumptions!$C$44</f>
        <v>12178492.770766879</v>
      </c>
      <c r="DH20" s="116">
        <f>+DH$18*Assumptions!$C42*Assumptions!$C$44</f>
        <v>12178492.770766879</v>
      </c>
      <c r="DI20" s="116">
        <f>+DI$18*Assumptions!$C42*Assumptions!$C$44</f>
        <v>12178492.770766879</v>
      </c>
      <c r="DJ20" s="116">
        <f>+DJ$18*Assumptions!$C42*Assumptions!$C$44</f>
        <v>12178492.770766879</v>
      </c>
      <c r="DK20" s="116">
        <f>+DK$18*Assumptions!$C42*Assumptions!$C$44</f>
        <v>12178492.770766879</v>
      </c>
      <c r="DL20" s="116">
        <f>+DL$18*Assumptions!$C42*Assumptions!$C$44</f>
        <v>12178492.770766879</v>
      </c>
      <c r="DM20" s="116">
        <f>+DM$18*Assumptions!$C42*Assumptions!$C$44</f>
        <v>12178492.770766879</v>
      </c>
      <c r="DN20" s="116">
        <f>+DN$18*Assumptions!$C42*Assumptions!$C$44</f>
        <v>12178492.770766879</v>
      </c>
      <c r="DO20" s="116">
        <f>+DO$18*Assumptions!$C42*Assumptions!$C$44</f>
        <v>12178492.770766879</v>
      </c>
      <c r="DP20" s="116">
        <f>+DP$18*Assumptions!$C42*Assumptions!$C$44</f>
        <v>12178492.770766879</v>
      </c>
      <c r="DQ20" s="116">
        <f>+DQ$18*Assumptions!$C42*Assumptions!$C$44</f>
        <v>12178492.770766879</v>
      </c>
      <c r="DR20" s="116">
        <f>+DR$18*Assumptions!$C42*Assumptions!$C$44</f>
        <v>12178492.770766879</v>
      </c>
    </row>
    <row r="21" spans="2:124" x14ac:dyDescent="0.3">
      <c r="B21" s="52" t="s">
        <v>184</v>
      </c>
      <c r="C21" s="116">
        <f>+C$18*Assumptions!$C43*Assumptions!$C$44</f>
        <v>1997545.4240328672</v>
      </c>
      <c r="D21" s="116">
        <f>+D$18*Assumptions!$C43*Assumptions!$C$44</f>
        <v>1997545.4240328672</v>
      </c>
      <c r="E21" s="116">
        <f>+E$18*Assumptions!$C43*Assumptions!$C$44</f>
        <v>2102392.4362165979</v>
      </c>
      <c r="F21" s="116">
        <f>+F$18*Assumptions!$C43*Assumptions!$C$44</f>
        <v>2102392.4362165979</v>
      </c>
      <c r="G21" s="116">
        <f>+G$18*Assumptions!$C43*Assumptions!$C$44</f>
        <v>13139952.726353738</v>
      </c>
      <c r="H21" s="116">
        <f>+H$18*Assumptions!$C43*Assumptions!$C$44</f>
        <v>13139952.726353738</v>
      </c>
      <c r="I21" s="116">
        <f>+I$18*Assumptions!$C43*Assumptions!$C$44</f>
        <v>13139952.726353738</v>
      </c>
      <c r="J21" s="116">
        <f>+J$18*Assumptions!$C43*Assumptions!$C$44</f>
        <v>13139952.726353738</v>
      </c>
      <c r="K21" s="116">
        <f>+K$18*Assumptions!$C43*Assumptions!$C$44</f>
        <v>13139952.726353738</v>
      </c>
      <c r="L21" s="116">
        <f>+L$18*Assumptions!$C43*Assumptions!$C$44</f>
        <v>13139952.726353738</v>
      </c>
      <c r="M21" s="116">
        <f>+M$18*Assumptions!$C43*Assumptions!$C$44</f>
        <v>13139952.726353738</v>
      </c>
      <c r="N21" s="116">
        <f>+N$18*Assumptions!$C43*Assumptions!$C$44</f>
        <v>13139952.726353738</v>
      </c>
      <c r="O21" s="116">
        <f>+O$18*Assumptions!$C43*Assumptions!$C$44</f>
        <v>13139952.726353738</v>
      </c>
      <c r="P21" s="116">
        <f>+P$18*Assumptions!$C43*Assumptions!$C$44</f>
        <v>13139952.726353738</v>
      </c>
      <c r="Q21" s="116">
        <f>+Q$18*Assumptions!$C43*Assumptions!$C$44</f>
        <v>13139952.726353738</v>
      </c>
      <c r="R21" s="116">
        <f>+R$18*Assumptions!$C43*Assumptions!$C$44</f>
        <v>13139952.726353738</v>
      </c>
      <c r="S21" s="116">
        <f>+S$18*Assumptions!$C43*Assumptions!$C$44</f>
        <v>13139952.726353738</v>
      </c>
      <c r="T21" s="116">
        <f>+T$18*Assumptions!$C43*Assumptions!$C$44</f>
        <v>13139952.726353738</v>
      </c>
      <c r="U21" s="116">
        <f>+U$18*Assumptions!$C43*Assumptions!$C$44</f>
        <v>13139952.726353738</v>
      </c>
      <c r="V21" s="116">
        <f>+V$18*Assumptions!$C43*Assumptions!$C$44</f>
        <v>13139952.726353738</v>
      </c>
      <c r="W21" s="116">
        <f>+W$18*Assumptions!$C43*Assumptions!$C$44</f>
        <v>13139952.726353738</v>
      </c>
      <c r="X21" s="116">
        <f>+X$18*Assumptions!$C43*Assumptions!$C$44</f>
        <v>13139952.726353738</v>
      </c>
      <c r="Y21" s="116">
        <f>+Y$18*Assumptions!$C43*Assumptions!$C$44</f>
        <v>13139952.726353738</v>
      </c>
      <c r="Z21" s="116">
        <f>+Z$18*Assumptions!$C43*Assumptions!$C$44</f>
        <v>13139952.726353738</v>
      </c>
      <c r="AA21" s="116">
        <f>+AA$18*Assumptions!$C43*Assumptions!$C$44</f>
        <v>13139952.726353738</v>
      </c>
      <c r="AB21" s="116">
        <f>+AB$18*Assumptions!$C43*Assumptions!$C$44</f>
        <v>13139952.726353738</v>
      </c>
      <c r="AC21" s="116">
        <f>+AC$18*Assumptions!$C43*Assumptions!$C$44</f>
        <v>13139952.726353738</v>
      </c>
      <c r="AD21" s="116">
        <f>+AD$18*Assumptions!$C43*Assumptions!$C$44</f>
        <v>13139952.726353738</v>
      </c>
      <c r="AE21" s="116">
        <f>+AE$18*Assumptions!$C43*Assumptions!$C$44</f>
        <v>13139952.726353738</v>
      </c>
      <c r="AF21" s="116">
        <f>+AF$18*Assumptions!$C43*Assumptions!$C$44</f>
        <v>13139952.726353738</v>
      </c>
      <c r="AG21" s="116">
        <f>+AG$18*Assumptions!$C43*Assumptions!$C$44</f>
        <v>13139952.726353738</v>
      </c>
      <c r="AH21" s="116">
        <f>+AH$18*Assumptions!$C43*Assumptions!$C$44</f>
        <v>13139952.726353738</v>
      </c>
      <c r="AI21" s="116">
        <f>+AI$18*Assumptions!$C43*Assumptions!$C$44</f>
        <v>13139952.726353738</v>
      </c>
      <c r="AJ21" s="116">
        <f>+AJ$18*Assumptions!$C43*Assumptions!$C$44</f>
        <v>13139952.726353738</v>
      </c>
      <c r="AK21" s="116">
        <f>+AK$18*Assumptions!$C43*Assumptions!$C$44</f>
        <v>13139952.726353738</v>
      </c>
      <c r="AL21" s="116">
        <f>+AL$18*Assumptions!$C43*Assumptions!$C$44</f>
        <v>13139952.726353738</v>
      </c>
      <c r="AM21" s="116">
        <f>+AM$18*Assumptions!$C43*Assumptions!$C$44</f>
        <v>13139952.726353738</v>
      </c>
      <c r="AN21" s="116">
        <f>+AN$18*Assumptions!$C43*Assumptions!$C$44</f>
        <v>13139952.726353738</v>
      </c>
      <c r="AO21" s="116">
        <f>+AO$18*Assumptions!$C43*Assumptions!$C$44</f>
        <v>13139952.726353738</v>
      </c>
      <c r="AP21" s="116">
        <f>+AP$18*Assumptions!$C43*Assumptions!$C$44</f>
        <v>13139952.726353738</v>
      </c>
      <c r="AQ21" s="116">
        <f>+AQ$18*Assumptions!$C43*Assumptions!$C$44</f>
        <v>13139952.726353738</v>
      </c>
      <c r="AR21" s="116">
        <f>+AR$18*Assumptions!$C43*Assumptions!$C$44</f>
        <v>13139952.726353738</v>
      </c>
      <c r="AS21" s="116">
        <f>+AS$18*Assumptions!$C43*Assumptions!$C$44</f>
        <v>13139952.726353738</v>
      </c>
      <c r="AT21" s="116">
        <f>+AT$18*Assumptions!$C43*Assumptions!$C$44</f>
        <v>13139952.726353738</v>
      </c>
      <c r="AU21" s="116">
        <f>+AU$18*Assumptions!$C43*Assumptions!$C$44</f>
        <v>13139952.726353738</v>
      </c>
      <c r="AV21" s="116">
        <f>+AV$18*Assumptions!$C43*Assumptions!$C$44</f>
        <v>13139952.726353738</v>
      </c>
      <c r="AW21" s="116">
        <f>+AW$18*Assumptions!$C43*Assumptions!$C$44</f>
        <v>13139952.726353738</v>
      </c>
      <c r="AX21" s="116">
        <f>+AX$18*Assumptions!$C43*Assumptions!$C$44</f>
        <v>13139952.726353738</v>
      </c>
      <c r="AY21" s="116">
        <f>+AY$18*Assumptions!$C43*Assumptions!$C$44</f>
        <v>13139952.726353738</v>
      </c>
      <c r="AZ21" s="116">
        <f>+AZ$18*Assumptions!$C43*Assumptions!$C$44</f>
        <v>13139952.726353738</v>
      </c>
      <c r="BA21" s="116">
        <f>+BA$18*Assumptions!$C43*Assumptions!$C$44</f>
        <v>13139952.726353738</v>
      </c>
      <c r="BB21" s="116">
        <f>+BB$18*Assumptions!$C43*Assumptions!$C$44</f>
        <v>13139952.726353738</v>
      </c>
      <c r="BC21" s="116">
        <f>+BC$18*Assumptions!$C43*Assumptions!$C$44</f>
        <v>13139952.726353738</v>
      </c>
      <c r="BD21" s="116">
        <f>+BD$18*Assumptions!$C43*Assumptions!$C$44</f>
        <v>13139952.726353738</v>
      </c>
      <c r="BE21" s="116">
        <f>+BE$18*Assumptions!$C43*Assumptions!$C$44</f>
        <v>13139952.726353738</v>
      </c>
      <c r="BF21" s="116">
        <f>+BF$18*Assumptions!$C43*Assumptions!$C$44</f>
        <v>13139952.726353738</v>
      </c>
      <c r="BG21" s="116">
        <f>+BG$18*Assumptions!$C43*Assumptions!$C$44</f>
        <v>13139952.726353738</v>
      </c>
      <c r="BH21" s="116">
        <f>+BH$18*Assumptions!$C43*Assumptions!$C$44</f>
        <v>13139952.726353738</v>
      </c>
      <c r="BI21" s="116">
        <f>+BI$18*Assumptions!$C43*Assumptions!$C$44</f>
        <v>13139952.726353738</v>
      </c>
      <c r="BJ21" s="116">
        <f>+BJ$18*Assumptions!$C43*Assumptions!$C$44</f>
        <v>13139952.726353738</v>
      </c>
      <c r="BK21" s="116">
        <f>+BK$18*Assumptions!$C43*Assumptions!$C$44</f>
        <v>13139952.726353738</v>
      </c>
      <c r="BL21" s="116">
        <f>+BL$18*Assumptions!$C43*Assumptions!$C$44</f>
        <v>13139952.726353738</v>
      </c>
      <c r="BM21" s="116">
        <f>+BM$18*Assumptions!$C43*Assumptions!$C$44</f>
        <v>13139952.726353738</v>
      </c>
      <c r="BN21" s="116">
        <f>+BN$18*Assumptions!$C43*Assumptions!$C$44</f>
        <v>13139952.726353738</v>
      </c>
      <c r="BO21" s="116">
        <f>+BO$18*Assumptions!$C43*Assumptions!$C$44</f>
        <v>13139952.726353738</v>
      </c>
      <c r="BP21" s="116">
        <f>+BP$18*Assumptions!$C43*Assumptions!$C$44</f>
        <v>13139952.726353738</v>
      </c>
      <c r="BQ21" s="116">
        <f>+BQ$18*Assumptions!$C43*Assumptions!$C$44</f>
        <v>13139952.726353738</v>
      </c>
      <c r="BR21" s="116">
        <f>+BR$18*Assumptions!$C43*Assumptions!$C$44</f>
        <v>13139952.726353738</v>
      </c>
      <c r="BS21" s="116">
        <f>+BS$18*Assumptions!$C43*Assumptions!$C$44</f>
        <v>13139952.726353738</v>
      </c>
      <c r="BT21" s="116">
        <f>+BT$18*Assumptions!$C43*Assumptions!$C$44</f>
        <v>13139952.726353738</v>
      </c>
      <c r="BU21" s="116">
        <f>+BU$18*Assumptions!$C43*Assumptions!$C$44</f>
        <v>13139952.726353738</v>
      </c>
      <c r="BV21" s="116">
        <f>+BV$18*Assumptions!$C43*Assumptions!$C$44</f>
        <v>13139952.726353738</v>
      </c>
      <c r="BW21" s="116">
        <f>+BW$18*Assumptions!$C43*Assumptions!$C$44</f>
        <v>13139952.726353738</v>
      </c>
      <c r="BX21" s="116">
        <f>+BX$18*Assumptions!$C43*Assumptions!$C$44</f>
        <v>13139952.726353738</v>
      </c>
      <c r="BY21" s="116">
        <f>+BY$18*Assumptions!$C43*Assumptions!$C$44</f>
        <v>13139952.726353738</v>
      </c>
      <c r="BZ21" s="116">
        <f>+BZ$18*Assumptions!$C43*Assumptions!$C$44</f>
        <v>13139952.726353738</v>
      </c>
      <c r="CA21" s="116">
        <f>+CA$18*Assumptions!$C43*Assumptions!$C$44</f>
        <v>13139952.726353738</v>
      </c>
      <c r="CB21" s="116">
        <f>+CB$18*Assumptions!$C43*Assumptions!$C$44</f>
        <v>13139952.726353738</v>
      </c>
      <c r="CC21" s="116">
        <f>+CC$18*Assumptions!$C43*Assumptions!$C$44</f>
        <v>13139952.726353738</v>
      </c>
      <c r="CD21" s="116">
        <f>+CD$18*Assumptions!$C43*Assumptions!$C$44</f>
        <v>13139952.726353738</v>
      </c>
      <c r="CE21" s="116">
        <f>+CE$18*Assumptions!$C43*Assumptions!$C$44</f>
        <v>13139952.726353738</v>
      </c>
      <c r="CF21" s="116">
        <f>+CF$18*Assumptions!$C43*Assumptions!$C$44</f>
        <v>13139952.726353738</v>
      </c>
      <c r="CG21" s="116">
        <f>+CG$18*Assumptions!$C43*Assumptions!$C$44</f>
        <v>13139952.726353738</v>
      </c>
      <c r="CH21" s="116">
        <f>+CH$18*Assumptions!$C43*Assumptions!$C$44</f>
        <v>13139952.726353738</v>
      </c>
      <c r="CI21" s="116">
        <f>+CI$18*Assumptions!$C43*Assumptions!$C$44</f>
        <v>13139952.726353738</v>
      </c>
      <c r="CJ21" s="116">
        <f>+CJ$18*Assumptions!$C43*Assumptions!$C$44</f>
        <v>13139952.726353738</v>
      </c>
      <c r="CK21" s="116">
        <f>+CK$18*Assumptions!$C43*Assumptions!$C$44</f>
        <v>13139952.726353738</v>
      </c>
      <c r="CL21" s="116">
        <f>+CL$18*Assumptions!$C43*Assumptions!$C$44</f>
        <v>13139952.726353738</v>
      </c>
      <c r="CM21" s="116">
        <f>+CM$18*Assumptions!$C43*Assumptions!$C$44</f>
        <v>13139952.726353738</v>
      </c>
      <c r="CN21" s="116">
        <f>+CN$18*Assumptions!$C43*Assumptions!$C$44</f>
        <v>13139952.726353738</v>
      </c>
      <c r="CO21" s="116">
        <f>+CO$18*Assumptions!$C43*Assumptions!$C$44</f>
        <v>13139952.726353738</v>
      </c>
      <c r="CP21" s="116">
        <f>+CP$18*Assumptions!$C43*Assumptions!$C$44</f>
        <v>13139952.726353738</v>
      </c>
      <c r="CQ21" s="116">
        <f>+CQ$18*Assumptions!$C43*Assumptions!$C$44</f>
        <v>13139952.726353738</v>
      </c>
      <c r="CR21" s="116">
        <f>+CR$18*Assumptions!$C43*Assumptions!$C$44</f>
        <v>13139952.726353738</v>
      </c>
      <c r="CS21" s="116">
        <f>+CS$18*Assumptions!$C43*Assumptions!$C$44</f>
        <v>13139952.726353738</v>
      </c>
      <c r="CT21" s="116">
        <f>+CT$18*Assumptions!$C43*Assumptions!$C$44</f>
        <v>13139952.726353738</v>
      </c>
      <c r="CU21" s="116">
        <f>+CU$18*Assumptions!$C43*Assumptions!$C$44</f>
        <v>13139952.726353738</v>
      </c>
      <c r="CV21" s="116">
        <f>+CV$18*Assumptions!$C43*Assumptions!$C$44</f>
        <v>13139952.726353738</v>
      </c>
      <c r="CW21" s="116">
        <f>+CW$18*Assumptions!$C43*Assumptions!$C$44</f>
        <v>13139952.726353738</v>
      </c>
      <c r="CX21" s="116">
        <f>+CX$18*Assumptions!$C43*Assumptions!$C$44</f>
        <v>13139952.726353738</v>
      </c>
      <c r="CY21" s="116">
        <f>+CY$18*Assumptions!$C43*Assumptions!$C$44</f>
        <v>13139952.726353738</v>
      </c>
      <c r="CZ21" s="116">
        <f>+CZ$18*Assumptions!$C43*Assumptions!$C$44</f>
        <v>13139952.726353738</v>
      </c>
      <c r="DA21" s="116">
        <f>+DA$18*Assumptions!$C43*Assumptions!$C$44</f>
        <v>13139952.726353738</v>
      </c>
      <c r="DB21" s="116">
        <f>+DB$18*Assumptions!$C43*Assumptions!$C$44</f>
        <v>13139952.726353738</v>
      </c>
      <c r="DC21" s="116">
        <f>+DC$18*Assumptions!$C43*Assumptions!$C$44</f>
        <v>13139952.726353738</v>
      </c>
      <c r="DD21" s="116">
        <f>+DD$18*Assumptions!$C43*Assumptions!$C$44</f>
        <v>13139952.726353738</v>
      </c>
      <c r="DE21" s="116">
        <f>+DE$18*Assumptions!$C43*Assumptions!$C$44</f>
        <v>13139952.726353738</v>
      </c>
      <c r="DF21" s="116">
        <f>+DF$18*Assumptions!$C43*Assumptions!$C$44</f>
        <v>13139952.726353738</v>
      </c>
      <c r="DG21" s="116">
        <f>+DG$18*Assumptions!$C43*Assumptions!$C$44</f>
        <v>13139952.726353738</v>
      </c>
      <c r="DH21" s="116">
        <f>+DH$18*Assumptions!$C43*Assumptions!$C$44</f>
        <v>13139952.726353738</v>
      </c>
      <c r="DI21" s="116">
        <f>+DI$18*Assumptions!$C43*Assumptions!$C$44</f>
        <v>13139952.726353738</v>
      </c>
      <c r="DJ21" s="116">
        <f>+DJ$18*Assumptions!$C43*Assumptions!$C$44</f>
        <v>13139952.726353738</v>
      </c>
      <c r="DK21" s="116">
        <f>+DK$18*Assumptions!$C43*Assumptions!$C$44</f>
        <v>13139952.726353738</v>
      </c>
      <c r="DL21" s="116">
        <f>+DL$18*Assumptions!$C43*Assumptions!$C$44</f>
        <v>13139952.726353738</v>
      </c>
      <c r="DM21" s="116">
        <f>+DM$18*Assumptions!$C43*Assumptions!$C$44</f>
        <v>13139952.726353738</v>
      </c>
      <c r="DN21" s="116">
        <f>+DN$18*Assumptions!$C43*Assumptions!$C$44</f>
        <v>13139952.726353738</v>
      </c>
      <c r="DO21" s="116">
        <f>+DO$18*Assumptions!$C43*Assumptions!$C$44</f>
        <v>13139952.726353738</v>
      </c>
      <c r="DP21" s="116">
        <f>+DP$18*Assumptions!$C43*Assumptions!$C$44</f>
        <v>13139952.726353738</v>
      </c>
      <c r="DQ21" s="116">
        <f>+DQ$18*Assumptions!$C43*Assumptions!$C$44</f>
        <v>13139952.726353738</v>
      </c>
      <c r="DR21" s="116">
        <f>+DR$18*Assumptions!$C43*Assumptions!$C$44</f>
        <v>13139952.726353738</v>
      </c>
    </row>
    <row r="22" spans="2:124" x14ac:dyDescent="0.3">
      <c r="B22" s="52" t="s">
        <v>193</v>
      </c>
      <c r="C22" s="55">
        <f>+C17</f>
        <v>8229.8344760747659</v>
      </c>
      <c r="D22" s="55">
        <f>+D17+C22</f>
        <v>16459.668952149532</v>
      </c>
      <c r="E22" s="55">
        <f t="shared" ref="E22:BP22" si="14">+E17+D22</f>
        <v>25121.470353832945</v>
      </c>
      <c r="F22" s="55">
        <f t="shared" si="14"/>
        <v>33783.271755516354</v>
      </c>
      <c r="G22" s="55">
        <f t="shared" si="14"/>
        <v>87919.530516037688</v>
      </c>
      <c r="H22" s="55">
        <f t="shared" si="14"/>
        <v>142055.78927655902</v>
      </c>
      <c r="I22" s="55">
        <f t="shared" si="14"/>
        <v>196192.04803708036</v>
      </c>
      <c r="J22" s="55">
        <f t="shared" si="14"/>
        <v>250328.30679760169</v>
      </c>
      <c r="K22" s="55">
        <f t="shared" si="14"/>
        <v>304464.56555812305</v>
      </c>
      <c r="L22" s="55">
        <f t="shared" si="14"/>
        <v>358600.82431864436</v>
      </c>
      <c r="M22" s="55">
        <f t="shared" si="14"/>
        <v>412737.08307916566</v>
      </c>
      <c r="N22" s="55">
        <f t="shared" si="14"/>
        <v>466873.34183968697</v>
      </c>
      <c r="O22" s="55">
        <f t="shared" si="14"/>
        <v>521009.60060020827</v>
      </c>
      <c r="P22" s="55">
        <f t="shared" si="14"/>
        <v>575145.85936072958</v>
      </c>
      <c r="Q22" s="55">
        <f t="shared" si="14"/>
        <v>629282.11812125088</v>
      </c>
      <c r="R22" s="55">
        <f t="shared" si="14"/>
        <v>683418.37688177219</v>
      </c>
      <c r="S22" s="55">
        <f t="shared" si="14"/>
        <v>737554.63564229349</v>
      </c>
      <c r="T22" s="55">
        <f t="shared" si="14"/>
        <v>791690.8944028148</v>
      </c>
      <c r="U22" s="55">
        <f t="shared" si="14"/>
        <v>845827.1531633361</v>
      </c>
      <c r="V22" s="55">
        <f t="shared" si="14"/>
        <v>899963.41192385741</v>
      </c>
      <c r="W22" s="55">
        <f t="shared" si="14"/>
        <v>954099.67068437871</v>
      </c>
      <c r="X22" s="55">
        <f t="shared" si="14"/>
        <v>1008235.9294449</v>
      </c>
      <c r="Y22" s="55">
        <f t="shared" si="14"/>
        <v>1062372.1882054214</v>
      </c>
      <c r="Z22" s="55">
        <f t="shared" si="14"/>
        <v>1116508.4469659429</v>
      </c>
      <c r="AA22" s="55">
        <f t="shared" si="14"/>
        <v>1170644.7057264643</v>
      </c>
      <c r="AB22" s="55">
        <f t="shared" si="14"/>
        <v>1224780.9644869857</v>
      </c>
      <c r="AC22" s="55">
        <f t="shared" si="14"/>
        <v>1278917.2232475071</v>
      </c>
      <c r="AD22" s="55">
        <f t="shared" si="14"/>
        <v>1333053.4820080285</v>
      </c>
      <c r="AE22" s="55">
        <f t="shared" si="14"/>
        <v>1387189.74076855</v>
      </c>
      <c r="AF22" s="55">
        <f t="shared" si="14"/>
        <v>1441325.9995290714</v>
      </c>
      <c r="AG22" s="55">
        <f t="shared" si="14"/>
        <v>1495462.2582895928</v>
      </c>
      <c r="AH22" s="55">
        <f t="shared" si="14"/>
        <v>1549598.5170501142</v>
      </c>
      <c r="AI22" s="55">
        <f t="shared" si="14"/>
        <v>1603734.7758106356</v>
      </c>
      <c r="AJ22" s="55">
        <f t="shared" si="14"/>
        <v>1657871.0345711571</v>
      </c>
      <c r="AK22" s="55">
        <f t="shared" si="14"/>
        <v>1712007.2933316785</v>
      </c>
      <c r="AL22" s="55">
        <f t="shared" si="14"/>
        <v>1766143.5520921999</v>
      </c>
      <c r="AM22" s="55">
        <f t="shared" si="14"/>
        <v>1820279.8108527213</v>
      </c>
      <c r="AN22" s="55">
        <f t="shared" si="14"/>
        <v>1874416.0696132428</v>
      </c>
      <c r="AO22" s="55">
        <f t="shared" si="14"/>
        <v>1928552.3283737642</v>
      </c>
      <c r="AP22" s="55">
        <f t="shared" si="14"/>
        <v>1982688.5871342856</v>
      </c>
      <c r="AQ22" s="55">
        <f t="shared" si="14"/>
        <v>2036824.845894807</v>
      </c>
      <c r="AR22" s="55">
        <f t="shared" si="14"/>
        <v>2090961.1046553284</v>
      </c>
      <c r="AS22" s="55">
        <f t="shared" si="14"/>
        <v>2145097.3634158499</v>
      </c>
      <c r="AT22" s="55">
        <f t="shared" si="14"/>
        <v>2199233.622176371</v>
      </c>
      <c r="AU22" s="55">
        <f t="shared" si="14"/>
        <v>2253369.8809368922</v>
      </c>
      <c r="AV22" s="55">
        <f t="shared" si="14"/>
        <v>2307506.1396974134</v>
      </c>
      <c r="AW22" s="55">
        <f t="shared" si="14"/>
        <v>2361642.3984579346</v>
      </c>
      <c r="AX22" s="55">
        <f t="shared" si="14"/>
        <v>2415778.6572184558</v>
      </c>
      <c r="AY22" s="55">
        <f t="shared" si="14"/>
        <v>2469914.915978977</v>
      </c>
      <c r="AZ22" s="55">
        <f t="shared" si="14"/>
        <v>2524051.1747394982</v>
      </c>
      <c r="BA22" s="55">
        <f t="shared" si="14"/>
        <v>2578187.4335000194</v>
      </c>
      <c r="BB22" s="55">
        <f t="shared" si="14"/>
        <v>2632323.6922605406</v>
      </c>
      <c r="BC22" s="55">
        <f t="shared" si="14"/>
        <v>2686459.9510210617</v>
      </c>
      <c r="BD22" s="55">
        <f t="shared" si="14"/>
        <v>2740596.2097815829</v>
      </c>
      <c r="BE22" s="55">
        <f t="shared" si="14"/>
        <v>2794732.4685421041</v>
      </c>
      <c r="BF22" s="55">
        <f t="shared" si="14"/>
        <v>2848868.7273026253</v>
      </c>
      <c r="BG22" s="55">
        <f t="shared" si="14"/>
        <v>2903004.9860631465</v>
      </c>
      <c r="BH22" s="55">
        <f t="shared" si="14"/>
        <v>2957141.2448236677</v>
      </c>
      <c r="BI22" s="55">
        <f t="shared" si="14"/>
        <v>3011277.5035841889</v>
      </c>
      <c r="BJ22" s="55">
        <f t="shared" si="14"/>
        <v>3065413.7623447101</v>
      </c>
      <c r="BK22" s="55">
        <f t="shared" si="14"/>
        <v>3119550.0211052313</v>
      </c>
      <c r="BL22" s="55">
        <f t="shared" si="14"/>
        <v>3173686.2798657524</v>
      </c>
      <c r="BM22" s="55">
        <f t="shared" si="14"/>
        <v>3227822.5386262736</v>
      </c>
      <c r="BN22" s="55">
        <f t="shared" si="14"/>
        <v>3281958.7973867948</v>
      </c>
      <c r="BO22" s="55">
        <f t="shared" si="14"/>
        <v>3336095.056147316</v>
      </c>
      <c r="BP22" s="55">
        <f t="shared" si="14"/>
        <v>3390231.3149078372</v>
      </c>
      <c r="BQ22" s="55">
        <f t="shared" ref="BQ22:DR22" si="15">+BQ17+BP22</f>
        <v>3444367.5736683584</v>
      </c>
      <c r="BR22" s="55">
        <f t="shared" si="15"/>
        <v>3498503.8324288796</v>
      </c>
      <c r="BS22" s="55">
        <f t="shared" si="15"/>
        <v>3552640.0911894008</v>
      </c>
      <c r="BT22" s="55">
        <f t="shared" si="15"/>
        <v>3606776.3499499219</v>
      </c>
      <c r="BU22" s="55">
        <f t="shared" si="15"/>
        <v>3660912.6087104431</v>
      </c>
      <c r="BV22" s="55">
        <f t="shared" si="15"/>
        <v>3715048.8674709643</v>
      </c>
      <c r="BW22" s="55">
        <f t="shared" si="15"/>
        <v>3769185.1262314855</v>
      </c>
      <c r="BX22" s="55">
        <f t="shared" si="15"/>
        <v>3823321.3849920067</v>
      </c>
      <c r="BY22" s="55">
        <f t="shared" si="15"/>
        <v>3877457.6437525279</v>
      </c>
      <c r="BZ22" s="55">
        <f t="shared" si="15"/>
        <v>3931593.9025130491</v>
      </c>
      <c r="CA22" s="55">
        <f t="shared" si="15"/>
        <v>3985730.1612735703</v>
      </c>
      <c r="CB22" s="55">
        <f t="shared" si="15"/>
        <v>4039866.4200340915</v>
      </c>
      <c r="CC22" s="55">
        <f t="shared" si="15"/>
        <v>4094002.6787946126</v>
      </c>
      <c r="CD22" s="55">
        <f t="shared" si="15"/>
        <v>4148138.9375551338</v>
      </c>
      <c r="CE22" s="55">
        <f t="shared" si="15"/>
        <v>4202275.1963156555</v>
      </c>
      <c r="CF22" s="55">
        <f t="shared" si="15"/>
        <v>4256411.4550761767</v>
      </c>
      <c r="CG22" s="55">
        <f t="shared" si="15"/>
        <v>4310547.7138366979</v>
      </c>
      <c r="CH22" s="55">
        <f t="shared" si="15"/>
        <v>4364683.972597219</v>
      </c>
      <c r="CI22" s="55">
        <f t="shared" si="15"/>
        <v>4418820.2313577402</v>
      </c>
      <c r="CJ22" s="55">
        <f t="shared" si="15"/>
        <v>4472956.4901182614</v>
      </c>
      <c r="CK22" s="55">
        <f t="shared" si="15"/>
        <v>4527092.7488787826</v>
      </c>
      <c r="CL22" s="55">
        <f t="shared" si="15"/>
        <v>4581229.0076393038</v>
      </c>
      <c r="CM22" s="55">
        <f t="shared" si="15"/>
        <v>4635365.266399825</v>
      </c>
      <c r="CN22" s="55">
        <f t="shared" si="15"/>
        <v>4689501.5251603462</v>
      </c>
      <c r="CO22" s="55">
        <f t="shared" si="15"/>
        <v>4743637.7839208674</v>
      </c>
      <c r="CP22" s="55">
        <f t="shared" si="15"/>
        <v>4797774.0426813886</v>
      </c>
      <c r="CQ22" s="55">
        <f t="shared" si="15"/>
        <v>4851910.3014419097</v>
      </c>
      <c r="CR22" s="55">
        <f t="shared" si="15"/>
        <v>4906046.5602024309</v>
      </c>
      <c r="CS22" s="55">
        <f t="shared" si="15"/>
        <v>4960182.8189629521</v>
      </c>
      <c r="CT22" s="55">
        <f t="shared" si="15"/>
        <v>5014319.0777234733</v>
      </c>
      <c r="CU22" s="55">
        <f t="shared" si="15"/>
        <v>5068455.3364839945</v>
      </c>
      <c r="CV22" s="55">
        <f t="shared" si="15"/>
        <v>5122591.5952445157</v>
      </c>
      <c r="CW22" s="55">
        <f t="shared" si="15"/>
        <v>5176727.8540050369</v>
      </c>
      <c r="CX22" s="55">
        <f t="shared" si="15"/>
        <v>5230864.1127655581</v>
      </c>
      <c r="CY22" s="55">
        <f t="shared" si="15"/>
        <v>5285000.3715260793</v>
      </c>
      <c r="CZ22" s="55">
        <f t="shared" si="15"/>
        <v>5339136.6302866004</v>
      </c>
      <c r="DA22" s="55">
        <f t="shared" si="15"/>
        <v>5393272.8890471216</v>
      </c>
      <c r="DB22" s="55">
        <f t="shared" si="15"/>
        <v>5447409.1478076428</v>
      </c>
      <c r="DC22" s="55">
        <f t="shared" si="15"/>
        <v>5501545.406568164</v>
      </c>
      <c r="DD22" s="55">
        <f t="shared" si="15"/>
        <v>5555681.6653286852</v>
      </c>
      <c r="DE22" s="55">
        <f t="shared" si="15"/>
        <v>5609817.9240892064</v>
      </c>
      <c r="DF22" s="55">
        <f t="shared" si="15"/>
        <v>5663954.1828497276</v>
      </c>
      <c r="DG22" s="55">
        <f t="shared" si="15"/>
        <v>5718090.4416102488</v>
      </c>
      <c r="DH22" s="55">
        <f t="shared" si="15"/>
        <v>5772226.7003707699</v>
      </c>
      <c r="DI22" s="55">
        <f t="shared" si="15"/>
        <v>5826362.9591312911</v>
      </c>
      <c r="DJ22" s="55">
        <f t="shared" si="15"/>
        <v>5880499.2178918123</v>
      </c>
      <c r="DK22" s="55">
        <f t="shared" si="15"/>
        <v>5934635.4766523335</v>
      </c>
      <c r="DL22" s="55">
        <f t="shared" si="15"/>
        <v>5988771.7354128547</v>
      </c>
      <c r="DM22" s="55">
        <f t="shared" si="15"/>
        <v>6042907.9941733759</v>
      </c>
      <c r="DN22" s="55">
        <f t="shared" si="15"/>
        <v>6097044.2529338971</v>
      </c>
      <c r="DO22" s="55">
        <f t="shared" si="15"/>
        <v>6151180.5116944183</v>
      </c>
      <c r="DP22" s="55">
        <f t="shared" si="15"/>
        <v>6205316.7704549395</v>
      </c>
      <c r="DQ22" s="55">
        <f t="shared" si="15"/>
        <v>6259453.0292154606</v>
      </c>
      <c r="DR22" s="55">
        <f t="shared" si="15"/>
        <v>6313589.2879759818</v>
      </c>
    </row>
    <row r="23" spans="2:124" x14ac:dyDescent="0.3">
      <c r="B23" s="52" t="s">
        <v>189</v>
      </c>
      <c r="C23" s="52" t="str">
        <f>IF(SUM($C$17:C17)&lt;Assumptions!$C$54,"Yes","No")</f>
        <v>Yes</v>
      </c>
      <c r="D23" s="52" t="str">
        <f>IF(SUM($C$17:D17)&lt;Assumptions!$C$54,"Yes","No")</f>
        <v>Yes</v>
      </c>
      <c r="E23" s="52" t="str">
        <f>IF(SUM($C$17:E17)&lt;Assumptions!$C$54,"Yes","No")</f>
        <v>Yes</v>
      </c>
      <c r="F23" s="52" t="str">
        <f>IF(SUM($C$17:F17)&lt;Assumptions!$C$54,"Yes","No")</f>
        <v>Yes</v>
      </c>
      <c r="G23" s="52" t="str">
        <f>IF(SUM($C$17:G17)&lt;Assumptions!$C$54,"Yes","No")</f>
        <v>No</v>
      </c>
      <c r="H23" s="52" t="str">
        <f>IF(SUM($C$17:H17)&lt;Assumptions!$C$54,"Yes","No")</f>
        <v>No</v>
      </c>
      <c r="I23" s="52" t="str">
        <f>IF(SUM($C$17:I17)&lt;Assumptions!$C$54,"Yes","No")</f>
        <v>No</v>
      </c>
      <c r="J23" s="52" t="str">
        <f>IF(SUM($C$17:J17)&lt;Assumptions!$C$54,"Yes","No")</f>
        <v>No</v>
      </c>
      <c r="K23" s="52" t="str">
        <f>IF(SUM($C$17:K17)&lt;Assumptions!$C$54,"Yes","No")</f>
        <v>No</v>
      </c>
      <c r="L23" s="52" t="str">
        <f>IF(SUM($C$17:L17)&lt;Assumptions!$C$54,"Yes","No")</f>
        <v>No</v>
      </c>
      <c r="M23" s="52" t="str">
        <f>IF(SUM($C$17:M17)&lt;Assumptions!$C$54,"Yes","No")</f>
        <v>No</v>
      </c>
      <c r="N23" s="52" t="str">
        <f>IF(SUM($C$17:N17)&lt;Assumptions!$C$54,"Yes","No")</f>
        <v>No</v>
      </c>
      <c r="O23" s="52" t="str">
        <f>IF(SUM($C$17:O17)&lt;Assumptions!$C$54,"Yes","No")</f>
        <v>No</v>
      </c>
      <c r="P23" s="52" t="str">
        <f>IF(SUM($C$17:P17)&lt;Assumptions!$C$54,"Yes","No")</f>
        <v>No</v>
      </c>
      <c r="Q23" s="52" t="str">
        <f>IF(SUM($C$17:Q17)&lt;Assumptions!$C$54,"Yes","No")</f>
        <v>No</v>
      </c>
      <c r="R23" s="52" t="str">
        <f>IF(SUM($C$17:R17)&lt;Assumptions!$C$54,"Yes","No")</f>
        <v>No</v>
      </c>
      <c r="S23" s="52" t="str">
        <f>IF(SUM($C$17:S17)&lt;Assumptions!$C$54,"Yes","No")</f>
        <v>No</v>
      </c>
      <c r="T23" s="52" t="str">
        <f>IF(SUM($C$17:T17)&lt;Assumptions!$C$54,"Yes","No")</f>
        <v>No</v>
      </c>
      <c r="U23" s="52" t="str">
        <f>IF(SUM($C$17:U17)&lt;Assumptions!$C$54,"Yes","No")</f>
        <v>No</v>
      </c>
      <c r="V23" s="52" t="str">
        <f>IF(SUM($C$17:V17)&lt;Assumptions!$C$54,"Yes","No")</f>
        <v>No</v>
      </c>
      <c r="W23" s="52" t="str">
        <f>IF(SUM($C$17:W17)&lt;Assumptions!$C$54,"Yes","No")</f>
        <v>No</v>
      </c>
      <c r="X23" s="52" t="str">
        <f>IF(SUM($C$17:X17)&lt;Assumptions!$C$54,"Yes","No")</f>
        <v>No</v>
      </c>
      <c r="Y23" s="52" t="str">
        <f>IF(SUM($C$17:Y17)&lt;Assumptions!$C$54,"Yes","No")</f>
        <v>No</v>
      </c>
      <c r="Z23" s="52" t="str">
        <f>IF(SUM($C$17:Z17)&lt;Assumptions!$C$54,"Yes","No")</f>
        <v>No</v>
      </c>
      <c r="AA23" s="52" t="str">
        <f>IF(SUM($C$17:AA17)&lt;Assumptions!$C$54,"Yes","No")</f>
        <v>No</v>
      </c>
      <c r="AB23" s="52" t="str">
        <f>IF(SUM($C$17:AB17)&lt;Assumptions!$C$54,"Yes","No")</f>
        <v>No</v>
      </c>
      <c r="AC23" s="52" t="str">
        <f>IF(SUM($C$17:AC17)&lt;Assumptions!$C$54,"Yes","No")</f>
        <v>No</v>
      </c>
      <c r="AD23" s="52" t="str">
        <f>IF(SUM($C$17:AD17)&lt;Assumptions!$C$54,"Yes","No")</f>
        <v>No</v>
      </c>
      <c r="AE23" s="52" t="str">
        <f>IF(SUM($C$17:AE17)&lt;Assumptions!$C$54,"Yes","No")</f>
        <v>No</v>
      </c>
      <c r="AF23" s="52" t="str">
        <f>IF(SUM($C$17:AF17)&lt;Assumptions!$C$54,"Yes","No")</f>
        <v>No</v>
      </c>
      <c r="AG23" s="52" t="str">
        <f>IF(SUM($C$17:AG17)&lt;Assumptions!$C$54,"Yes","No")</f>
        <v>No</v>
      </c>
      <c r="AH23" s="52" t="str">
        <f>IF(SUM($C$17:AH17)&lt;Assumptions!$C$54,"Yes","No")</f>
        <v>No</v>
      </c>
      <c r="AI23" s="52" t="str">
        <f>IF(SUM($C$17:AI17)&lt;Assumptions!$C$54,"Yes","No")</f>
        <v>No</v>
      </c>
      <c r="AJ23" s="52" t="str">
        <f>IF(SUM($C$17:AJ17)&lt;Assumptions!$C$54,"Yes","No")</f>
        <v>No</v>
      </c>
      <c r="AK23" s="52" t="str">
        <f>IF(SUM($C$17:AK17)&lt;Assumptions!$C$54,"Yes","No")</f>
        <v>No</v>
      </c>
      <c r="AL23" s="52" t="str">
        <f>IF(SUM($C$17:AL17)&lt;Assumptions!$C$54,"Yes","No")</f>
        <v>No</v>
      </c>
      <c r="AM23" s="52" t="str">
        <f>IF(SUM($C$17:AM17)&lt;Assumptions!$C$54,"Yes","No")</f>
        <v>No</v>
      </c>
      <c r="AN23" s="52" t="str">
        <f>IF(SUM($C$17:AN17)&lt;Assumptions!$C$54,"Yes","No")</f>
        <v>No</v>
      </c>
      <c r="AO23" s="52" t="str">
        <f>IF(SUM($C$17:AO17)&lt;Assumptions!$C$54,"Yes","No")</f>
        <v>No</v>
      </c>
      <c r="AP23" s="52" t="str">
        <f>IF(SUM($C$17:AP17)&lt;Assumptions!$C$54,"Yes","No")</f>
        <v>No</v>
      </c>
      <c r="AQ23" s="52" t="str">
        <f>IF(SUM($C$17:AQ17)&lt;Assumptions!$C$54,"Yes","No")</f>
        <v>No</v>
      </c>
      <c r="AR23" s="52" t="str">
        <f>IF(SUM($C$17:AR17)&lt;Assumptions!$C$54,"Yes","No")</f>
        <v>No</v>
      </c>
      <c r="AS23" s="52" t="str">
        <f>IF(SUM($C$17:AS17)&lt;Assumptions!$C$54,"Yes","No")</f>
        <v>No</v>
      </c>
      <c r="AT23" s="52" t="str">
        <f>IF(SUM($C$17:AT17)&lt;Assumptions!$C$54,"Yes","No")</f>
        <v>No</v>
      </c>
      <c r="AU23" s="52" t="str">
        <f>IF(SUM($C$17:AU17)&lt;Assumptions!$C$54,"Yes","No")</f>
        <v>No</v>
      </c>
      <c r="AV23" s="52" t="str">
        <f>IF(SUM($C$17:AV17)&lt;Assumptions!$C$54,"Yes","No")</f>
        <v>No</v>
      </c>
      <c r="AW23" s="52" t="str">
        <f>IF(SUM($C$17:AW17)&lt;Assumptions!$C$54,"Yes","No")</f>
        <v>No</v>
      </c>
      <c r="AX23" s="52" t="str">
        <f>IF(SUM($C$17:AX17)&lt;Assumptions!$C$54,"Yes","No")</f>
        <v>No</v>
      </c>
      <c r="AY23" s="52" t="str">
        <f>IF(SUM($C$17:AY17)&lt;Assumptions!$C$54,"Yes","No")</f>
        <v>No</v>
      </c>
      <c r="AZ23" s="52" t="str">
        <f>IF(SUM($C$17:AZ17)&lt;Assumptions!$C$54,"Yes","No")</f>
        <v>No</v>
      </c>
      <c r="BA23" s="52" t="str">
        <f>IF(SUM($C$17:BA17)&lt;Assumptions!$C$54,"Yes","No")</f>
        <v>No</v>
      </c>
      <c r="BB23" s="52" t="str">
        <f>IF(SUM($C$17:BB17)&lt;Assumptions!$C$54,"Yes","No")</f>
        <v>No</v>
      </c>
      <c r="BC23" s="52" t="str">
        <f>IF(SUM($C$17:BC17)&lt;Assumptions!$C$54,"Yes","No")</f>
        <v>No</v>
      </c>
      <c r="BD23" s="52" t="str">
        <f>IF(SUM($C$17:BD17)&lt;Assumptions!$C$54,"Yes","No")</f>
        <v>No</v>
      </c>
      <c r="BE23" s="52" t="str">
        <f>IF(SUM($C$17:BE17)&lt;Assumptions!$C$54,"Yes","No")</f>
        <v>No</v>
      </c>
      <c r="BF23" s="52" t="str">
        <f>IF(SUM($C$17:BF17)&lt;Assumptions!$C$54,"Yes","No")</f>
        <v>No</v>
      </c>
      <c r="BG23" s="52" t="str">
        <f>IF(SUM($C$17:BG17)&lt;Assumptions!$C$54,"Yes","No")</f>
        <v>No</v>
      </c>
      <c r="BH23" s="52" t="str">
        <f>IF(SUM($C$17:BH17)&lt;Assumptions!$C$54,"Yes","No")</f>
        <v>No</v>
      </c>
      <c r="BI23" s="52" t="str">
        <f>IF(SUM($C$17:BI17)&lt;Assumptions!$C$54,"Yes","No")</f>
        <v>No</v>
      </c>
      <c r="BJ23" s="52" t="str">
        <f>IF(SUM($C$17:BJ17)&lt;Assumptions!$C$54,"Yes","No")</f>
        <v>No</v>
      </c>
      <c r="BK23" s="52" t="str">
        <f>IF(SUM($C$17:BK17)&lt;Assumptions!$C$54,"Yes","No")</f>
        <v>No</v>
      </c>
      <c r="BL23" s="52" t="str">
        <f>IF(SUM($C$17:BL17)&lt;Assumptions!$C$54,"Yes","No")</f>
        <v>No</v>
      </c>
      <c r="BM23" s="52" t="str">
        <f>IF(SUM($C$17:BM17)&lt;Assumptions!$C$54,"Yes","No")</f>
        <v>No</v>
      </c>
      <c r="BN23" s="52" t="str">
        <f>IF(SUM($C$17:BN17)&lt;Assumptions!$C$54,"Yes","No")</f>
        <v>No</v>
      </c>
      <c r="BO23" s="52" t="str">
        <f>IF(SUM($C$17:BO17)&lt;Assumptions!$C$54,"Yes","No")</f>
        <v>No</v>
      </c>
      <c r="BP23" s="52" t="str">
        <f>IF(SUM($C$17:BP17)&lt;Assumptions!$C$54,"Yes","No")</f>
        <v>No</v>
      </c>
      <c r="BQ23" s="52" t="str">
        <f>IF(SUM($C$17:BQ17)&lt;Assumptions!$C$54,"Yes","No")</f>
        <v>No</v>
      </c>
      <c r="BR23" s="52" t="str">
        <f>IF(SUM($C$17:BR17)&lt;Assumptions!$C$54,"Yes","No")</f>
        <v>No</v>
      </c>
      <c r="BS23" s="52" t="str">
        <f>IF(SUM($C$17:BS17)&lt;Assumptions!$C$54,"Yes","No")</f>
        <v>No</v>
      </c>
      <c r="BT23" s="52" t="str">
        <f>IF(SUM($C$17:BT17)&lt;Assumptions!$C$54,"Yes","No")</f>
        <v>No</v>
      </c>
      <c r="BU23" s="52" t="str">
        <f>IF(SUM($C$17:BU17)&lt;Assumptions!$C$54,"Yes","No")</f>
        <v>No</v>
      </c>
      <c r="BV23" s="52" t="str">
        <f>IF(SUM($C$17:BV17)&lt;Assumptions!$C$54,"Yes","No")</f>
        <v>No</v>
      </c>
      <c r="BW23" s="52" t="str">
        <f>IF(SUM($C$17:BW17)&lt;Assumptions!$C$54,"Yes","No")</f>
        <v>No</v>
      </c>
      <c r="BX23" s="52" t="str">
        <f>IF(SUM($C$17:BX17)&lt;Assumptions!$C$54,"Yes","No")</f>
        <v>No</v>
      </c>
      <c r="BY23" s="52" t="str">
        <f>IF(SUM($C$17:BY17)&lt;Assumptions!$C$54,"Yes","No")</f>
        <v>No</v>
      </c>
      <c r="BZ23" s="52" t="str">
        <f>IF(SUM($C$17:BZ17)&lt;Assumptions!$C$54,"Yes","No")</f>
        <v>No</v>
      </c>
      <c r="CA23" s="52" t="str">
        <f>IF(SUM($C$17:CA17)&lt;Assumptions!$C$54,"Yes","No")</f>
        <v>No</v>
      </c>
      <c r="CB23" s="52" t="str">
        <f>IF(SUM($C$17:CB17)&lt;Assumptions!$C$54,"Yes","No")</f>
        <v>No</v>
      </c>
      <c r="CC23" s="52" t="str">
        <f>IF(SUM($C$17:CC17)&lt;Assumptions!$C$54,"Yes","No")</f>
        <v>No</v>
      </c>
      <c r="CD23" s="52" t="str">
        <f>IF(SUM($C$17:CD17)&lt;Assumptions!$C$54,"Yes","No")</f>
        <v>No</v>
      </c>
      <c r="CE23" s="52" t="str">
        <f>IF(SUM($C$17:CE17)&lt;Assumptions!$C$54,"Yes","No")</f>
        <v>No</v>
      </c>
      <c r="CF23" s="52" t="str">
        <f>IF(SUM($C$17:CF17)&lt;Assumptions!$C$54,"Yes","No")</f>
        <v>No</v>
      </c>
      <c r="CG23" s="52" t="str">
        <f>IF(SUM($C$17:CG17)&lt;Assumptions!$C$54,"Yes","No")</f>
        <v>No</v>
      </c>
      <c r="CH23" s="52" t="str">
        <f>IF(SUM($C$17:CH17)&lt;Assumptions!$C$54,"Yes","No")</f>
        <v>No</v>
      </c>
      <c r="CI23" s="52" t="str">
        <f>IF(SUM($C$17:CI17)&lt;Assumptions!$C$54,"Yes","No")</f>
        <v>No</v>
      </c>
      <c r="CJ23" s="52" t="str">
        <f>IF(SUM($C$17:CJ17)&lt;Assumptions!$C$54,"Yes","No")</f>
        <v>No</v>
      </c>
      <c r="CK23" s="52" t="str">
        <f>IF(SUM($C$17:CK17)&lt;Assumptions!$C$54,"Yes","No")</f>
        <v>No</v>
      </c>
      <c r="CL23" s="52" t="str">
        <f>IF(SUM($C$17:CL17)&lt;Assumptions!$C$54,"Yes","No")</f>
        <v>No</v>
      </c>
      <c r="CM23" s="52" t="str">
        <f>IF(SUM($C$17:CM17)&lt;Assumptions!$C$54,"Yes","No")</f>
        <v>No</v>
      </c>
      <c r="CN23" s="52" t="str">
        <f>IF(SUM($C$17:CN17)&lt;Assumptions!$C$54,"Yes","No")</f>
        <v>No</v>
      </c>
      <c r="CO23" s="52" t="str">
        <f>IF(SUM($C$17:CO17)&lt;Assumptions!$C$54,"Yes","No")</f>
        <v>No</v>
      </c>
      <c r="CP23" s="52" t="str">
        <f>IF(SUM($C$17:CP17)&lt;Assumptions!$C$54,"Yes","No")</f>
        <v>No</v>
      </c>
      <c r="CQ23" s="52" t="str">
        <f>IF(SUM($C$17:CQ17)&lt;Assumptions!$C$54,"Yes","No")</f>
        <v>No</v>
      </c>
      <c r="CR23" s="52" t="str">
        <f>IF(SUM($C$17:CR17)&lt;Assumptions!$C$54,"Yes","No")</f>
        <v>No</v>
      </c>
      <c r="CS23" s="52" t="str">
        <f>IF(SUM($C$17:CS17)&lt;Assumptions!$C$54,"Yes","No")</f>
        <v>No</v>
      </c>
      <c r="CT23" s="52" t="str">
        <f>IF(SUM($C$17:CT17)&lt;Assumptions!$C$54,"Yes","No")</f>
        <v>No</v>
      </c>
      <c r="CU23" s="52" t="str">
        <f>IF(SUM($C$17:CU17)&lt;Assumptions!$C$54,"Yes","No")</f>
        <v>No</v>
      </c>
      <c r="CV23" s="52" t="str">
        <f>IF(SUM($C$17:CV17)&lt;Assumptions!$C$54,"Yes","No")</f>
        <v>No</v>
      </c>
      <c r="CW23" s="52" t="str">
        <f>IF(SUM($C$17:CW17)&lt;Assumptions!$C$54,"Yes","No")</f>
        <v>No</v>
      </c>
      <c r="CX23" s="52" t="str">
        <f>IF(SUM($C$17:CX17)&lt;Assumptions!$C$54,"Yes","No")</f>
        <v>No</v>
      </c>
      <c r="CY23" s="52" t="str">
        <f>IF(SUM($C$17:CY17)&lt;Assumptions!$C$54,"Yes","No")</f>
        <v>No</v>
      </c>
      <c r="CZ23" s="52" t="str">
        <f>IF(SUM($C$17:CZ17)&lt;Assumptions!$C$54,"Yes","No")</f>
        <v>No</v>
      </c>
      <c r="DA23" s="52" t="str">
        <f>IF(SUM($C$17:DA17)&lt;Assumptions!$C$54,"Yes","No")</f>
        <v>No</v>
      </c>
      <c r="DB23" s="52" t="str">
        <f>IF(SUM($C$17:DB17)&lt;Assumptions!$C$54,"Yes","No")</f>
        <v>No</v>
      </c>
      <c r="DC23" s="52" t="str">
        <f>IF(SUM($C$17:DC17)&lt;Assumptions!$C$54,"Yes","No")</f>
        <v>No</v>
      </c>
      <c r="DD23" s="52" t="str">
        <f>IF(SUM($C$17:DD17)&lt;Assumptions!$C$54,"Yes","No")</f>
        <v>No</v>
      </c>
      <c r="DE23" s="52" t="str">
        <f>IF(SUM($C$17:DE17)&lt;Assumptions!$C$54,"Yes","No")</f>
        <v>No</v>
      </c>
      <c r="DF23" s="52" t="str">
        <f>IF(SUM($C$17:DF17)&lt;Assumptions!$C$54,"Yes","No")</f>
        <v>No</v>
      </c>
      <c r="DG23" s="52" t="str">
        <f>IF(SUM($C$17:DG17)&lt;Assumptions!$C$54,"Yes","No")</f>
        <v>No</v>
      </c>
      <c r="DH23" s="52" t="str">
        <f>IF(SUM($C$17:DH17)&lt;Assumptions!$C$54,"Yes","No")</f>
        <v>No</v>
      </c>
      <c r="DI23" s="52" t="str">
        <f>IF(SUM($C$17:DI17)&lt;Assumptions!$C$54,"Yes","No")</f>
        <v>No</v>
      </c>
      <c r="DJ23" s="52" t="str">
        <f>IF(SUM($C$17:DJ17)&lt;Assumptions!$C$54,"Yes","No")</f>
        <v>No</v>
      </c>
      <c r="DK23" s="52" t="str">
        <f>IF(SUM($C$17:DK17)&lt;Assumptions!$C$54,"Yes","No")</f>
        <v>No</v>
      </c>
      <c r="DL23" s="52" t="str">
        <f>IF(SUM($C$17:DL17)&lt;Assumptions!$C$54,"Yes","No")</f>
        <v>No</v>
      </c>
      <c r="DM23" s="52" t="str">
        <f>IF(SUM($C$17:DM17)&lt;Assumptions!$C$54,"Yes","No")</f>
        <v>No</v>
      </c>
      <c r="DN23" s="52" t="str">
        <f>IF(SUM($C$17:DN17)&lt;Assumptions!$C$54,"Yes","No")</f>
        <v>No</v>
      </c>
      <c r="DO23" s="52" t="str">
        <f>IF(SUM($C$17:DO17)&lt;Assumptions!$C$54,"Yes","No")</f>
        <v>No</v>
      </c>
      <c r="DP23" s="52" t="str">
        <f>IF(SUM($C$17:DP17)&lt;Assumptions!$C$54,"Yes","No")</f>
        <v>No</v>
      </c>
      <c r="DQ23" s="52" t="str">
        <f>IF(SUM($C$17:DQ17)&lt;Assumptions!$C$54,"Yes","No")</f>
        <v>No</v>
      </c>
      <c r="DR23" s="52" t="str">
        <f>IF(SUM($C$17:DR17)&lt;Assumptions!$C$54,"Yes","No")</f>
        <v>No</v>
      </c>
    </row>
    <row r="24" spans="2:124" x14ac:dyDescent="0.3">
      <c r="B24" s="52" t="s">
        <v>190</v>
      </c>
      <c r="C24" s="61">
        <f>IF(SUM($C22:C22)&lt;Assumptions!$C$54, Assumptions!$C$46, IF(SUM(B22:$C22)&lt;Assumptions!$C$54, (Assumptions!$C$54-SUM(B22:$C22))/C22*(Assumptions!$C$46), 0))</f>
        <v>9.4594594594594517E-2</v>
      </c>
      <c r="D24" s="61">
        <f>IF(SUM($C22:D22)&lt;Assumptions!$C$54, Assumptions!$C$46, IF(SUM(C22:$C22)&lt;Assumptions!$C$54, (Assumptions!$C$54-SUM(C22:$C22))/D22*(Assumptions!$C$46), 0))</f>
        <v>9.4594594594594517E-2</v>
      </c>
      <c r="E24" s="61">
        <f>IF(SUM($C22:E22)&lt;Assumptions!$C$54, Assumptions!$C$46, IF(SUM($C22:D22)&lt;Assumptions!$C$54, (Assumptions!$C$54-SUM($C22:D22))/E22*(Assumptions!$C$46), 0))</f>
        <v>9.4594594594594517E-2</v>
      </c>
      <c r="F24" s="61">
        <f>IF(SUM($C22:F22)&lt;Assumptions!$C$54, Assumptions!$C$46, IF(SUM($C22:E22)&lt;Assumptions!$C$54, (Assumptions!$C$54-SUM($C22:E22))/F22*(Assumptions!$C$46), 0))</f>
        <v>1.1729451182232471E-2</v>
      </c>
      <c r="G24" s="61">
        <f>IF(SUM($C22:G22)&lt;Assumptions!$C$54, Assumptions!$C$46, IF(SUM($C22:F22)&lt;Assumptions!$C$54, (Assumptions!$C$54-SUM($C22:F22))/G22*(Assumptions!$C$46), 0))</f>
        <v>0</v>
      </c>
      <c r="H24" s="61">
        <f>IF(SUM($C22:H22)&lt;Assumptions!$C$54, Assumptions!$C$46, IF(SUM($C22:G22)&lt;Assumptions!$C$54, (Assumptions!$C$54-SUM($C22:G22))/H22*(Assumptions!$C$46), 0))</f>
        <v>0</v>
      </c>
      <c r="I24" s="61">
        <f>IF(SUM($C22:I22)&lt;Assumptions!$C$54, Assumptions!$C$46, IF(SUM($C22:H22)&lt;Assumptions!$C$54, (Assumptions!$C$54-SUM($C22:H22))/I22*(Assumptions!$C$46), 0))</f>
        <v>0</v>
      </c>
      <c r="J24" s="61">
        <f>IF(SUM($C22:J22)&lt;Assumptions!$C$54, Assumptions!$C$46, IF(SUM($C22:I22)&lt;Assumptions!$C$54, (Assumptions!$C$54-SUM($C22:I22))/J22*(Assumptions!$C$46), 0))</f>
        <v>0</v>
      </c>
      <c r="K24" s="61">
        <f>IF(SUM($C22:K22)&lt;Assumptions!$C$54, Assumptions!$C$46, IF(SUM($C22:J22)&lt;Assumptions!$C$54, (Assumptions!$C$54-SUM($C22:J22))/K22*(Assumptions!$C$46), 0))</f>
        <v>0</v>
      </c>
      <c r="L24" s="61">
        <f>IF(SUM($C22:L22)&lt;Assumptions!$C$54, Assumptions!$C$46, IF(SUM($C22:K22)&lt;Assumptions!$C$54, (Assumptions!$C$54-SUM($C22:K22))/L22*(Assumptions!$C$46), 0))</f>
        <v>0</v>
      </c>
      <c r="M24" s="61">
        <f>IF(SUM($C22:M22)&lt;Assumptions!$C$54, Assumptions!$C$46, IF(SUM($C22:L22)&lt;Assumptions!$C$54, (Assumptions!$C$54-SUM($C22:L22))/M22*(Assumptions!$C$46), 0))</f>
        <v>0</v>
      </c>
      <c r="N24" s="61">
        <f>IF(SUM($C22:N22)&lt;Assumptions!$C$54, Assumptions!$C$46, IF(SUM($C22:M22)&lt;Assumptions!$C$54, (Assumptions!$C$54-SUM($C22:M22))/N22*(Assumptions!$C$46), 0))</f>
        <v>0</v>
      </c>
      <c r="O24" s="61">
        <f>IF(SUM($C22:O22)&lt;Assumptions!$C$54, Assumptions!$C$46, IF(SUM($C22:N22)&lt;Assumptions!$C$54, (Assumptions!$C$54-SUM($C22:N22))/O22*(Assumptions!$C$46), 0))</f>
        <v>0</v>
      </c>
      <c r="P24" s="61">
        <f>IF(SUM($C22:P22)&lt;Assumptions!$C$54, Assumptions!$C$46, IF(SUM($C22:O22)&lt;Assumptions!$C$54, (Assumptions!$C$54-SUM($C22:O22))/P22*(Assumptions!$C$46), 0))</f>
        <v>0</v>
      </c>
      <c r="Q24" s="61">
        <f>IF(SUM($C22:Q22)&lt;Assumptions!$C$54, Assumptions!$C$46, IF(SUM($C22:P22)&lt;Assumptions!$C$54, (Assumptions!$C$54-SUM($C22:P22))/Q22*(Assumptions!$C$46), 0))</f>
        <v>0</v>
      </c>
      <c r="R24" s="61">
        <f>IF(SUM($C22:R22)&lt;Assumptions!$C$54, Assumptions!$C$46, IF(SUM($C22:Q22)&lt;Assumptions!$C$54, (Assumptions!$C$54-SUM($C22:Q22))/R22*(Assumptions!$C$46), 0))</f>
        <v>0</v>
      </c>
      <c r="S24" s="61">
        <f>IF(SUM($C22:S22)&lt;Assumptions!$C$54, Assumptions!$C$46, IF(SUM($C22:R22)&lt;Assumptions!$C$54, (Assumptions!$C$54-SUM($C22:R22))/S22*(Assumptions!$C$46), 0))</f>
        <v>0</v>
      </c>
      <c r="T24" s="61">
        <f>IF(SUM($C22:T22)&lt;Assumptions!$C$54, Assumptions!$C$46, IF(SUM($C22:S22)&lt;Assumptions!$C$54, (Assumptions!$C$54-SUM($C22:S22))/T22*(Assumptions!$C$46), 0))</f>
        <v>0</v>
      </c>
      <c r="U24" s="61">
        <f>IF(SUM($C22:U22)&lt;Assumptions!$C$54, Assumptions!$C$46, IF(SUM($C22:T22)&lt;Assumptions!$C$54, (Assumptions!$C$54-SUM($C22:T22))/U22*(Assumptions!$C$46), 0))</f>
        <v>0</v>
      </c>
      <c r="V24" s="61">
        <f>IF(SUM($C22:V22)&lt;Assumptions!$C$54, Assumptions!$C$46, IF(SUM($C22:U22)&lt;Assumptions!$C$54, (Assumptions!$C$54-SUM($C22:U22))/V22*(Assumptions!$C$46), 0))</f>
        <v>0</v>
      </c>
      <c r="W24" s="61">
        <f>IF(SUM($C22:W22)&lt;Assumptions!$C$54, Assumptions!$C$46, IF(SUM($C22:V22)&lt;Assumptions!$C$54, (Assumptions!$C$54-SUM($C22:V22))/W22*(Assumptions!$C$46), 0))</f>
        <v>0</v>
      </c>
      <c r="X24" s="61">
        <f>IF(SUM($C22:X22)&lt;Assumptions!$C$54, Assumptions!$C$46, IF(SUM($C22:W22)&lt;Assumptions!$C$54, (Assumptions!$C$54-SUM($C22:W22))/X22*(Assumptions!$C$46), 0))</f>
        <v>0</v>
      </c>
      <c r="Y24" s="61">
        <f>IF(SUM($C22:Y22)&lt;Assumptions!$C$54, Assumptions!$C$46, IF(SUM($C22:X22)&lt;Assumptions!$C$54, (Assumptions!$C$54-SUM($C22:X22))/Y22*(Assumptions!$C$46), 0))</f>
        <v>0</v>
      </c>
      <c r="Z24" s="61">
        <f>IF(SUM($C22:Z22)&lt;Assumptions!$C$54, Assumptions!$C$46, IF(SUM($C22:Y22)&lt;Assumptions!$C$54, (Assumptions!$C$54-SUM($C22:Y22))/Z22*(Assumptions!$C$46), 0))</f>
        <v>0</v>
      </c>
      <c r="AA24" s="61">
        <f>IF(SUM($C22:AA22)&lt;Assumptions!$C$54, Assumptions!$C$46, IF(SUM($C22:Z22)&lt;Assumptions!$C$54, (Assumptions!$C$54-SUM($C22:Z22))/AA22*(Assumptions!$C$46), 0))</f>
        <v>0</v>
      </c>
      <c r="AB24" s="61">
        <f>IF(SUM($C22:AB22)&lt;Assumptions!$C$54, Assumptions!$C$46, IF(SUM($C22:AA22)&lt;Assumptions!$C$54, (Assumptions!$C$54-SUM($C22:AA22))/AB22*(Assumptions!$C$46), 0))</f>
        <v>0</v>
      </c>
      <c r="AC24" s="61">
        <f>IF(SUM($C22:AC22)&lt;Assumptions!$C$54, Assumptions!$C$46, IF(SUM($C22:AB22)&lt;Assumptions!$C$54, (Assumptions!$C$54-SUM($C22:AB22))/AC22*(Assumptions!$C$46), 0))</f>
        <v>0</v>
      </c>
      <c r="AD24" s="61">
        <f>IF(SUM($C22:AD22)&lt;Assumptions!$C$54, Assumptions!$C$46, IF(SUM($C22:AC22)&lt;Assumptions!$C$54, (Assumptions!$C$54-SUM($C22:AC22))/AD22*(Assumptions!$C$46), 0))</f>
        <v>0</v>
      </c>
      <c r="AE24" s="61">
        <f>IF(SUM($C22:AE22)&lt;Assumptions!$C$54, Assumptions!$C$46, IF(SUM($C22:AD22)&lt;Assumptions!$C$54, (Assumptions!$C$54-SUM($C22:AD22))/AE22*(Assumptions!$C$46), 0))</f>
        <v>0</v>
      </c>
      <c r="AF24" s="61">
        <f>IF(SUM($C22:AF22)&lt;Assumptions!$C$54, Assumptions!$C$46, IF(SUM($C22:AE22)&lt;Assumptions!$C$54, (Assumptions!$C$54-SUM($C22:AE22))/AF22*(Assumptions!$C$46), 0))</f>
        <v>0</v>
      </c>
      <c r="AG24" s="61">
        <f>IF(SUM($C22:AG22)&lt;Assumptions!$C$54, Assumptions!$C$46, IF(SUM($C22:AF22)&lt;Assumptions!$C$54, (Assumptions!$C$54-SUM($C22:AF22))/AG22*(Assumptions!$C$46), 0))</f>
        <v>0</v>
      </c>
      <c r="AH24" s="61">
        <f>IF(SUM($C22:AH22)&lt;Assumptions!$C$54, Assumptions!$C$46, IF(SUM($C22:AG22)&lt;Assumptions!$C$54, (Assumptions!$C$54-SUM($C22:AG22))/AH22*(Assumptions!$C$46), 0))</f>
        <v>0</v>
      </c>
      <c r="AI24" s="61">
        <f>IF(SUM($C22:AI22)&lt;Assumptions!$C$54, Assumptions!$C$46, IF(SUM($C22:AH22)&lt;Assumptions!$C$54, (Assumptions!$C$54-SUM($C22:AH22))/AI22*(Assumptions!$C$46), 0))</f>
        <v>0</v>
      </c>
      <c r="AJ24" s="61">
        <f>IF(SUM($C22:AJ22)&lt;Assumptions!$C$54, Assumptions!$C$46, IF(SUM($C22:AI22)&lt;Assumptions!$C$54, (Assumptions!$C$54-SUM($C22:AI22))/AJ22*(Assumptions!$C$46), 0))</f>
        <v>0</v>
      </c>
      <c r="AK24" s="61">
        <f>IF(SUM($C22:AK22)&lt;Assumptions!$C$54, Assumptions!$C$46, IF(SUM($C22:AJ22)&lt;Assumptions!$C$54, (Assumptions!$C$54-SUM($C22:AJ22))/AK22*(Assumptions!$C$46), 0))</f>
        <v>0</v>
      </c>
      <c r="AL24" s="61">
        <f>IF(SUM($C22:AL22)&lt;Assumptions!$C$54, Assumptions!$C$46, IF(SUM($C22:AK22)&lt;Assumptions!$C$54, (Assumptions!$C$54-SUM($C22:AK22))/AL22*(Assumptions!$C$46), 0))</f>
        <v>0</v>
      </c>
      <c r="AM24" s="61">
        <f>IF(SUM($C22:AM22)&lt;Assumptions!$C$54, Assumptions!$C$46, IF(SUM($C22:AL22)&lt;Assumptions!$C$54, (Assumptions!$C$54-SUM($C22:AL22))/AM22*(Assumptions!$C$46), 0))</f>
        <v>0</v>
      </c>
      <c r="AN24" s="61">
        <f>IF(SUM($C22:AN22)&lt;Assumptions!$C$54, Assumptions!$C$46, IF(SUM($C22:AM22)&lt;Assumptions!$C$54, (Assumptions!$C$54-SUM($C22:AM22))/AN22*(Assumptions!$C$46), 0))</f>
        <v>0</v>
      </c>
      <c r="AO24" s="61">
        <f>IF(SUM($C22:AO22)&lt;Assumptions!$C$54, Assumptions!$C$46, IF(SUM($C22:AN22)&lt;Assumptions!$C$54, (Assumptions!$C$54-SUM($C22:AN22))/AO22*(Assumptions!$C$46), 0))</f>
        <v>0</v>
      </c>
      <c r="AP24" s="61">
        <f>IF(SUM($C22:AP22)&lt;Assumptions!$C$54, Assumptions!$C$46, IF(SUM($C22:AO22)&lt;Assumptions!$C$54, (Assumptions!$C$54-SUM($C22:AO22))/AP22*(Assumptions!$C$46), 0))</f>
        <v>0</v>
      </c>
      <c r="AQ24" s="61">
        <f>IF(SUM($C22:AQ22)&lt;Assumptions!$C$54, Assumptions!$C$46, IF(SUM($C22:AP22)&lt;Assumptions!$C$54, (Assumptions!$C$54-SUM($C22:AP22))/AQ22*(Assumptions!$C$46), 0))</f>
        <v>0</v>
      </c>
      <c r="AR24" s="61">
        <f>IF(SUM($C22:AR22)&lt;Assumptions!$C$54, Assumptions!$C$46, IF(SUM($C22:AQ22)&lt;Assumptions!$C$54, (Assumptions!$C$54-SUM($C22:AQ22))/AR22*(Assumptions!$C$46), 0))</f>
        <v>0</v>
      </c>
      <c r="AS24" s="61">
        <f>IF(SUM($C22:AS22)&lt;Assumptions!$C$54, Assumptions!$C$46, IF(SUM($C22:AR22)&lt;Assumptions!$C$54, (Assumptions!$C$54-SUM($C22:AR22))/AS22*(Assumptions!$C$46), 0))</f>
        <v>0</v>
      </c>
      <c r="AT24" s="61">
        <f>IF(SUM($C22:AT22)&lt;Assumptions!$C$54, Assumptions!$C$46, IF(SUM($C22:AS22)&lt;Assumptions!$C$54, (Assumptions!$C$54-SUM($C22:AS22))/AT22*(Assumptions!$C$46), 0))</f>
        <v>0</v>
      </c>
      <c r="AU24" s="61">
        <f>IF(SUM($C22:AU22)&lt;Assumptions!$C$54, Assumptions!$C$46, IF(SUM($C22:AT22)&lt;Assumptions!$C$54, (Assumptions!$C$54-SUM($C22:AT22))/AU22*(Assumptions!$C$46), 0))</f>
        <v>0</v>
      </c>
      <c r="AV24" s="61">
        <f>IF(SUM($C22:AV22)&lt;Assumptions!$C$54, Assumptions!$C$46, IF(SUM($C22:AU22)&lt;Assumptions!$C$54, (Assumptions!$C$54-SUM($C22:AU22))/AV22*(Assumptions!$C$46), 0))</f>
        <v>0</v>
      </c>
      <c r="AW24" s="61">
        <f>IF(SUM($C22:AW22)&lt;Assumptions!$C$54, Assumptions!$C$46, IF(SUM($C22:AV22)&lt;Assumptions!$C$54, (Assumptions!$C$54-SUM($C22:AV22))/AW22*(Assumptions!$C$46), 0))</f>
        <v>0</v>
      </c>
      <c r="AX24" s="61">
        <f>IF(SUM($C22:AX22)&lt;Assumptions!$C$54, Assumptions!$C$46, IF(SUM($C22:AW22)&lt;Assumptions!$C$54, (Assumptions!$C$54-SUM($C22:AW22))/AX22*(Assumptions!$C$46), 0))</f>
        <v>0</v>
      </c>
      <c r="AY24" s="61">
        <f>IF(SUM($C22:AY22)&lt;Assumptions!$C$54, Assumptions!$C$46, IF(SUM($C22:AX22)&lt;Assumptions!$C$54, (Assumptions!$C$54-SUM($C22:AX22))/AY22*(Assumptions!$C$46), 0))</f>
        <v>0</v>
      </c>
      <c r="AZ24" s="61">
        <f>IF(SUM($C22:AZ22)&lt;Assumptions!$C$54, Assumptions!$C$46, IF(SUM($C22:AY22)&lt;Assumptions!$C$54, (Assumptions!$C$54-SUM($C22:AY22))/AZ22*(Assumptions!$C$46), 0))</f>
        <v>0</v>
      </c>
      <c r="BA24" s="61">
        <f>IF(SUM($C22:BA22)&lt;Assumptions!$C$54, Assumptions!$C$46, IF(SUM($C22:AZ22)&lt;Assumptions!$C$54, (Assumptions!$C$54-SUM($C22:AZ22))/BA22*(Assumptions!$C$46), 0))</f>
        <v>0</v>
      </c>
      <c r="BB24" s="61">
        <f>IF(SUM($C22:BB22)&lt;Assumptions!$C$54, Assumptions!$C$46, IF(SUM($C22:BA22)&lt;Assumptions!$C$54, (Assumptions!$C$54-SUM($C22:BA22))/BB22*(Assumptions!$C$46), 0))</f>
        <v>0</v>
      </c>
      <c r="BC24" s="61">
        <f>IF(SUM($C22:BC22)&lt;Assumptions!$C$54, Assumptions!$C$46, IF(SUM($C22:BB22)&lt;Assumptions!$C$54, (Assumptions!$C$54-SUM($C22:BB22))/BC22*(Assumptions!$C$46), 0))</f>
        <v>0</v>
      </c>
      <c r="BD24" s="61">
        <f>IF(SUM($C22:BD22)&lt;Assumptions!$C$54, Assumptions!$C$46, IF(SUM($C22:BC22)&lt;Assumptions!$C$54, (Assumptions!$C$54-SUM($C22:BC22))/BD22*(Assumptions!$C$46), 0))</f>
        <v>0</v>
      </c>
      <c r="BE24" s="61">
        <f>IF(SUM($C22:BE22)&lt;Assumptions!$C$54, Assumptions!$C$46, IF(SUM($C22:BD22)&lt;Assumptions!$C$54, (Assumptions!$C$54-SUM($C22:BD22))/BE22*(Assumptions!$C$46), 0))</f>
        <v>0</v>
      </c>
      <c r="BF24" s="61">
        <f>IF(SUM($C22:BF22)&lt;Assumptions!$C$54, Assumptions!$C$46, IF(SUM($C22:BE22)&lt;Assumptions!$C$54, (Assumptions!$C$54-SUM($C22:BE22))/BF22*(Assumptions!$C$46), 0))</f>
        <v>0</v>
      </c>
      <c r="BG24" s="61">
        <f>IF(SUM($C22:BG22)&lt;Assumptions!$C$54, Assumptions!$C$46, IF(SUM($C22:BF22)&lt;Assumptions!$C$54, (Assumptions!$C$54-SUM($C22:BF22))/BG22*(Assumptions!$C$46), 0))</f>
        <v>0</v>
      </c>
      <c r="BH24" s="61">
        <f>IF(SUM($C22:BH22)&lt;Assumptions!$C$54, Assumptions!$C$46, IF(SUM($C22:BG22)&lt;Assumptions!$C$54, (Assumptions!$C$54-SUM($C22:BG22))/BH22*(Assumptions!$C$46), 0))</f>
        <v>0</v>
      </c>
      <c r="BI24" s="61">
        <f>IF(SUM($C22:BI22)&lt;Assumptions!$C$54, Assumptions!$C$46, IF(SUM($C22:BH22)&lt;Assumptions!$C$54, (Assumptions!$C$54-SUM($C22:BH22))/BI22*(Assumptions!$C$46), 0))</f>
        <v>0</v>
      </c>
      <c r="BJ24" s="61">
        <f>IF(SUM($C22:BJ22)&lt;Assumptions!$C$54, Assumptions!$C$46, IF(SUM($C22:BI22)&lt;Assumptions!$C$54, (Assumptions!$C$54-SUM($C22:BI22))/BJ22*(Assumptions!$C$46), 0))</f>
        <v>0</v>
      </c>
      <c r="BK24" s="61">
        <f>IF(SUM($C22:BK22)&lt;Assumptions!$C$54, Assumptions!$C$46, IF(SUM($C22:BJ22)&lt;Assumptions!$C$54, (Assumptions!$C$54-SUM($C22:BJ22))/BK22*(Assumptions!$C$46), 0))</f>
        <v>0</v>
      </c>
      <c r="BL24" s="61">
        <f>IF(SUM($C22:BL22)&lt;Assumptions!$C$54, Assumptions!$C$46, IF(SUM($C22:BK22)&lt;Assumptions!$C$54, (Assumptions!$C$54-SUM($C22:BK22))/BL22*(Assumptions!$C$46), 0))</f>
        <v>0</v>
      </c>
      <c r="BM24" s="61">
        <f>IF(SUM($C22:BM22)&lt;Assumptions!$C$54, Assumptions!$C$46, IF(SUM($C22:BL22)&lt;Assumptions!$C$54, (Assumptions!$C$54-SUM($C22:BL22))/BM22*(Assumptions!$C$46), 0))</f>
        <v>0</v>
      </c>
      <c r="BN24" s="61">
        <f>IF(SUM($C22:BN22)&lt;Assumptions!$C$54, Assumptions!$C$46, IF(SUM($C22:BM22)&lt;Assumptions!$C$54, (Assumptions!$C$54-SUM($C22:BM22))/BN22*(Assumptions!$C$46), 0))</f>
        <v>0</v>
      </c>
      <c r="BO24" s="61">
        <f>IF(SUM($C22:BO22)&lt;Assumptions!$C$54, Assumptions!$C$46, IF(SUM($C22:BN22)&lt;Assumptions!$C$54, (Assumptions!$C$54-SUM($C22:BN22))/BO22*(Assumptions!$C$46), 0))</f>
        <v>0</v>
      </c>
      <c r="BP24" s="61">
        <f>IF(SUM($C22:BP22)&lt;Assumptions!$C$54, Assumptions!$C$46, IF(SUM($C22:BO22)&lt;Assumptions!$C$54, (Assumptions!$C$54-SUM($C22:BO22))/BP22*(Assumptions!$C$46), 0))</f>
        <v>0</v>
      </c>
      <c r="BQ24" s="61">
        <f>IF(SUM($C22:BQ22)&lt;Assumptions!$C$54, Assumptions!$C$46, IF(SUM($C22:BP22)&lt;Assumptions!$C$54, (Assumptions!$C$54-SUM($C22:BP22))/BQ22*(Assumptions!$C$46), 0))</f>
        <v>0</v>
      </c>
      <c r="BR24" s="61">
        <f>IF(SUM($C22:BR22)&lt;Assumptions!$C$54, Assumptions!$C$46, IF(SUM($C22:BQ22)&lt;Assumptions!$C$54, (Assumptions!$C$54-SUM($C22:BQ22))/BR22*(Assumptions!$C$46), 0))</f>
        <v>0</v>
      </c>
      <c r="BS24" s="61">
        <f>IF(SUM($C22:BS22)&lt;Assumptions!$C$54, Assumptions!$C$46, IF(SUM($C22:BR22)&lt;Assumptions!$C$54, (Assumptions!$C$54-SUM($C22:BR22))/BS22*(Assumptions!$C$46), 0))</f>
        <v>0</v>
      </c>
      <c r="BT24" s="61">
        <f>IF(SUM($C22:BT22)&lt;Assumptions!$C$54, Assumptions!$C$46, IF(SUM($C22:BS22)&lt;Assumptions!$C$54, (Assumptions!$C$54-SUM($C22:BS22))/BT22*(Assumptions!$C$46), 0))</f>
        <v>0</v>
      </c>
      <c r="BU24" s="61">
        <f>IF(SUM($C22:BU22)&lt;Assumptions!$C$54, Assumptions!$C$46, IF(SUM($C22:BT22)&lt;Assumptions!$C$54, (Assumptions!$C$54-SUM($C22:BT22))/BU22*(Assumptions!$C$46), 0))</f>
        <v>0</v>
      </c>
      <c r="BV24" s="61">
        <f>IF(SUM($C22:BV22)&lt;Assumptions!$C$54, Assumptions!$C$46, IF(SUM($C22:BU22)&lt;Assumptions!$C$54, (Assumptions!$C$54-SUM($C22:BU22))/BV22*(Assumptions!$C$46), 0))</f>
        <v>0</v>
      </c>
      <c r="BW24" s="61">
        <f>IF(SUM($C22:BW22)&lt;Assumptions!$C$54, Assumptions!$C$46, IF(SUM($C22:BV22)&lt;Assumptions!$C$54, (Assumptions!$C$54-SUM($C22:BV22))/BW22*(Assumptions!$C$46), 0))</f>
        <v>0</v>
      </c>
      <c r="BX24" s="61">
        <f>IF(SUM($C22:BX22)&lt;Assumptions!$C$54, Assumptions!$C$46, IF(SUM($C22:BW22)&lt;Assumptions!$C$54, (Assumptions!$C$54-SUM($C22:BW22))/BX22*(Assumptions!$C$46), 0))</f>
        <v>0</v>
      </c>
      <c r="BY24" s="61">
        <f>IF(SUM($C22:BY22)&lt;Assumptions!$C$54, Assumptions!$C$46, IF(SUM($C22:BX22)&lt;Assumptions!$C$54, (Assumptions!$C$54-SUM($C22:BX22))/BY22*(Assumptions!$C$46), 0))</f>
        <v>0</v>
      </c>
      <c r="BZ24" s="61">
        <f>IF(SUM($C22:BZ22)&lt;Assumptions!$C$54, Assumptions!$C$46, IF(SUM($C22:BY22)&lt;Assumptions!$C$54, (Assumptions!$C$54-SUM($C22:BY22))/BZ22*(Assumptions!$C$46), 0))</f>
        <v>0</v>
      </c>
      <c r="CA24" s="61">
        <f>IF(SUM($C22:CA22)&lt;Assumptions!$C$54, Assumptions!$C$46, IF(SUM($C22:BZ22)&lt;Assumptions!$C$54, (Assumptions!$C$54-SUM($C22:BZ22))/CA22*(Assumptions!$C$46), 0))</f>
        <v>0</v>
      </c>
      <c r="CB24" s="61">
        <f>IF(SUM($C22:CB22)&lt;Assumptions!$C$54, Assumptions!$C$46, IF(SUM($C22:CA22)&lt;Assumptions!$C$54, (Assumptions!$C$54-SUM($C22:CA22))/CB22*(Assumptions!$C$46), 0))</f>
        <v>0</v>
      </c>
      <c r="CC24" s="61">
        <f>IF(SUM($C22:CC22)&lt;Assumptions!$C$54, Assumptions!$C$46, IF(SUM($C22:CB22)&lt;Assumptions!$C$54, (Assumptions!$C$54-SUM($C22:CB22))/CC22*(Assumptions!$C$46), 0))</f>
        <v>0</v>
      </c>
      <c r="CD24" s="61">
        <f>IF(SUM($C22:CD22)&lt;Assumptions!$C$54, Assumptions!$C$46, IF(SUM($C22:CC22)&lt;Assumptions!$C$54, (Assumptions!$C$54-SUM($C22:CC22))/CD22*(Assumptions!$C$46), 0))</f>
        <v>0</v>
      </c>
      <c r="CE24" s="61">
        <f>IF(SUM($C22:CE22)&lt;Assumptions!$C$54, Assumptions!$C$46, IF(SUM($C22:CD22)&lt;Assumptions!$C$54, (Assumptions!$C$54-SUM($C22:CD22))/CE22*(Assumptions!$C$46), 0))</f>
        <v>0</v>
      </c>
      <c r="CF24" s="61">
        <f>IF(SUM($C22:CF22)&lt;Assumptions!$C$54, Assumptions!$C$46, IF(SUM($C22:CE22)&lt;Assumptions!$C$54, (Assumptions!$C$54-SUM($C22:CE22))/CF22*(Assumptions!$C$46), 0))</f>
        <v>0</v>
      </c>
      <c r="CG24" s="61">
        <f>IF(SUM($C22:CG22)&lt;Assumptions!$C$54, Assumptions!$C$46, IF(SUM($C22:CF22)&lt;Assumptions!$C$54, (Assumptions!$C$54-SUM($C22:CF22))/CG22*(Assumptions!$C$46), 0))</f>
        <v>0</v>
      </c>
      <c r="CH24" s="61">
        <f>IF(SUM($C22:CH22)&lt;Assumptions!$C$54, Assumptions!$C$46, IF(SUM($C22:CG22)&lt;Assumptions!$C$54, (Assumptions!$C$54-SUM($C22:CG22))/CH22*(Assumptions!$C$46), 0))</f>
        <v>0</v>
      </c>
      <c r="CI24" s="61">
        <f>IF(SUM($C22:CI22)&lt;Assumptions!$C$54, Assumptions!$C$46, IF(SUM($C22:CH22)&lt;Assumptions!$C$54, (Assumptions!$C$54-SUM($C22:CH22))/CI22*(Assumptions!$C$46), 0))</f>
        <v>0</v>
      </c>
      <c r="CJ24" s="61">
        <f>IF(SUM($C22:CJ22)&lt;Assumptions!$C$54, Assumptions!$C$46, IF(SUM($C22:CI22)&lt;Assumptions!$C$54, (Assumptions!$C$54-SUM($C22:CI22))/CJ22*(Assumptions!$C$46), 0))</f>
        <v>0</v>
      </c>
      <c r="CK24" s="61">
        <f>IF(SUM($C22:CK22)&lt;Assumptions!$C$54, Assumptions!$C$46, IF(SUM($C22:CJ22)&lt;Assumptions!$C$54, (Assumptions!$C$54-SUM($C22:CJ22))/CK22*(Assumptions!$C$46), 0))</f>
        <v>0</v>
      </c>
      <c r="CL24" s="61">
        <f>IF(SUM($C22:CL22)&lt;Assumptions!$C$54, Assumptions!$C$46, IF(SUM($C22:CK22)&lt;Assumptions!$C$54, (Assumptions!$C$54-SUM($C22:CK22))/CL22*(Assumptions!$C$46), 0))</f>
        <v>0</v>
      </c>
      <c r="CM24" s="61">
        <f>IF(SUM($C22:CM22)&lt;Assumptions!$C$54, Assumptions!$C$46, IF(SUM($C22:CL22)&lt;Assumptions!$C$54, (Assumptions!$C$54-SUM($C22:CL22))/CM22*(Assumptions!$C$46), 0))</f>
        <v>0</v>
      </c>
      <c r="CN24" s="61">
        <f>IF(SUM($C22:CN22)&lt;Assumptions!$C$54, Assumptions!$C$46, IF(SUM($C22:CM22)&lt;Assumptions!$C$54, (Assumptions!$C$54-SUM($C22:CM22))/CN22*(Assumptions!$C$46), 0))</f>
        <v>0</v>
      </c>
      <c r="CO24" s="61">
        <f>IF(SUM($C22:CO22)&lt;Assumptions!$C$54, Assumptions!$C$46, IF(SUM($C22:CN22)&lt;Assumptions!$C$54, (Assumptions!$C$54-SUM($C22:CN22))/CO22*(Assumptions!$C$46), 0))</f>
        <v>0</v>
      </c>
      <c r="CP24" s="61">
        <f>IF(SUM($C22:CP22)&lt;Assumptions!$C$54, Assumptions!$C$46, IF(SUM($C22:CO22)&lt;Assumptions!$C$54, (Assumptions!$C$54-SUM($C22:CO22))/CP22*(Assumptions!$C$46), 0))</f>
        <v>0</v>
      </c>
      <c r="CQ24" s="61">
        <f>IF(SUM($C22:CQ22)&lt;Assumptions!$C$54, Assumptions!$C$46, IF(SUM($C22:CP22)&lt;Assumptions!$C$54, (Assumptions!$C$54-SUM($C22:CP22))/CQ22*(Assumptions!$C$46), 0))</f>
        <v>0</v>
      </c>
      <c r="CR24" s="61">
        <f>IF(SUM($C22:CR22)&lt;Assumptions!$C$54, Assumptions!$C$46, IF(SUM($C22:CQ22)&lt;Assumptions!$C$54, (Assumptions!$C$54-SUM($C22:CQ22))/CR22*(Assumptions!$C$46), 0))</f>
        <v>0</v>
      </c>
      <c r="CS24" s="61">
        <f>IF(SUM($C22:CS22)&lt;Assumptions!$C$54, Assumptions!$C$46, IF(SUM($C22:CR22)&lt;Assumptions!$C$54, (Assumptions!$C$54-SUM($C22:CR22))/CS22*(Assumptions!$C$46), 0))</f>
        <v>0</v>
      </c>
      <c r="CT24" s="61">
        <f>IF(SUM($C22:CT22)&lt;Assumptions!$C$54, Assumptions!$C$46, IF(SUM($C22:CS22)&lt;Assumptions!$C$54, (Assumptions!$C$54-SUM($C22:CS22))/CT22*(Assumptions!$C$46), 0))</f>
        <v>0</v>
      </c>
      <c r="CU24" s="61">
        <f>IF(SUM($C22:CU22)&lt;Assumptions!$C$54, Assumptions!$C$46, IF(SUM($C22:CT22)&lt;Assumptions!$C$54, (Assumptions!$C$54-SUM($C22:CT22))/CU22*(Assumptions!$C$46), 0))</f>
        <v>0</v>
      </c>
      <c r="CV24" s="61">
        <f>IF(SUM($C22:CV22)&lt;Assumptions!$C$54, Assumptions!$C$46, IF(SUM($C22:CU22)&lt;Assumptions!$C$54, (Assumptions!$C$54-SUM($C22:CU22))/CV22*(Assumptions!$C$46), 0))</f>
        <v>0</v>
      </c>
      <c r="CW24" s="61">
        <f>IF(SUM($C22:CW22)&lt;Assumptions!$C$54, Assumptions!$C$46, IF(SUM($C22:CV22)&lt;Assumptions!$C$54, (Assumptions!$C$54-SUM($C22:CV22))/CW22*(Assumptions!$C$46), 0))</f>
        <v>0</v>
      </c>
      <c r="CX24" s="61">
        <f>IF(SUM($C22:CX22)&lt;Assumptions!$C$54, Assumptions!$C$46, IF(SUM($C22:CW22)&lt;Assumptions!$C$54, (Assumptions!$C$54-SUM($C22:CW22))/CX22*(Assumptions!$C$46), 0))</f>
        <v>0</v>
      </c>
      <c r="CY24" s="61">
        <f>IF(SUM($C22:CY22)&lt;Assumptions!$C$54, Assumptions!$C$46, IF(SUM($C22:CX22)&lt;Assumptions!$C$54, (Assumptions!$C$54-SUM($C22:CX22))/CY22*(Assumptions!$C$46), 0))</f>
        <v>0</v>
      </c>
      <c r="CZ24" s="61">
        <f>IF(SUM($C22:CZ22)&lt;Assumptions!$C$54, Assumptions!$C$46, IF(SUM($C22:CY22)&lt;Assumptions!$C$54, (Assumptions!$C$54-SUM($C22:CY22))/CZ22*(Assumptions!$C$46), 0))</f>
        <v>0</v>
      </c>
      <c r="DA24" s="61">
        <f>IF(SUM($C22:DA22)&lt;Assumptions!$C$54, Assumptions!$C$46, IF(SUM($C22:CZ22)&lt;Assumptions!$C$54, (Assumptions!$C$54-SUM($C22:CZ22))/DA22*(Assumptions!$C$46), 0))</f>
        <v>0</v>
      </c>
      <c r="DB24" s="61">
        <f>IF(SUM($C22:DB22)&lt;Assumptions!$C$54, Assumptions!$C$46, IF(SUM($C22:DA22)&lt;Assumptions!$C$54, (Assumptions!$C$54-SUM($C22:DA22))/DB22*(Assumptions!$C$46), 0))</f>
        <v>0</v>
      </c>
      <c r="DC24" s="61">
        <f>IF(SUM($C22:DC22)&lt;Assumptions!$C$54, Assumptions!$C$46, IF(SUM($C22:DB22)&lt;Assumptions!$C$54, (Assumptions!$C$54-SUM($C22:DB22))/DC22*(Assumptions!$C$46), 0))</f>
        <v>0</v>
      </c>
      <c r="DD24" s="61">
        <f>IF(SUM($C22:DD22)&lt;Assumptions!$C$54, Assumptions!$C$46, IF(SUM($C22:DC22)&lt;Assumptions!$C$54, (Assumptions!$C$54-SUM($C22:DC22))/DD22*(Assumptions!$C$46), 0))</f>
        <v>0</v>
      </c>
      <c r="DE24" s="61">
        <f>IF(SUM($C22:DE22)&lt;Assumptions!$C$54, Assumptions!$C$46, IF(SUM($C22:DD22)&lt;Assumptions!$C$54, (Assumptions!$C$54-SUM($C22:DD22))/DE22*(Assumptions!$C$46), 0))</f>
        <v>0</v>
      </c>
      <c r="DF24" s="61">
        <f>IF(SUM($C22:DF22)&lt;Assumptions!$C$54, Assumptions!$C$46, IF(SUM($C22:DE22)&lt;Assumptions!$C$54, (Assumptions!$C$54-SUM($C22:DE22))/DF22*(Assumptions!$C$46), 0))</f>
        <v>0</v>
      </c>
      <c r="DG24" s="61">
        <f>IF(SUM($C22:DG22)&lt;Assumptions!$C$54, Assumptions!$C$46, IF(SUM($C22:DF22)&lt;Assumptions!$C$54, (Assumptions!$C$54-SUM($C22:DF22))/DG22*(Assumptions!$C$46), 0))</f>
        <v>0</v>
      </c>
      <c r="DH24" s="61">
        <f>IF(SUM($C22:DH22)&lt;Assumptions!$C$54, Assumptions!$C$46, IF(SUM($C22:DG22)&lt;Assumptions!$C$54, (Assumptions!$C$54-SUM($C22:DG22))/DH22*(Assumptions!$C$46), 0))</f>
        <v>0</v>
      </c>
      <c r="DI24" s="61">
        <f>IF(SUM($C22:DI22)&lt;Assumptions!$C$54, Assumptions!$C$46, IF(SUM($C22:DH22)&lt;Assumptions!$C$54, (Assumptions!$C$54-SUM($C22:DH22))/DI22*(Assumptions!$C$46), 0))</f>
        <v>0</v>
      </c>
      <c r="DJ24" s="61">
        <f>IF(SUM($C22:DJ22)&lt;Assumptions!$C$54, Assumptions!$C$46, IF(SUM($C22:DI22)&lt;Assumptions!$C$54, (Assumptions!$C$54-SUM($C22:DI22))/DJ22*(Assumptions!$C$46), 0))</f>
        <v>0</v>
      </c>
      <c r="DK24" s="61">
        <f>IF(SUM($C22:DK22)&lt;Assumptions!$C$54, Assumptions!$C$46, IF(SUM($C22:DJ22)&lt;Assumptions!$C$54, (Assumptions!$C$54-SUM($C22:DJ22))/DK22*(Assumptions!$C$46), 0))</f>
        <v>0</v>
      </c>
      <c r="DL24" s="61">
        <f>IF(SUM($C22:DL22)&lt;Assumptions!$C$54, Assumptions!$C$46, IF(SUM($C22:DK22)&lt;Assumptions!$C$54, (Assumptions!$C$54-SUM($C22:DK22))/DL22*(Assumptions!$C$46), 0))</f>
        <v>0</v>
      </c>
      <c r="DM24" s="61">
        <f>IF(SUM($C22:DM22)&lt;Assumptions!$C$54, Assumptions!$C$46, IF(SUM($C22:DL22)&lt;Assumptions!$C$54, (Assumptions!$C$54-SUM($C22:DL22))/DM22*(Assumptions!$C$46), 0))</f>
        <v>0</v>
      </c>
      <c r="DN24" s="61">
        <f>IF(SUM($C22:DN22)&lt;Assumptions!$C$54, Assumptions!$C$46, IF(SUM($C22:DM22)&lt;Assumptions!$C$54, (Assumptions!$C$54-SUM($C22:DM22))/DN22*(Assumptions!$C$46), 0))</f>
        <v>0</v>
      </c>
      <c r="DO24" s="61">
        <f>IF(SUM($C22:DO22)&lt;Assumptions!$C$54, Assumptions!$C$46, IF(SUM($C22:DN22)&lt;Assumptions!$C$54, (Assumptions!$C$54-SUM($C22:DN22))/DO22*(Assumptions!$C$46), 0))</f>
        <v>0</v>
      </c>
      <c r="DP24" s="61">
        <f>IF(SUM($C22:DP22)&lt;Assumptions!$C$54, Assumptions!$C$46, IF(SUM($C22:DO22)&lt;Assumptions!$C$54, (Assumptions!$C$54-SUM($C22:DO22))/DP22*(Assumptions!$C$46), 0))</f>
        <v>0</v>
      </c>
      <c r="DQ24" s="61">
        <f>IF(SUM($C22:DQ22)&lt;Assumptions!$C$54, Assumptions!$C$46, IF(SUM($C22:DP22)&lt;Assumptions!$C$54, (Assumptions!$C$54-SUM($C22:DP22))/DQ22*(Assumptions!$C$46), 0))</f>
        <v>0</v>
      </c>
      <c r="DR24" s="61">
        <f>IF(SUM($C22:DR22)&lt;Assumptions!$C$54, Assumptions!$C$46, IF(SUM($C22:DQ22)&lt;Assumptions!$C$54, (Assumptions!$C$54-SUM($C22:DQ22))/DR22*(Assumptions!$C$46), 0))</f>
        <v>0</v>
      </c>
    </row>
    <row r="25" spans="2:124" x14ac:dyDescent="0.3">
      <c r="C25" s="117"/>
    </row>
    <row r="26" spans="2:124" x14ac:dyDescent="0.3">
      <c r="B26" s="64" t="s">
        <v>192</v>
      </c>
    </row>
    <row r="27" spans="2:124" x14ac:dyDescent="0.3">
      <c r="B27" s="119" t="s">
        <v>17</v>
      </c>
      <c r="C27" s="120">
        <f>EOMONTH(MIN(Assumptions!$C$8:$C$9),1)</f>
        <v>46387</v>
      </c>
      <c r="D27" s="120">
        <f>EOMONTH(C27,1)</f>
        <v>46418</v>
      </c>
      <c r="E27" s="120">
        <f t="shared" ref="E27:F27" si="16">EOMONTH(D27,1)</f>
        <v>46446</v>
      </c>
      <c r="F27" s="120">
        <f t="shared" si="16"/>
        <v>46477</v>
      </c>
      <c r="G27" s="120">
        <f t="shared" ref="G27:BR27" si="17">EOMONTH(F27,1)</f>
        <v>46507</v>
      </c>
      <c r="H27" s="120">
        <f t="shared" si="17"/>
        <v>46538</v>
      </c>
      <c r="I27" s="120">
        <f t="shared" si="17"/>
        <v>46568</v>
      </c>
      <c r="J27" s="120">
        <f t="shared" si="17"/>
        <v>46599</v>
      </c>
      <c r="K27" s="120">
        <f t="shared" si="17"/>
        <v>46630</v>
      </c>
      <c r="L27" s="120">
        <f t="shared" si="17"/>
        <v>46660</v>
      </c>
      <c r="M27" s="120">
        <f t="shared" si="17"/>
        <v>46691</v>
      </c>
      <c r="N27" s="120">
        <f t="shared" si="17"/>
        <v>46721</v>
      </c>
      <c r="O27" s="120">
        <f t="shared" si="17"/>
        <v>46752</v>
      </c>
      <c r="P27" s="120">
        <f t="shared" si="17"/>
        <v>46783</v>
      </c>
      <c r="Q27" s="120">
        <f t="shared" si="17"/>
        <v>46812</v>
      </c>
      <c r="R27" s="120">
        <f t="shared" si="17"/>
        <v>46843</v>
      </c>
      <c r="S27" s="120">
        <f t="shared" si="17"/>
        <v>46873</v>
      </c>
      <c r="T27" s="120">
        <f t="shared" si="17"/>
        <v>46904</v>
      </c>
      <c r="U27" s="120">
        <f t="shared" si="17"/>
        <v>46934</v>
      </c>
      <c r="V27" s="120">
        <f t="shared" si="17"/>
        <v>46965</v>
      </c>
      <c r="W27" s="120">
        <f t="shared" si="17"/>
        <v>46996</v>
      </c>
      <c r="X27" s="120">
        <f t="shared" si="17"/>
        <v>47026</v>
      </c>
      <c r="Y27" s="120">
        <f t="shared" si="17"/>
        <v>47057</v>
      </c>
      <c r="Z27" s="120">
        <f t="shared" si="17"/>
        <v>47087</v>
      </c>
      <c r="AA27" s="120">
        <f t="shared" si="17"/>
        <v>47118</v>
      </c>
      <c r="AB27" s="120">
        <f t="shared" si="17"/>
        <v>47149</v>
      </c>
      <c r="AC27" s="120">
        <f t="shared" si="17"/>
        <v>47177</v>
      </c>
      <c r="AD27" s="120">
        <f t="shared" si="17"/>
        <v>47208</v>
      </c>
      <c r="AE27" s="120">
        <f t="shared" si="17"/>
        <v>47238</v>
      </c>
      <c r="AF27" s="120">
        <f t="shared" si="17"/>
        <v>47269</v>
      </c>
      <c r="AG27" s="120">
        <f t="shared" si="17"/>
        <v>47299</v>
      </c>
      <c r="AH27" s="120">
        <f t="shared" si="17"/>
        <v>47330</v>
      </c>
      <c r="AI27" s="120">
        <f t="shared" si="17"/>
        <v>47361</v>
      </c>
      <c r="AJ27" s="120">
        <f t="shared" si="17"/>
        <v>47391</v>
      </c>
      <c r="AK27" s="120">
        <f t="shared" si="17"/>
        <v>47422</v>
      </c>
      <c r="AL27" s="120">
        <f t="shared" si="17"/>
        <v>47452</v>
      </c>
      <c r="AM27" s="120">
        <f t="shared" si="17"/>
        <v>47483</v>
      </c>
      <c r="AN27" s="120">
        <f t="shared" si="17"/>
        <v>47514</v>
      </c>
      <c r="AO27" s="120">
        <f t="shared" si="17"/>
        <v>47542</v>
      </c>
      <c r="AP27" s="120">
        <f t="shared" si="17"/>
        <v>47573</v>
      </c>
      <c r="AQ27" s="120">
        <f t="shared" si="17"/>
        <v>47603</v>
      </c>
      <c r="AR27" s="120">
        <f t="shared" si="17"/>
        <v>47634</v>
      </c>
      <c r="AS27" s="120">
        <f t="shared" si="17"/>
        <v>47664</v>
      </c>
      <c r="AT27" s="120">
        <f t="shared" si="17"/>
        <v>47695</v>
      </c>
      <c r="AU27" s="120">
        <f t="shared" si="17"/>
        <v>47726</v>
      </c>
      <c r="AV27" s="120">
        <f t="shared" si="17"/>
        <v>47756</v>
      </c>
      <c r="AW27" s="120">
        <f t="shared" si="17"/>
        <v>47787</v>
      </c>
      <c r="AX27" s="120">
        <f t="shared" si="17"/>
        <v>47817</v>
      </c>
      <c r="AY27" s="120">
        <f t="shared" si="17"/>
        <v>47848</v>
      </c>
      <c r="AZ27" s="120">
        <f t="shared" si="17"/>
        <v>47879</v>
      </c>
      <c r="BA27" s="120">
        <f t="shared" si="17"/>
        <v>47907</v>
      </c>
      <c r="BB27" s="120">
        <f t="shared" si="17"/>
        <v>47938</v>
      </c>
      <c r="BC27" s="120">
        <f t="shared" si="17"/>
        <v>47968</v>
      </c>
      <c r="BD27" s="120">
        <f t="shared" si="17"/>
        <v>47999</v>
      </c>
      <c r="BE27" s="120">
        <f t="shared" si="17"/>
        <v>48029</v>
      </c>
      <c r="BF27" s="120">
        <f t="shared" si="17"/>
        <v>48060</v>
      </c>
      <c r="BG27" s="120">
        <f t="shared" si="17"/>
        <v>48091</v>
      </c>
      <c r="BH27" s="120">
        <f t="shared" si="17"/>
        <v>48121</v>
      </c>
      <c r="BI27" s="120">
        <f t="shared" si="17"/>
        <v>48152</v>
      </c>
      <c r="BJ27" s="120">
        <f t="shared" si="17"/>
        <v>48182</v>
      </c>
      <c r="BK27" s="120">
        <f t="shared" si="17"/>
        <v>48213</v>
      </c>
      <c r="BL27" s="120">
        <f t="shared" si="17"/>
        <v>48244</v>
      </c>
      <c r="BM27" s="120">
        <f t="shared" si="17"/>
        <v>48273</v>
      </c>
      <c r="BN27" s="120">
        <f t="shared" si="17"/>
        <v>48304</v>
      </c>
      <c r="BO27" s="120">
        <f t="shared" si="17"/>
        <v>48334</v>
      </c>
      <c r="BP27" s="120">
        <f t="shared" si="17"/>
        <v>48365</v>
      </c>
      <c r="BQ27" s="120">
        <f t="shared" si="17"/>
        <v>48395</v>
      </c>
      <c r="BR27" s="120">
        <f t="shared" si="17"/>
        <v>48426</v>
      </c>
      <c r="BS27" s="120">
        <f t="shared" ref="BS27:DR27" si="18">EOMONTH(BR27,1)</f>
        <v>48457</v>
      </c>
      <c r="BT27" s="120">
        <f t="shared" si="18"/>
        <v>48487</v>
      </c>
      <c r="BU27" s="120">
        <f t="shared" si="18"/>
        <v>48518</v>
      </c>
      <c r="BV27" s="120">
        <f t="shared" si="18"/>
        <v>48548</v>
      </c>
      <c r="BW27" s="120">
        <f t="shared" si="18"/>
        <v>48579</v>
      </c>
      <c r="BX27" s="120">
        <f t="shared" si="18"/>
        <v>48610</v>
      </c>
      <c r="BY27" s="120">
        <f t="shared" si="18"/>
        <v>48638</v>
      </c>
      <c r="BZ27" s="120">
        <f t="shared" si="18"/>
        <v>48669</v>
      </c>
      <c r="CA27" s="120">
        <f t="shared" si="18"/>
        <v>48699</v>
      </c>
      <c r="CB27" s="120">
        <f t="shared" si="18"/>
        <v>48730</v>
      </c>
      <c r="CC27" s="120">
        <f t="shared" si="18"/>
        <v>48760</v>
      </c>
      <c r="CD27" s="120">
        <f t="shared" si="18"/>
        <v>48791</v>
      </c>
      <c r="CE27" s="120">
        <f t="shared" si="18"/>
        <v>48822</v>
      </c>
      <c r="CF27" s="120">
        <f t="shared" si="18"/>
        <v>48852</v>
      </c>
      <c r="CG27" s="120">
        <f t="shared" si="18"/>
        <v>48883</v>
      </c>
      <c r="CH27" s="120">
        <f t="shared" si="18"/>
        <v>48913</v>
      </c>
      <c r="CI27" s="120">
        <f t="shared" si="18"/>
        <v>48944</v>
      </c>
      <c r="CJ27" s="120">
        <f t="shared" si="18"/>
        <v>48975</v>
      </c>
      <c r="CK27" s="120">
        <f t="shared" si="18"/>
        <v>49003</v>
      </c>
      <c r="CL27" s="120">
        <f t="shared" si="18"/>
        <v>49034</v>
      </c>
      <c r="CM27" s="120">
        <f t="shared" si="18"/>
        <v>49064</v>
      </c>
      <c r="CN27" s="120">
        <f t="shared" si="18"/>
        <v>49095</v>
      </c>
      <c r="CO27" s="120">
        <f t="shared" si="18"/>
        <v>49125</v>
      </c>
      <c r="CP27" s="120">
        <f t="shared" si="18"/>
        <v>49156</v>
      </c>
      <c r="CQ27" s="120">
        <f t="shared" si="18"/>
        <v>49187</v>
      </c>
      <c r="CR27" s="120">
        <f t="shared" si="18"/>
        <v>49217</v>
      </c>
      <c r="CS27" s="120">
        <f t="shared" si="18"/>
        <v>49248</v>
      </c>
      <c r="CT27" s="120">
        <f t="shared" si="18"/>
        <v>49278</v>
      </c>
      <c r="CU27" s="120">
        <f t="shared" si="18"/>
        <v>49309</v>
      </c>
      <c r="CV27" s="120">
        <f t="shared" si="18"/>
        <v>49340</v>
      </c>
      <c r="CW27" s="120">
        <f t="shared" si="18"/>
        <v>49368</v>
      </c>
      <c r="CX27" s="120">
        <f t="shared" si="18"/>
        <v>49399</v>
      </c>
      <c r="CY27" s="120">
        <f t="shared" si="18"/>
        <v>49429</v>
      </c>
      <c r="CZ27" s="120">
        <f t="shared" si="18"/>
        <v>49460</v>
      </c>
      <c r="DA27" s="120">
        <f t="shared" si="18"/>
        <v>49490</v>
      </c>
      <c r="DB27" s="120">
        <f t="shared" si="18"/>
        <v>49521</v>
      </c>
      <c r="DC27" s="120">
        <f t="shared" si="18"/>
        <v>49552</v>
      </c>
      <c r="DD27" s="120">
        <f t="shared" si="18"/>
        <v>49582</v>
      </c>
      <c r="DE27" s="120">
        <f t="shared" si="18"/>
        <v>49613</v>
      </c>
      <c r="DF27" s="120">
        <f t="shared" si="18"/>
        <v>49643</v>
      </c>
      <c r="DG27" s="120">
        <f t="shared" si="18"/>
        <v>49674</v>
      </c>
      <c r="DH27" s="120">
        <f t="shared" si="18"/>
        <v>49705</v>
      </c>
      <c r="DI27" s="120">
        <f t="shared" si="18"/>
        <v>49734</v>
      </c>
      <c r="DJ27" s="120">
        <f t="shared" si="18"/>
        <v>49765</v>
      </c>
      <c r="DK27" s="120">
        <f t="shared" si="18"/>
        <v>49795</v>
      </c>
      <c r="DL27" s="120">
        <f t="shared" si="18"/>
        <v>49826</v>
      </c>
      <c r="DM27" s="120">
        <f t="shared" si="18"/>
        <v>49856</v>
      </c>
      <c r="DN27" s="120">
        <f t="shared" si="18"/>
        <v>49887</v>
      </c>
      <c r="DO27" s="120">
        <f t="shared" si="18"/>
        <v>49918</v>
      </c>
      <c r="DP27" s="120">
        <f t="shared" si="18"/>
        <v>49948</v>
      </c>
      <c r="DQ27" s="120">
        <f t="shared" si="18"/>
        <v>49979</v>
      </c>
      <c r="DR27" s="120">
        <f t="shared" si="18"/>
        <v>50009</v>
      </c>
    </row>
    <row r="28" spans="2:124" x14ac:dyDescent="0.3">
      <c r="B28" s="52" t="s">
        <v>194</v>
      </c>
      <c r="C28" s="116">
        <f>+C20*(1-C24)</f>
        <v>1676252.6860869084</v>
      </c>
      <c r="D28" s="116">
        <f t="shared" ref="D28:BO28" si="19">+D20*(1-D24)</f>
        <v>1676252.6860869084</v>
      </c>
      <c r="E28" s="116">
        <f t="shared" si="19"/>
        <v>1764235.7094948776</v>
      </c>
      <c r="F28" s="116">
        <f t="shared" si="19"/>
        <v>1925703.3174942397</v>
      </c>
      <c r="G28" s="116">
        <f t="shared" si="19"/>
        <v>12178492.770766879</v>
      </c>
      <c r="H28" s="116">
        <f t="shared" si="19"/>
        <v>12178492.770766879</v>
      </c>
      <c r="I28" s="116">
        <f t="shared" si="19"/>
        <v>12178492.770766879</v>
      </c>
      <c r="J28" s="116">
        <f t="shared" si="19"/>
        <v>12178492.770766879</v>
      </c>
      <c r="K28" s="116">
        <f t="shared" si="19"/>
        <v>12178492.770766879</v>
      </c>
      <c r="L28" s="116">
        <f t="shared" si="19"/>
        <v>12178492.770766879</v>
      </c>
      <c r="M28" s="116">
        <f t="shared" si="19"/>
        <v>12178492.770766879</v>
      </c>
      <c r="N28" s="116">
        <f t="shared" si="19"/>
        <v>12178492.770766879</v>
      </c>
      <c r="O28" s="116">
        <f t="shared" si="19"/>
        <v>12178492.770766879</v>
      </c>
      <c r="P28" s="116">
        <f t="shared" si="19"/>
        <v>12178492.770766879</v>
      </c>
      <c r="Q28" s="116">
        <f t="shared" si="19"/>
        <v>12178492.770766879</v>
      </c>
      <c r="R28" s="116">
        <f t="shared" si="19"/>
        <v>12178492.770766879</v>
      </c>
      <c r="S28" s="116">
        <f t="shared" si="19"/>
        <v>12178492.770766879</v>
      </c>
      <c r="T28" s="116">
        <f t="shared" si="19"/>
        <v>12178492.770766879</v>
      </c>
      <c r="U28" s="116">
        <f t="shared" si="19"/>
        <v>12178492.770766879</v>
      </c>
      <c r="V28" s="116">
        <f t="shared" si="19"/>
        <v>12178492.770766879</v>
      </c>
      <c r="W28" s="116">
        <f t="shared" si="19"/>
        <v>12178492.770766879</v>
      </c>
      <c r="X28" s="116">
        <f t="shared" si="19"/>
        <v>12178492.770766879</v>
      </c>
      <c r="Y28" s="116">
        <f t="shared" si="19"/>
        <v>12178492.770766879</v>
      </c>
      <c r="Z28" s="116">
        <f t="shared" si="19"/>
        <v>12178492.770766879</v>
      </c>
      <c r="AA28" s="116">
        <f t="shared" si="19"/>
        <v>12178492.770766879</v>
      </c>
      <c r="AB28" s="116">
        <f t="shared" si="19"/>
        <v>12178492.770766879</v>
      </c>
      <c r="AC28" s="116">
        <f t="shared" si="19"/>
        <v>12178492.770766879</v>
      </c>
      <c r="AD28" s="116">
        <f t="shared" si="19"/>
        <v>12178492.770766879</v>
      </c>
      <c r="AE28" s="116">
        <f t="shared" si="19"/>
        <v>12178492.770766879</v>
      </c>
      <c r="AF28" s="116">
        <f t="shared" si="19"/>
        <v>12178492.770766879</v>
      </c>
      <c r="AG28" s="116">
        <f t="shared" si="19"/>
        <v>12178492.770766879</v>
      </c>
      <c r="AH28" s="116">
        <f t="shared" si="19"/>
        <v>12178492.770766879</v>
      </c>
      <c r="AI28" s="116">
        <f t="shared" si="19"/>
        <v>12178492.770766879</v>
      </c>
      <c r="AJ28" s="116">
        <f t="shared" si="19"/>
        <v>12178492.770766879</v>
      </c>
      <c r="AK28" s="116">
        <f t="shared" si="19"/>
        <v>12178492.770766879</v>
      </c>
      <c r="AL28" s="116">
        <f t="shared" si="19"/>
        <v>12178492.770766879</v>
      </c>
      <c r="AM28" s="116">
        <f t="shared" si="19"/>
        <v>12178492.770766879</v>
      </c>
      <c r="AN28" s="116">
        <f t="shared" si="19"/>
        <v>12178492.770766879</v>
      </c>
      <c r="AO28" s="116">
        <f t="shared" si="19"/>
        <v>12178492.770766879</v>
      </c>
      <c r="AP28" s="116">
        <f t="shared" si="19"/>
        <v>12178492.770766879</v>
      </c>
      <c r="AQ28" s="116">
        <f t="shared" si="19"/>
        <v>12178492.770766879</v>
      </c>
      <c r="AR28" s="116">
        <f t="shared" si="19"/>
        <v>12178492.770766879</v>
      </c>
      <c r="AS28" s="116">
        <f t="shared" si="19"/>
        <v>12178492.770766879</v>
      </c>
      <c r="AT28" s="116">
        <f t="shared" si="19"/>
        <v>12178492.770766879</v>
      </c>
      <c r="AU28" s="116">
        <f t="shared" si="19"/>
        <v>12178492.770766879</v>
      </c>
      <c r="AV28" s="116">
        <f t="shared" si="19"/>
        <v>12178492.770766879</v>
      </c>
      <c r="AW28" s="116">
        <f t="shared" si="19"/>
        <v>12178492.770766879</v>
      </c>
      <c r="AX28" s="116">
        <f t="shared" si="19"/>
        <v>12178492.770766879</v>
      </c>
      <c r="AY28" s="116">
        <f t="shared" si="19"/>
        <v>12178492.770766879</v>
      </c>
      <c r="AZ28" s="116">
        <f t="shared" si="19"/>
        <v>12178492.770766879</v>
      </c>
      <c r="BA28" s="116">
        <f t="shared" si="19"/>
        <v>12178492.770766879</v>
      </c>
      <c r="BB28" s="116">
        <f t="shared" si="19"/>
        <v>12178492.770766879</v>
      </c>
      <c r="BC28" s="116">
        <f t="shared" si="19"/>
        <v>12178492.770766879</v>
      </c>
      <c r="BD28" s="116">
        <f t="shared" si="19"/>
        <v>12178492.770766879</v>
      </c>
      <c r="BE28" s="116">
        <f t="shared" si="19"/>
        <v>12178492.770766879</v>
      </c>
      <c r="BF28" s="116">
        <f t="shared" si="19"/>
        <v>12178492.770766879</v>
      </c>
      <c r="BG28" s="116">
        <f t="shared" si="19"/>
        <v>12178492.770766879</v>
      </c>
      <c r="BH28" s="116">
        <f t="shared" si="19"/>
        <v>12178492.770766879</v>
      </c>
      <c r="BI28" s="116">
        <f t="shared" si="19"/>
        <v>12178492.770766879</v>
      </c>
      <c r="BJ28" s="116">
        <f t="shared" si="19"/>
        <v>12178492.770766879</v>
      </c>
      <c r="BK28" s="116">
        <f t="shared" si="19"/>
        <v>12178492.770766879</v>
      </c>
      <c r="BL28" s="116">
        <f t="shared" si="19"/>
        <v>12178492.770766879</v>
      </c>
      <c r="BM28" s="116">
        <f t="shared" si="19"/>
        <v>12178492.770766879</v>
      </c>
      <c r="BN28" s="116">
        <f t="shared" si="19"/>
        <v>12178492.770766879</v>
      </c>
      <c r="BO28" s="116">
        <f t="shared" si="19"/>
        <v>12178492.770766879</v>
      </c>
      <c r="BP28" s="116">
        <f t="shared" ref="BP28:DR28" si="20">+BP20*(1-BP24)</f>
        <v>12178492.770766879</v>
      </c>
      <c r="BQ28" s="116">
        <f t="shared" si="20"/>
        <v>12178492.770766879</v>
      </c>
      <c r="BR28" s="116">
        <f t="shared" si="20"/>
        <v>12178492.770766879</v>
      </c>
      <c r="BS28" s="116">
        <f t="shared" si="20"/>
        <v>12178492.770766879</v>
      </c>
      <c r="BT28" s="116">
        <f t="shared" si="20"/>
        <v>12178492.770766879</v>
      </c>
      <c r="BU28" s="116">
        <f t="shared" si="20"/>
        <v>12178492.770766879</v>
      </c>
      <c r="BV28" s="116">
        <f t="shared" si="20"/>
        <v>12178492.770766879</v>
      </c>
      <c r="BW28" s="116">
        <f t="shared" si="20"/>
        <v>12178492.770766879</v>
      </c>
      <c r="BX28" s="116">
        <f t="shared" si="20"/>
        <v>12178492.770766879</v>
      </c>
      <c r="BY28" s="116">
        <f t="shared" si="20"/>
        <v>12178492.770766879</v>
      </c>
      <c r="BZ28" s="116">
        <f t="shared" si="20"/>
        <v>12178492.770766879</v>
      </c>
      <c r="CA28" s="116">
        <f t="shared" si="20"/>
        <v>12178492.770766879</v>
      </c>
      <c r="CB28" s="116">
        <f t="shared" si="20"/>
        <v>12178492.770766879</v>
      </c>
      <c r="CC28" s="116">
        <f t="shared" si="20"/>
        <v>12178492.770766879</v>
      </c>
      <c r="CD28" s="116">
        <f t="shared" si="20"/>
        <v>12178492.770766879</v>
      </c>
      <c r="CE28" s="116">
        <f t="shared" si="20"/>
        <v>12178492.770766879</v>
      </c>
      <c r="CF28" s="116">
        <f t="shared" si="20"/>
        <v>12178492.770766879</v>
      </c>
      <c r="CG28" s="116">
        <f t="shared" si="20"/>
        <v>12178492.770766879</v>
      </c>
      <c r="CH28" s="116">
        <f t="shared" si="20"/>
        <v>12178492.770766879</v>
      </c>
      <c r="CI28" s="116">
        <f t="shared" si="20"/>
        <v>12178492.770766879</v>
      </c>
      <c r="CJ28" s="116">
        <f t="shared" si="20"/>
        <v>12178492.770766879</v>
      </c>
      <c r="CK28" s="116">
        <f t="shared" si="20"/>
        <v>12178492.770766879</v>
      </c>
      <c r="CL28" s="116">
        <f t="shared" si="20"/>
        <v>12178492.770766879</v>
      </c>
      <c r="CM28" s="116">
        <f t="shared" si="20"/>
        <v>12178492.770766879</v>
      </c>
      <c r="CN28" s="116">
        <f t="shared" si="20"/>
        <v>12178492.770766879</v>
      </c>
      <c r="CO28" s="116">
        <f t="shared" si="20"/>
        <v>12178492.770766879</v>
      </c>
      <c r="CP28" s="116">
        <f t="shared" si="20"/>
        <v>12178492.770766879</v>
      </c>
      <c r="CQ28" s="116">
        <f t="shared" si="20"/>
        <v>12178492.770766879</v>
      </c>
      <c r="CR28" s="116">
        <f t="shared" si="20"/>
        <v>12178492.770766879</v>
      </c>
      <c r="CS28" s="116">
        <f t="shared" si="20"/>
        <v>12178492.770766879</v>
      </c>
      <c r="CT28" s="116">
        <f t="shared" si="20"/>
        <v>12178492.770766879</v>
      </c>
      <c r="CU28" s="116">
        <f t="shared" si="20"/>
        <v>12178492.770766879</v>
      </c>
      <c r="CV28" s="116">
        <f t="shared" si="20"/>
        <v>12178492.770766879</v>
      </c>
      <c r="CW28" s="116">
        <f t="shared" si="20"/>
        <v>12178492.770766879</v>
      </c>
      <c r="CX28" s="116">
        <f t="shared" si="20"/>
        <v>12178492.770766879</v>
      </c>
      <c r="CY28" s="116">
        <f t="shared" si="20"/>
        <v>12178492.770766879</v>
      </c>
      <c r="CZ28" s="116">
        <f t="shared" si="20"/>
        <v>12178492.770766879</v>
      </c>
      <c r="DA28" s="116">
        <f t="shared" si="20"/>
        <v>12178492.770766879</v>
      </c>
      <c r="DB28" s="116">
        <f t="shared" si="20"/>
        <v>12178492.770766879</v>
      </c>
      <c r="DC28" s="116">
        <f t="shared" si="20"/>
        <v>12178492.770766879</v>
      </c>
      <c r="DD28" s="116">
        <f t="shared" si="20"/>
        <v>12178492.770766879</v>
      </c>
      <c r="DE28" s="116">
        <f t="shared" si="20"/>
        <v>12178492.770766879</v>
      </c>
      <c r="DF28" s="116">
        <f t="shared" si="20"/>
        <v>12178492.770766879</v>
      </c>
      <c r="DG28" s="116">
        <f t="shared" si="20"/>
        <v>12178492.770766879</v>
      </c>
      <c r="DH28" s="116">
        <f t="shared" si="20"/>
        <v>12178492.770766879</v>
      </c>
      <c r="DI28" s="116">
        <f t="shared" si="20"/>
        <v>12178492.770766879</v>
      </c>
      <c r="DJ28" s="116">
        <f t="shared" si="20"/>
        <v>12178492.770766879</v>
      </c>
      <c r="DK28" s="116">
        <f t="shared" si="20"/>
        <v>12178492.770766879</v>
      </c>
      <c r="DL28" s="116">
        <f t="shared" si="20"/>
        <v>12178492.770766879</v>
      </c>
      <c r="DM28" s="116">
        <f t="shared" si="20"/>
        <v>12178492.770766879</v>
      </c>
      <c r="DN28" s="116">
        <f t="shared" si="20"/>
        <v>12178492.770766879</v>
      </c>
      <c r="DO28" s="116">
        <f t="shared" si="20"/>
        <v>12178492.770766879</v>
      </c>
      <c r="DP28" s="116">
        <f t="shared" si="20"/>
        <v>12178492.770766879</v>
      </c>
      <c r="DQ28" s="116">
        <f t="shared" si="20"/>
        <v>12178492.770766879</v>
      </c>
      <c r="DR28" s="116">
        <f t="shared" si="20"/>
        <v>12178492.770766879</v>
      </c>
    </row>
    <row r="31" spans="2:124" x14ac:dyDescent="0.3">
      <c r="I31" s="13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66AF1-35EA-4A06-8576-1DCB871DB26C}">
  <sheetPr>
    <tabColor theme="8"/>
  </sheetPr>
  <dimension ref="B1:DT26"/>
  <sheetViews>
    <sheetView showGridLines="0" workbookViewId="0">
      <selection activeCell="B10" sqref="B10"/>
    </sheetView>
  </sheetViews>
  <sheetFormatPr defaultRowHeight="15" x14ac:dyDescent="0.3"/>
  <cols>
    <col min="1" max="1" width="1.7109375" style="52" customWidth="1"/>
    <col min="2" max="2" width="26.7109375" style="52" bestFit="1" customWidth="1"/>
    <col min="3" max="5" width="11" style="52" bestFit="1" customWidth="1"/>
    <col min="6" max="6" width="10" style="52" bestFit="1" customWidth="1"/>
    <col min="7" max="8" width="11" style="52" bestFit="1" customWidth="1"/>
    <col min="9" max="9" width="12.42578125" style="52" bestFit="1" customWidth="1"/>
    <col min="10" max="11" width="11" style="52" bestFit="1" customWidth="1"/>
    <col min="12" max="122" width="12" style="52" bestFit="1" customWidth="1"/>
    <col min="123" max="16384" width="9.140625" style="52"/>
  </cols>
  <sheetData>
    <row r="1" spans="2:124" s="83" customFormat="1" x14ac:dyDescent="0.3">
      <c r="B1" s="178" t="s">
        <v>283</v>
      </c>
    </row>
    <row r="2" spans="2:124" s="83" customFormat="1" ht="18" x14ac:dyDescent="0.35">
      <c r="B2" s="90" t="s">
        <v>195</v>
      </c>
      <c r="C2" s="82"/>
      <c r="D2" s="82"/>
      <c r="E2" s="82"/>
      <c r="F2" s="82"/>
      <c r="G2" s="82"/>
      <c r="H2" s="89"/>
      <c r="I2" s="89"/>
      <c r="J2" s="89"/>
      <c r="K2" s="89"/>
    </row>
    <row r="4" spans="2:124" x14ac:dyDescent="0.3">
      <c r="B4" s="52" t="s">
        <v>196</v>
      </c>
    </row>
    <row r="5" spans="2:124" ht="30" x14ac:dyDescent="0.3">
      <c r="B5" s="73" t="s">
        <v>1</v>
      </c>
      <c r="C5" s="304" t="s">
        <v>198</v>
      </c>
      <c r="D5" s="304" t="s">
        <v>197</v>
      </c>
      <c r="E5" s="304" t="s">
        <v>416</v>
      </c>
      <c r="F5" s="304" t="s">
        <v>418</v>
      </c>
      <c r="G5" s="304" t="s">
        <v>419</v>
      </c>
    </row>
    <row r="6" spans="2:124" x14ac:dyDescent="0.3">
      <c r="B6" s="52" t="s">
        <v>305</v>
      </c>
      <c r="C6" s="121">
        <f>+Assumptions!E24</f>
        <v>0.26711359724612738</v>
      </c>
      <c r="D6" s="121">
        <f>SUMIF(Assumptions!$B$33:$B$37,B6,Assumptions!$E$33:$E$37)</f>
        <v>13.09180250137438</v>
      </c>
      <c r="E6" s="55">
        <f>SUMIF(Assumptions!$H$33:$H$37,B6,Assumptions!$L$33:$L$37)</f>
        <v>19.01147333699835</v>
      </c>
      <c r="F6" s="303">
        <f>+C6*Assumptions!$C$12+SUM(Assumptions!$C$13:$C$14)*'Metals Model'!D6</f>
        <v>10.52686472054873</v>
      </c>
      <c r="G6" s="58">
        <f>+Assumptions!$C$12/(Assumptions!$C$12+Assumptions!$C$14)*'Metals Model'!C6+Assumptions!$C$14/(Assumptions!$C$12+Assumptions!$C$14)*'Metals Model'!E6</f>
        <v>11.51372944109746</v>
      </c>
      <c r="I6" s="58"/>
      <c r="J6" s="58"/>
    </row>
    <row r="7" spans="2:124" x14ac:dyDescent="0.3">
      <c r="B7" s="52" t="s">
        <v>304</v>
      </c>
      <c r="C7" s="68">
        <f>+Assumptions!C25</f>
        <v>3.9850258175559384E-3</v>
      </c>
      <c r="D7" s="68">
        <f>SUMIF(Assumptions!$B$33:$B$37,B7,Assumptions!$E$33:$E$37)</f>
        <v>7.3598130841121484E-3</v>
      </c>
      <c r="E7" s="68">
        <f>SUMIF(Assumptions!$H$33:$H$37,B7,Assumptions!$L$33:$L$37)</f>
        <v>1.9626168224299065E-2</v>
      </c>
      <c r="F7" s="68">
        <f>+C7*Assumptions!$C$12+SUM(Assumptions!$C$13:$C$14)*'Metals Model'!D7</f>
        <v>6.6848556308009071E-3</v>
      </c>
      <c r="G7" s="68">
        <f>+Assumptions!$C$12/(Assumptions!$C$12+Assumptions!$C$14)*'Metals Model'!C7+Assumptions!$C$14/(Assumptions!$C$12+Assumptions!$C$14)*'Metals Model'!E7</f>
        <v>1.3369711261601814E-2</v>
      </c>
    </row>
    <row r="8" spans="2:124" x14ac:dyDescent="0.3">
      <c r="B8" s="52" t="s">
        <v>307</v>
      </c>
      <c r="C8" s="68">
        <f>+Assumptions!C26</f>
        <v>0</v>
      </c>
      <c r="D8" s="68">
        <f>SUMIF(Assumptions!$B$33:$B$37,B8,Assumptions!$E$33:$E$37)</f>
        <v>6.5218457943925223E-3</v>
      </c>
      <c r="E8" s="68">
        <f>SUMIF(Assumptions!$H$33:$H$37,B8,Assumptions!$L$33:$L$37)</f>
        <v>1.7391588785046729E-2</v>
      </c>
      <c r="F8" s="68">
        <f>+C8*Assumptions!$C$12+SUM(Assumptions!$C$13:$C$14)*'Metals Model'!D8</f>
        <v>5.2174766355140186E-3</v>
      </c>
      <c r="G8" s="68">
        <f>+Assumptions!$C$12/(Assumptions!$C$12+Assumptions!$C$14)*'Metals Model'!C8+Assumptions!$C$14/(Assumptions!$C$12+Assumptions!$C$14)*'Metals Model'!E8</f>
        <v>1.0434953271028037E-2</v>
      </c>
    </row>
    <row r="10" spans="2:124" x14ac:dyDescent="0.3">
      <c r="B10" s="64" t="s">
        <v>199</v>
      </c>
      <c r="C10" s="52">
        <f>INT(((YEAR(C25)-YEAR($C$25))*12 + MONTH(C25)-MONTH($C$25))/12) + 1</f>
        <v>1</v>
      </c>
      <c r="D10" s="52">
        <f t="shared" ref="D10:BO10" si="0">INT(((YEAR(D25)-YEAR($C$25))*12 + MONTH(D25)-MONTH($C$25))/12) + 1</f>
        <v>1</v>
      </c>
      <c r="E10" s="52">
        <f t="shared" si="0"/>
        <v>1</v>
      </c>
      <c r="F10" s="52">
        <f t="shared" si="0"/>
        <v>1</v>
      </c>
      <c r="G10" s="52">
        <f t="shared" si="0"/>
        <v>1</v>
      </c>
      <c r="H10" s="52">
        <f t="shared" si="0"/>
        <v>1</v>
      </c>
      <c r="I10" s="52">
        <f t="shared" si="0"/>
        <v>1</v>
      </c>
      <c r="J10" s="52">
        <f t="shared" si="0"/>
        <v>1</v>
      </c>
      <c r="K10" s="52">
        <f t="shared" si="0"/>
        <v>1</v>
      </c>
      <c r="L10" s="52">
        <f t="shared" si="0"/>
        <v>1</v>
      </c>
      <c r="M10" s="52">
        <f t="shared" si="0"/>
        <v>1</v>
      </c>
      <c r="N10" s="52">
        <f t="shared" si="0"/>
        <v>1</v>
      </c>
      <c r="O10" s="52">
        <f t="shared" si="0"/>
        <v>2</v>
      </c>
      <c r="P10" s="52">
        <f t="shared" si="0"/>
        <v>2</v>
      </c>
      <c r="Q10" s="52">
        <f t="shared" si="0"/>
        <v>2</v>
      </c>
      <c r="R10" s="52">
        <f t="shared" si="0"/>
        <v>2</v>
      </c>
      <c r="S10" s="52">
        <f t="shared" si="0"/>
        <v>2</v>
      </c>
      <c r="T10" s="52">
        <f t="shared" si="0"/>
        <v>2</v>
      </c>
      <c r="U10" s="52">
        <f t="shared" si="0"/>
        <v>2</v>
      </c>
      <c r="V10" s="52">
        <f t="shared" si="0"/>
        <v>2</v>
      </c>
      <c r="W10" s="52">
        <f t="shared" si="0"/>
        <v>2</v>
      </c>
      <c r="X10" s="52">
        <f t="shared" si="0"/>
        <v>2</v>
      </c>
      <c r="Y10" s="52">
        <f t="shared" si="0"/>
        <v>2</v>
      </c>
      <c r="Z10" s="52">
        <f t="shared" si="0"/>
        <v>2</v>
      </c>
      <c r="AA10" s="52">
        <f t="shared" si="0"/>
        <v>3</v>
      </c>
      <c r="AB10" s="52">
        <f t="shared" si="0"/>
        <v>3</v>
      </c>
      <c r="AC10" s="52">
        <f t="shared" si="0"/>
        <v>3</v>
      </c>
      <c r="AD10" s="52">
        <f t="shared" si="0"/>
        <v>3</v>
      </c>
      <c r="AE10" s="52">
        <f t="shared" si="0"/>
        <v>3</v>
      </c>
      <c r="AF10" s="52">
        <f t="shared" si="0"/>
        <v>3</v>
      </c>
      <c r="AG10" s="52">
        <f t="shared" si="0"/>
        <v>3</v>
      </c>
      <c r="AH10" s="52">
        <f t="shared" si="0"/>
        <v>3</v>
      </c>
      <c r="AI10" s="52">
        <f t="shared" si="0"/>
        <v>3</v>
      </c>
      <c r="AJ10" s="52">
        <f t="shared" si="0"/>
        <v>3</v>
      </c>
      <c r="AK10" s="52">
        <f t="shared" si="0"/>
        <v>3</v>
      </c>
      <c r="AL10" s="52">
        <f t="shared" si="0"/>
        <v>3</v>
      </c>
      <c r="AM10" s="52">
        <f t="shared" si="0"/>
        <v>4</v>
      </c>
      <c r="AN10" s="52">
        <f t="shared" si="0"/>
        <v>4</v>
      </c>
      <c r="AO10" s="52">
        <f t="shared" si="0"/>
        <v>4</v>
      </c>
      <c r="AP10" s="52">
        <f t="shared" si="0"/>
        <v>4</v>
      </c>
      <c r="AQ10" s="52">
        <f t="shared" si="0"/>
        <v>4</v>
      </c>
      <c r="AR10" s="52">
        <f t="shared" si="0"/>
        <v>4</v>
      </c>
      <c r="AS10" s="52">
        <f t="shared" si="0"/>
        <v>4</v>
      </c>
      <c r="AT10" s="52">
        <f t="shared" si="0"/>
        <v>4</v>
      </c>
      <c r="AU10" s="52">
        <f t="shared" si="0"/>
        <v>4</v>
      </c>
      <c r="AV10" s="52">
        <f t="shared" si="0"/>
        <v>4</v>
      </c>
      <c r="AW10" s="52">
        <f t="shared" si="0"/>
        <v>4</v>
      </c>
      <c r="AX10" s="52">
        <f t="shared" si="0"/>
        <v>4</v>
      </c>
      <c r="AY10" s="52">
        <f t="shared" si="0"/>
        <v>5</v>
      </c>
      <c r="AZ10" s="52">
        <f t="shared" si="0"/>
        <v>5</v>
      </c>
      <c r="BA10" s="52">
        <f t="shared" si="0"/>
        <v>5</v>
      </c>
      <c r="BB10" s="52">
        <f t="shared" si="0"/>
        <v>5</v>
      </c>
      <c r="BC10" s="52">
        <f t="shared" si="0"/>
        <v>5</v>
      </c>
      <c r="BD10" s="52">
        <f t="shared" si="0"/>
        <v>5</v>
      </c>
      <c r="BE10" s="52">
        <f t="shared" si="0"/>
        <v>5</v>
      </c>
      <c r="BF10" s="52">
        <f t="shared" si="0"/>
        <v>5</v>
      </c>
      <c r="BG10" s="52">
        <f t="shared" si="0"/>
        <v>5</v>
      </c>
      <c r="BH10" s="52">
        <f t="shared" si="0"/>
        <v>5</v>
      </c>
      <c r="BI10" s="52">
        <f t="shared" si="0"/>
        <v>5</v>
      </c>
      <c r="BJ10" s="52">
        <f t="shared" si="0"/>
        <v>5</v>
      </c>
      <c r="BK10" s="52">
        <f t="shared" si="0"/>
        <v>6</v>
      </c>
      <c r="BL10" s="52">
        <f t="shared" si="0"/>
        <v>6</v>
      </c>
      <c r="BM10" s="52">
        <f t="shared" si="0"/>
        <v>6</v>
      </c>
      <c r="BN10" s="52">
        <f t="shared" si="0"/>
        <v>6</v>
      </c>
      <c r="BO10" s="52">
        <f t="shared" si="0"/>
        <v>6</v>
      </c>
      <c r="BP10" s="52">
        <f t="shared" ref="BP10:CU10" si="1">INT(((YEAR(BP25)-YEAR($C$25))*12 + MONTH(BP25)-MONTH($C$25))/12) + 1</f>
        <v>6</v>
      </c>
      <c r="BQ10" s="52">
        <f t="shared" si="1"/>
        <v>6</v>
      </c>
      <c r="BR10" s="52">
        <f t="shared" si="1"/>
        <v>6</v>
      </c>
      <c r="BS10" s="52">
        <f t="shared" si="1"/>
        <v>6</v>
      </c>
      <c r="BT10" s="52">
        <f t="shared" si="1"/>
        <v>6</v>
      </c>
      <c r="BU10" s="52">
        <f t="shared" si="1"/>
        <v>6</v>
      </c>
      <c r="BV10" s="52">
        <f t="shared" si="1"/>
        <v>6</v>
      </c>
      <c r="BW10" s="52">
        <f t="shared" si="1"/>
        <v>7</v>
      </c>
      <c r="BX10" s="52">
        <f t="shared" si="1"/>
        <v>7</v>
      </c>
      <c r="BY10" s="52">
        <f t="shared" si="1"/>
        <v>7</v>
      </c>
      <c r="BZ10" s="52">
        <f t="shared" si="1"/>
        <v>7</v>
      </c>
      <c r="CA10" s="52">
        <f t="shared" si="1"/>
        <v>7</v>
      </c>
      <c r="CB10" s="52">
        <f t="shared" si="1"/>
        <v>7</v>
      </c>
      <c r="CC10" s="52">
        <f t="shared" si="1"/>
        <v>7</v>
      </c>
      <c r="CD10" s="52">
        <f t="shared" si="1"/>
        <v>7</v>
      </c>
      <c r="CE10" s="52">
        <f t="shared" si="1"/>
        <v>7</v>
      </c>
      <c r="CF10" s="52">
        <f t="shared" si="1"/>
        <v>7</v>
      </c>
      <c r="CG10" s="52">
        <f t="shared" si="1"/>
        <v>7</v>
      </c>
      <c r="CH10" s="52">
        <f t="shared" si="1"/>
        <v>7</v>
      </c>
      <c r="CI10" s="52">
        <f t="shared" si="1"/>
        <v>8</v>
      </c>
      <c r="CJ10" s="52">
        <f t="shared" si="1"/>
        <v>8</v>
      </c>
      <c r="CK10" s="52">
        <f t="shared" si="1"/>
        <v>8</v>
      </c>
      <c r="CL10" s="52">
        <f t="shared" si="1"/>
        <v>8</v>
      </c>
      <c r="CM10" s="52">
        <f t="shared" si="1"/>
        <v>8</v>
      </c>
      <c r="CN10" s="52">
        <f t="shared" si="1"/>
        <v>8</v>
      </c>
      <c r="CO10" s="52">
        <f t="shared" si="1"/>
        <v>8</v>
      </c>
      <c r="CP10" s="52">
        <f t="shared" si="1"/>
        <v>8</v>
      </c>
      <c r="CQ10" s="52">
        <f t="shared" si="1"/>
        <v>8</v>
      </c>
      <c r="CR10" s="52">
        <f t="shared" si="1"/>
        <v>8</v>
      </c>
      <c r="CS10" s="52">
        <f t="shared" si="1"/>
        <v>8</v>
      </c>
      <c r="CT10" s="52">
        <f t="shared" si="1"/>
        <v>8</v>
      </c>
      <c r="CU10" s="52">
        <f t="shared" si="1"/>
        <v>9</v>
      </c>
      <c r="CV10" s="52">
        <f t="shared" ref="CV10:DR10" si="2">INT(((YEAR(CV25)-YEAR($C$25))*12 + MONTH(CV25)-MONTH($C$25))/12) + 1</f>
        <v>9</v>
      </c>
      <c r="CW10" s="52">
        <f t="shared" si="2"/>
        <v>9</v>
      </c>
      <c r="CX10" s="52">
        <f t="shared" si="2"/>
        <v>9</v>
      </c>
      <c r="CY10" s="52">
        <f t="shared" si="2"/>
        <v>9</v>
      </c>
      <c r="CZ10" s="52">
        <f t="shared" si="2"/>
        <v>9</v>
      </c>
      <c r="DA10" s="52">
        <f t="shared" si="2"/>
        <v>9</v>
      </c>
      <c r="DB10" s="52">
        <f t="shared" si="2"/>
        <v>9</v>
      </c>
      <c r="DC10" s="52">
        <f t="shared" si="2"/>
        <v>9</v>
      </c>
      <c r="DD10" s="52">
        <f t="shared" si="2"/>
        <v>9</v>
      </c>
      <c r="DE10" s="52">
        <f t="shared" si="2"/>
        <v>9</v>
      </c>
      <c r="DF10" s="52">
        <f t="shared" si="2"/>
        <v>9</v>
      </c>
      <c r="DG10" s="52">
        <f t="shared" si="2"/>
        <v>10</v>
      </c>
      <c r="DH10" s="52">
        <f t="shared" si="2"/>
        <v>10</v>
      </c>
      <c r="DI10" s="52">
        <f t="shared" si="2"/>
        <v>10</v>
      </c>
      <c r="DJ10" s="52">
        <f t="shared" si="2"/>
        <v>10</v>
      </c>
      <c r="DK10" s="52">
        <f t="shared" si="2"/>
        <v>10</v>
      </c>
      <c r="DL10" s="52">
        <f t="shared" si="2"/>
        <v>10</v>
      </c>
      <c r="DM10" s="52">
        <f t="shared" si="2"/>
        <v>10</v>
      </c>
      <c r="DN10" s="52">
        <f t="shared" si="2"/>
        <v>10</v>
      </c>
      <c r="DO10" s="52">
        <f t="shared" si="2"/>
        <v>10</v>
      </c>
      <c r="DP10" s="52">
        <f t="shared" si="2"/>
        <v>10</v>
      </c>
      <c r="DQ10" s="52">
        <f t="shared" si="2"/>
        <v>10</v>
      </c>
      <c r="DR10" s="52">
        <f t="shared" si="2"/>
        <v>10</v>
      </c>
    </row>
    <row r="11" spans="2:124" x14ac:dyDescent="0.3">
      <c r="B11" s="52" t="s">
        <v>166</v>
      </c>
      <c r="C11" s="52">
        <f>IF(C25&lt;=Assumptions!$F$17, Assumptions!$D$17, IF(C25&lt;=Assumptions!$F$18, Assumptions!$D$18, Assumptions!$D$19))</f>
        <v>40</v>
      </c>
      <c r="D11" s="52">
        <f>IF(D25&lt;=Assumptions!$F$17, Assumptions!$D$17, IF(D25&lt;=Assumptions!$F$18, Assumptions!$D$18, Assumptions!$D$19))</f>
        <v>40</v>
      </c>
      <c r="E11" s="52">
        <f>IF(E25&lt;=Assumptions!$F$17, Assumptions!$D$17, IF(E25&lt;=Assumptions!$F$18, Assumptions!$D$18, Assumptions!$D$19))</f>
        <v>40</v>
      </c>
      <c r="F11" s="52">
        <f>IF(F25&lt;=Assumptions!$F$17, Assumptions!$D$17, IF(F25&lt;=Assumptions!$F$18, Assumptions!$D$18, Assumptions!$D$19))</f>
        <v>40</v>
      </c>
      <c r="G11" s="52">
        <f>IF(G25&lt;=Assumptions!$F$17, Assumptions!$D$17, IF(G25&lt;=Assumptions!$F$18, Assumptions!$D$18, Assumptions!$D$19))</f>
        <v>250</v>
      </c>
      <c r="H11" s="52">
        <f>IF(H25&lt;=Assumptions!$F$17, Assumptions!$D$17, IF(H25&lt;=Assumptions!$F$18, Assumptions!$D$18, Assumptions!$D$19))</f>
        <v>250</v>
      </c>
      <c r="I11" s="52">
        <f>IF(I25&lt;=Assumptions!$F$17, Assumptions!$D$17, IF(I25&lt;=Assumptions!$F$18, Assumptions!$D$18, Assumptions!$D$19))</f>
        <v>250</v>
      </c>
      <c r="J11" s="52">
        <f>IF(J25&lt;=Assumptions!$F$17, Assumptions!$D$17, IF(J25&lt;=Assumptions!$F$18, Assumptions!$D$18, Assumptions!$D$19))</f>
        <v>250</v>
      </c>
      <c r="K11" s="52">
        <f>IF(K25&lt;=Assumptions!$F$17, Assumptions!$D$17, IF(K25&lt;=Assumptions!$F$18, Assumptions!$D$18, Assumptions!$D$19))</f>
        <v>250</v>
      </c>
      <c r="L11" s="52">
        <f>IF(L25&lt;=Assumptions!$F$17, Assumptions!$D$17, IF(L25&lt;=Assumptions!$F$18, Assumptions!$D$18, Assumptions!$D$19))</f>
        <v>250</v>
      </c>
      <c r="M11" s="52">
        <f>IF(M25&lt;=Assumptions!$F$17, Assumptions!$D$17, IF(M25&lt;=Assumptions!$F$18, Assumptions!$D$18, Assumptions!$D$19))</f>
        <v>500</v>
      </c>
      <c r="N11" s="52">
        <f>IF(N25&lt;=Assumptions!$F$17, Assumptions!$D$17, IF(N25&lt;=Assumptions!$F$18, Assumptions!$D$18, Assumptions!$D$19))</f>
        <v>500</v>
      </c>
      <c r="O11" s="52">
        <f>IF(O25&lt;=Assumptions!$F$17, Assumptions!$D$17, IF(O25&lt;=Assumptions!$F$18, Assumptions!$D$18, Assumptions!$D$19))</f>
        <v>500</v>
      </c>
      <c r="P11" s="52">
        <f>IF(P25&lt;=Assumptions!$F$17, Assumptions!$D$17, IF(P25&lt;=Assumptions!$F$18, Assumptions!$D$18, Assumptions!$D$19))</f>
        <v>500</v>
      </c>
      <c r="Q11" s="52">
        <f>IF(Q25&lt;=Assumptions!$F$17, Assumptions!$D$17, IF(Q25&lt;=Assumptions!$F$18, Assumptions!$D$18, Assumptions!$D$19))</f>
        <v>500</v>
      </c>
      <c r="R11" s="52">
        <f>IF(R25&lt;=Assumptions!$F$17, Assumptions!$D$17, IF(R25&lt;=Assumptions!$F$18, Assumptions!$D$18, Assumptions!$D$19))</f>
        <v>500</v>
      </c>
      <c r="S11" s="52">
        <f>IF(S25&lt;=Assumptions!$F$17, Assumptions!$D$17, IF(S25&lt;=Assumptions!$F$18, Assumptions!$D$18, Assumptions!$D$19))</f>
        <v>500</v>
      </c>
      <c r="T11" s="52">
        <f>IF(T25&lt;=Assumptions!$F$17, Assumptions!$D$17, IF(T25&lt;=Assumptions!$F$18, Assumptions!$D$18, Assumptions!$D$19))</f>
        <v>500</v>
      </c>
      <c r="U11" s="52">
        <f>IF(U25&lt;=Assumptions!$F$17, Assumptions!$D$17, IF(U25&lt;=Assumptions!$F$18, Assumptions!$D$18, Assumptions!$D$19))</f>
        <v>500</v>
      </c>
      <c r="V11" s="52">
        <f>IF(V25&lt;=Assumptions!$F$17, Assumptions!$D$17, IF(V25&lt;=Assumptions!$F$18, Assumptions!$D$18, Assumptions!$D$19))</f>
        <v>500</v>
      </c>
      <c r="W11" s="52">
        <f>IF(W25&lt;=Assumptions!$F$17, Assumptions!$D$17, IF(W25&lt;=Assumptions!$F$18, Assumptions!$D$18, Assumptions!$D$19))</f>
        <v>500</v>
      </c>
      <c r="X11" s="52">
        <f>IF(X25&lt;=Assumptions!$F$17, Assumptions!$D$17, IF(X25&lt;=Assumptions!$F$18, Assumptions!$D$18, Assumptions!$D$19))</f>
        <v>500</v>
      </c>
      <c r="Y11" s="52">
        <f>IF(Y25&lt;=Assumptions!$F$17, Assumptions!$D$17, IF(Y25&lt;=Assumptions!$F$18, Assumptions!$D$18, Assumptions!$D$19))</f>
        <v>500</v>
      </c>
      <c r="Z11" s="52">
        <f>IF(Z25&lt;=Assumptions!$F$17, Assumptions!$D$17, IF(Z25&lt;=Assumptions!$F$18, Assumptions!$D$18, Assumptions!$D$19))</f>
        <v>500</v>
      </c>
      <c r="AA11" s="52">
        <f>IF(AA25&lt;=Assumptions!$F$17, Assumptions!$D$17, IF(AA25&lt;=Assumptions!$F$18, Assumptions!$D$18, Assumptions!$D$19))</f>
        <v>500</v>
      </c>
      <c r="AB11" s="52">
        <f>IF(AB25&lt;=Assumptions!$F$17, Assumptions!$D$17, IF(AB25&lt;=Assumptions!$F$18, Assumptions!$D$18, Assumptions!$D$19))</f>
        <v>500</v>
      </c>
      <c r="AC11" s="52">
        <f>IF(AC25&lt;=Assumptions!$F$17, Assumptions!$D$17, IF(AC25&lt;=Assumptions!$F$18, Assumptions!$D$18, Assumptions!$D$19))</f>
        <v>500</v>
      </c>
      <c r="AD11" s="52">
        <f>IF(AD25&lt;=Assumptions!$F$17, Assumptions!$D$17, IF(AD25&lt;=Assumptions!$F$18, Assumptions!$D$18, Assumptions!$D$19))</f>
        <v>500</v>
      </c>
      <c r="AE11" s="52">
        <f>IF(AE25&lt;=Assumptions!$F$17, Assumptions!$D$17, IF(AE25&lt;=Assumptions!$F$18, Assumptions!$D$18, Assumptions!$D$19))</f>
        <v>500</v>
      </c>
      <c r="AF11" s="52">
        <f>IF(AF25&lt;=Assumptions!$F$17, Assumptions!$D$17, IF(AF25&lt;=Assumptions!$F$18, Assumptions!$D$18, Assumptions!$D$19))</f>
        <v>500</v>
      </c>
      <c r="AG11" s="52">
        <f>IF(AG25&lt;=Assumptions!$F$17, Assumptions!$D$17, IF(AG25&lt;=Assumptions!$F$18, Assumptions!$D$18, Assumptions!$D$19))</f>
        <v>500</v>
      </c>
      <c r="AH11" s="52">
        <f>IF(AH25&lt;=Assumptions!$F$17, Assumptions!$D$17, IF(AH25&lt;=Assumptions!$F$18, Assumptions!$D$18, Assumptions!$D$19))</f>
        <v>500</v>
      </c>
      <c r="AI11" s="52">
        <f>IF(AI25&lt;=Assumptions!$F$17, Assumptions!$D$17, IF(AI25&lt;=Assumptions!$F$18, Assumptions!$D$18, Assumptions!$D$19))</f>
        <v>500</v>
      </c>
      <c r="AJ11" s="52">
        <f>IF(AJ25&lt;=Assumptions!$F$17, Assumptions!$D$17, IF(AJ25&lt;=Assumptions!$F$18, Assumptions!$D$18, Assumptions!$D$19))</f>
        <v>500</v>
      </c>
      <c r="AK11" s="52">
        <f>IF(AK25&lt;=Assumptions!$F$17, Assumptions!$D$17, IF(AK25&lt;=Assumptions!$F$18, Assumptions!$D$18, Assumptions!$D$19))</f>
        <v>500</v>
      </c>
      <c r="AL11" s="52">
        <f>IF(AL25&lt;=Assumptions!$F$17, Assumptions!$D$17, IF(AL25&lt;=Assumptions!$F$18, Assumptions!$D$18, Assumptions!$D$19))</f>
        <v>500</v>
      </c>
      <c r="AM11" s="52">
        <f>IF(AM25&lt;=Assumptions!$F$17, Assumptions!$D$17, IF(AM25&lt;=Assumptions!$F$18, Assumptions!$D$18, Assumptions!$D$19))</f>
        <v>500</v>
      </c>
      <c r="AN11" s="52">
        <f>IF(AN25&lt;=Assumptions!$F$17, Assumptions!$D$17, IF(AN25&lt;=Assumptions!$F$18, Assumptions!$D$18, Assumptions!$D$19))</f>
        <v>500</v>
      </c>
      <c r="AO11" s="52">
        <f>IF(AO25&lt;=Assumptions!$F$17, Assumptions!$D$17, IF(AO25&lt;=Assumptions!$F$18, Assumptions!$D$18, Assumptions!$D$19))</f>
        <v>500</v>
      </c>
      <c r="AP11" s="52">
        <f>IF(AP25&lt;=Assumptions!$F$17, Assumptions!$D$17, IF(AP25&lt;=Assumptions!$F$18, Assumptions!$D$18, Assumptions!$D$19))</f>
        <v>500</v>
      </c>
      <c r="AQ11" s="52">
        <f>IF(AQ25&lt;=Assumptions!$F$17, Assumptions!$D$17, IF(AQ25&lt;=Assumptions!$F$18, Assumptions!$D$18, Assumptions!$D$19))</f>
        <v>500</v>
      </c>
      <c r="AR11" s="52">
        <f>IF(AR25&lt;=Assumptions!$F$17, Assumptions!$D$17, IF(AR25&lt;=Assumptions!$F$18, Assumptions!$D$18, Assumptions!$D$19))</f>
        <v>500</v>
      </c>
      <c r="AS11" s="52">
        <f>IF(AS25&lt;=Assumptions!$F$17, Assumptions!$D$17, IF(AS25&lt;=Assumptions!$F$18, Assumptions!$D$18, Assumptions!$D$19))</f>
        <v>500</v>
      </c>
      <c r="AT11" s="52">
        <f>IF(AT25&lt;=Assumptions!$F$17, Assumptions!$D$17, IF(AT25&lt;=Assumptions!$F$18, Assumptions!$D$18, Assumptions!$D$19))</f>
        <v>500</v>
      </c>
      <c r="AU11" s="52">
        <f>IF(AU25&lt;=Assumptions!$F$17, Assumptions!$D$17, IF(AU25&lt;=Assumptions!$F$18, Assumptions!$D$18, Assumptions!$D$19))</f>
        <v>500</v>
      </c>
      <c r="AV11" s="52">
        <f>IF(AV25&lt;=Assumptions!$F$17, Assumptions!$D$17, IF(AV25&lt;=Assumptions!$F$18, Assumptions!$D$18, Assumptions!$D$19))</f>
        <v>500</v>
      </c>
      <c r="AW11" s="52">
        <f>IF(AW25&lt;=Assumptions!$F$17, Assumptions!$D$17, IF(AW25&lt;=Assumptions!$F$18, Assumptions!$D$18, Assumptions!$D$19))</f>
        <v>500</v>
      </c>
      <c r="AX11" s="52">
        <f>IF(AX25&lt;=Assumptions!$F$17, Assumptions!$D$17, IF(AX25&lt;=Assumptions!$F$18, Assumptions!$D$18, Assumptions!$D$19))</f>
        <v>500</v>
      </c>
      <c r="AY11" s="52">
        <f>IF(AY25&lt;=Assumptions!$F$17, Assumptions!$D$17, IF(AY25&lt;=Assumptions!$F$18, Assumptions!$D$18, Assumptions!$D$19))</f>
        <v>500</v>
      </c>
      <c r="AZ11" s="52">
        <f>IF(AZ25&lt;=Assumptions!$F$17, Assumptions!$D$17, IF(AZ25&lt;=Assumptions!$F$18, Assumptions!$D$18, Assumptions!$D$19))</f>
        <v>500</v>
      </c>
      <c r="BA11" s="52">
        <f>IF(BA25&lt;=Assumptions!$F$17, Assumptions!$D$17, IF(BA25&lt;=Assumptions!$F$18, Assumptions!$D$18, Assumptions!$D$19))</f>
        <v>500</v>
      </c>
      <c r="BB11" s="52">
        <f>IF(BB25&lt;=Assumptions!$F$17, Assumptions!$D$17, IF(BB25&lt;=Assumptions!$F$18, Assumptions!$D$18, Assumptions!$D$19))</f>
        <v>500</v>
      </c>
      <c r="BC11" s="52">
        <f>IF(BC25&lt;=Assumptions!$F$17, Assumptions!$D$17, IF(BC25&lt;=Assumptions!$F$18, Assumptions!$D$18, Assumptions!$D$19))</f>
        <v>500</v>
      </c>
      <c r="BD11" s="52">
        <f>IF(BD25&lt;=Assumptions!$F$17, Assumptions!$D$17, IF(BD25&lt;=Assumptions!$F$18, Assumptions!$D$18, Assumptions!$D$19))</f>
        <v>500</v>
      </c>
      <c r="BE11" s="52">
        <f>IF(BE25&lt;=Assumptions!$F$17, Assumptions!$D$17, IF(BE25&lt;=Assumptions!$F$18, Assumptions!$D$18, Assumptions!$D$19))</f>
        <v>500</v>
      </c>
      <c r="BF11" s="52">
        <f>IF(BF25&lt;=Assumptions!$F$17, Assumptions!$D$17, IF(BF25&lt;=Assumptions!$F$18, Assumptions!$D$18, Assumptions!$D$19))</f>
        <v>500</v>
      </c>
      <c r="BG11" s="52">
        <f>IF(BG25&lt;=Assumptions!$F$17, Assumptions!$D$17, IF(BG25&lt;=Assumptions!$F$18, Assumptions!$D$18, Assumptions!$D$19))</f>
        <v>500</v>
      </c>
      <c r="BH11" s="52">
        <f>IF(BH25&lt;=Assumptions!$F$17, Assumptions!$D$17, IF(BH25&lt;=Assumptions!$F$18, Assumptions!$D$18, Assumptions!$D$19))</f>
        <v>500</v>
      </c>
      <c r="BI11" s="52">
        <f>IF(BI25&lt;=Assumptions!$F$17, Assumptions!$D$17, IF(BI25&lt;=Assumptions!$F$18, Assumptions!$D$18, Assumptions!$D$19))</f>
        <v>500</v>
      </c>
      <c r="BJ11" s="52">
        <f>IF(BJ25&lt;=Assumptions!$F$17, Assumptions!$D$17, IF(BJ25&lt;=Assumptions!$F$18, Assumptions!$D$18, Assumptions!$D$19))</f>
        <v>500</v>
      </c>
      <c r="BK11" s="52">
        <f>IF(BK25&lt;=Assumptions!$F$17, Assumptions!$D$17, IF(BK25&lt;=Assumptions!$F$18, Assumptions!$D$18, Assumptions!$D$19))</f>
        <v>500</v>
      </c>
      <c r="BL11" s="52">
        <f>IF(BL25&lt;=Assumptions!$F$17, Assumptions!$D$17, IF(BL25&lt;=Assumptions!$F$18, Assumptions!$D$18, Assumptions!$D$19))</f>
        <v>500</v>
      </c>
      <c r="BM11" s="52">
        <f>IF(BM25&lt;=Assumptions!$F$17, Assumptions!$D$17, IF(BM25&lt;=Assumptions!$F$18, Assumptions!$D$18, Assumptions!$D$19))</f>
        <v>500</v>
      </c>
      <c r="BN11" s="52">
        <f>IF(BN25&lt;=Assumptions!$F$17, Assumptions!$D$17, IF(BN25&lt;=Assumptions!$F$18, Assumptions!$D$18, Assumptions!$D$19))</f>
        <v>500</v>
      </c>
      <c r="BO11" s="52">
        <f>IF(BO25&lt;=Assumptions!$F$17, Assumptions!$D$17, IF(BO25&lt;=Assumptions!$F$18, Assumptions!$D$18, Assumptions!$D$19))</f>
        <v>500</v>
      </c>
      <c r="BP11" s="52">
        <f>IF(BP25&lt;=Assumptions!$F$17, Assumptions!$D$17, IF(BP25&lt;=Assumptions!$F$18, Assumptions!$D$18, Assumptions!$D$19))</f>
        <v>500</v>
      </c>
      <c r="BQ11" s="52">
        <f>IF(BQ25&lt;=Assumptions!$F$17, Assumptions!$D$17, IF(BQ25&lt;=Assumptions!$F$18, Assumptions!$D$18, Assumptions!$D$19))</f>
        <v>500</v>
      </c>
      <c r="BR11" s="52">
        <f>IF(BR25&lt;=Assumptions!$F$17, Assumptions!$D$17, IF(BR25&lt;=Assumptions!$F$18, Assumptions!$D$18, Assumptions!$D$19))</f>
        <v>500</v>
      </c>
      <c r="BS11" s="52">
        <f>IF(BS25&lt;=Assumptions!$F$17, Assumptions!$D$17, IF(BS25&lt;=Assumptions!$F$18, Assumptions!$D$18, Assumptions!$D$19))</f>
        <v>500</v>
      </c>
      <c r="BT11" s="52">
        <f>IF(BT25&lt;=Assumptions!$F$17, Assumptions!$D$17, IF(BT25&lt;=Assumptions!$F$18, Assumptions!$D$18, Assumptions!$D$19))</f>
        <v>500</v>
      </c>
      <c r="BU11" s="52">
        <f>IF(BU25&lt;=Assumptions!$F$17, Assumptions!$D$17, IF(BU25&lt;=Assumptions!$F$18, Assumptions!$D$18, Assumptions!$D$19))</f>
        <v>500</v>
      </c>
      <c r="BV11" s="52">
        <f>IF(BV25&lt;=Assumptions!$F$17, Assumptions!$D$17, IF(BV25&lt;=Assumptions!$F$18, Assumptions!$D$18, Assumptions!$D$19))</f>
        <v>500</v>
      </c>
      <c r="BW11" s="52">
        <f>IF(BW25&lt;=Assumptions!$F$17, Assumptions!$D$17, IF(BW25&lt;=Assumptions!$F$18, Assumptions!$D$18, Assumptions!$D$19))</f>
        <v>500</v>
      </c>
      <c r="BX11" s="52">
        <f>IF(BX25&lt;=Assumptions!$F$17, Assumptions!$D$17, IF(BX25&lt;=Assumptions!$F$18, Assumptions!$D$18, Assumptions!$D$19))</f>
        <v>500</v>
      </c>
      <c r="BY11" s="52">
        <f>IF(BY25&lt;=Assumptions!$F$17, Assumptions!$D$17, IF(BY25&lt;=Assumptions!$F$18, Assumptions!$D$18, Assumptions!$D$19))</f>
        <v>500</v>
      </c>
      <c r="BZ11" s="52">
        <f>IF(BZ25&lt;=Assumptions!$F$17, Assumptions!$D$17, IF(BZ25&lt;=Assumptions!$F$18, Assumptions!$D$18, Assumptions!$D$19))</f>
        <v>500</v>
      </c>
      <c r="CA11" s="52">
        <f>IF(CA25&lt;=Assumptions!$F$17, Assumptions!$D$17, IF(CA25&lt;=Assumptions!$F$18, Assumptions!$D$18, Assumptions!$D$19))</f>
        <v>500</v>
      </c>
      <c r="CB11" s="52">
        <f>IF(CB25&lt;=Assumptions!$F$17, Assumptions!$D$17, IF(CB25&lt;=Assumptions!$F$18, Assumptions!$D$18, Assumptions!$D$19))</f>
        <v>500</v>
      </c>
      <c r="CC11" s="52">
        <f>IF(CC25&lt;=Assumptions!$F$17, Assumptions!$D$17, IF(CC25&lt;=Assumptions!$F$18, Assumptions!$D$18, Assumptions!$D$19))</f>
        <v>500</v>
      </c>
      <c r="CD11" s="52">
        <f>IF(CD25&lt;=Assumptions!$F$17, Assumptions!$D$17, IF(CD25&lt;=Assumptions!$F$18, Assumptions!$D$18, Assumptions!$D$19))</f>
        <v>500</v>
      </c>
      <c r="CE11" s="52">
        <f>IF(CE25&lt;=Assumptions!$F$17, Assumptions!$D$17, IF(CE25&lt;=Assumptions!$F$18, Assumptions!$D$18, Assumptions!$D$19))</f>
        <v>500</v>
      </c>
      <c r="CF11" s="52">
        <f>IF(CF25&lt;=Assumptions!$F$17, Assumptions!$D$17, IF(CF25&lt;=Assumptions!$F$18, Assumptions!$D$18, Assumptions!$D$19))</f>
        <v>500</v>
      </c>
      <c r="CG11" s="52">
        <f>IF(CG25&lt;=Assumptions!$F$17, Assumptions!$D$17, IF(CG25&lt;=Assumptions!$F$18, Assumptions!$D$18, Assumptions!$D$19))</f>
        <v>500</v>
      </c>
      <c r="CH11" s="52">
        <f>IF(CH25&lt;=Assumptions!$F$17, Assumptions!$D$17, IF(CH25&lt;=Assumptions!$F$18, Assumptions!$D$18, Assumptions!$D$19))</f>
        <v>500</v>
      </c>
      <c r="CI11" s="52">
        <f>IF(CI25&lt;=Assumptions!$F$17, Assumptions!$D$17, IF(CI25&lt;=Assumptions!$F$18, Assumptions!$D$18, Assumptions!$D$19))</f>
        <v>500</v>
      </c>
      <c r="CJ11" s="52">
        <f>IF(CJ25&lt;=Assumptions!$F$17, Assumptions!$D$17, IF(CJ25&lt;=Assumptions!$F$18, Assumptions!$D$18, Assumptions!$D$19))</f>
        <v>500</v>
      </c>
      <c r="CK11" s="52">
        <f>IF(CK25&lt;=Assumptions!$F$17, Assumptions!$D$17, IF(CK25&lt;=Assumptions!$F$18, Assumptions!$D$18, Assumptions!$D$19))</f>
        <v>500</v>
      </c>
      <c r="CL11" s="52">
        <f>IF(CL25&lt;=Assumptions!$F$17, Assumptions!$D$17, IF(CL25&lt;=Assumptions!$F$18, Assumptions!$D$18, Assumptions!$D$19))</f>
        <v>500</v>
      </c>
      <c r="CM11" s="52">
        <f>IF(CM25&lt;=Assumptions!$F$17, Assumptions!$D$17, IF(CM25&lt;=Assumptions!$F$18, Assumptions!$D$18, Assumptions!$D$19))</f>
        <v>500</v>
      </c>
      <c r="CN11" s="52">
        <f>IF(CN25&lt;=Assumptions!$F$17, Assumptions!$D$17, IF(CN25&lt;=Assumptions!$F$18, Assumptions!$D$18, Assumptions!$D$19))</f>
        <v>500</v>
      </c>
      <c r="CO11" s="52">
        <f>IF(CO25&lt;=Assumptions!$F$17, Assumptions!$D$17, IF(CO25&lt;=Assumptions!$F$18, Assumptions!$D$18, Assumptions!$D$19))</f>
        <v>500</v>
      </c>
      <c r="CP11" s="52">
        <f>IF(CP25&lt;=Assumptions!$F$17, Assumptions!$D$17, IF(CP25&lt;=Assumptions!$F$18, Assumptions!$D$18, Assumptions!$D$19))</f>
        <v>500</v>
      </c>
      <c r="CQ11" s="52">
        <f>IF(CQ25&lt;=Assumptions!$F$17, Assumptions!$D$17, IF(CQ25&lt;=Assumptions!$F$18, Assumptions!$D$18, Assumptions!$D$19))</f>
        <v>500</v>
      </c>
      <c r="CR11" s="52">
        <f>IF(CR25&lt;=Assumptions!$F$17, Assumptions!$D$17, IF(CR25&lt;=Assumptions!$F$18, Assumptions!$D$18, Assumptions!$D$19))</f>
        <v>500</v>
      </c>
      <c r="CS11" s="52">
        <f>IF(CS25&lt;=Assumptions!$F$17, Assumptions!$D$17, IF(CS25&lt;=Assumptions!$F$18, Assumptions!$D$18, Assumptions!$D$19))</f>
        <v>500</v>
      </c>
      <c r="CT11" s="52">
        <f>IF(CT25&lt;=Assumptions!$F$17, Assumptions!$D$17, IF(CT25&lt;=Assumptions!$F$18, Assumptions!$D$18, Assumptions!$D$19))</f>
        <v>500</v>
      </c>
      <c r="CU11" s="52">
        <f>IF(CU25&lt;=Assumptions!$F$17, Assumptions!$D$17, IF(CU25&lt;=Assumptions!$F$18, Assumptions!$D$18, Assumptions!$D$19))</f>
        <v>500</v>
      </c>
      <c r="CV11" s="52">
        <f>IF(CV25&lt;=Assumptions!$F$17, Assumptions!$D$17, IF(CV25&lt;=Assumptions!$F$18, Assumptions!$D$18, Assumptions!$D$19))</f>
        <v>500</v>
      </c>
      <c r="CW11" s="52">
        <f>IF(CW25&lt;=Assumptions!$F$17, Assumptions!$D$17, IF(CW25&lt;=Assumptions!$F$18, Assumptions!$D$18, Assumptions!$D$19))</f>
        <v>500</v>
      </c>
      <c r="CX11" s="52">
        <f>IF(CX25&lt;=Assumptions!$F$17, Assumptions!$D$17, IF(CX25&lt;=Assumptions!$F$18, Assumptions!$D$18, Assumptions!$D$19))</f>
        <v>500</v>
      </c>
      <c r="CY11" s="52">
        <f>IF(CY25&lt;=Assumptions!$F$17, Assumptions!$D$17, IF(CY25&lt;=Assumptions!$F$18, Assumptions!$D$18, Assumptions!$D$19))</f>
        <v>500</v>
      </c>
      <c r="CZ11" s="52">
        <f>IF(CZ25&lt;=Assumptions!$F$17, Assumptions!$D$17, IF(CZ25&lt;=Assumptions!$F$18, Assumptions!$D$18, Assumptions!$D$19))</f>
        <v>500</v>
      </c>
      <c r="DA11" s="52">
        <f>IF(DA25&lt;=Assumptions!$F$17, Assumptions!$D$17, IF(DA25&lt;=Assumptions!$F$18, Assumptions!$D$18, Assumptions!$D$19))</f>
        <v>500</v>
      </c>
      <c r="DB11" s="52">
        <f>IF(DB25&lt;=Assumptions!$F$17, Assumptions!$D$17, IF(DB25&lt;=Assumptions!$F$18, Assumptions!$D$18, Assumptions!$D$19))</f>
        <v>500</v>
      </c>
      <c r="DC11" s="52">
        <f>IF(DC25&lt;=Assumptions!$F$17, Assumptions!$D$17, IF(DC25&lt;=Assumptions!$F$18, Assumptions!$D$18, Assumptions!$D$19))</f>
        <v>500</v>
      </c>
      <c r="DD11" s="52">
        <f>IF(DD25&lt;=Assumptions!$F$17, Assumptions!$D$17, IF(DD25&lt;=Assumptions!$F$18, Assumptions!$D$18, Assumptions!$D$19))</f>
        <v>500</v>
      </c>
      <c r="DE11" s="52">
        <f>IF(DE25&lt;=Assumptions!$F$17, Assumptions!$D$17, IF(DE25&lt;=Assumptions!$F$18, Assumptions!$D$18, Assumptions!$D$19))</f>
        <v>500</v>
      </c>
      <c r="DF11" s="52">
        <f>IF(DF25&lt;=Assumptions!$F$17, Assumptions!$D$17, IF(DF25&lt;=Assumptions!$F$18, Assumptions!$D$18, Assumptions!$D$19))</f>
        <v>500</v>
      </c>
      <c r="DG11" s="52">
        <f>IF(DG25&lt;=Assumptions!$F$17, Assumptions!$D$17, IF(DG25&lt;=Assumptions!$F$18, Assumptions!$D$18, Assumptions!$D$19))</f>
        <v>500</v>
      </c>
      <c r="DH11" s="52">
        <f>IF(DH25&lt;=Assumptions!$F$17, Assumptions!$D$17, IF(DH25&lt;=Assumptions!$F$18, Assumptions!$D$18, Assumptions!$D$19))</f>
        <v>500</v>
      </c>
      <c r="DI11" s="52">
        <f>IF(DI25&lt;=Assumptions!$F$17, Assumptions!$D$17, IF(DI25&lt;=Assumptions!$F$18, Assumptions!$D$18, Assumptions!$D$19))</f>
        <v>500</v>
      </c>
      <c r="DJ11" s="52">
        <f>IF(DJ25&lt;=Assumptions!$F$17, Assumptions!$D$17, IF(DJ25&lt;=Assumptions!$F$18, Assumptions!$D$18, Assumptions!$D$19))</f>
        <v>500</v>
      </c>
      <c r="DK11" s="52">
        <f>IF(DK25&lt;=Assumptions!$F$17, Assumptions!$D$17, IF(DK25&lt;=Assumptions!$F$18, Assumptions!$D$18, Assumptions!$D$19))</f>
        <v>500</v>
      </c>
      <c r="DL11" s="52">
        <f>IF(DL25&lt;=Assumptions!$F$17, Assumptions!$D$17, IF(DL25&lt;=Assumptions!$F$18, Assumptions!$D$18, Assumptions!$D$19))</f>
        <v>500</v>
      </c>
      <c r="DM11" s="52">
        <f>IF(DM25&lt;=Assumptions!$F$17, Assumptions!$D$17, IF(DM25&lt;=Assumptions!$F$18, Assumptions!$D$18, Assumptions!$D$19))</f>
        <v>500</v>
      </c>
      <c r="DN11" s="52">
        <f>IF(DN25&lt;=Assumptions!$F$17, Assumptions!$D$17, IF(DN25&lt;=Assumptions!$F$18, Assumptions!$D$18, Assumptions!$D$19))</f>
        <v>500</v>
      </c>
      <c r="DO11" s="52">
        <f>IF(DO25&lt;=Assumptions!$F$17, Assumptions!$D$17, IF(DO25&lt;=Assumptions!$F$18, Assumptions!$D$18, Assumptions!$D$19))</f>
        <v>500</v>
      </c>
      <c r="DP11" s="52">
        <f>IF(DP25&lt;=Assumptions!$F$17, Assumptions!$D$17, IF(DP25&lt;=Assumptions!$F$18, Assumptions!$D$18, Assumptions!$D$19))</f>
        <v>500</v>
      </c>
      <c r="DQ11" s="52">
        <f>IF(DQ25&lt;=Assumptions!$F$17, Assumptions!$D$17, IF(DQ25&lt;=Assumptions!$F$18, Assumptions!$D$18, Assumptions!$D$19))</f>
        <v>500</v>
      </c>
      <c r="DR11" s="52">
        <f>IF(DR25&lt;=Assumptions!$F$17, Assumptions!$D$17, IF(DR25&lt;=Assumptions!$F$18, Assumptions!$D$18, Assumptions!$D$19))</f>
        <v>500</v>
      </c>
    </row>
    <row r="12" spans="2:124" x14ac:dyDescent="0.3">
      <c r="B12" s="52" t="s">
        <v>464</v>
      </c>
      <c r="C12" s="55">
        <f>+Assumptions!$C$7/12*'Metals Model'!C11</f>
        <v>1083.3333333333333</v>
      </c>
      <c r="D12" s="55">
        <f>+Assumptions!$C$7/12*'Metals Model'!D11</f>
        <v>1083.3333333333333</v>
      </c>
      <c r="E12" s="55">
        <f>+Assumptions!$C$7/12*'Metals Model'!E11</f>
        <v>1083.3333333333333</v>
      </c>
      <c r="F12" s="55">
        <f>+Assumptions!$C$7/12*'Metals Model'!F11</f>
        <v>1083.3333333333333</v>
      </c>
      <c r="G12" s="55">
        <f>+Assumptions!$C$7/12*'Metals Model'!G11</f>
        <v>6770.833333333333</v>
      </c>
      <c r="H12" s="55">
        <f>+Assumptions!$C$7/12*'Metals Model'!H11</f>
        <v>6770.833333333333</v>
      </c>
      <c r="I12" s="55">
        <f>+Assumptions!$C$7/12*'Metals Model'!I11</f>
        <v>6770.833333333333</v>
      </c>
      <c r="J12" s="55">
        <f>+Assumptions!$C$7/12*'Metals Model'!J11</f>
        <v>6770.833333333333</v>
      </c>
      <c r="K12" s="55">
        <f>+Assumptions!$C$7/12*'Metals Model'!K11</f>
        <v>6770.833333333333</v>
      </c>
      <c r="L12" s="55">
        <f>+Assumptions!$C$7/12*'Metals Model'!L11</f>
        <v>6770.833333333333</v>
      </c>
      <c r="M12" s="55">
        <f>+Assumptions!$C$7/12*'Metals Model'!M11</f>
        <v>13541.666666666666</v>
      </c>
      <c r="N12" s="55">
        <f>+Assumptions!$C$7/12*'Metals Model'!N11</f>
        <v>13541.666666666666</v>
      </c>
      <c r="O12" s="55">
        <f>+Assumptions!$C$7/12*'Metals Model'!O11</f>
        <v>13541.666666666666</v>
      </c>
      <c r="P12" s="55">
        <f>+Assumptions!$C$7/12*'Metals Model'!P11</f>
        <v>13541.666666666666</v>
      </c>
      <c r="Q12" s="55">
        <f>+Assumptions!$C$7/12*'Metals Model'!Q11</f>
        <v>13541.666666666666</v>
      </c>
      <c r="R12" s="55">
        <f>+Assumptions!$C$7/12*'Metals Model'!R11</f>
        <v>13541.666666666666</v>
      </c>
      <c r="S12" s="55">
        <f>+Assumptions!$C$7/12*'Metals Model'!S11</f>
        <v>13541.666666666666</v>
      </c>
      <c r="T12" s="55">
        <f>+Assumptions!$C$7/12*'Metals Model'!T11</f>
        <v>13541.666666666666</v>
      </c>
      <c r="U12" s="55">
        <f>+Assumptions!$C$7/12*'Metals Model'!U11</f>
        <v>13541.666666666666</v>
      </c>
      <c r="V12" s="55">
        <f>+Assumptions!$C$7/12*'Metals Model'!V11</f>
        <v>13541.666666666666</v>
      </c>
      <c r="W12" s="55">
        <f>+Assumptions!$C$7/12*'Metals Model'!W11</f>
        <v>13541.666666666666</v>
      </c>
      <c r="X12" s="55">
        <f>+Assumptions!$C$7/12*'Metals Model'!X11</f>
        <v>13541.666666666666</v>
      </c>
      <c r="Y12" s="55">
        <f>+Assumptions!$C$7/12*'Metals Model'!Y11</f>
        <v>13541.666666666666</v>
      </c>
      <c r="Z12" s="55">
        <f>+Assumptions!$C$7/12*'Metals Model'!Z11</f>
        <v>13541.666666666666</v>
      </c>
      <c r="AA12" s="55">
        <f>+Assumptions!$C$7/12*'Metals Model'!AA11</f>
        <v>13541.666666666666</v>
      </c>
      <c r="AB12" s="55">
        <f>+Assumptions!$C$7/12*'Metals Model'!AB11</f>
        <v>13541.666666666666</v>
      </c>
      <c r="AC12" s="55">
        <f>+Assumptions!$C$7/12*'Metals Model'!AC11</f>
        <v>13541.666666666666</v>
      </c>
      <c r="AD12" s="55">
        <f>+Assumptions!$C$7/12*'Metals Model'!AD11</f>
        <v>13541.666666666666</v>
      </c>
      <c r="AE12" s="55">
        <f>+Assumptions!$C$7/12*'Metals Model'!AE11</f>
        <v>13541.666666666666</v>
      </c>
      <c r="AF12" s="55">
        <f>+Assumptions!$C$7/12*'Metals Model'!AF11</f>
        <v>13541.666666666666</v>
      </c>
      <c r="AG12" s="55">
        <f>+Assumptions!$C$7/12*'Metals Model'!AG11</f>
        <v>13541.666666666666</v>
      </c>
      <c r="AH12" s="55">
        <f>+Assumptions!$C$7/12*'Metals Model'!AH11</f>
        <v>13541.666666666666</v>
      </c>
      <c r="AI12" s="55">
        <f>+Assumptions!$C$7/12*'Metals Model'!AI11</f>
        <v>13541.666666666666</v>
      </c>
      <c r="AJ12" s="55">
        <f>+Assumptions!$C$7/12*'Metals Model'!AJ11</f>
        <v>13541.666666666666</v>
      </c>
      <c r="AK12" s="55">
        <f>+Assumptions!$C$7/12*'Metals Model'!AK11</f>
        <v>13541.666666666666</v>
      </c>
      <c r="AL12" s="55">
        <f>+Assumptions!$C$7/12*'Metals Model'!AL11</f>
        <v>13541.666666666666</v>
      </c>
      <c r="AM12" s="55">
        <f>+Assumptions!$C$7/12*'Metals Model'!AM11</f>
        <v>13541.666666666666</v>
      </c>
      <c r="AN12" s="55">
        <f>+Assumptions!$C$7/12*'Metals Model'!AN11</f>
        <v>13541.666666666666</v>
      </c>
      <c r="AO12" s="55">
        <f>+Assumptions!$C$7/12*'Metals Model'!AO11</f>
        <v>13541.666666666666</v>
      </c>
      <c r="AP12" s="55">
        <f>+Assumptions!$C$7/12*'Metals Model'!AP11</f>
        <v>13541.666666666666</v>
      </c>
      <c r="AQ12" s="55">
        <f>+Assumptions!$C$7/12*'Metals Model'!AQ11</f>
        <v>13541.666666666666</v>
      </c>
      <c r="AR12" s="55">
        <f>+Assumptions!$C$7/12*'Metals Model'!AR11</f>
        <v>13541.666666666666</v>
      </c>
      <c r="AS12" s="55">
        <f>+Assumptions!$C$7/12*'Metals Model'!AS11</f>
        <v>13541.666666666666</v>
      </c>
      <c r="AT12" s="55">
        <f>+Assumptions!$C$7/12*'Metals Model'!AT11</f>
        <v>13541.666666666666</v>
      </c>
      <c r="AU12" s="55">
        <f>+Assumptions!$C$7/12*'Metals Model'!AU11</f>
        <v>13541.666666666666</v>
      </c>
      <c r="AV12" s="55">
        <f>+Assumptions!$C$7/12*'Metals Model'!AV11</f>
        <v>13541.666666666666</v>
      </c>
      <c r="AW12" s="55">
        <f>+Assumptions!$C$7/12*'Metals Model'!AW11</f>
        <v>13541.666666666666</v>
      </c>
      <c r="AX12" s="55">
        <f>+Assumptions!$C$7/12*'Metals Model'!AX11</f>
        <v>13541.666666666666</v>
      </c>
      <c r="AY12" s="55">
        <f>+Assumptions!$C$7/12*'Metals Model'!AY11</f>
        <v>13541.666666666666</v>
      </c>
      <c r="AZ12" s="55">
        <f>+Assumptions!$C$7/12*'Metals Model'!AZ11</f>
        <v>13541.666666666666</v>
      </c>
      <c r="BA12" s="55">
        <f>+Assumptions!$C$7/12*'Metals Model'!BA11</f>
        <v>13541.666666666666</v>
      </c>
      <c r="BB12" s="55">
        <f>+Assumptions!$C$7/12*'Metals Model'!BB11</f>
        <v>13541.666666666666</v>
      </c>
      <c r="BC12" s="55">
        <f>+Assumptions!$C$7/12*'Metals Model'!BC11</f>
        <v>13541.666666666666</v>
      </c>
      <c r="BD12" s="55">
        <f>+Assumptions!$C$7/12*'Metals Model'!BD11</f>
        <v>13541.666666666666</v>
      </c>
      <c r="BE12" s="55">
        <f>+Assumptions!$C$7/12*'Metals Model'!BE11</f>
        <v>13541.666666666666</v>
      </c>
      <c r="BF12" s="55">
        <f>+Assumptions!$C$7/12*'Metals Model'!BF11</f>
        <v>13541.666666666666</v>
      </c>
      <c r="BG12" s="55">
        <f>+Assumptions!$C$7/12*'Metals Model'!BG11</f>
        <v>13541.666666666666</v>
      </c>
      <c r="BH12" s="55">
        <f>+Assumptions!$C$7/12*'Metals Model'!BH11</f>
        <v>13541.666666666666</v>
      </c>
      <c r="BI12" s="55">
        <f>+Assumptions!$C$7/12*'Metals Model'!BI11</f>
        <v>13541.666666666666</v>
      </c>
      <c r="BJ12" s="55">
        <f>+Assumptions!$C$7/12*'Metals Model'!BJ11</f>
        <v>13541.666666666666</v>
      </c>
      <c r="BK12" s="55">
        <f>+Assumptions!$C$7/12*'Metals Model'!BK11</f>
        <v>13541.666666666666</v>
      </c>
      <c r="BL12" s="55">
        <f>+Assumptions!$C$7/12*'Metals Model'!BL11</f>
        <v>13541.666666666666</v>
      </c>
      <c r="BM12" s="55">
        <f>+Assumptions!$C$7/12*'Metals Model'!BM11</f>
        <v>13541.666666666666</v>
      </c>
      <c r="BN12" s="55">
        <f>+Assumptions!$C$7/12*'Metals Model'!BN11</f>
        <v>13541.666666666666</v>
      </c>
      <c r="BO12" s="55">
        <f>+Assumptions!$C$7/12*'Metals Model'!BO11</f>
        <v>13541.666666666666</v>
      </c>
      <c r="BP12" s="55">
        <f>+Assumptions!$C$7/12*'Metals Model'!BP11</f>
        <v>13541.666666666666</v>
      </c>
      <c r="BQ12" s="55">
        <f>+Assumptions!$C$7/12*'Metals Model'!BQ11</f>
        <v>13541.666666666666</v>
      </c>
      <c r="BR12" s="55">
        <f>+Assumptions!$C$7/12*'Metals Model'!BR11</f>
        <v>13541.666666666666</v>
      </c>
      <c r="BS12" s="55">
        <f>+Assumptions!$C$7/12*'Metals Model'!BS11</f>
        <v>13541.666666666666</v>
      </c>
      <c r="BT12" s="55">
        <f>+Assumptions!$C$7/12*'Metals Model'!BT11</f>
        <v>13541.666666666666</v>
      </c>
      <c r="BU12" s="55">
        <f>+Assumptions!$C$7/12*'Metals Model'!BU11</f>
        <v>13541.666666666666</v>
      </c>
      <c r="BV12" s="55">
        <f>+Assumptions!$C$7/12*'Metals Model'!BV11</f>
        <v>13541.666666666666</v>
      </c>
      <c r="BW12" s="55">
        <f>+Assumptions!$C$7/12*'Metals Model'!BW11</f>
        <v>13541.666666666666</v>
      </c>
      <c r="BX12" s="55">
        <f>+Assumptions!$C$7/12*'Metals Model'!BX11</f>
        <v>13541.666666666666</v>
      </c>
      <c r="BY12" s="55">
        <f>+Assumptions!$C$7/12*'Metals Model'!BY11</f>
        <v>13541.666666666666</v>
      </c>
      <c r="BZ12" s="55">
        <f>+Assumptions!$C$7/12*'Metals Model'!BZ11</f>
        <v>13541.666666666666</v>
      </c>
      <c r="CA12" s="55">
        <f>+Assumptions!$C$7/12*'Metals Model'!CA11</f>
        <v>13541.666666666666</v>
      </c>
      <c r="CB12" s="55">
        <f>+Assumptions!$C$7/12*'Metals Model'!CB11</f>
        <v>13541.666666666666</v>
      </c>
      <c r="CC12" s="55">
        <f>+Assumptions!$C$7/12*'Metals Model'!CC11</f>
        <v>13541.666666666666</v>
      </c>
      <c r="CD12" s="55">
        <f>+Assumptions!$C$7/12*'Metals Model'!CD11</f>
        <v>13541.666666666666</v>
      </c>
      <c r="CE12" s="55">
        <f>+Assumptions!$C$7/12*'Metals Model'!CE11</f>
        <v>13541.666666666666</v>
      </c>
      <c r="CF12" s="55">
        <f>+Assumptions!$C$7/12*'Metals Model'!CF11</f>
        <v>13541.666666666666</v>
      </c>
      <c r="CG12" s="55">
        <f>+Assumptions!$C$7/12*'Metals Model'!CG11</f>
        <v>13541.666666666666</v>
      </c>
      <c r="CH12" s="55">
        <f>+Assumptions!$C$7/12*'Metals Model'!CH11</f>
        <v>13541.666666666666</v>
      </c>
      <c r="CI12" s="55">
        <f>+Assumptions!$C$7/12*'Metals Model'!CI11</f>
        <v>13541.666666666666</v>
      </c>
      <c r="CJ12" s="55">
        <f>+Assumptions!$C$7/12*'Metals Model'!CJ11</f>
        <v>13541.666666666666</v>
      </c>
      <c r="CK12" s="55">
        <f>+Assumptions!$C$7/12*'Metals Model'!CK11</f>
        <v>13541.666666666666</v>
      </c>
      <c r="CL12" s="55">
        <f>+Assumptions!$C$7/12*'Metals Model'!CL11</f>
        <v>13541.666666666666</v>
      </c>
      <c r="CM12" s="55">
        <f>+Assumptions!$C$7/12*'Metals Model'!CM11</f>
        <v>13541.666666666666</v>
      </c>
      <c r="CN12" s="55">
        <f>+Assumptions!$C$7/12*'Metals Model'!CN11</f>
        <v>13541.666666666666</v>
      </c>
      <c r="CO12" s="55">
        <f>+Assumptions!$C$7/12*'Metals Model'!CO11</f>
        <v>13541.666666666666</v>
      </c>
      <c r="CP12" s="55">
        <f>+Assumptions!$C$7/12*'Metals Model'!CP11</f>
        <v>13541.666666666666</v>
      </c>
      <c r="CQ12" s="55">
        <f>+Assumptions!$C$7/12*'Metals Model'!CQ11</f>
        <v>13541.666666666666</v>
      </c>
      <c r="CR12" s="55">
        <f>+Assumptions!$C$7/12*'Metals Model'!CR11</f>
        <v>13541.666666666666</v>
      </c>
      <c r="CS12" s="55">
        <f>+Assumptions!$C$7/12*'Metals Model'!CS11</f>
        <v>13541.666666666666</v>
      </c>
      <c r="CT12" s="55">
        <f>+Assumptions!$C$7/12*'Metals Model'!CT11</f>
        <v>13541.666666666666</v>
      </c>
      <c r="CU12" s="55">
        <f>+Assumptions!$C$7/12*'Metals Model'!CU11</f>
        <v>13541.666666666666</v>
      </c>
      <c r="CV12" s="55">
        <f>+Assumptions!$C$7/12*'Metals Model'!CV11</f>
        <v>13541.666666666666</v>
      </c>
      <c r="CW12" s="55">
        <f>+Assumptions!$C$7/12*'Metals Model'!CW11</f>
        <v>13541.666666666666</v>
      </c>
      <c r="CX12" s="55">
        <f>+Assumptions!$C$7/12*'Metals Model'!CX11</f>
        <v>13541.666666666666</v>
      </c>
      <c r="CY12" s="55">
        <f>+Assumptions!$C$7/12*'Metals Model'!CY11</f>
        <v>13541.666666666666</v>
      </c>
      <c r="CZ12" s="55">
        <f>+Assumptions!$C$7/12*'Metals Model'!CZ11</f>
        <v>13541.666666666666</v>
      </c>
      <c r="DA12" s="55">
        <f>+Assumptions!$C$7/12*'Metals Model'!DA11</f>
        <v>13541.666666666666</v>
      </c>
      <c r="DB12" s="55">
        <f>+Assumptions!$C$7/12*'Metals Model'!DB11</f>
        <v>13541.666666666666</v>
      </c>
      <c r="DC12" s="55">
        <f>+Assumptions!$C$7/12*'Metals Model'!DC11</f>
        <v>13541.666666666666</v>
      </c>
      <c r="DD12" s="55">
        <f>+Assumptions!$C$7/12*'Metals Model'!DD11</f>
        <v>13541.666666666666</v>
      </c>
      <c r="DE12" s="55">
        <f>+Assumptions!$C$7/12*'Metals Model'!DE11</f>
        <v>13541.666666666666</v>
      </c>
      <c r="DF12" s="55">
        <f>+Assumptions!$C$7/12*'Metals Model'!DF11</f>
        <v>13541.666666666666</v>
      </c>
      <c r="DG12" s="55">
        <f>+Assumptions!$C$7/12*'Metals Model'!DG11</f>
        <v>13541.666666666666</v>
      </c>
      <c r="DH12" s="55">
        <f>+Assumptions!$C$7/12*'Metals Model'!DH11</f>
        <v>13541.666666666666</v>
      </c>
      <c r="DI12" s="55">
        <f>+Assumptions!$C$7/12*'Metals Model'!DI11</f>
        <v>13541.666666666666</v>
      </c>
      <c r="DJ12" s="55">
        <f>+Assumptions!$C$7/12*'Metals Model'!DJ11</f>
        <v>13541.666666666666</v>
      </c>
      <c r="DK12" s="55">
        <f>+Assumptions!$C$7/12*'Metals Model'!DK11</f>
        <v>13541.666666666666</v>
      </c>
      <c r="DL12" s="55">
        <f>+Assumptions!$C$7/12*'Metals Model'!DL11</f>
        <v>13541.666666666666</v>
      </c>
      <c r="DM12" s="55">
        <f>+Assumptions!$C$7/12*'Metals Model'!DM11</f>
        <v>13541.666666666666</v>
      </c>
      <c r="DN12" s="55">
        <f>+Assumptions!$C$7/12*'Metals Model'!DN11</f>
        <v>13541.666666666666</v>
      </c>
      <c r="DO12" s="55">
        <f>+Assumptions!$C$7/12*'Metals Model'!DO11</f>
        <v>13541.666666666666</v>
      </c>
      <c r="DP12" s="55">
        <f>+Assumptions!$C$7/12*'Metals Model'!DP11</f>
        <v>13541.666666666666</v>
      </c>
      <c r="DQ12" s="55">
        <f>+Assumptions!$C$7/12*'Metals Model'!DQ11</f>
        <v>13541.666666666666</v>
      </c>
      <c r="DR12" s="55">
        <f>+Assumptions!$C$7/12*'Metals Model'!DR11</f>
        <v>13541.666666666666</v>
      </c>
    </row>
    <row r="13" spans="2:124" x14ac:dyDescent="0.3">
      <c r="B13" s="52" t="s">
        <v>174</v>
      </c>
      <c r="C13" s="114" t="str">
        <f>IF(C25&lt;=Assumptions!$C$8,"No","Yes")</f>
        <v>No</v>
      </c>
      <c r="D13" s="114" t="str">
        <f>IF(D25&lt;=Assumptions!$C$8,"No","Yes")</f>
        <v>No</v>
      </c>
      <c r="E13" s="114" t="str">
        <f>IF(E25&lt;=Assumptions!$C$8,"No","Yes")</f>
        <v>Yes</v>
      </c>
      <c r="F13" s="114" t="str">
        <f>IF(F25&lt;=Assumptions!$C$8,"No","Yes")</f>
        <v>Yes</v>
      </c>
      <c r="G13" s="114" t="str">
        <f>IF(G25&lt;=Assumptions!$C$8,"No","Yes")</f>
        <v>Yes</v>
      </c>
      <c r="H13" s="114" t="str">
        <f>IF(H25&lt;=Assumptions!$C$8,"No","Yes")</f>
        <v>Yes</v>
      </c>
      <c r="I13" s="114" t="str">
        <f>IF(I25&lt;=Assumptions!$C$8,"No","Yes")</f>
        <v>Yes</v>
      </c>
      <c r="J13" s="114" t="str">
        <f>IF(J25&lt;=Assumptions!$C$8,"No","Yes")</f>
        <v>Yes</v>
      </c>
      <c r="K13" s="114" t="str">
        <f>IF(K25&lt;=Assumptions!$C$8,"No","Yes")</f>
        <v>Yes</v>
      </c>
      <c r="L13" s="114" t="str">
        <f>IF(L25&lt;=Assumptions!$C$8,"No","Yes")</f>
        <v>Yes</v>
      </c>
      <c r="M13" s="114" t="str">
        <f>IF(M25&lt;=Assumptions!$C$8,"No","Yes")</f>
        <v>Yes</v>
      </c>
      <c r="N13" s="114" t="str">
        <f>IF(N25&lt;=Assumptions!$C$8,"No","Yes")</f>
        <v>Yes</v>
      </c>
      <c r="O13" s="114" t="str">
        <f>IF(O25&lt;=Assumptions!$C$8,"No","Yes")</f>
        <v>Yes</v>
      </c>
      <c r="P13" s="114" t="str">
        <f>IF(P25&lt;=Assumptions!$C$8,"No","Yes")</f>
        <v>Yes</v>
      </c>
      <c r="Q13" s="114" t="str">
        <f>IF(Q25&lt;=Assumptions!$C$8,"No","Yes")</f>
        <v>Yes</v>
      </c>
      <c r="R13" s="114" t="str">
        <f>IF(R25&lt;=Assumptions!$C$8,"No","Yes")</f>
        <v>Yes</v>
      </c>
      <c r="S13" s="114" t="str">
        <f>IF(S25&lt;=Assumptions!$C$8,"No","Yes")</f>
        <v>Yes</v>
      </c>
      <c r="T13" s="114" t="str">
        <f>IF(T25&lt;=Assumptions!$C$8,"No","Yes")</f>
        <v>Yes</v>
      </c>
      <c r="U13" s="114" t="str">
        <f>IF(U25&lt;=Assumptions!$C$8,"No","Yes")</f>
        <v>Yes</v>
      </c>
      <c r="V13" s="114" t="str">
        <f>IF(V25&lt;=Assumptions!$C$8,"No","Yes")</f>
        <v>Yes</v>
      </c>
      <c r="W13" s="114" t="str">
        <f>IF(W25&lt;=Assumptions!$C$8,"No","Yes")</f>
        <v>Yes</v>
      </c>
      <c r="X13" s="114" t="str">
        <f>IF(X25&lt;=Assumptions!$C$8,"No","Yes")</f>
        <v>Yes</v>
      </c>
      <c r="Y13" s="114" t="str">
        <f>IF(Y25&lt;=Assumptions!$C$8,"No","Yes")</f>
        <v>Yes</v>
      </c>
      <c r="Z13" s="114" t="str">
        <f>IF(Z25&lt;=Assumptions!$C$8,"No","Yes")</f>
        <v>Yes</v>
      </c>
      <c r="AA13" s="114" t="str">
        <f>IF(AA25&lt;=Assumptions!$C$8,"No","Yes")</f>
        <v>Yes</v>
      </c>
      <c r="AB13" s="114" t="str">
        <f>IF(AB25&lt;=Assumptions!$C$8,"No","Yes")</f>
        <v>Yes</v>
      </c>
      <c r="AC13" s="114" t="str">
        <f>IF(AC25&lt;=Assumptions!$C$8,"No","Yes")</f>
        <v>Yes</v>
      </c>
      <c r="AD13" s="114" t="str">
        <f>IF(AD25&lt;=Assumptions!$C$8,"No","Yes")</f>
        <v>Yes</v>
      </c>
      <c r="AE13" s="114" t="str">
        <f>IF(AE25&lt;=Assumptions!$C$8,"No","Yes")</f>
        <v>Yes</v>
      </c>
      <c r="AF13" s="114" t="str">
        <f>IF(AF25&lt;=Assumptions!$C$8,"No","Yes")</f>
        <v>Yes</v>
      </c>
      <c r="AG13" s="114" t="str">
        <f>IF(AG25&lt;=Assumptions!$C$8,"No","Yes")</f>
        <v>Yes</v>
      </c>
      <c r="AH13" s="114" t="str">
        <f>IF(AH25&lt;=Assumptions!$C$8,"No","Yes")</f>
        <v>Yes</v>
      </c>
      <c r="AI13" s="114" t="str">
        <f>IF(AI25&lt;=Assumptions!$C$8,"No","Yes")</f>
        <v>Yes</v>
      </c>
      <c r="AJ13" s="114" t="str">
        <f>IF(AJ25&lt;=Assumptions!$C$8,"No","Yes")</f>
        <v>Yes</v>
      </c>
      <c r="AK13" s="114" t="str">
        <f>IF(AK25&lt;=Assumptions!$C$8,"No","Yes")</f>
        <v>Yes</v>
      </c>
      <c r="AL13" s="114" t="str">
        <f>IF(AL25&lt;=Assumptions!$C$8,"No","Yes")</f>
        <v>Yes</v>
      </c>
      <c r="AM13" s="114" t="str">
        <f>IF(AM25&lt;=Assumptions!$C$8,"No","Yes")</f>
        <v>Yes</v>
      </c>
      <c r="AN13" s="114" t="str">
        <f>IF(AN25&lt;=Assumptions!$C$8,"No","Yes")</f>
        <v>Yes</v>
      </c>
      <c r="AO13" s="114" t="str">
        <f>IF(AO25&lt;=Assumptions!$C$8,"No","Yes")</f>
        <v>Yes</v>
      </c>
      <c r="AP13" s="114" t="str">
        <f>IF(AP25&lt;=Assumptions!$C$8,"No","Yes")</f>
        <v>Yes</v>
      </c>
      <c r="AQ13" s="114" t="str">
        <f>IF(AQ25&lt;=Assumptions!$C$8,"No","Yes")</f>
        <v>Yes</v>
      </c>
      <c r="AR13" s="114" t="str">
        <f>IF(AR25&lt;=Assumptions!$C$8,"No","Yes")</f>
        <v>Yes</v>
      </c>
      <c r="AS13" s="114" t="str">
        <f>IF(AS25&lt;=Assumptions!$C$8,"No","Yes")</f>
        <v>Yes</v>
      </c>
      <c r="AT13" s="114" t="str">
        <f>IF(AT25&lt;=Assumptions!$C$8,"No","Yes")</f>
        <v>Yes</v>
      </c>
      <c r="AU13" s="114" t="str">
        <f>IF(AU25&lt;=Assumptions!$C$8,"No","Yes")</f>
        <v>Yes</v>
      </c>
      <c r="AV13" s="114" t="str">
        <f>IF(AV25&lt;=Assumptions!$C$8,"No","Yes")</f>
        <v>Yes</v>
      </c>
      <c r="AW13" s="114" t="str">
        <f>IF(AW25&lt;=Assumptions!$C$8,"No","Yes")</f>
        <v>Yes</v>
      </c>
      <c r="AX13" s="114" t="str">
        <f>IF(AX25&lt;=Assumptions!$C$8,"No","Yes")</f>
        <v>Yes</v>
      </c>
      <c r="AY13" s="114" t="str">
        <f>IF(AY25&lt;=Assumptions!$C$8,"No","Yes")</f>
        <v>Yes</v>
      </c>
      <c r="AZ13" s="114" t="str">
        <f>IF(AZ25&lt;=Assumptions!$C$8,"No","Yes")</f>
        <v>Yes</v>
      </c>
      <c r="BA13" s="114" t="str">
        <f>IF(BA25&lt;=Assumptions!$C$8,"No","Yes")</f>
        <v>Yes</v>
      </c>
      <c r="BB13" s="114" t="str">
        <f>IF(BB25&lt;=Assumptions!$C$8,"No","Yes")</f>
        <v>Yes</v>
      </c>
      <c r="BC13" s="114" t="str">
        <f>IF(BC25&lt;=Assumptions!$C$8,"No","Yes")</f>
        <v>Yes</v>
      </c>
      <c r="BD13" s="114" t="str">
        <f>IF(BD25&lt;=Assumptions!$C$8,"No","Yes")</f>
        <v>Yes</v>
      </c>
      <c r="BE13" s="114" t="str">
        <f>IF(BE25&lt;=Assumptions!$C$8,"No","Yes")</f>
        <v>Yes</v>
      </c>
      <c r="BF13" s="114" t="str">
        <f>IF(BF25&lt;=Assumptions!$C$8,"No","Yes")</f>
        <v>Yes</v>
      </c>
      <c r="BG13" s="114" t="str">
        <f>IF(BG25&lt;=Assumptions!$C$8,"No","Yes")</f>
        <v>Yes</v>
      </c>
      <c r="BH13" s="114" t="str">
        <f>IF(BH25&lt;=Assumptions!$C$8,"No","Yes")</f>
        <v>Yes</v>
      </c>
      <c r="BI13" s="114" t="str">
        <f>IF(BI25&lt;=Assumptions!$C$8,"No","Yes")</f>
        <v>Yes</v>
      </c>
      <c r="BJ13" s="114" t="str">
        <f>IF(BJ25&lt;=Assumptions!$C$8,"No","Yes")</f>
        <v>Yes</v>
      </c>
      <c r="BK13" s="114" t="str">
        <f>IF(BK25&lt;=Assumptions!$C$8,"No","Yes")</f>
        <v>Yes</v>
      </c>
      <c r="BL13" s="114" t="str">
        <f>IF(BL25&lt;=Assumptions!$C$8,"No","Yes")</f>
        <v>Yes</v>
      </c>
      <c r="BM13" s="114" t="str">
        <f>IF(BM25&lt;=Assumptions!$C$8,"No","Yes")</f>
        <v>Yes</v>
      </c>
      <c r="BN13" s="114" t="str">
        <f>IF(BN25&lt;=Assumptions!$C$8,"No","Yes")</f>
        <v>Yes</v>
      </c>
      <c r="BO13" s="114" t="str">
        <f>IF(BO25&lt;=Assumptions!$C$8,"No","Yes")</f>
        <v>Yes</v>
      </c>
      <c r="BP13" s="114" t="str">
        <f>IF(BP25&lt;=Assumptions!$C$8,"No","Yes")</f>
        <v>Yes</v>
      </c>
      <c r="BQ13" s="114" t="str">
        <f>IF(BQ25&lt;=Assumptions!$C$8,"No","Yes")</f>
        <v>Yes</v>
      </c>
      <c r="BR13" s="114" t="str">
        <f>IF(BR25&lt;=Assumptions!$C$8,"No","Yes")</f>
        <v>Yes</v>
      </c>
      <c r="BS13" s="114" t="str">
        <f>IF(BS25&lt;=Assumptions!$C$8,"No","Yes")</f>
        <v>Yes</v>
      </c>
      <c r="BT13" s="114" t="str">
        <f>IF(BT25&lt;=Assumptions!$C$8,"No","Yes")</f>
        <v>Yes</v>
      </c>
      <c r="BU13" s="114" t="str">
        <f>IF(BU25&lt;=Assumptions!$C$8,"No","Yes")</f>
        <v>Yes</v>
      </c>
      <c r="BV13" s="114" t="str">
        <f>IF(BV25&lt;=Assumptions!$C$8,"No","Yes")</f>
        <v>Yes</v>
      </c>
      <c r="BW13" s="114" t="str">
        <f>IF(BW25&lt;=Assumptions!$C$8,"No","Yes")</f>
        <v>Yes</v>
      </c>
      <c r="BX13" s="114" t="str">
        <f>IF(BX25&lt;=Assumptions!$C$8,"No","Yes")</f>
        <v>Yes</v>
      </c>
      <c r="BY13" s="114" t="str">
        <f>IF(BY25&lt;=Assumptions!$C$8,"No","Yes")</f>
        <v>Yes</v>
      </c>
      <c r="BZ13" s="114" t="str">
        <f>IF(BZ25&lt;=Assumptions!$C$8,"No","Yes")</f>
        <v>Yes</v>
      </c>
      <c r="CA13" s="114" t="str">
        <f>IF(CA25&lt;=Assumptions!$C$8,"No","Yes")</f>
        <v>Yes</v>
      </c>
      <c r="CB13" s="114" t="str">
        <f>IF(CB25&lt;=Assumptions!$C$8,"No","Yes")</f>
        <v>Yes</v>
      </c>
      <c r="CC13" s="114" t="str">
        <f>IF(CC25&lt;=Assumptions!$C$8,"No","Yes")</f>
        <v>Yes</v>
      </c>
      <c r="CD13" s="114" t="str">
        <f>IF(CD25&lt;=Assumptions!$C$8,"No","Yes")</f>
        <v>Yes</v>
      </c>
      <c r="CE13" s="114" t="str">
        <f>IF(CE25&lt;=Assumptions!$C$8,"No","Yes")</f>
        <v>Yes</v>
      </c>
      <c r="CF13" s="114" t="str">
        <f>IF(CF25&lt;=Assumptions!$C$8,"No","Yes")</f>
        <v>Yes</v>
      </c>
      <c r="CG13" s="114" t="str">
        <f>IF(CG25&lt;=Assumptions!$C$8,"No","Yes")</f>
        <v>Yes</v>
      </c>
      <c r="CH13" s="114" t="str">
        <f>IF(CH25&lt;=Assumptions!$C$8,"No","Yes")</f>
        <v>Yes</v>
      </c>
      <c r="CI13" s="114" t="str">
        <f>IF(CI25&lt;=Assumptions!$C$8,"No","Yes")</f>
        <v>Yes</v>
      </c>
      <c r="CJ13" s="114" t="str">
        <f>IF(CJ25&lt;=Assumptions!$C$8,"No","Yes")</f>
        <v>Yes</v>
      </c>
      <c r="CK13" s="114" t="str">
        <f>IF(CK25&lt;=Assumptions!$C$8,"No","Yes")</f>
        <v>Yes</v>
      </c>
      <c r="CL13" s="114" t="str">
        <f>IF(CL25&lt;=Assumptions!$C$8,"No","Yes")</f>
        <v>Yes</v>
      </c>
      <c r="CM13" s="114" t="str">
        <f>IF(CM25&lt;=Assumptions!$C$8,"No","Yes")</f>
        <v>Yes</v>
      </c>
      <c r="CN13" s="114" t="str">
        <f>IF(CN25&lt;=Assumptions!$C$8,"No","Yes")</f>
        <v>Yes</v>
      </c>
      <c r="CO13" s="114" t="str">
        <f>IF(CO25&lt;=Assumptions!$C$8,"No","Yes")</f>
        <v>Yes</v>
      </c>
      <c r="CP13" s="114" t="str">
        <f>IF(CP25&lt;=Assumptions!$C$8,"No","Yes")</f>
        <v>Yes</v>
      </c>
      <c r="CQ13" s="114" t="str">
        <f>IF(CQ25&lt;=Assumptions!$C$8,"No","Yes")</f>
        <v>Yes</v>
      </c>
      <c r="CR13" s="114" t="str">
        <f>IF(CR25&lt;=Assumptions!$C$8,"No","Yes")</f>
        <v>Yes</v>
      </c>
      <c r="CS13" s="114" t="str">
        <f>IF(CS25&lt;=Assumptions!$C$8,"No","Yes")</f>
        <v>Yes</v>
      </c>
      <c r="CT13" s="114" t="str">
        <f>IF(CT25&lt;=Assumptions!$C$8,"No","Yes")</f>
        <v>Yes</v>
      </c>
      <c r="CU13" s="114" t="str">
        <f>IF(CU25&lt;=Assumptions!$C$8,"No","Yes")</f>
        <v>Yes</v>
      </c>
      <c r="CV13" s="114" t="str">
        <f>IF(CV25&lt;=Assumptions!$C$8,"No","Yes")</f>
        <v>Yes</v>
      </c>
      <c r="CW13" s="114" t="str">
        <f>IF(CW25&lt;=Assumptions!$C$8,"No","Yes")</f>
        <v>Yes</v>
      </c>
      <c r="CX13" s="114" t="str">
        <f>IF(CX25&lt;=Assumptions!$C$8,"No","Yes")</f>
        <v>Yes</v>
      </c>
      <c r="CY13" s="114" t="str">
        <f>IF(CY25&lt;=Assumptions!$C$8,"No","Yes")</f>
        <v>Yes</v>
      </c>
      <c r="CZ13" s="114" t="str">
        <f>IF(CZ25&lt;=Assumptions!$C$8,"No","Yes")</f>
        <v>Yes</v>
      </c>
      <c r="DA13" s="114" t="str">
        <f>IF(DA25&lt;=Assumptions!$C$8,"No","Yes")</f>
        <v>Yes</v>
      </c>
      <c r="DB13" s="114" t="str">
        <f>IF(DB25&lt;=Assumptions!$C$8,"No","Yes")</f>
        <v>Yes</v>
      </c>
      <c r="DC13" s="114" t="str">
        <f>IF(DC25&lt;=Assumptions!$C$8,"No","Yes")</f>
        <v>Yes</v>
      </c>
      <c r="DD13" s="114" t="str">
        <f>IF(DD25&lt;=Assumptions!$C$8,"No","Yes")</f>
        <v>Yes</v>
      </c>
      <c r="DE13" s="114" t="str">
        <f>IF(DE25&lt;=Assumptions!$C$8,"No","Yes")</f>
        <v>Yes</v>
      </c>
      <c r="DF13" s="114" t="str">
        <f>IF(DF25&lt;=Assumptions!$C$8,"No","Yes")</f>
        <v>Yes</v>
      </c>
      <c r="DG13" s="114" t="str">
        <f>IF(DG25&lt;=Assumptions!$C$8,"No","Yes")</f>
        <v>Yes</v>
      </c>
      <c r="DH13" s="114" t="str">
        <f>IF(DH25&lt;=Assumptions!$C$8,"No","Yes")</f>
        <v>Yes</v>
      </c>
      <c r="DI13" s="114" t="str">
        <f>IF(DI25&lt;=Assumptions!$C$8,"No","Yes")</f>
        <v>Yes</v>
      </c>
      <c r="DJ13" s="114" t="str">
        <f>IF(DJ25&lt;=Assumptions!$C$8,"No","Yes")</f>
        <v>Yes</v>
      </c>
      <c r="DK13" s="114" t="str">
        <f>IF(DK25&lt;=Assumptions!$C$8,"No","Yes")</f>
        <v>Yes</v>
      </c>
      <c r="DL13" s="114" t="str">
        <f>IF(DL25&lt;=Assumptions!$C$8,"No","Yes")</f>
        <v>Yes</v>
      </c>
      <c r="DM13" s="114" t="str">
        <f>IF(DM25&lt;=Assumptions!$C$8,"No","Yes")</f>
        <v>Yes</v>
      </c>
      <c r="DN13" s="114" t="str">
        <f>IF(DN25&lt;=Assumptions!$C$8,"No","Yes")</f>
        <v>Yes</v>
      </c>
      <c r="DO13" s="114" t="str">
        <f>IF(DO25&lt;=Assumptions!$C$8,"No","Yes")</f>
        <v>Yes</v>
      </c>
      <c r="DP13" s="114" t="str">
        <f>IF(DP25&lt;=Assumptions!$C$8,"No","Yes")</f>
        <v>Yes</v>
      </c>
      <c r="DQ13" s="114" t="str">
        <f>IF(DQ25&lt;=Assumptions!$C$8,"No","Yes")</f>
        <v>Yes</v>
      </c>
      <c r="DR13" s="114" t="str">
        <f>IF(DR25&lt;=Assumptions!$C$8,"No","Yes")</f>
        <v>Yes</v>
      </c>
      <c r="DS13" s="117"/>
    </row>
    <row r="14" spans="2:124" x14ac:dyDescent="0.3">
      <c r="B14" s="52" t="s">
        <v>420</v>
      </c>
      <c r="C14" s="114" t="str">
        <f>IF(C11&lt;500,"Yes","No")</f>
        <v>Yes</v>
      </c>
      <c r="D14" s="114" t="str">
        <f t="shared" ref="D14:BO14" si="3">IF(D11&lt;500,"Yes","No")</f>
        <v>Yes</v>
      </c>
      <c r="E14" s="114" t="str">
        <f t="shared" si="3"/>
        <v>Yes</v>
      </c>
      <c r="F14" s="114" t="str">
        <f t="shared" si="3"/>
        <v>Yes</v>
      </c>
      <c r="G14" s="114" t="str">
        <f t="shared" si="3"/>
        <v>Yes</v>
      </c>
      <c r="H14" s="114" t="str">
        <f t="shared" si="3"/>
        <v>Yes</v>
      </c>
      <c r="I14" s="114" t="str">
        <f t="shared" si="3"/>
        <v>Yes</v>
      </c>
      <c r="J14" s="114" t="str">
        <f t="shared" si="3"/>
        <v>Yes</v>
      </c>
      <c r="K14" s="114" t="str">
        <f t="shared" si="3"/>
        <v>Yes</v>
      </c>
      <c r="L14" s="114" t="str">
        <f t="shared" si="3"/>
        <v>Yes</v>
      </c>
      <c r="M14" s="114" t="str">
        <f t="shared" si="3"/>
        <v>No</v>
      </c>
      <c r="N14" s="114" t="str">
        <f t="shared" si="3"/>
        <v>No</v>
      </c>
      <c r="O14" s="114" t="str">
        <f t="shared" si="3"/>
        <v>No</v>
      </c>
      <c r="P14" s="114" t="str">
        <f t="shared" si="3"/>
        <v>No</v>
      </c>
      <c r="Q14" s="114" t="str">
        <f t="shared" si="3"/>
        <v>No</v>
      </c>
      <c r="R14" s="114" t="str">
        <f t="shared" si="3"/>
        <v>No</v>
      </c>
      <c r="S14" s="114" t="str">
        <f t="shared" si="3"/>
        <v>No</v>
      </c>
      <c r="T14" s="114" t="str">
        <f t="shared" si="3"/>
        <v>No</v>
      </c>
      <c r="U14" s="114" t="str">
        <f t="shared" si="3"/>
        <v>No</v>
      </c>
      <c r="V14" s="114" t="str">
        <f t="shared" si="3"/>
        <v>No</v>
      </c>
      <c r="W14" s="114" t="str">
        <f t="shared" si="3"/>
        <v>No</v>
      </c>
      <c r="X14" s="114" t="str">
        <f t="shared" si="3"/>
        <v>No</v>
      </c>
      <c r="Y14" s="114" t="str">
        <f t="shared" si="3"/>
        <v>No</v>
      </c>
      <c r="Z14" s="114" t="str">
        <f t="shared" si="3"/>
        <v>No</v>
      </c>
      <c r="AA14" s="114" t="str">
        <f t="shared" si="3"/>
        <v>No</v>
      </c>
      <c r="AB14" s="114" t="str">
        <f t="shared" si="3"/>
        <v>No</v>
      </c>
      <c r="AC14" s="114" t="str">
        <f t="shared" si="3"/>
        <v>No</v>
      </c>
      <c r="AD14" s="114" t="str">
        <f t="shared" si="3"/>
        <v>No</v>
      </c>
      <c r="AE14" s="114" t="str">
        <f t="shared" si="3"/>
        <v>No</v>
      </c>
      <c r="AF14" s="114" t="str">
        <f t="shared" si="3"/>
        <v>No</v>
      </c>
      <c r="AG14" s="114" t="str">
        <f t="shared" si="3"/>
        <v>No</v>
      </c>
      <c r="AH14" s="114" t="str">
        <f t="shared" si="3"/>
        <v>No</v>
      </c>
      <c r="AI14" s="114" t="str">
        <f t="shared" si="3"/>
        <v>No</v>
      </c>
      <c r="AJ14" s="114" t="str">
        <f t="shared" si="3"/>
        <v>No</v>
      </c>
      <c r="AK14" s="114" t="str">
        <f t="shared" si="3"/>
        <v>No</v>
      </c>
      <c r="AL14" s="114" t="str">
        <f t="shared" si="3"/>
        <v>No</v>
      </c>
      <c r="AM14" s="114" t="str">
        <f t="shared" si="3"/>
        <v>No</v>
      </c>
      <c r="AN14" s="114" t="str">
        <f t="shared" si="3"/>
        <v>No</v>
      </c>
      <c r="AO14" s="114" t="str">
        <f t="shared" si="3"/>
        <v>No</v>
      </c>
      <c r="AP14" s="114" t="str">
        <f t="shared" si="3"/>
        <v>No</v>
      </c>
      <c r="AQ14" s="114" t="str">
        <f t="shared" si="3"/>
        <v>No</v>
      </c>
      <c r="AR14" s="114" t="str">
        <f t="shared" si="3"/>
        <v>No</v>
      </c>
      <c r="AS14" s="114" t="str">
        <f t="shared" si="3"/>
        <v>No</v>
      </c>
      <c r="AT14" s="114" t="str">
        <f t="shared" si="3"/>
        <v>No</v>
      </c>
      <c r="AU14" s="114" t="str">
        <f t="shared" si="3"/>
        <v>No</v>
      </c>
      <c r="AV14" s="114" t="str">
        <f t="shared" si="3"/>
        <v>No</v>
      </c>
      <c r="AW14" s="114" t="str">
        <f t="shared" si="3"/>
        <v>No</v>
      </c>
      <c r="AX14" s="114" t="str">
        <f t="shared" si="3"/>
        <v>No</v>
      </c>
      <c r="AY14" s="114" t="str">
        <f t="shared" si="3"/>
        <v>No</v>
      </c>
      <c r="AZ14" s="114" t="str">
        <f t="shared" si="3"/>
        <v>No</v>
      </c>
      <c r="BA14" s="114" t="str">
        <f t="shared" si="3"/>
        <v>No</v>
      </c>
      <c r="BB14" s="114" t="str">
        <f t="shared" si="3"/>
        <v>No</v>
      </c>
      <c r="BC14" s="114" t="str">
        <f t="shared" si="3"/>
        <v>No</v>
      </c>
      <c r="BD14" s="114" t="str">
        <f t="shared" si="3"/>
        <v>No</v>
      </c>
      <c r="BE14" s="114" t="str">
        <f t="shared" si="3"/>
        <v>No</v>
      </c>
      <c r="BF14" s="114" t="str">
        <f t="shared" si="3"/>
        <v>No</v>
      </c>
      <c r="BG14" s="114" t="str">
        <f t="shared" si="3"/>
        <v>No</v>
      </c>
      <c r="BH14" s="114" t="str">
        <f t="shared" si="3"/>
        <v>No</v>
      </c>
      <c r="BI14" s="114" t="str">
        <f t="shared" si="3"/>
        <v>No</v>
      </c>
      <c r="BJ14" s="114" t="str">
        <f t="shared" si="3"/>
        <v>No</v>
      </c>
      <c r="BK14" s="114" t="str">
        <f t="shared" si="3"/>
        <v>No</v>
      </c>
      <c r="BL14" s="114" t="str">
        <f t="shared" si="3"/>
        <v>No</v>
      </c>
      <c r="BM14" s="114" t="str">
        <f t="shared" si="3"/>
        <v>No</v>
      </c>
      <c r="BN14" s="114" t="str">
        <f t="shared" si="3"/>
        <v>No</v>
      </c>
      <c r="BO14" s="114" t="str">
        <f t="shared" si="3"/>
        <v>No</v>
      </c>
      <c r="BP14" s="114" t="str">
        <f t="shared" ref="BP14:CU14" si="4">IF(BP11&lt;500,"Yes","No")</f>
        <v>No</v>
      </c>
      <c r="BQ14" s="114" t="str">
        <f t="shared" si="4"/>
        <v>No</v>
      </c>
      <c r="BR14" s="114" t="str">
        <f t="shared" si="4"/>
        <v>No</v>
      </c>
      <c r="BS14" s="114" t="str">
        <f t="shared" si="4"/>
        <v>No</v>
      </c>
      <c r="BT14" s="114" t="str">
        <f t="shared" si="4"/>
        <v>No</v>
      </c>
      <c r="BU14" s="114" t="str">
        <f t="shared" si="4"/>
        <v>No</v>
      </c>
      <c r="BV14" s="114" t="str">
        <f t="shared" si="4"/>
        <v>No</v>
      </c>
      <c r="BW14" s="114" t="str">
        <f t="shared" si="4"/>
        <v>No</v>
      </c>
      <c r="BX14" s="114" t="str">
        <f t="shared" si="4"/>
        <v>No</v>
      </c>
      <c r="BY14" s="114" t="str">
        <f t="shared" si="4"/>
        <v>No</v>
      </c>
      <c r="BZ14" s="114" t="str">
        <f t="shared" si="4"/>
        <v>No</v>
      </c>
      <c r="CA14" s="114" t="str">
        <f t="shared" si="4"/>
        <v>No</v>
      </c>
      <c r="CB14" s="114" t="str">
        <f t="shared" si="4"/>
        <v>No</v>
      </c>
      <c r="CC14" s="114" t="str">
        <f t="shared" si="4"/>
        <v>No</v>
      </c>
      <c r="CD14" s="114" t="str">
        <f t="shared" si="4"/>
        <v>No</v>
      </c>
      <c r="CE14" s="114" t="str">
        <f t="shared" si="4"/>
        <v>No</v>
      </c>
      <c r="CF14" s="114" t="str">
        <f t="shared" si="4"/>
        <v>No</v>
      </c>
      <c r="CG14" s="114" t="str">
        <f t="shared" si="4"/>
        <v>No</v>
      </c>
      <c r="CH14" s="114" t="str">
        <f t="shared" si="4"/>
        <v>No</v>
      </c>
      <c r="CI14" s="114" t="str">
        <f t="shared" si="4"/>
        <v>No</v>
      </c>
      <c r="CJ14" s="114" t="str">
        <f t="shared" si="4"/>
        <v>No</v>
      </c>
      <c r="CK14" s="114" t="str">
        <f t="shared" si="4"/>
        <v>No</v>
      </c>
      <c r="CL14" s="114" t="str">
        <f t="shared" si="4"/>
        <v>No</v>
      </c>
      <c r="CM14" s="114" t="str">
        <f t="shared" si="4"/>
        <v>No</v>
      </c>
      <c r="CN14" s="114" t="str">
        <f t="shared" si="4"/>
        <v>No</v>
      </c>
      <c r="CO14" s="114" t="str">
        <f t="shared" si="4"/>
        <v>No</v>
      </c>
      <c r="CP14" s="114" t="str">
        <f t="shared" si="4"/>
        <v>No</v>
      </c>
      <c r="CQ14" s="114" t="str">
        <f t="shared" si="4"/>
        <v>No</v>
      </c>
      <c r="CR14" s="114" t="str">
        <f t="shared" si="4"/>
        <v>No</v>
      </c>
      <c r="CS14" s="114" t="str">
        <f t="shared" si="4"/>
        <v>No</v>
      </c>
      <c r="CT14" s="114" t="str">
        <f t="shared" si="4"/>
        <v>No</v>
      </c>
      <c r="CU14" s="114" t="str">
        <f t="shared" si="4"/>
        <v>No</v>
      </c>
      <c r="CV14" s="114" t="str">
        <f t="shared" ref="CV14:DR14" si="5">IF(CV11&lt;500,"Yes","No")</f>
        <v>No</v>
      </c>
      <c r="CW14" s="114" t="str">
        <f t="shared" si="5"/>
        <v>No</v>
      </c>
      <c r="CX14" s="114" t="str">
        <f t="shared" si="5"/>
        <v>No</v>
      </c>
      <c r="CY14" s="114" t="str">
        <f t="shared" si="5"/>
        <v>No</v>
      </c>
      <c r="CZ14" s="114" t="str">
        <f t="shared" si="5"/>
        <v>No</v>
      </c>
      <c r="DA14" s="114" t="str">
        <f t="shared" si="5"/>
        <v>No</v>
      </c>
      <c r="DB14" s="114" t="str">
        <f t="shared" si="5"/>
        <v>No</v>
      </c>
      <c r="DC14" s="114" t="str">
        <f t="shared" si="5"/>
        <v>No</v>
      </c>
      <c r="DD14" s="114" t="str">
        <f t="shared" si="5"/>
        <v>No</v>
      </c>
      <c r="DE14" s="114" t="str">
        <f t="shared" si="5"/>
        <v>No</v>
      </c>
      <c r="DF14" s="114" t="str">
        <f t="shared" si="5"/>
        <v>No</v>
      </c>
      <c r="DG14" s="114" t="str">
        <f t="shared" si="5"/>
        <v>No</v>
      </c>
      <c r="DH14" s="114" t="str">
        <f t="shared" si="5"/>
        <v>No</v>
      </c>
      <c r="DI14" s="114" t="str">
        <f t="shared" si="5"/>
        <v>No</v>
      </c>
      <c r="DJ14" s="114" t="str">
        <f t="shared" si="5"/>
        <v>No</v>
      </c>
      <c r="DK14" s="114" t="str">
        <f t="shared" si="5"/>
        <v>No</v>
      </c>
      <c r="DL14" s="114" t="str">
        <f t="shared" si="5"/>
        <v>No</v>
      </c>
      <c r="DM14" s="114" t="str">
        <f t="shared" si="5"/>
        <v>No</v>
      </c>
      <c r="DN14" s="114" t="str">
        <f t="shared" si="5"/>
        <v>No</v>
      </c>
      <c r="DO14" s="114" t="str">
        <f t="shared" si="5"/>
        <v>No</v>
      </c>
      <c r="DP14" s="114" t="str">
        <f t="shared" si="5"/>
        <v>No</v>
      </c>
      <c r="DQ14" s="114" t="str">
        <f t="shared" si="5"/>
        <v>No</v>
      </c>
      <c r="DR14" s="114" t="str">
        <f t="shared" si="5"/>
        <v>No</v>
      </c>
    </row>
    <row r="15" spans="2:124" x14ac:dyDescent="0.3">
      <c r="B15" s="52" t="s">
        <v>305</v>
      </c>
      <c r="C15" s="55">
        <f>IF(C$13&amp;C$14="Noyes",$E6,IF(C$13&amp;C$14="yesyes",$G6,$F6))*C$11*Assumptions!$C$7/12</f>
        <v>20595.76278174821</v>
      </c>
      <c r="D15" s="55">
        <f>IF(D$13&amp;D$14="Noyes",$E6,IF(D$13&amp;D$14="yesyes",$G6,$F6))*D$11*Assumptions!$C$7/12</f>
        <v>20595.76278174821</v>
      </c>
      <c r="E15" s="55">
        <f>IF(E$13&amp;E$14="Noyes",$E6,IF(E$13&amp;E$14="yesyes",$G6,$F6))*E$11*Assumptions!$C$7/12</f>
        <v>12473.206894522249</v>
      </c>
      <c r="F15" s="55">
        <f>IF(F$13&amp;F$14="Noyes",$E6,IF(F$13&amp;F$14="yesyes",$G6,$F6))*F$11*Assumptions!$C$7/12</f>
        <v>12473.206894522249</v>
      </c>
      <c r="G15" s="55">
        <f>IF(G$13&amp;G$14="Noyes",$E6,IF(G$13&amp;G$14="yesyes",$G6,$F6))*G$11*Assumptions!$C$7/12</f>
        <v>77957.543090764055</v>
      </c>
      <c r="H15" s="55">
        <f>IF(H$13&amp;H$14="Noyes",$E6,IF(H$13&amp;H$14="yesyes",$G6,$F6))*H$11*Assumptions!$C$7/12</f>
        <v>77957.543090764055</v>
      </c>
      <c r="I15" s="55">
        <f>IF(I$13&amp;I$14="Noyes",$E6,IF(I$13&amp;I$14="yesyes",$G6,$F6))*I$11*Assumptions!$C$7/12</f>
        <v>77957.543090764055</v>
      </c>
      <c r="J15" s="55">
        <f>IF(J$13&amp;J$14="Noyes",$E6,IF(J$13&amp;J$14="yesyes",$G6,$F6))*J$11*Assumptions!$C$7/12</f>
        <v>77957.543090764055</v>
      </c>
      <c r="K15" s="55">
        <f>IF(K$13&amp;K$14="Noyes",$E6,IF(K$13&amp;K$14="yesyes",$G6,$F6))*K$11*Assumptions!$C$7/12</f>
        <v>77957.543090764055</v>
      </c>
      <c r="L15" s="55">
        <f>IF(L$13&amp;L$14="Noyes",$E6,IF(L$13&amp;L$14="yesyes",$G6,$F6))*L$11*Assumptions!$C$7/12</f>
        <v>77957.543090764055</v>
      </c>
      <c r="M15" s="55">
        <f>IF(M$13&amp;M$14="Noyes",$E6,IF(M$13&amp;M$14="yesyes",$G6,$F6))*M$11*Assumptions!$C$7/12</f>
        <v>142551.29309076405</v>
      </c>
      <c r="N15" s="55">
        <f>IF(N$13&amp;N$14="Noyes",$E6,IF(N$13&amp;N$14="yesyes",$G6,$F6))*N$11*Assumptions!$C$7/12</f>
        <v>142551.29309076405</v>
      </c>
      <c r="O15" s="55">
        <f>IF(O$13&amp;O$14="Noyes",$E6,IF(O$13&amp;O$14="yesyes",$G6,$F6))*O$11*Assumptions!$C$7/12</f>
        <v>142551.29309076405</v>
      </c>
      <c r="P15" s="55">
        <f>IF(P$13&amp;P$14="Noyes",$E6,IF(P$13&amp;P$14="yesyes",$G6,$F6))*P$11*Assumptions!$C$7/12</f>
        <v>142551.29309076405</v>
      </c>
      <c r="Q15" s="55">
        <f>IF(Q$13&amp;Q$14="Noyes",$E6,IF(Q$13&amp;Q$14="yesyes",$G6,$F6))*Q$11*Assumptions!$C$7/12</f>
        <v>142551.29309076405</v>
      </c>
      <c r="R15" s="55">
        <f>IF(R$13&amp;R$14="Noyes",$E6,IF(R$13&amp;R$14="yesyes",$G6,$F6))*R$11*Assumptions!$C$7/12</f>
        <v>142551.29309076405</v>
      </c>
      <c r="S15" s="55">
        <f>IF(S$13&amp;S$14="Noyes",$E6,IF(S$13&amp;S$14="yesyes",$G6,$F6))*S$11*Assumptions!$C$7/12</f>
        <v>142551.29309076405</v>
      </c>
      <c r="T15" s="55">
        <f>IF(T$13&amp;T$14="Noyes",$E6,IF(T$13&amp;T$14="yesyes",$G6,$F6))*T$11*Assumptions!$C$7/12</f>
        <v>142551.29309076405</v>
      </c>
      <c r="U15" s="55">
        <f>IF(U$13&amp;U$14="Noyes",$E6,IF(U$13&amp;U$14="yesyes",$G6,$F6))*U$11*Assumptions!$C$7/12</f>
        <v>142551.29309076405</v>
      </c>
      <c r="V15" s="55">
        <f>IF(V$13&amp;V$14="Noyes",$E6,IF(V$13&amp;V$14="yesyes",$G6,$F6))*V$11*Assumptions!$C$7/12</f>
        <v>142551.29309076405</v>
      </c>
      <c r="W15" s="55">
        <f>IF(W$13&amp;W$14="Noyes",$E6,IF(W$13&amp;W$14="yesyes",$G6,$F6))*W$11*Assumptions!$C$7/12</f>
        <v>142551.29309076405</v>
      </c>
      <c r="X15" s="55">
        <f>IF(X$13&amp;X$14="Noyes",$E6,IF(X$13&amp;X$14="yesyes",$G6,$F6))*X$11*Assumptions!$C$7/12</f>
        <v>142551.29309076405</v>
      </c>
      <c r="Y15" s="55">
        <f>IF(Y$13&amp;Y$14="Noyes",$E6,IF(Y$13&amp;Y$14="yesyes",$G6,$F6))*Y$11*Assumptions!$C$7/12</f>
        <v>142551.29309076405</v>
      </c>
      <c r="Z15" s="55">
        <f>IF(Z$13&amp;Z$14="Noyes",$E6,IF(Z$13&amp;Z$14="yesyes",$G6,$F6))*Z$11*Assumptions!$C$7/12</f>
        <v>142551.29309076405</v>
      </c>
      <c r="AA15" s="55">
        <f>IF(AA$13&amp;AA$14="Noyes",$E6,IF(AA$13&amp;AA$14="yesyes",$G6,$F6))*AA$11*Assumptions!$C$7/12</f>
        <v>142551.29309076405</v>
      </c>
      <c r="AB15" s="55">
        <f>IF(AB$13&amp;AB$14="Noyes",$E6,IF(AB$13&amp;AB$14="yesyes",$G6,$F6))*AB$11*Assumptions!$C$7/12</f>
        <v>142551.29309076405</v>
      </c>
      <c r="AC15" s="55">
        <f>IF(AC$13&amp;AC$14="Noyes",$E6,IF(AC$13&amp;AC$14="yesyes",$G6,$F6))*AC$11*Assumptions!$C$7/12</f>
        <v>142551.29309076405</v>
      </c>
      <c r="AD15" s="55">
        <f>IF(AD$13&amp;AD$14="Noyes",$E6,IF(AD$13&amp;AD$14="yesyes",$G6,$F6))*AD$11*Assumptions!$C$7/12</f>
        <v>142551.29309076405</v>
      </c>
      <c r="AE15" s="55">
        <f>IF(AE$13&amp;AE$14="Noyes",$E6,IF(AE$13&amp;AE$14="yesyes",$G6,$F6))*AE$11*Assumptions!$C$7/12</f>
        <v>142551.29309076405</v>
      </c>
      <c r="AF15" s="55">
        <f>IF(AF$13&amp;AF$14="Noyes",$E6,IF(AF$13&amp;AF$14="yesyes",$G6,$F6))*AF$11*Assumptions!$C$7/12</f>
        <v>142551.29309076405</v>
      </c>
      <c r="AG15" s="55">
        <f>IF(AG$13&amp;AG$14="Noyes",$E6,IF(AG$13&amp;AG$14="yesyes",$G6,$F6))*AG$11*Assumptions!$C$7/12</f>
        <v>142551.29309076405</v>
      </c>
      <c r="AH15" s="55">
        <f>IF(AH$13&amp;AH$14="Noyes",$E6,IF(AH$13&amp;AH$14="yesyes",$G6,$F6))*AH$11*Assumptions!$C$7/12</f>
        <v>142551.29309076405</v>
      </c>
      <c r="AI15" s="55">
        <f>IF(AI$13&amp;AI$14="Noyes",$E6,IF(AI$13&amp;AI$14="yesyes",$G6,$F6))*AI$11*Assumptions!$C$7/12</f>
        <v>142551.29309076405</v>
      </c>
      <c r="AJ15" s="55">
        <f>IF(AJ$13&amp;AJ$14="Noyes",$E6,IF(AJ$13&amp;AJ$14="yesyes",$G6,$F6))*AJ$11*Assumptions!$C$7/12</f>
        <v>142551.29309076405</v>
      </c>
      <c r="AK15" s="55">
        <f>IF(AK$13&amp;AK$14="Noyes",$E6,IF(AK$13&amp;AK$14="yesyes",$G6,$F6))*AK$11*Assumptions!$C$7/12</f>
        <v>142551.29309076405</v>
      </c>
      <c r="AL15" s="55">
        <f>IF(AL$13&amp;AL$14="Noyes",$E6,IF(AL$13&amp;AL$14="yesyes",$G6,$F6))*AL$11*Assumptions!$C$7/12</f>
        <v>142551.29309076405</v>
      </c>
      <c r="AM15" s="55">
        <f>IF(AM$13&amp;AM$14="Noyes",$E6,IF(AM$13&amp;AM$14="yesyes",$G6,$F6))*AM$11*Assumptions!$C$7/12</f>
        <v>142551.29309076405</v>
      </c>
      <c r="AN15" s="55">
        <f>IF(AN$13&amp;AN$14="Noyes",$E6,IF(AN$13&amp;AN$14="yesyes",$G6,$F6))*AN$11*Assumptions!$C$7/12</f>
        <v>142551.29309076405</v>
      </c>
      <c r="AO15" s="55">
        <f>IF(AO$13&amp;AO$14="Noyes",$E6,IF(AO$13&amp;AO$14="yesyes",$G6,$F6))*AO$11*Assumptions!$C$7/12</f>
        <v>142551.29309076405</v>
      </c>
      <c r="AP15" s="55">
        <f>IF(AP$13&amp;AP$14="Noyes",$E6,IF(AP$13&amp;AP$14="yesyes",$G6,$F6))*AP$11*Assumptions!$C$7/12</f>
        <v>142551.29309076405</v>
      </c>
      <c r="AQ15" s="55">
        <f>IF(AQ$13&amp;AQ$14="Noyes",$E6,IF(AQ$13&amp;AQ$14="yesyes",$G6,$F6))*AQ$11*Assumptions!$C$7/12</f>
        <v>142551.29309076405</v>
      </c>
      <c r="AR15" s="55">
        <f>IF(AR$13&amp;AR$14="Noyes",$E6,IF(AR$13&amp;AR$14="yesyes",$G6,$F6))*AR$11*Assumptions!$C$7/12</f>
        <v>142551.29309076405</v>
      </c>
      <c r="AS15" s="55">
        <f>IF(AS$13&amp;AS$14="Noyes",$E6,IF(AS$13&amp;AS$14="yesyes",$G6,$F6))*AS$11*Assumptions!$C$7/12</f>
        <v>142551.29309076405</v>
      </c>
      <c r="AT15" s="55">
        <f>IF(AT$13&amp;AT$14="Noyes",$E6,IF(AT$13&amp;AT$14="yesyes",$G6,$F6))*AT$11*Assumptions!$C$7/12</f>
        <v>142551.29309076405</v>
      </c>
      <c r="AU15" s="55">
        <f>IF(AU$13&amp;AU$14="Noyes",$E6,IF(AU$13&amp;AU$14="yesyes",$G6,$F6))*AU$11*Assumptions!$C$7/12</f>
        <v>142551.29309076405</v>
      </c>
      <c r="AV15" s="55">
        <f>IF(AV$13&amp;AV$14="Noyes",$E6,IF(AV$13&amp;AV$14="yesyes",$G6,$F6))*AV$11*Assumptions!$C$7/12</f>
        <v>142551.29309076405</v>
      </c>
      <c r="AW15" s="55">
        <f>IF(AW$13&amp;AW$14="Noyes",$E6,IF(AW$13&amp;AW$14="yesyes",$G6,$F6))*AW$11*Assumptions!$C$7/12</f>
        <v>142551.29309076405</v>
      </c>
      <c r="AX15" s="55">
        <f>IF(AX$13&amp;AX$14="Noyes",$E6,IF(AX$13&amp;AX$14="yesyes",$G6,$F6))*AX$11*Assumptions!$C$7/12</f>
        <v>142551.29309076405</v>
      </c>
      <c r="AY15" s="55">
        <f>IF(AY$13&amp;AY$14="Noyes",$E6,IF(AY$13&amp;AY$14="yesyes",$G6,$F6))*AY$11*Assumptions!$C$7/12</f>
        <v>142551.29309076405</v>
      </c>
      <c r="AZ15" s="55">
        <f>IF(AZ$13&amp;AZ$14="Noyes",$E6,IF(AZ$13&amp;AZ$14="yesyes",$G6,$F6))*AZ$11*Assumptions!$C$7/12</f>
        <v>142551.29309076405</v>
      </c>
      <c r="BA15" s="55">
        <f>IF(BA$13&amp;BA$14="Noyes",$E6,IF(BA$13&amp;BA$14="yesyes",$G6,$F6))*BA$11*Assumptions!$C$7/12</f>
        <v>142551.29309076405</v>
      </c>
      <c r="BB15" s="55">
        <f>IF(BB$13&amp;BB$14="Noyes",$E6,IF(BB$13&amp;BB$14="yesyes",$G6,$F6))*BB$11*Assumptions!$C$7/12</f>
        <v>142551.29309076405</v>
      </c>
      <c r="BC15" s="55">
        <f>IF(BC$13&amp;BC$14="Noyes",$E6,IF(BC$13&amp;BC$14="yesyes",$G6,$F6))*BC$11*Assumptions!$C$7/12</f>
        <v>142551.29309076405</v>
      </c>
      <c r="BD15" s="55">
        <f>IF(BD$13&amp;BD$14="Noyes",$E6,IF(BD$13&amp;BD$14="yesyes",$G6,$F6))*BD$11*Assumptions!$C$7/12</f>
        <v>142551.29309076405</v>
      </c>
      <c r="BE15" s="55">
        <f>IF(BE$13&amp;BE$14="Noyes",$E6,IF(BE$13&amp;BE$14="yesyes",$G6,$F6))*BE$11*Assumptions!$C$7/12</f>
        <v>142551.29309076405</v>
      </c>
      <c r="BF15" s="55">
        <f>IF(BF$13&amp;BF$14="Noyes",$E6,IF(BF$13&amp;BF$14="yesyes",$G6,$F6))*BF$11*Assumptions!$C$7/12</f>
        <v>142551.29309076405</v>
      </c>
      <c r="BG15" s="55">
        <f>IF(BG$13&amp;BG$14="Noyes",$E6,IF(BG$13&amp;BG$14="yesyes",$G6,$F6))*BG$11*Assumptions!$C$7/12</f>
        <v>142551.29309076405</v>
      </c>
      <c r="BH15" s="55">
        <f>IF(BH$13&amp;BH$14="Noyes",$E6,IF(BH$13&amp;BH$14="yesyes",$G6,$F6))*BH$11*Assumptions!$C$7/12</f>
        <v>142551.29309076405</v>
      </c>
      <c r="BI15" s="55">
        <f>IF(BI$13&amp;BI$14="Noyes",$E6,IF(BI$13&amp;BI$14="yesyes",$G6,$F6))*BI$11*Assumptions!$C$7/12</f>
        <v>142551.29309076405</v>
      </c>
      <c r="BJ15" s="55">
        <f>IF(BJ$13&amp;BJ$14="Noyes",$E6,IF(BJ$13&amp;BJ$14="yesyes",$G6,$F6))*BJ$11*Assumptions!$C$7/12</f>
        <v>142551.29309076405</v>
      </c>
      <c r="BK15" s="55">
        <f>IF(BK$13&amp;BK$14="Noyes",$E6,IF(BK$13&amp;BK$14="yesyes",$G6,$F6))*BK$11*Assumptions!$C$7/12</f>
        <v>142551.29309076405</v>
      </c>
      <c r="BL15" s="55">
        <f>IF(BL$13&amp;BL$14="Noyes",$E6,IF(BL$13&amp;BL$14="yesyes",$G6,$F6))*BL$11*Assumptions!$C$7/12</f>
        <v>142551.29309076405</v>
      </c>
      <c r="BM15" s="55">
        <f>IF(BM$13&amp;BM$14="Noyes",$E6,IF(BM$13&amp;BM$14="yesyes",$G6,$F6))*BM$11*Assumptions!$C$7/12</f>
        <v>142551.29309076405</v>
      </c>
      <c r="BN15" s="55">
        <f>IF(BN$13&amp;BN$14="Noyes",$E6,IF(BN$13&amp;BN$14="yesyes",$G6,$F6))*BN$11*Assumptions!$C$7/12</f>
        <v>142551.29309076405</v>
      </c>
      <c r="BO15" s="55">
        <f>IF(BO$13&amp;BO$14="Noyes",$E6,IF(BO$13&amp;BO$14="yesyes",$G6,$F6))*BO$11*Assumptions!$C$7/12</f>
        <v>142551.29309076405</v>
      </c>
      <c r="BP15" s="55">
        <f>IF(BP$13&amp;BP$14="Noyes",$E6,IF(BP$13&amp;BP$14="yesyes",$G6,$F6))*BP$11*Assumptions!$C$7/12</f>
        <v>142551.29309076405</v>
      </c>
      <c r="BQ15" s="55">
        <f>IF(BQ$13&amp;BQ$14="Noyes",$E6,IF(BQ$13&amp;BQ$14="yesyes",$G6,$F6))*BQ$11*Assumptions!$C$7/12</f>
        <v>142551.29309076405</v>
      </c>
      <c r="BR15" s="55">
        <f>IF(BR$13&amp;BR$14="Noyes",$E6,IF(BR$13&amp;BR$14="yesyes",$G6,$F6))*BR$11*Assumptions!$C$7/12</f>
        <v>142551.29309076405</v>
      </c>
      <c r="BS15" s="55">
        <f>IF(BS$13&amp;BS$14="Noyes",$E6,IF(BS$13&amp;BS$14="yesyes",$G6,$F6))*BS$11*Assumptions!$C$7/12</f>
        <v>142551.29309076405</v>
      </c>
      <c r="BT15" s="55">
        <f>IF(BT$13&amp;BT$14="Noyes",$E6,IF(BT$13&amp;BT$14="yesyes",$G6,$F6))*BT$11*Assumptions!$C$7/12</f>
        <v>142551.29309076405</v>
      </c>
      <c r="BU15" s="55">
        <f>IF(BU$13&amp;BU$14="Noyes",$E6,IF(BU$13&amp;BU$14="yesyes",$G6,$F6))*BU$11*Assumptions!$C$7/12</f>
        <v>142551.29309076405</v>
      </c>
      <c r="BV15" s="55">
        <f>IF(BV$13&amp;BV$14="Noyes",$E6,IF(BV$13&amp;BV$14="yesyes",$G6,$F6))*BV$11*Assumptions!$C$7/12</f>
        <v>142551.29309076405</v>
      </c>
      <c r="BW15" s="55">
        <f>IF(BW$13&amp;BW$14="Noyes",$E6,IF(BW$13&amp;BW$14="yesyes",$G6,$F6))*BW$11*Assumptions!$C$7/12</f>
        <v>142551.29309076405</v>
      </c>
      <c r="BX15" s="55">
        <f>IF(BX$13&amp;BX$14="Noyes",$E6,IF(BX$13&amp;BX$14="yesyes",$G6,$F6))*BX$11*Assumptions!$C$7/12</f>
        <v>142551.29309076405</v>
      </c>
      <c r="BY15" s="55">
        <f>IF(BY$13&amp;BY$14="Noyes",$E6,IF(BY$13&amp;BY$14="yesyes",$G6,$F6))*BY$11*Assumptions!$C$7/12</f>
        <v>142551.29309076405</v>
      </c>
      <c r="BZ15" s="55">
        <f>IF(BZ$13&amp;BZ$14="Noyes",$E6,IF(BZ$13&amp;BZ$14="yesyes",$G6,$F6))*BZ$11*Assumptions!$C$7/12</f>
        <v>142551.29309076405</v>
      </c>
      <c r="CA15" s="55">
        <f>IF(CA$13&amp;CA$14="Noyes",$E6,IF(CA$13&amp;CA$14="yesyes",$G6,$F6))*CA$11*Assumptions!$C$7/12</f>
        <v>142551.29309076405</v>
      </c>
      <c r="CB15" s="55">
        <f>IF(CB$13&amp;CB$14="Noyes",$E6,IF(CB$13&amp;CB$14="yesyes",$G6,$F6))*CB$11*Assumptions!$C$7/12</f>
        <v>142551.29309076405</v>
      </c>
      <c r="CC15" s="55">
        <f>IF(CC$13&amp;CC$14="Noyes",$E6,IF(CC$13&amp;CC$14="yesyes",$G6,$F6))*CC$11*Assumptions!$C$7/12</f>
        <v>142551.29309076405</v>
      </c>
      <c r="CD15" s="55">
        <f>IF(CD$13&amp;CD$14="Noyes",$E6,IF(CD$13&amp;CD$14="yesyes",$G6,$F6))*CD$11*Assumptions!$C$7/12</f>
        <v>142551.29309076405</v>
      </c>
      <c r="CE15" s="55">
        <f>IF(CE$13&amp;CE$14="Noyes",$E6,IF(CE$13&amp;CE$14="yesyes",$G6,$F6))*CE$11*Assumptions!$C$7/12</f>
        <v>142551.29309076405</v>
      </c>
      <c r="CF15" s="55">
        <f>IF(CF$13&amp;CF$14="Noyes",$E6,IF(CF$13&amp;CF$14="yesyes",$G6,$F6))*CF$11*Assumptions!$C$7/12</f>
        <v>142551.29309076405</v>
      </c>
      <c r="CG15" s="55">
        <f>IF(CG$13&amp;CG$14="Noyes",$E6,IF(CG$13&amp;CG$14="yesyes",$G6,$F6))*CG$11*Assumptions!$C$7/12</f>
        <v>142551.29309076405</v>
      </c>
      <c r="CH15" s="55">
        <f>IF(CH$13&amp;CH$14="Noyes",$E6,IF(CH$13&amp;CH$14="yesyes",$G6,$F6))*CH$11*Assumptions!$C$7/12</f>
        <v>142551.29309076405</v>
      </c>
      <c r="CI15" s="55">
        <f>IF(CI$13&amp;CI$14="Noyes",$E6,IF(CI$13&amp;CI$14="yesyes",$G6,$F6))*CI$11*Assumptions!$C$7/12</f>
        <v>142551.29309076405</v>
      </c>
      <c r="CJ15" s="55">
        <f>IF(CJ$13&amp;CJ$14="Noyes",$E6,IF(CJ$13&amp;CJ$14="yesyes",$G6,$F6))*CJ$11*Assumptions!$C$7/12</f>
        <v>142551.29309076405</v>
      </c>
      <c r="CK15" s="55">
        <f>IF(CK$13&amp;CK$14="Noyes",$E6,IF(CK$13&amp;CK$14="yesyes",$G6,$F6))*CK$11*Assumptions!$C$7/12</f>
        <v>142551.29309076405</v>
      </c>
      <c r="CL15" s="55">
        <f>IF(CL$13&amp;CL$14="Noyes",$E6,IF(CL$13&amp;CL$14="yesyes",$G6,$F6))*CL$11*Assumptions!$C$7/12</f>
        <v>142551.29309076405</v>
      </c>
      <c r="CM15" s="55">
        <f>IF(CM$13&amp;CM$14="Noyes",$E6,IF(CM$13&amp;CM$14="yesyes",$G6,$F6))*CM$11*Assumptions!$C$7/12</f>
        <v>142551.29309076405</v>
      </c>
      <c r="CN15" s="55">
        <f>IF(CN$13&amp;CN$14="Noyes",$E6,IF(CN$13&amp;CN$14="yesyes",$G6,$F6))*CN$11*Assumptions!$C$7/12</f>
        <v>142551.29309076405</v>
      </c>
      <c r="CO15" s="55">
        <f>IF(CO$13&amp;CO$14="Noyes",$E6,IF(CO$13&amp;CO$14="yesyes",$G6,$F6))*CO$11*Assumptions!$C$7/12</f>
        <v>142551.29309076405</v>
      </c>
      <c r="CP15" s="55">
        <f>IF(CP$13&amp;CP$14="Noyes",$E6,IF(CP$13&amp;CP$14="yesyes",$G6,$F6))*CP$11*Assumptions!$C$7/12</f>
        <v>142551.29309076405</v>
      </c>
      <c r="CQ15" s="55">
        <f>IF(CQ$13&amp;CQ$14="Noyes",$E6,IF(CQ$13&amp;CQ$14="yesyes",$G6,$F6))*CQ$11*Assumptions!$C$7/12</f>
        <v>142551.29309076405</v>
      </c>
      <c r="CR15" s="55">
        <f>IF(CR$13&amp;CR$14="Noyes",$E6,IF(CR$13&amp;CR$14="yesyes",$G6,$F6))*CR$11*Assumptions!$C$7/12</f>
        <v>142551.29309076405</v>
      </c>
      <c r="CS15" s="55">
        <f>IF(CS$13&amp;CS$14="Noyes",$E6,IF(CS$13&amp;CS$14="yesyes",$G6,$F6))*CS$11*Assumptions!$C$7/12</f>
        <v>142551.29309076405</v>
      </c>
      <c r="CT15" s="55">
        <f>IF(CT$13&amp;CT$14="Noyes",$E6,IF(CT$13&amp;CT$14="yesyes",$G6,$F6))*CT$11*Assumptions!$C$7/12</f>
        <v>142551.29309076405</v>
      </c>
      <c r="CU15" s="55">
        <f>IF(CU$13&amp;CU$14="Noyes",$E6,IF(CU$13&amp;CU$14="yesyes",$G6,$F6))*CU$11*Assumptions!$C$7/12</f>
        <v>142551.29309076405</v>
      </c>
      <c r="CV15" s="55">
        <f>IF(CV$13&amp;CV$14="Noyes",$E6,IF(CV$13&amp;CV$14="yesyes",$G6,$F6))*CV$11*Assumptions!$C$7/12</f>
        <v>142551.29309076405</v>
      </c>
      <c r="CW15" s="55">
        <f>IF(CW$13&amp;CW$14="Noyes",$E6,IF(CW$13&amp;CW$14="yesyes",$G6,$F6))*CW$11*Assumptions!$C$7/12</f>
        <v>142551.29309076405</v>
      </c>
      <c r="CX15" s="55">
        <f>IF(CX$13&amp;CX$14="Noyes",$E6,IF(CX$13&amp;CX$14="yesyes",$G6,$F6))*CX$11*Assumptions!$C$7/12</f>
        <v>142551.29309076405</v>
      </c>
      <c r="CY15" s="55">
        <f>IF(CY$13&amp;CY$14="Noyes",$E6,IF(CY$13&amp;CY$14="yesyes",$G6,$F6))*CY$11*Assumptions!$C$7/12</f>
        <v>142551.29309076405</v>
      </c>
      <c r="CZ15" s="55">
        <f>IF(CZ$13&amp;CZ$14="Noyes",$E6,IF(CZ$13&amp;CZ$14="yesyes",$G6,$F6))*CZ$11*Assumptions!$C$7/12</f>
        <v>142551.29309076405</v>
      </c>
      <c r="DA15" s="55">
        <f>IF(DA$13&amp;DA$14="Noyes",$E6,IF(DA$13&amp;DA$14="yesyes",$G6,$F6))*DA$11*Assumptions!$C$7/12</f>
        <v>142551.29309076405</v>
      </c>
      <c r="DB15" s="55">
        <f>IF(DB$13&amp;DB$14="Noyes",$E6,IF(DB$13&amp;DB$14="yesyes",$G6,$F6))*DB$11*Assumptions!$C$7/12</f>
        <v>142551.29309076405</v>
      </c>
      <c r="DC15" s="55">
        <f>IF(DC$13&amp;DC$14="Noyes",$E6,IF(DC$13&amp;DC$14="yesyes",$G6,$F6))*DC$11*Assumptions!$C$7/12</f>
        <v>142551.29309076405</v>
      </c>
      <c r="DD15" s="55">
        <f>IF(DD$13&amp;DD$14="Noyes",$E6,IF(DD$13&amp;DD$14="yesyes",$G6,$F6))*DD$11*Assumptions!$C$7/12</f>
        <v>142551.29309076405</v>
      </c>
      <c r="DE15" s="55">
        <f>IF(DE$13&amp;DE$14="Noyes",$E6,IF(DE$13&amp;DE$14="yesyes",$G6,$F6))*DE$11*Assumptions!$C$7/12</f>
        <v>142551.29309076405</v>
      </c>
      <c r="DF15" s="55">
        <f>IF(DF$13&amp;DF$14="Noyes",$E6,IF(DF$13&amp;DF$14="yesyes",$G6,$F6))*DF$11*Assumptions!$C$7/12</f>
        <v>142551.29309076405</v>
      </c>
      <c r="DG15" s="55">
        <f>IF(DG$13&amp;DG$14="Noyes",$E6,IF(DG$13&amp;DG$14="yesyes",$G6,$F6))*DG$11*Assumptions!$C$7/12</f>
        <v>142551.29309076405</v>
      </c>
      <c r="DH15" s="55">
        <f>IF(DH$13&amp;DH$14="Noyes",$E6,IF(DH$13&amp;DH$14="yesyes",$G6,$F6))*DH$11*Assumptions!$C$7/12</f>
        <v>142551.29309076405</v>
      </c>
      <c r="DI15" s="55">
        <f>IF(DI$13&amp;DI$14="Noyes",$E6,IF(DI$13&amp;DI$14="yesyes",$G6,$F6))*DI$11*Assumptions!$C$7/12</f>
        <v>142551.29309076405</v>
      </c>
      <c r="DJ15" s="55">
        <f>IF(DJ$13&amp;DJ$14="Noyes",$E6,IF(DJ$13&amp;DJ$14="yesyes",$G6,$F6))*DJ$11*Assumptions!$C$7/12</f>
        <v>142551.29309076405</v>
      </c>
      <c r="DK15" s="55">
        <f>IF(DK$13&amp;DK$14="Noyes",$E6,IF(DK$13&amp;DK$14="yesyes",$G6,$F6))*DK$11*Assumptions!$C$7/12</f>
        <v>142551.29309076405</v>
      </c>
      <c r="DL15" s="55">
        <f>IF(DL$13&amp;DL$14="Noyes",$E6,IF(DL$13&amp;DL$14="yesyes",$G6,$F6))*DL$11*Assumptions!$C$7/12</f>
        <v>142551.29309076405</v>
      </c>
      <c r="DM15" s="55">
        <f>IF(DM$13&amp;DM$14="Noyes",$E6,IF(DM$13&amp;DM$14="yesyes",$G6,$F6))*DM$11*Assumptions!$C$7/12</f>
        <v>142551.29309076405</v>
      </c>
      <c r="DN15" s="55">
        <f>IF(DN$13&amp;DN$14="Noyes",$E6,IF(DN$13&amp;DN$14="yesyes",$G6,$F6))*DN$11*Assumptions!$C$7/12</f>
        <v>142551.29309076405</v>
      </c>
      <c r="DO15" s="55">
        <f>IF(DO$13&amp;DO$14="Noyes",$E6,IF(DO$13&amp;DO$14="yesyes",$G6,$F6))*DO$11*Assumptions!$C$7/12</f>
        <v>142551.29309076405</v>
      </c>
      <c r="DP15" s="55">
        <f>IF(DP$13&amp;DP$14="Noyes",$E6,IF(DP$13&amp;DP$14="yesyes",$G6,$F6))*DP$11*Assumptions!$C$7/12</f>
        <v>142551.29309076405</v>
      </c>
      <c r="DQ15" s="55">
        <f>IF(DQ$13&amp;DQ$14="Noyes",$E6,IF(DQ$13&amp;DQ$14="yesyes",$G6,$F6))*DQ$11*Assumptions!$C$7/12</f>
        <v>142551.29309076405</v>
      </c>
      <c r="DR15" s="55">
        <f>IF(DR$13&amp;DR$14="Noyes",$E6,IF(DR$13&amp;DR$14="yesyes",$G6,$F6))*DR$11*Assumptions!$C$7/12</f>
        <v>142551.29309076405</v>
      </c>
    </row>
    <row r="16" spans="2:124" x14ac:dyDescent="0.3">
      <c r="B16" s="52" t="s">
        <v>304</v>
      </c>
      <c r="C16" s="55">
        <f>IF(C$13&amp;C$14="Noyes",$E7,IF(B$13&amp;B$14="yesyes",$G7,$F7))*C$11*Assumptions!$C$7/12</f>
        <v>21.261682242990656</v>
      </c>
      <c r="D16" s="55">
        <f>IF(D$13&amp;D$14="Noyes",$E7,IF(C$13&amp;C$14="yesyes",$G7,$F7))*D$11*Assumptions!$C$7/12</f>
        <v>21.261682242990656</v>
      </c>
      <c r="E16" s="55">
        <f>IF(E$13&amp;E$14="Noyes",$E7,IF(D$13&amp;D$14="yesyes",$G7,$F7))*E$11*Assumptions!$C$7/12</f>
        <v>7.2419269333676484</v>
      </c>
      <c r="F16" s="55">
        <f>IF(F$13&amp;F$14="Noyes",$E7,IF(E$13&amp;E$14="yesyes",$G7,$F7))*F$11*Assumptions!$C$7/12</f>
        <v>14.483853866735297</v>
      </c>
      <c r="G16" s="55">
        <f>IF(G$13&amp;G$14="Noyes",$E7,IF(F$13&amp;F$14="yesyes",$G7,$F7))*G$11*Assumptions!$C$7/12</f>
        <v>90.524086667095617</v>
      </c>
      <c r="H16" s="55">
        <f>IF(H$13&amp;H$14="Noyes",$E7,IF(G$13&amp;G$14="yesyes",$G7,$F7))*H$11*Assumptions!$C$7/12</f>
        <v>90.524086667095617</v>
      </c>
      <c r="I16" s="55">
        <f>IF(I$13&amp;I$14="Noyes",$E7,IF(H$13&amp;H$14="yesyes",$G7,$F7))*I$11*Assumptions!$C$7/12</f>
        <v>90.524086667095617</v>
      </c>
      <c r="J16" s="55">
        <f>IF(J$13&amp;J$14="Noyes",$E7,IF(I$13&amp;I$14="yesyes",$G7,$F7))*J$11*Assumptions!$C$7/12</f>
        <v>90.524086667095617</v>
      </c>
      <c r="K16" s="55">
        <f>IF(K$13&amp;K$14="Noyes",$E7,IF(J$13&amp;J$14="yesyes",$G7,$F7))*K$11*Assumptions!$C$7/12</f>
        <v>90.524086667095617</v>
      </c>
      <c r="L16" s="55">
        <f>IF(L$13&amp;L$14="Noyes",$E7,IF(K$13&amp;K$14="yesyes",$G7,$F7))*L$11*Assumptions!$C$7/12</f>
        <v>90.524086667095617</v>
      </c>
      <c r="M16" s="55">
        <f>IF(M$13&amp;M$14="Noyes",$E7,IF(L$13&amp;L$14="yesyes",$G7,$F7))*M$11*Assumptions!$C$7/12</f>
        <v>181.04817333419123</v>
      </c>
      <c r="N16" s="55">
        <f>IF(N$13&amp;N$14="Noyes",$E7,IF(M$13&amp;M$14="yesyes",$G7,$F7))*N$11*Assumptions!$C$7/12</f>
        <v>90.524086667095617</v>
      </c>
      <c r="O16" s="55">
        <f>IF(O$13&amp;O$14="Noyes",$E7,IF(N$13&amp;N$14="yesyes",$G7,$F7))*O$11*Assumptions!$C$7/12</f>
        <v>90.524086667095617</v>
      </c>
      <c r="P16" s="55">
        <f>IF(P$13&amp;P$14="Noyes",$E7,IF(O$13&amp;O$14="yesyes",$G7,$F7))*P$11*Assumptions!$C$7/12</f>
        <v>90.524086667095617</v>
      </c>
      <c r="Q16" s="55">
        <f>IF(Q$13&amp;Q$14="Noyes",$E7,IF(P$13&amp;P$14="yesyes",$G7,$F7))*Q$11*Assumptions!$C$7/12</f>
        <v>90.524086667095617</v>
      </c>
      <c r="R16" s="55">
        <f>IF(R$13&amp;R$14="Noyes",$E7,IF(Q$13&amp;Q$14="yesyes",$G7,$F7))*R$11*Assumptions!$C$7/12</f>
        <v>90.524086667095617</v>
      </c>
      <c r="S16" s="55">
        <f>IF(S$13&amp;S$14="Noyes",$E7,IF(R$13&amp;R$14="yesyes",$G7,$F7))*S$11*Assumptions!$C$7/12</f>
        <v>90.524086667095617</v>
      </c>
      <c r="T16" s="55">
        <f>IF(T$13&amp;T$14="Noyes",$E7,IF(S$13&amp;S$14="yesyes",$G7,$F7))*T$11*Assumptions!$C$7/12</f>
        <v>90.524086667095617</v>
      </c>
      <c r="U16" s="55">
        <f>IF(U$13&amp;U$14="Noyes",$E7,IF(T$13&amp;T$14="yesyes",$G7,$F7))*U$11*Assumptions!$C$7/12</f>
        <v>90.524086667095617</v>
      </c>
      <c r="V16" s="55">
        <f>IF(V$13&amp;V$14="Noyes",$E7,IF(U$13&amp;U$14="yesyes",$G7,$F7))*V$11*Assumptions!$C$7/12</f>
        <v>90.524086667095617</v>
      </c>
      <c r="W16" s="55">
        <f>IF(W$13&amp;W$14="Noyes",$E7,IF(V$13&amp;V$14="yesyes",$G7,$F7))*W$11*Assumptions!$C$7/12</f>
        <v>90.524086667095617</v>
      </c>
      <c r="X16" s="55">
        <f>IF(X$13&amp;X$14="Noyes",$E7,IF(W$13&amp;W$14="yesyes",$G7,$F7))*X$11*Assumptions!$C$7/12</f>
        <v>90.524086667095617</v>
      </c>
      <c r="Y16" s="55">
        <f>IF(Y$13&amp;Y$14="Noyes",$E7,IF(X$13&amp;X$14="yesyes",$G7,$F7))*Y$11*Assumptions!$C$7/12</f>
        <v>90.524086667095617</v>
      </c>
      <c r="Z16" s="55">
        <f>IF(Z$13&amp;Z$14="Noyes",$E7,IF(Y$13&amp;Y$14="yesyes",$G7,$F7))*Z$11*Assumptions!$C$7/12</f>
        <v>90.524086667095617</v>
      </c>
      <c r="AA16" s="55">
        <f>IF(AA$13&amp;AA$14="Noyes",$E7,IF(Z$13&amp;Z$14="yesyes",$G7,$F7))*AA$11*Assumptions!$C$7/12</f>
        <v>90.524086667095617</v>
      </c>
      <c r="AB16" s="55">
        <f>IF(AB$13&amp;AB$14="Noyes",$E7,IF(AA$13&amp;AA$14="yesyes",$G7,$F7))*AB$11*Assumptions!$C$7/12</f>
        <v>90.524086667095617</v>
      </c>
      <c r="AC16" s="55">
        <f>IF(AC$13&amp;AC$14="Noyes",$E7,IF(AB$13&amp;AB$14="yesyes",$G7,$F7))*AC$11*Assumptions!$C$7/12</f>
        <v>90.524086667095617</v>
      </c>
      <c r="AD16" s="55">
        <f>IF(AD$13&amp;AD$14="Noyes",$E7,IF(AC$13&amp;AC$14="yesyes",$G7,$F7))*AD$11*Assumptions!$C$7/12</f>
        <v>90.524086667095617</v>
      </c>
      <c r="AE16" s="55">
        <f>IF(AE$13&amp;AE$14="Noyes",$E7,IF(AD$13&amp;AD$14="yesyes",$G7,$F7))*AE$11*Assumptions!$C$7/12</f>
        <v>90.524086667095617</v>
      </c>
      <c r="AF16" s="55">
        <f>IF(AF$13&amp;AF$14="Noyes",$E7,IF(AE$13&amp;AE$14="yesyes",$G7,$F7))*AF$11*Assumptions!$C$7/12</f>
        <v>90.524086667095617</v>
      </c>
      <c r="AG16" s="55">
        <f>IF(AG$13&amp;AG$14="Noyes",$E7,IF(AF$13&amp;AF$14="yesyes",$G7,$F7))*AG$11*Assumptions!$C$7/12</f>
        <v>90.524086667095617</v>
      </c>
      <c r="AH16" s="55">
        <f>IF(AH$13&amp;AH$14="Noyes",$E7,IF(AG$13&amp;AG$14="yesyes",$G7,$F7))*AH$11*Assumptions!$C$7/12</f>
        <v>90.524086667095617</v>
      </c>
      <c r="AI16" s="55">
        <f>IF(AI$13&amp;AI$14="Noyes",$E7,IF(AH$13&amp;AH$14="yesyes",$G7,$F7))*AI$11*Assumptions!$C$7/12</f>
        <v>90.524086667095617</v>
      </c>
      <c r="AJ16" s="55">
        <f>IF(AJ$13&amp;AJ$14="Noyes",$E7,IF(AI$13&amp;AI$14="yesyes",$G7,$F7))*AJ$11*Assumptions!$C$7/12</f>
        <v>90.524086667095617</v>
      </c>
      <c r="AK16" s="55">
        <f>IF(AK$13&amp;AK$14="Noyes",$E7,IF(AJ$13&amp;AJ$14="yesyes",$G7,$F7))*AK$11*Assumptions!$C$7/12</f>
        <v>90.524086667095617</v>
      </c>
      <c r="AL16" s="55">
        <f>IF(AL$13&amp;AL$14="Noyes",$E7,IF(AK$13&amp;AK$14="yesyes",$G7,$F7))*AL$11*Assumptions!$C$7/12</f>
        <v>90.524086667095617</v>
      </c>
      <c r="AM16" s="55">
        <f>IF(AM$13&amp;AM$14="Noyes",$E7,IF(AL$13&amp;AL$14="yesyes",$G7,$F7))*AM$11*Assumptions!$C$7/12</f>
        <v>90.524086667095617</v>
      </c>
      <c r="AN16" s="55">
        <f>IF(AN$13&amp;AN$14="Noyes",$E7,IF(AM$13&amp;AM$14="yesyes",$G7,$F7))*AN$11*Assumptions!$C$7/12</f>
        <v>90.524086667095617</v>
      </c>
      <c r="AO16" s="55">
        <f>IF(AO$13&amp;AO$14="Noyes",$E7,IF(AN$13&amp;AN$14="yesyes",$G7,$F7))*AO$11*Assumptions!$C$7/12</f>
        <v>90.524086667095617</v>
      </c>
      <c r="AP16" s="55">
        <f>IF(AP$13&amp;AP$14="Noyes",$E7,IF(AO$13&amp;AO$14="yesyes",$G7,$F7))*AP$11*Assumptions!$C$7/12</f>
        <v>90.524086667095617</v>
      </c>
      <c r="AQ16" s="55">
        <f>IF(AQ$13&amp;AQ$14="Noyes",$E7,IF(AP$13&amp;AP$14="yesyes",$G7,$F7))*AQ$11*Assumptions!$C$7/12</f>
        <v>90.524086667095617</v>
      </c>
      <c r="AR16" s="55">
        <f>IF(AR$13&amp;AR$14="Noyes",$E7,IF(AQ$13&amp;AQ$14="yesyes",$G7,$F7))*AR$11*Assumptions!$C$7/12</f>
        <v>90.524086667095617</v>
      </c>
      <c r="AS16" s="55">
        <f>IF(AS$13&amp;AS$14="Noyes",$E7,IF(AR$13&amp;AR$14="yesyes",$G7,$F7))*AS$11*Assumptions!$C$7/12</f>
        <v>90.524086667095617</v>
      </c>
      <c r="AT16" s="55">
        <f>IF(AT$13&amp;AT$14="Noyes",$E7,IF(AS$13&amp;AS$14="yesyes",$G7,$F7))*AT$11*Assumptions!$C$7/12</f>
        <v>90.524086667095617</v>
      </c>
      <c r="AU16" s="55">
        <f>IF(AU$13&amp;AU$14="Noyes",$E7,IF(AT$13&amp;AT$14="yesyes",$G7,$F7))*AU$11*Assumptions!$C$7/12</f>
        <v>90.524086667095617</v>
      </c>
      <c r="AV16" s="55">
        <f>IF(AV$13&amp;AV$14="Noyes",$E7,IF(AU$13&amp;AU$14="yesyes",$G7,$F7))*AV$11*Assumptions!$C$7/12</f>
        <v>90.524086667095617</v>
      </c>
      <c r="AW16" s="55">
        <f>IF(AW$13&amp;AW$14="Noyes",$E7,IF(AV$13&amp;AV$14="yesyes",$G7,$F7))*AW$11*Assumptions!$C$7/12</f>
        <v>90.524086667095617</v>
      </c>
      <c r="AX16" s="55">
        <f>IF(AX$13&amp;AX$14="Noyes",$E7,IF(AW$13&amp;AW$14="yesyes",$G7,$F7))*AX$11*Assumptions!$C$7/12</f>
        <v>90.524086667095617</v>
      </c>
      <c r="AY16" s="55">
        <f>IF(AY$13&amp;AY$14="Noyes",$E7,IF(AX$13&amp;AX$14="yesyes",$G7,$F7))*AY$11*Assumptions!$C$7/12</f>
        <v>90.524086667095617</v>
      </c>
      <c r="AZ16" s="55">
        <f>IF(AZ$13&amp;AZ$14="Noyes",$E7,IF(AY$13&amp;AY$14="yesyes",$G7,$F7))*AZ$11*Assumptions!$C$7/12</f>
        <v>90.524086667095617</v>
      </c>
      <c r="BA16" s="55">
        <f>IF(BA$13&amp;BA$14="Noyes",$E7,IF(AZ$13&amp;AZ$14="yesyes",$G7,$F7))*BA$11*Assumptions!$C$7/12</f>
        <v>90.524086667095617</v>
      </c>
      <c r="BB16" s="55">
        <f>IF(BB$13&amp;BB$14="Noyes",$E7,IF(BA$13&amp;BA$14="yesyes",$G7,$F7))*BB$11*Assumptions!$C$7/12</f>
        <v>90.524086667095617</v>
      </c>
      <c r="BC16" s="55">
        <f>IF(BC$13&amp;BC$14="Noyes",$E7,IF(BB$13&amp;BB$14="yesyes",$G7,$F7))*BC$11*Assumptions!$C$7/12</f>
        <v>90.524086667095617</v>
      </c>
      <c r="BD16" s="55">
        <f>IF(BD$13&amp;BD$14="Noyes",$E7,IF(BC$13&amp;BC$14="yesyes",$G7,$F7))*BD$11*Assumptions!$C$7/12</f>
        <v>90.524086667095617</v>
      </c>
      <c r="BE16" s="55">
        <f>IF(BE$13&amp;BE$14="Noyes",$E7,IF(BD$13&amp;BD$14="yesyes",$G7,$F7))*BE$11*Assumptions!$C$7/12</f>
        <v>90.524086667095617</v>
      </c>
      <c r="BF16" s="55">
        <f>IF(BF$13&amp;BF$14="Noyes",$E7,IF(BE$13&amp;BE$14="yesyes",$G7,$F7))*BF$11*Assumptions!$C$7/12</f>
        <v>90.524086667095617</v>
      </c>
      <c r="BG16" s="55">
        <f>IF(BG$13&amp;BG$14="Noyes",$E7,IF(BF$13&amp;BF$14="yesyes",$G7,$F7))*BG$11*Assumptions!$C$7/12</f>
        <v>90.524086667095617</v>
      </c>
      <c r="BH16" s="55">
        <f>IF(BH$13&amp;BH$14="Noyes",$E7,IF(BG$13&amp;BG$14="yesyes",$G7,$F7))*BH$11*Assumptions!$C$7/12</f>
        <v>90.524086667095617</v>
      </c>
      <c r="BI16" s="55">
        <f>IF(BI$13&amp;BI$14="Noyes",$E7,IF(BH$13&amp;BH$14="yesyes",$G7,$F7))*BI$11*Assumptions!$C$7/12</f>
        <v>90.524086667095617</v>
      </c>
      <c r="BJ16" s="55">
        <f>IF(BJ$13&amp;BJ$14="Noyes",$E7,IF(BI$13&amp;BI$14="yesyes",$G7,$F7))*BJ$11*Assumptions!$C$7/12</f>
        <v>90.524086667095617</v>
      </c>
      <c r="BK16" s="55">
        <f>IF(BK$13&amp;BK$14="Noyes",$E7,IF(BJ$13&amp;BJ$14="yesyes",$G7,$F7))*BK$11*Assumptions!$C$7/12</f>
        <v>90.524086667095617</v>
      </c>
      <c r="BL16" s="55">
        <f>IF(BL$13&amp;BL$14="Noyes",$E7,IF(BK$13&amp;BK$14="yesyes",$G7,$F7))*BL$11*Assumptions!$C$7/12</f>
        <v>90.524086667095617</v>
      </c>
      <c r="BM16" s="55">
        <f>IF(BM$13&amp;BM$14="Noyes",$E7,IF(BL$13&amp;BL$14="yesyes",$G7,$F7))*BM$11*Assumptions!$C$7/12</f>
        <v>90.524086667095617</v>
      </c>
      <c r="BN16" s="55">
        <f>IF(BN$13&amp;BN$14="Noyes",$E7,IF(BM$13&amp;BM$14="yesyes",$G7,$F7))*BN$11*Assumptions!$C$7/12</f>
        <v>90.524086667095617</v>
      </c>
      <c r="BO16" s="55">
        <f>IF(BO$13&amp;BO$14="Noyes",$E7,IF(BN$13&amp;BN$14="yesyes",$G7,$F7))*BO$11*Assumptions!$C$7/12</f>
        <v>90.524086667095617</v>
      </c>
      <c r="BP16" s="55">
        <f>IF(BP$13&amp;BP$14="Noyes",$E7,IF(BO$13&amp;BO$14="yesyes",$G7,$F7))*BP$11*Assumptions!$C$7/12</f>
        <v>90.524086667095617</v>
      </c>
      <c r="BQ16" s="55">
        <f>IF(BQ$13&amp;BQ$14="Noyes",$E7,IF(BP$13&amp;BP$14="yesyes",$G7,$F7))*BQ$11*Assumptions!$C$7/12</f>
        <v>90.524086667095617</v>
      </c>
      <c r="BR16" s="55">
        <f>IF(BR$13&amp;BR$14="Noyes",$E7,IF(BQ$13&amp;BQ$14="yesyes",$G7,$F7))*BR$11*Assumptions!$C$7/12</f>
        <v>90.524086667095617</v>
      </c>
      <c r="BS16" s="55">
        <f>IF(BS$13&amp;BS$14="Noyes",$E7,IF(BR$13&amp;BR$14="yesyes",$G7,$F7))*BS$11*Assumptions!$C$7/12</f>
        <v>90.524086667095617</v>
      </c>
      <c r="BT16" s="55">
        <f>IF(BT$13&amp;BT$14="Noyes",$E7,IF(BS$13&amp;BS$14="yesyes",$G7,$F7))*BT$11*Assumptions!$C$7/12</f>
        <v>90.524086667095617</v>
      </c>
      <c r="BU16" s="55">
        <f>IF(BU$13&amp;BU$14="Noyes",$E7,IF(BT$13&amp;BT$14="yesyes",$G7,$F7))*BU$11*Assumptions!$C$7/12</f>
        <v>90.524086667095617</v>
      </c>
      <c r="BV16" s="55">
        <f>IF(BV$13&amp;BV$14="Noyes",$E7,IF(BU$13&amp;BU$14="yesyes",$G7,$F7))*BV$11*Assumptions!$C$7/12</f>
        <v>90.524086667095617</v>
      </c>
      <c r="BW16" s="55">
        <f>IF(BW$13&amp;BW$14="Noyes",$E7,IF(BV$13&amp;BV$14="yesyes",$G7,$F7))*BW$11*Assumptions!$C$7/12</f>
        <v>90.524086667095617</v>
      </c>
      <c r="BX16" s="55">
        <f>IF(BX$13&amp;BX$14="Noyes",$E7,IF(BW$13&amp;BW$14="yesyes",$G7,$F7))*BX$11*Assumptions!$C$7/12</f>
        <v>90.524086667095617</v>
      </c>
      <c r="BY16" s="55">
        <f>IF(BY$13&amp;BY$14="Noyes",$E7,IF(BX$13&amp;BX$14="yesyes",$G7,$F7))*BY$11*Assumptions!$C$7/12</f>
        <v>90.524086667095617</v>
      </c>
      <c r="BZ16" s="55">
        <f>IF(BZ$13&amp;BZ$14="Noyes",$E7,IF(BY$13&amp;BY$14="yesyes",$G7,$F7))*BZ$11*Assumptions!$C$7/12</f>
        <v>90.524086667095617</v>
      </c>
      <c r="CA16" s="55">
        <f>IF(CA$13&amp;CA$14="Noyes",$E7,IF(BZ$13&amp;BZ$14="yesyes",$G7,$F7))*CA$11*Assumptions!$C$7/12</f>
        <v>90.524086667095617</v>
      </c>
      <c r="CB16" s="55">
        <f>IF(CB$13&amp;CB$14="Noyes",$E7,IF(CA$13&amp;CA$14="yesyes",$G7,$F7))*CB$11*Assumptions!$C$7/12</f>
        <v>90.524086667095617</v>
      </c>
      <c r="CC16" s="55">
        <f>IF(CC$13&amp;CC$14="Noyes",$E7,IF(CB$13&amp;CB$14="yesyes",$G7,$F7))*CC$11*Assumptions!$C$7/12</f>
        <v>90.524086667095617</v>
      </c>
      <c r="CD16" s="55">
        <f>IF(CD$13&amp;CD$14="Noyes",$E7,IF(CC$13&amp;CC$14="yesyes",$G7,$F7))*CD$11*Assumptions!$C$7/12</f>
        <v>90.524086667095617</v>
      </c>
      <c r="CE16" s="55">
        <f>IF(CE$13&amp;CE$14="Noyes",$E7,IF(CD$13&amp;CD$14="yesyes",$G7,$F7))*CE$11*Assumptions!$C$7/12</f>
        <v>90.524086667095617</v>
      </c>
      <c r="CF16" s="55">
        <f>IF(CF$13&amp;CF$14="Noyes",$E7,IF(CE$13&amp;CE$14="yesyes",$G7,$F7))*CF$11*Assumptions!$C$7/12</f>
        <v>90.524086667095617</v>
      </c>
      <c r="CG16" s="55">
        <f>IF(CG$13&amp;CG$14="Noyes",$E7,IF(CF$13&amp;CF$14="yesyes",$G7,$F7))*CG$11*Assumptions!$C$7/12</f>
        <v>90.524086667095617</v>
      </c>
      <c r="CH16" s="55">
        <f>IF(CH$13&amp;CH$14="Noyes",$E7,IF(CG$13&amp;CG$14="yesyes",$G7,$F7))*CH$11*Assumptions!$C$7/12</f>
        <v>90.524086667095617</v>
      </c>
      <c r="CI16" s="55">
        <f>IF(CI$13&amp;CI$14="Noyes",$E7,IF(CH$13&amp;CH$14="yesyes",$G7,$F7))*CI$11*Assumptions!$C$7/12</f>
        <v>90.524086667095617</v>
      </c>
      <c r="CJ16" s="55">
        <f>IF(CJ$13&amp;CJ$14="Noyes",$E7,IF(CI$13&amp;CI$14="yesyes",$G7,$F7))*CJ$11*Assumptions!$C$7/12</f>
        <v>90.524086667095617</v>
      </c>
      <c r="CK16" s="55">
        <f>IF(CK$13&amp;CK$14="Noyes",$E7,IF(CJ$13&amp;CJ$14="yesyes",$G7,$F7))*CK$11*Assumptions!$C$7/12</f>
        <v>90.524086667095617</v>
      </c>
      <c r="CL16" s="55">
        <f>IF(CL$13&amp;CL$14="Noyes",$E7,IF(CK$13&amp;CK$14="yesyes",$G7,$F7))*CL$11*Assumptions!$C$7/12</f>
        <v>90.524086667095617</v>
      </c>
      <c r="CM16" s="55">
        <f>IF(CM$13&amp;CM$14="Noyes",$E7,IF(CL$13&amp;CL$14="yesyes",$G7,$F7))*CM$11*Assumptions!$C$7/12</f>
        <v>90.524086667095617</v>
      </c>
      <c r="CN16" s="55">
        <f>IF(CN$13&amp;CN$14="Noyes",$E7,IF(CM$13&amp;CM$14="yesyes",$G7,$F7))*CN$11*Assumptions!$C$7/12</f>
        <v>90.524086667095617</v>
      </c>
      <c r="CO16" s="55">
        <f>IF(CO$13&amp;CO$14="Noyes",$E7,IF(CN$13&amp;CN$14="yesyes",$G7,$F7))*CO$11*Assumptions!$C$7/12</f>
        <v>90.524086667095617</v>
      </c>
      <c r="CP16" s="55">
        <f>IF(CP$13&amp;CP$14="Noyes",$E7,IF(CO$13&amp;CO$14="yesyes",$G7,$F7))*CP$11*Assumptions!$C$7/12</f>
        <v>90.524086667095617</v>
      </c>
      <c r="CQ16" s="55">
        <f>IF(CQ$13&amp;CQ$14="Noyes",$E7,IF(CP$13&amp;CP$14="yesyes",$G7,$F7))*CQ$11*Assumptions!$C$7/12</f>
        <v>90.524086667095617</v>
      </c>
      <c r="CR16" s="55">
        <f>IF(CR$13&amp;CR$14="Noyes",$E7,IF(CQ$13&amp;CQ$14="yesyes",$G7,$F7))*CR$11*Assumptions!$C$7/12</f>
        <v>90.524086667095617</v>
      </c>
      <c r="CS16" s="55">
        <f>IF(CS$13&amp;CS$14="Noyes",$E7,IF(CR$13&amp;CR$14="yesyes",$G7,$F7))*CS$11*Assumptions!$C$7/12</f>
        <v>90.524086667095617</v>
      </c>
      <c r="CT16" s="55">
        <f>IF(CT$13&amp;CT$14="Noyes",$E7,IF(CS$13&amp;CS$14="yesyes",$G7,$F7))*CT$11*Assumptions!$C$7/12</f>
        <v>90.524086667095617</v>
      </c>
      <c r="CU16" s="55">
        <f>IF(CU$13&amp;CU$14="Noyes",$E7,IF(CT$13&amp;CT$14="yesyes",$G7,$F7))*CU$11*Assumptions!$C$7/12</f>
        <v>90.524086667095617</v>
      </c>
      <c r="CV16" s="55">
        <f>IF(CV$13&amp;CV$14="Noyes",$E7,IF(CU$13&amp;CU$14="yesyes",$G7,$F7))*CV$11*Assumptions!$C$7/12</f>
        <v>90.524086667095617</v>
      </c>
      <c r="CW16" s="55">
        <f>IF(CW$13&amp;CW$14="Noyes",$E7,IF(CV$13&amp;CV$14="yesyes",$G7,$F7))*CW$11*Assumptions!$C$7/12</f>
        <v>90.524086667095617</v>
      </c>
      <c r="CX16" s="55">
        <f>IF(CX$13&amp;CX$14="Noyes",$E7,IF(CW$13&amp;CW$14="yesyes",$G7,$F7))*CX$11*Assumptions!$C$7/12</f>
        <v>90.524086667095617</v>
      </c>
      <c r="CY16" s="55">
        <f>IF(CY$13&amp;CY$14="Noyes",$E7,IF(CX$13&amp;CX$14="yesyes",$G7,$F7))*CY$11*Assumptions!$C$7/12</f>
        <v>90.524086667095617</v>
      </c>
      <c r="CZ16" s="55">
        <f>IF(CZ$13&amp;CZ$14="Noyes",$E7,IF(CY$13&amp;CY$14="yesyes",$G7,$F7))*CZ$11*Assumptions!$C$7/12</f>
        <v>90.524086667095617</v>
      </c>
      <c r="DA16" s="55">
        <f>IF(DA$13&amp;DA$14="Noyes",$E7,IF(CZ$13&amp;CZ$14="yesyes",$G7,$F7))*DA$11*Assumptions!$C$7/12</f>
        <v>90.524086667095617</v>
      </c>
      <c r="DB16" s="55">
        <f>IF(DB$13&amp;DB$14="Noyes",$E7,IF(DA$13&amp;DA$14="yesyes",$G7,$F7))*DB$11*Assumptions!$C$7/12</f>
        <v>90.524086667095617</v>
      </c>
      <c r="DC16" s="55">
        <f>IF(DC$13&amp;DC$14="Noyes",$E7,IF(DB$13&amp;DB$14="yesyes",$G7,$F7))*DC$11*Assumptions!$C$7/12</f>
        <v>90.524086667095617</v>
      </c>
      <c r="DD16" s="55">
        <f>IF(DD$13&amp;DD$14="Noyes",$E7,IF(DC$13&amp;DC$14="yesyes",$G7,$F7))*DD$11*Assumptions!$C$7/12</f>
        <v>90.524086667095617</v>
      </c>
      <c r="DE16" s="55">
        <f>IF(DE$13&amp;DE$14="Noyes",$E7,IF(DD$13&amp;DD$14="yesyes",$G7,$F7))*DE$11*Assumptions!$C$7/12</f>
        <v>90.524086667095617</v>
      </c>
      <c r="DF16" s="55">
        <f>IF(DF$13&amp;DF$14="Noyes",$E7,IF(DE$13&amp;DE$14="yesyes",$G7,$F7))*DF$11*Assumptions!$C$7/12</f>
        <v>90.524086667095617</v>
      </c>
      <c r="DG16" s="55">
        <f>IF(DG$13&amp;DG$14="Noyes",$E7,IF(DF$13&amp;DF$14="yesyes",$G7,$F7))*DG$11*Assumptions!$C$7/12</f>
        <v>90.524086667095617</v>
      </c>
      <c r="DH16" s="55">
        <f>IF(DH$13&amp;DH$14="Noyes",$E7,IF(DG$13&amp;DG$14="yesyes",$G7,$F7))*DH$11*Assumptions!$C$7/12</f>
        <v>90.524086667095617</v>
      </c>
      <c r="DI16" s="55">
        <f>IF(DI$13&amp;DI$14="Noyes",$E7,IF(DH$13&amp;DH$14="yesyes",$G7,$F7))*DI$11*Assumptions!$C$7/12</f>
        <v>90.524086667095617</v>
      </c>
      <c r="DJ16" s="55">
        <f>IF(DJ$13&amp;DJ$14="Noyes",$E7,IF(DI$13&amp;DI$14="yesyes",$G7,$F7))*DJ$11*Assumptions!$C$7/12</f>
        <v>90.524086667095617</v>
      </c>
      <c r="DK16" s="55">
        <f>IF(DK$13&amp;DK$14="Noyes",$E7,IF(DJ$13&amp;DJ$14="yesyes",$G7,$F7))*DK$11*Assumptions!$C$7/12</f>
        <v>90.524086667095617</v>
      </c>
      <c r="DL16" s="55">
        <f>IF(DL$13&amp;DL$14="Noyes",$E7,IF(DK$13&amp;DK$14="yesyes",$G7,$F7))*DL$11*Assumptions!$C$7/12</f>
        <v>90.524086667095617</v>
      </c>
      <c r="DM16" s="55">
        <f>IF(DM$13&amp;DM$14="Noyes",$E7,IF(DL$13&amp;DL$14="yesyes",$G7,$F7))*DM$11*Assumptions!$C$7/12</f>
        <v>90.524086667095617</v>
      </c>
      <c r="DN16" s="55">
        <f>IF(DN$13&amp;DN$14="Noyes",$E7,IF(DM$13&amp;DM$14="yesyes",$G7,$F7))*DN$11*Assumptions!$C$7/12</f>
        <v>90.524086667095617</v>
      </c>
      <c r="DO16" s="55">
        <f>IF(DO$13&amp;DO$14="Noyes",$E7,IF(DN$13&amp;DN$14="yesyes",$G7,$F7))*DO$11*Assumptions!$C$7/12</f>
        <v>90.524086667095617</v>
      </c>
      <c r="DP16" s="55">
        <f>IF(DP$13&amp;DP$14="Noyes",$E7,IF(DO$13&amp;DO$14="yesyes",$G7,$F7))*DP$11*Assumptions!$C$7/12</f>
        <v>90.524086667095617</v>
      </c>
      <c r="DQ16" s="55">
        <f>IF(DQ$13&amp;DQ$14="Noyes",$E7,IF(DP$13&amp;DP$14="yesyes",$G7,$F7))*DQ$11*Assumptions!$C$7/12</f>
        <v>90.524086667095617</v>
      </c>
      <c r="DR16" s="55">
        <f>IF(DR$13&amp;DR$14="Noyes",$E7,IF(DQ$13&amp;DQ$14="yesyes",$G7,$F7))*DR$11*Assumptions!$C$7/12</f>
        <v>90.524086667095617</v>
      </c>
      <c r="DT16" s="58"/>
    </row>
    <row r="17" spans="2:124" x14ac:dyDescent="0.3">
      <c r="B17" s="52" t="s">
        <v>307</v>
      </c>
      <c r="C17" s="55">
        <f>IF(C$13&amp;C$14="Noyes",$E8,IF(B$13&amp;B$14="yesyes",$G8,$F8))*C$11*Assumptions!$C$7/12</f>
        <v>18.84088785046729</v>
      </c>
      <c r="D17" s="55">
        <f>IF(D$13&amp;D$14="Noyes",$E8,IF(C$13&amp;C$14="yesyes",$G8,$F8))*D$11*Assumptions!$C$7/12</f>
        <v>18.84088785046729</v>
      </c>
      <c r="E17" s="55">
        <f>IF(E$13&amp;E$14="Noyes",$E8,IF(D$13&amp;D$14="yesyes",$G8,$F8))*E$11*Assumptions!$C$7/12</f>
        <v>5.6522663551401875</v>
      </c>
      <c r="F17" s="55">
        <f>IF(F$13&amp;F$14="Noyes",$E8,IF(E$13&amp;E$14="yesyes",$G8,$F8))*F$11*Assumptions!$C$7/12</f>
        <v>11.304532710280375</v>
      </c>
      <c r="G17" s="55">
        <f>IF(G$13&amp;G$14="Noyes",$E8,IF(F$13&amp;F$14="yesyes",$G8,$F8))*G$11*Assumptions!$C$7/12</f>
        <v>70.653329439252346</v>
      </c>
      <c r="H17" s="55">
        <f>IF(H$13&amp;H$14="Noyes",$E8,IF(G$13&amp;G$14="yesyes",$G8,$F8))*H$11*Assumptions!$C$7/12</f>
        <v>70.653329439252346</v>
      </c>
      <c r="I17" s="55">
        <f>IF(I$13&amp;I$14="Noyes",$E8,IF(H$13&amp;H$14="yesyes",$G8,$F8))*I$11*Assumptions!$C$7/12</f>
        <v>70.653329439252346</v>
      </c>
      <c r="J17" s="55">
        <f>IF(J$13&amp;J$14="Noyes",$E8,IF(I$13&amp;I$14="yesyes",$G8,$F8))*J$11*Assumptions!$C$7/12</f>
        <v>70.653329439252346</v>
      </c>
      <c r="K17" s="55">
        <f>IF(K$13&amp;K$14="Noyes",$E8,IF(J$13&amp;J$14="yesyes",$G8,$F8))*K$11*Assumptions!$C$7/12</f>
        <v>70.653329439252346</v>
      </c>
      <c r="L17" s="55">
        <f>IF(L$13&amp;L$14="Noyes",$E8,IF(K$13&amp;K$14="yesyes",$G8,$F8))*L$11*Assumptions!$C$7/12</f>
        <v>70.653329439252346</v>
      </c>
      <c r="M17" s="55">
        <f>IF(M$13&amp;M$14="Noyes",$E8,IF(L$13&amp;L$14="yesyes",$G8,$F8))*M$11*Assumptions!$C$7/12</f>
        <v>141.30665887850469</v>
      </c>
      <c r="N17" s="55">
        <f>IF(N$13&amp;N$14="Noyes",$E8,IF(M$13&amp;M$14="yesyes",$G8,$F8))*N$11*Assumptions!$C$7/12</f>
        <v>70.653329439252346</v>
      </c>
      <c r="O17" s="55">
        <f>IF(O$13&amp;O$14="Noyes",$E8,IF(N$13&amp;N$14="yesyes",$G8,$F8))*O$11*Assumptions!$C$7/12</f>
        <v>70.653329439252346</v>
      </c>
      <c r="P17" s="55">
        <f>IF(P$13&amp;P$14="Noyes",$E8,IF(O$13&amp;O$14="yesyes",$G8,$F8))*P$11*Assumptions!$C$7/12</f>
        <v>70.653329439252346</v>
      </c>
      <c r="Q17" s="55">
        <f>IF(Q$13&amp;Q$14="Noyes",$E8,IF(P$13&amp;P$14="yesyes",$G8,$F8))*Q$11*Assumptions!$C$7/12</f>
        <v>70.653329439252346</v>
      </c>
      <c r="R17" s="55">
        <f>IF(R$13&amp;R$14="Noyes",$E8,IF(Q$13&amp;Q$14="yesyes",$G8,$F8))*R$11*Assumptions!$C$7/12</f>
        <v>70.653329439252346</v>
      </c>
      <c r="S17" s="55">
        <f>IF(S$13&amp;S$14="Noyes",$E8,IF(R$13&amp;R$14="yesyes",$G8,$F8))*S$11*Assumptions!$C$7/12</f>
        <v>70.653329439252346</v>
      </c>
      <c r="T17" s="55">
        <f>IF(T$13&amp;T$14="Noyes",$E8,IF(S$13&amp;S$14="yesyes",$G8,$F8))*T$11*Assumptions!$C$7/12</f>
        <v>70.653329439252346</v>
      </c>
      <c r="U17" s="55">
        <f>IF(U$13&amp;U$14="Noyes",$E8,IF(T$13&amp;T$14="yesyes",$G8,$F8))*U$11*Assumptions!$C$7/12</f>
        <v>70.653329439252346</v>
      </c>
      <c r="V17" s="55">
        <f>IF(V$13&amp;V$14="Noyes",$E8,IF(U$13&amp;U$14="yesyes",$G8,$F8))*V$11*Assumptions!$C$7/12</f>
        <v>70.653329439252346</v>
      </c>
      <c r="W17" s="55">
        <f>IF(W$13&amp;W$14="Noyes",$E8,IF(V$13&amp;V$14="yesyes",$G8,$F8))*W$11*Assumptions!$C$7/12</f>
        <v>70.653329439252346</v>
      </c>
      <c r="X17" s="55">
        <f>IF(X$13&amp;X$14="Noyes",$E8,IF(W$13&amp;W$14="yesyes",$G8,$F8))*X$11*Assumptions!$C$7/12</f>
        <v>70.653329439252346</v>
      </c>
      <c r="Y17" s="55">
        <f>IF(Y$13&amp;Y$14="Noyes",$E8,IF(X$13&amp;X$14="yesyes",$G8,$F8))*Y$11*Assumptions!$C$7/12</f>
        <v>70.653329439252346</v>
      </c>
      <c r="Z17" s="55">
        <f>IF(Z$13&amp;Z$14="Noyes",$E8,IF(Y$13&amp;Y$14="yesyes",$G8,$F8))*Z$11*Assumptions!$C$7/12</f>
        <v>70.653329439252346</v>
      </c>
      <c r="AA17" s="55">
        <f>IF(AA$13&amp;AA$14="Noyes",$E8,IF(Z$13&amp;Z$14="yesyes",$G8,$F8))*AA$11*Assumptions!$C$7/12</f>
        <v>70.653329439252346</v>
      </c>
      <c r="AB17" s="55">
        <f>IF(AB$13&amp;AB$14="Noyes",$E8,IF(AA$13&amp;AA$14="yesyes",$G8,$F8))*AB$11*Assumptions!$C$7/12</f>
        <v>70.653329439252346</v>
      </c>
      <c r="AC17" s="55">
        <f>IF(AC$13&amp;AC$14="Noyes",$E8,IF(AB$13&amp;AB$14="yesyes",$G8,$F8))*AC$11*Assumptions!$C$7/12</f>
        <v>70.653329439252346</v>
      </c>
      <c r="AD17" s="55">
        <f>IF(AD$13&amp;AD$14="Noyes",$E8,IF(AC$13&amp;AC$14="yesyes",$G8,$F8))*AD$11*Assumptions!$C$7/12</f>
        <v>70.653329439252346</v>
      </c>
      <c r="AE17" s="55">
        <f>IF(AE$13&amp;AE$14="Noyes",$E8,IF(AD$13&amp;AD$14="yesyes",$G8,$F8))*AE$11*Assumptions!$C$7/12</f>
        <v>70.653329439252346</v>
      </c>
      <c r="AF17" s="55">
        <f>IF(AF$13&amp;AF$14="Noyes",$E8,IF(AE$13&amp;AE$14="yesyes",$G8,$F8))*AF$11*Assumptions!$C$7/12</f>
        <v>70.653329439252346</v>
      </c>
      <c r="AG17" s="55">
        <f>IF(AG$13&amp;AG$14="Noyes",$E8,IF(AF$13&amp;AF$14="yesyes",$G8,$F8))*AG$11*Assumptions!$C$7/12</f>
        <v>70.653329439252346</v>
      </c>
      <c r="AH17" s="55">
        <f>IF(AH$13&amp;AH$14="Noyes",$E8,IF(AG$13&amp;AG$14="yesyes",$G8,$F8))*AH$11*Assumptions!$C$7/12</f>
        <v>70.653329439252346</v>
      </c>
      <c r="AI17" s="55">
        <f>IF(AI$13&amp;AI$14="Noyes",$E8,IF(AH$13&amp;AH$14="yesyes",$G8,$F8))*AI$11*Assumptions!$C$7/12</f>
        <v>70.653329439252346</v>
      </c>
      <c r="AJ17" s="55">
        <f>IF(AJ$13&amp;AJ$14="Noyes",$E8,IF(AI$13&amp;AI$14="yesyes",$G8,$F8))*AJ$11*Assumptions!$C$7/12</f>
        <v>70.653329439252346</v>
      </c>
      <c r="AK17" s="55">
        <f>IF(AK$13&amp;AK$14="Noyes",$E8,IF(AJ$13&amp;AJ$14="yesyes",$G8,$F8))*AK$11*Assumptions!$C$7/12</f>
        <v>70.653329439252346</v>
      </c>
      <c r="AL17" s="55">
        <f>IF(AL$13&amp;AL$14="Noyes",$E8,IF(AK$13&amp;AK$14="yesyes",$G8,$F8))*AL$11*Assumptions!$C$7/12</f>
        <v>70.653329439252346</v>
      </c>
      <c r="AM17" s="55">
        <f>IF(AM$13&amp;AM$14="Noyes",$E8,IF(AL$13&amp;AL$14="yesyes",$G8,$F8))*AM$11*Assumptions!$C$7/12</f>
        <v>70.653329439252346</v>
      </c>
      <c r="AN17" s="55">
        <f>IF(AN$13&amp;AN$14="Noyes",$E8,IF(AM$13&amp;AM$14="yesyes",$G8,$F8))*AN$11*Assumptions!$C$7/12</f>
        <v>70.653329439252346</v>
      </c>
      <c r="AO17" s="55">
        <f>IF(AO$13&amp;AO$14="Noyes",$E8,IF(AN$13&amp;AN$14="yesyes",$G8,$F8))*AO$11*Assumptions!$C$7/12</f>
        <v>70.653329439252346</v>
      </c>
      <c r="AP17" s="55">
        <f>IF(AP$13&amp;AP$14="Noyes",$E8,IF(AO$13&amp;AO$14="yesyes",$G8,$F8))*AP$11*Assumptions!$C$7/12</f>
        <v>70.653329439252346</v>
      </c>
      <c r="AQ17" s="55">
        <f>IF(AQ$13&amp;AQ$14="Noyes",$E8,IF(AP$13&amp;AP$14="yesyes",$G8,$F8))*AQ$11*Assumptions!$C$7/12</f>
        <v>70.653329439252346</v>
      </c>
      <c r="AR17" s="55">
        <f>IF(AR$13&amp;AR$14="Noyes",$E8,IF(AQ$13&amp;AQ$14="yesyes",$G8,$F8))*AR$11*Assumptions!$C$7/12</f>
        <v>70.653329439252346</v>
      </c>
      <c r="AS17" s="55">
        <f>IF(AS$13&amp;AS$14="Noyes",$E8,IF(AR$13&amp;AR$14="yesyes",$G8,$F8))*AS$11*Assumptions!$C$7/12</f>
        <v>70.653329439252346</v>
      </c>
      <c r="AT17" s="55">
        <f>IF(AT$13&amp;AT$14="Noyes",$E8,IF(AS$13&amp;AS$14="yesyes",$G8,$F8))*AT$11*Assumptions!$C$7/12</f>
        <v>70.653329439252346</v>
      </c>
      <c r="AU17" s="55">
        <f>IF(AU$13&amp;AU$14="Noyes",$E8,IF(AT$13&amp;AT$14="yesyes",$G8,$F8))*AU$11*Assumptions!$C$7/12</f>
        <v>70.653329439252346</v>
      </c>
      <c r="AV17" s="55">
        <f>IF(AV$13&amp;AV$14="Noyes",$E8,IF(AU$13&amp;AU$14="yesyes",$G8,$F8))*AV$11*Assumptions!$C$7/12</f>
        <v>70.653329439252346</v>
      </c>
      <c r="AW17" s="55">
        <f>IF(AW$13&amp;AW$14="Noyes",$E8,IF(AV$13&amp;AV$14="yesyes",$G8,$F8))*AW$11*Assumptions!$C$7/12</f>
        <v>70.653329439252346</v>
      </c>
      <c r="AX17" s="55">
        <f>IF(AX$13&amp;AX$14="Noyes",$E8,IF(AW$13&amp;AW$14="yesyes",$G8,$F8))*AX$11*Assumptions!$C$7/12</f>
        <v>70.653329439252346</v>
      </c>
      <c r="AY17" s="55">
        <f>IF(AY$13&amp;AY$14="Noyes",$E8,IF(AX$13&amp;AX$14="yesyes",$G8,$F8))*AY$11*Assumptions!$C$7/12</f>
        <v>70.653329439252346</v>
      </c>
      <c r="AZ17" s="55">
        <f>IF(AZ$13&amp;AZ$14="Noyes",$E8,IF(AY$13&amp;AY$14="yesyes",$G8,$F8))*AZ$11*Assumptions!$C$7/12</f>
        <v>70.653329439252346</v>
      </c>
      <c r="BA17" s="55">
        <f>IF(BA$13&amp;BA$14="Noyes",$E8,IF(AZ$13&amp;AZ$14="yesyes",$G8,$F8))*BA$11*Assumptions!$C$7/12</f>
        <v>70.653329439252346</v>
      </c>
      <c r="BB17" s="55">
        <f>IF(BB$13&amp;BB$14="Noyes",$E8,IF(BA$13&amp;BA$14="yesyes",$G8,$F8))*BB$11*Assumptions!$C$7/12</f>
        <v>70.653329439252346</v>
      </c>
      <c r="BC17" s="55">
        <f>IF(BC$13&amp;BC$14="Noyes",$E8,IF(BB$13&amp;BB$14="yesyes",$G8,$F8))*BC$11*Assumptions!$C$7/12</f>
        <v>70.653329439252346</v>
      </c>
      <c r="BD17" s="55">
        <f>IF(BD$13&amp;BD$14="Noyes",$E8,IF(BC$13&amp;BC$14="yesyes",$G8,$F8))*BD$11*Assumptions!$C$7/12</f>
        <v>70.653329439252346</v>
      </c>
      <c r="BE17" s="55">
        <f>IF(BE$13&amp;BE$14="Noyes",$E8,IF(BD$13&amp;BD$14="yesyes",$G8,$F8))*BE$11*Assumptions!$C$7/12</f>
        <v>70.653329439252346</v>
      </c>
      <c r="BF17" s="55">
        <f>IF(BF$13&amp;BF$14="Noyes",$E8,IF(BE$13&amp;BE$14="yesyes",$G8,$F8))*BF$11*Assumptions!$C$7/12</f>
        <v>70.653329439252346</v>
      </c>
      <c r="BG17" s="55">
        <f>IF(BG$13&amp;BG$14="Noyes",$E8,IF(BF$13&amp;BF$14="yesyes",$G8,$F8))*BG$11*Assumptions!$C$7/12</f>
        <v>70.653329439252346</v>
      </c>
      <c r="BH17" s="55">
        <f>IF(BH$13&amp;BH$14="Noyes",$E8,IF(BG$13&amp;BG$14="yesyes",$G8,$F8))*BH$11*Assumptions!$C$7/12</f>
        <v>70.653329439252346</v>
      </c>
      <c r="BI17" s="55">
        <f>IF(BI$13&amp;BI$14="Noyes",$E8,IF(BH$13&amp;BH$14="yesyes",$G8,$F8))*BI$11*Assumptions!$C$7/12</f>
        <v>70.653329439252346</v>
      </c>
      <c r="BJ17" s="55">
        <f>IF(BJ$13&amp;BJ$14="Noyes",$E8,IF(BI$13&amp;BI$14="yesyes",$G8,$F8))*BJ$11*Assumptions!$C$7/12</f>
        <v>70.653329439252346</v>
      </c>
      <c r="BK17" s="55">
        <f>IF(BK$13&amp;BK$14="Noyes",$E8,IF(BJ$13&amp;BJ$14="yesyes",$G8,$F8))*BK$11*Assumptions!$C$7/12</f>
        <v>70.653329439252346</v>
      </c>
      <c r="BL17" s="55">
        <f>IF(BL$13&amp;BL$14="Noyes",$E8,IF(BK$13&amp;BK$14="yesyes",$G8,$F8))*BL$11*Assumptions!$C$7/12</f>
        <v>70.653329439252346</v>
      </c>
      <c r="BM17" s="55">
        <f>IF(BM$13&amp;BM$14="Noyes",$E8,IF(BL$13&amp;BL$14="yesyes",$G8,$F8))*BM$11*Assumptions!$C$7/12</f>
        <v>70.653329439252346</v>
      </c>
      <c r="BN17" s="55">
        <f>IF(BN$13&amp;BN$14="Noyes",$E8,IF(BM$13&amp;BM$14="yesyes",$G8,$F8))*BN$11*Assumptions!$C$7/12</f>
        <v>70.653329439252346</v>
      </c>
      <c r="BO17" s="55">
        <f>IF(BO$13&amp;BO$14="Noyes",$E8,IF(BN$13&amp;BN$14="yesyes",$G8,$F8))*BO$11*Assumptions!$C$7/12</f>
        <v>70.653329439252346</v>
      </c>
      <c r="BP17" s="55">
        <f>IF(BP$13&amp;BP$14="Noyes",$E8,IF(BO$13&amp;BO$14="yesyes",$G8,$F8))*BP$11*Assumptions!$C$7/12</f>
        <v>70.653329439252346</v>
      </c>
      <c r="BQ17" s="55">
        <f>IF(BQ$13&amp;BQ$14="Noyes",$E8,IF(BP$13&amp;BP$14="yesyes",$G8,$F8))*BQ$11*Assumptions!$C$7/12</f>
        <v>70.653329439252346</v>
      </c>
      <c r="BR17" s="55">
        <f>IF(BR$13&amp;BR$14="Noyes",$E8,IF(BQ$13&amp;BQ$14="yesyes",$G8,$F8))*BR$11*Assumptions!$C$7/12</f>
        <v>70.653329439252346</v>
      </c>
      <c r="BS17" s="55">
        <f>IF(BS$13&amp;BS$14="Noyes",$E8,IF(BR$13&amp;BR$14="yesyes",$G8,$F8))*BS$11*Assumptions!$C$7/12</f>
        <v>70.653329439252346</v>
      </c>
      <c r="BT17" s="55">
        <f>IF(BT$13&amp;BT$14="Noyes",$E8,IF(BS$13&amp;BS$14="yesyes",$G8,$F8))*BT$11*Assumptions!$C$7/12</f>
        <v>70.653329439252346</v>
      </c>
      <c r="BU17" s="55">
        <f>IF(BU$13&amp;BU$14="Noyes",$E8,IF(BT$13&amp;BT$14="yesyes",$G8,$F8))*BU$11*Assumptions!$C$7/12</f>
        <v>70.653329439252346</v>
      </c>
      <c r="BV17" s="55">
        <f>IF(BV$13&amp;BV$14="Noyes",$E8,IF(BU$13&amp;BU$14="yesyes",$G8,$F8))*BV$11*Assumptions!$C$7/12</f>
        <v>70.653329439252346</v>
      </c>
      <c r="BW17" s="55">
        <f>IF(BW$13&amp;BW$14="Noyes",$E8,IF(BV$13&amp;BV$14="yesyes",$G8,$F8))*BW$11*Assumptions!$C$7/12</f>
        <v>70.653329439252346</v>
      </c>
      <c r="BX17" s="55">
        <f>IF(BX$13&amp;BX$14="Noyes",$E8,IF(BW$13&amp;BW$14="yesyes",$G8,$F8))*BX$11*Assumptions!$C$7/12</f>
        <v>70.653329439252346</v>
      </c>
      <c r="BY17" s="55">
        <f>IF(BY$13&amp;BY$14="Noyes",$E8,IF(BX$13&amp;BX$14="yesyes",$G8,$F8))*BY$11*Assumptions!$C$7/12</f>
        <v>70.653329439252346</v>
      </c>
      <c r="BZ17" s="55">
        <f>IF(BZ$13&amp;BZ$14="Noyes",$E8,IF(BY$13&amp;BY$14="yesyes",$G8,$F8))*BZ$11*Assumptions!$C$7/12</f>
        <v>70.653329439252346</v>
      </c>
      <c r="CA17" s="55">
        <f>IF(CA$13&amp;CA$14="Noyes",$E8,IF(BZ$13&amp;BZ$14="yesyes",$G8,$F8))*CA$11*Assumptions!$C$7/12</f>
        <v>70.653329439252346</v>
      </c>
      <c r="CB17" s="55">
        <f>IF(CB$13&amp;CB$14="Noyes",$E8,IF(CA$13&amp;CA$14="yesyes",$G8,$F8))*CB$11*Assumptions!$C$7/12</f>
        <v>70.653329439252346</v>
      </c>
      <c r="CC17" s="55">
        <f>IF(CC$13&amp;CC$14="Noyes",$E8,IF(CB$13&amp;CB$14="yesyes",$G8,$F8))*CC$11*Assumptions!$C$7/12</f>
        <v>70.653329439252346</v>
      </c>
      <c r="CD17" s="55">
        <f>IF(CD$13&amp;CD$14="Noyes",$E8,IF(CC$13&amp;CC$14="yesyes",$G8,$F8))*CD$11*Assumptions!$C$7/12</f>
        <v>70.653329439252346</v>
      </c>
      <c r="CE17" s="55">
        <f>IF(CE$13&amp;CE$14="Noyes",$E8,IF(CD$13&amp;CD$14="yesyes",$G8,$F8))*CE$11*Assumptions!$C$7/12</f>
        <v>70.653329439252346</v>
      </c>
      <c r="CF17" s="55">
        <f>IF(CF$13&amp;CF$14="Noyes",$E8,IF(CE$13&amp;CE$14="yesyes",$G8,$F8))*CF$11*Assumptions!$C$7/12</f>
        <v>70.653329439252346</v>
      </c>
      <c r="CG17" s="55">
        <f>IF(CG$13&amp;CG$14="Noyes",$E8,IF(CF$13&amp;CF$14="yesyes",$G8,$F8))*CG$11*Assumptions!$C$7/12</f>
        <v>70.653329439252346</v>
      </c>
      <c r="CH17" s="55">
        <f>IF(CH$13&amp;CH$14="Noyes",$E8,IF(CG$13&amp;CG$14="yesyes",$G8,$F8))*CH$11*Assumptions!$C$7/12</f>
        <v>70.653329439252346</v>
      </c>
      <c r="CI17" s="55">
        <f>IF(CI$13&amp;CI$14="Noyes",$E8,IF(CH$13&amp;CH$14="yesyes",$G8,$F8))*CI$11*Assumptions!$C$7/12</f>
        <v>70.653329439252346</v>
      </c>
      <c r="CJ17" s="55">
        <f>IF(CJ$13&amp;CJ$14="Noyes",$E8,IF(CI$13&amp;CI$14="yesyes",$G8,$F8))*CJ$11*Assumptions!$C$7/12</f>
        <v>70.653329439252346</v>
      </c>
      <c r="CK17" s="55">
        <f>IF(CK$13&amp;CK$14="Noyes",$E8,IF(CJ$13&amp;CJ$14="yesyes",$G8,$F8))*CK$11*Assumptions!$C$7/12</f>
        <v>70.653329439252346</v>
      </c>
      <c r="CL17" s="55">
        <f>IF(CL$13&amp;CL$14="Noyes",$E8,IF(CK$13&amp;CK$14="yesyes",$G8,$F8))*CL$11*Assumptions!$C$7/12</f>
        <v>70.653329439252346</v>
      </c>
      <c r="CM17" s="55">
        <f>IF(CM$13&amp;CM$14="Noyes",$E8,IF(CL$13&amp;CL$14="yesyes",$G8,$F8))*CM$11*Assumptions!$C$7/12</f>
        <v>70.653329439252346</v>
      </c>
      <c r="CN17" s="55">
        <f>IF(CN$13&amp;CN$14="Noyes",$E8,IF(CM$13&amp;CM$14="yesyes",$G8,$F8))*CN$11*Assumptions!$C$7/12</f>
        <v>70.653329439252346</v>
      </c>
      <c r="CO17" s="55">
        <f>IF(CO$13&amp;CO$14="Noyes",$E8,IF(CN$13&amp;CN$14="yesyes",$G8,$F8))*CO$11*Assumptions!$C$7/12</f>
        <v>70.653329439252346</v>
      </c>
      <c r="CP17" s="55">
        <f>IF(CP$13&amp;CP$14="Noyes",$E8,IF(CO$13&amp;CO$14="yesyes",$G8,$F8))*CP$11*Assumptions!$C$7/12</f>
        <v>70.653329439252346</v>
      </c>
      <c r="CQ17" s="55">
        <f>IF(CQ$13&amp;CQ$14="Noyes",$E8,IF(CP$13&amp;CP$14="yesyes",$G8,$F8))*CQ$11*Assumptions!$C$7/12</f>
        <v>70.653329439252346</v>
      </c>
      <c r="CR17" s="55">
        <f>IF(CR$13&amp;CR$14="Noyes",$E8,IF(CQ$13&amp;CQ$14="yesyes",$G8,$F8))*CR$11*Assumptions!$C$7/12</f>
        <v>70.653329439252346</v>
      </c>
      <c r="CS17" s="55">
        <f>IF(CS$13&amp;CS$14="Noyes",$E8,IF(CR$13&amp;CR$14="yesyes",$G8,$F8))*CS$11*Assumptions!$C$7/12</f>
        <v>70.653329439252346</v>
      </c>
      <c r="CT17" s="55">
        <f>IF(CT$13&amp;CT$14="Noyes",$E8,IF(CS$13&amp;CS$14="yesyes",$G8,$F8))*CT$11*Assumptions!$C$7/12</f>
        <v>70.653329439252346</v>
      </c>
      <c r="CU17" s="55">
        <f>IF(CU$13&amp;CU$14="Noyes",$E8,IF(CT$13&amp;CT$14="yesyes",$G8,$F8))*CU$11*Assumptions!$C$7/12</f>
        <v>70.653329439252346</v>
      </c>
      <c r="CV17" s="55">
        <f>IF(CV$13&amp;CV$14="Noyes",$E8,IF(CU$13&amp;CU$14="yesyes",$G8,$F8))*CV$11*Assumptions!$C$7/12</f>
        <v>70.653329439252346</v>
      </c>
      <c r="CW17" s="55">
        <f>IF(CW$13&amp;CW$14="Noyes",$E8,IF(CV$13&amp;CV$14="yesyes",$G8,$F8))*CW$11*Assumptions!$C$7/12</f>
        <v>70.653329439252346</v>
      </c>
      <c r="CX17" s="55">
        <f>IF(CX$13&amp;CX$14="Noyes",$E8,IF(CW$13&amp;CW$14="yesyes",$G8,$F8))*CX$11*Assumptions!$C$7/12</f>
        <v>70.653329439252346</v>
      </c>
      <c r="CY17" s="55">
        <f>IF(CY$13&amp;CY$14="Noyes",$E8,IF(CX$13&amp;CX$14="yesyes",$G8,$F8))*CY$11*Assumptions!$C$7/12</f>
        <v>70.653329439252346</v>
      </c>
      <c r="CZ17" s="55">
        <f>IF(CZ$13&amp;CZ$14="Noyes",$E8,IF(CY$13&amp;CY$14="yesyes",$G8,$F8))*CZ$11*Assumptions!$C$7/12</f>
        <v>70.653329439252346</v>
      </c>
      <c r="DA17" s="55">
        <f>IF(DA$13&amp;DA$14="Noyes",$E8,IF(CZ$13&amp;CZ$14="yesyes",$G8,$F8))*DA$11*Assumptions!$C$7/12</f>
        <v>70.653329439252346</v>
      </c>
      <c r="DB17" s="55">
        <f>IF(DB$13&amp;DB$14="Noyes",$E8,IF(DA$13&amp;DA$14="yesyes",$G8,$F8))*DB$11*Assumptions!$C$7/12</f>
        <v>70.653329439252346</v>
      </c>
      <c r="DC17" s="55">
        <f>IF(DC$13&amp;DC$14="Noyes",$E8,IF(DB$13&amp;DB$14="yesyes",$G8,$F8))*DC$11*Assumptions!$C$7/12</f>
        <v>70.653329439252346</v>
      </c>
      <c r="DD17" s="55">
        <f>IF(DD$13&amp;DD$14="Noyes",$E8,IF(DC$13&amp;DC$14="yesyes",$G8,$F8))*DD$11*Assumptions!$C$7/12</f>
        <v>70.653329439252346</v>
      </c>
      <c r="DE17" s="55">
        <f>IF(DE$13&amp;DE$14="Noyes",$E8,IF(DD$13&amp;DD$14="yesyes",$G8,$F8))*DE$11*Assumptions!$C$7/12</f>
        <v>70.653329439252346</v>
      </c>
      <c r="DF17" s="55">
        <f>IF(DF$13&amp;DF$14="Noyes",$E8,IF(DE$13&amp;DE$14="yesyes",$G8,$F8))*DF$11*Assumptions!$C$7/12</f>
        <v>70.653329439252346</v>
      </c>
      <c r="DG17" s="55">
        <f>IF(DG$13&amp;DG$14="Noyes",$E8,IF(DF$13&amp;DF$14="yesyes",$G8,$F8))*DG$11*Assumptions!$C$7/12</f>
        <v>70.653329439252346</v>
      </c>
      <c r="DH17" s="55">
        <f>IF(DH$13&amp;DH$14="Noyes",$E8,IF(DG$13&amp;DG$14="yesyes",$G8,$F8))*DH$11*Assumptions!$C$7/12</f>
        <v>70.653329439252346</v>
      </c>
      <c r="DI17" s="55">
        <f>IF(DI$13&amp;DI$14="Noyes",$E8,IF(DH$13&amp;DH$14="yesyes",$G8,$F8))*DI$11*Assumptions!$C$7/12</f>
        <v>70.653329439252346</v>
      </c>
      <c r="DJ17" s="55">
        <f>IF(DJ$13&amp;DJ$14="Noyes",$E8,IF(DI$13&amp;DI$14="yesyes",$G8,$F8))*DJ$11*Assumptions!$C$7/12</f>
        <v>70.653329439252346</v>
      </c>
      <c r="DK17" s="55">
        <f>IF(DK$13&amp;DK$14="Noyes",$E8,IF(DJ$13&amp;DJ$14="yesyes",$G8,$F8))*DK$11*Assumptions!$C$7/12</f>
        <v>70.653329439252346</v>
      </c>
      <c r="DL17" s="55">
        <f>IF(DL$13&amp;DL$14="Noyes",$E8,IF(DK$13&amp;DK$14="yesyes",$G8,$F8))*DL$11*Assumptions!$C$7/12</f>
        <v>70.653329439252346</v>
      </c>
      <c r="DM17" s="55">
        <f>IF(DM$13&amp;DM$14="Noyes",$E8,IF(DL$13&amp;DL$14="yesyes",$G8,$F8))*DM$11*Assumptions!$C$7/12</f>
        <v>70.653329439252346</v>
      </c>
      <c r="DN17" s="55">
        <f>IF(DN$13&amp;DN$14="Noyes",$E8,IF(DM$13&amp;DM$14="yesyes",$G8,$F8))*DN$11*Assumptions!$C$7/12</f>
        <v>70.653329439252346</v>
      </c>
      <c r="DO17" s="55">
        <f>IF(DO$13&amp;DO$14="Noyes",$E8,IF(DN$13&amp;DN$14="yesyes",$G8,$F8))*DO$11*Assumptions!$C$7/12</f>
        <v>70.653329439252346</v>
      </c>
      <c r="DP17" s="55">
        <f>IF(DP$13&amp;DP$14="Noyes",$E8,IF(DO$13&amp;DO$14="yesyes",$G8,$F8))*DP$11*Assumptions!$C$7/12</f>
        <v>70.653329439252346</v>
      </c>
      <c r="DQ17" s="55">
        <f>IF(DQ$13&amp;DQ$14="Noyes",$E8,IF(DP$13&amp;DP$14="yesyes",$G8,$F8))*DQ$11*Assumptions!$C$7/12</f>
        <v>70.653329439252346</v>
      </c>
      <c r="DR17" s="55">
        <f>IF(DR$13&amp;DR$14="Noyes",$E8,IF(DQ$13&amp;DQ$14="yesyes",$G8,$F8))*DR$11*Assumptions!$C$7/12</f>
        <v>70.653329439252346</v>
      </c>
      <c r="DT17" s="58"/>
    </row>
    <row r="18" spans="2:124" x14ac:dyDescent="0.3"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</row>
    <row r="19" spans="2:124" x14ac:dyDescent="0.3">
      <c r="B19" s="64" t="s">
        <v>200</v>
      </c>
    </row>
    <row r="20" spans="2:124" x14ac:dyDescent="0.3">
      <c r="B20" s="52" t="str">
        <f>+B15</f>
        <v>Silver</v>
      </c>
      <c r="C20" s="124">
        <f>INDEX('Commodity Prices'!$D$7:$D$22,MATCH('Metals Model'!$B20,'Commodity Prices'!$B$7:$B$22,0))*C15</f>
        <v>1215150.0041231443</v>
      </c>
      <c r="D20" s="124">
        <f>INDEX('Commodity Prices'!$D$7:$D$22,MATCH('Metals Model'!$B20,'Commodity Prices'!$B$7:$B$22,0))*D15</f>
        <v>1215150.0041231443</v>
      </c>
      <c r="E20" s="124">
        <f>INDEX('Commodity Prices'!$D$7:$D$22,MATCH('Metals Model'!$B20,'Commodity Prices'!$B$7:$B$22,0))*E15</f>
        <v>735919.20677681267</v>
      </c>
      <c r="F20" s="124">
        <f>INDEX('Commodity Prices'!$D$7:$D$22,MATCH('Metals Model'!$B20,'Commodity Prices'!$B$7:$B$22,0))*F15</f>
        <v>735919.20677681267</v>
      </c>
      <c r="G20" s="124">
        <f>INDEX('Commodity Prices'!$D$7:$D$22,MATCH('Metals Model'!$B20,'Commodity Prices'!$B$7:$B$22,0))*G15</f>
        <v>4599495.0423550792</v>
      </c>
      <c r="H20" s="124">
        <f>INDEX('Commodity Prices'!$D$7:$D$22,MATCH('Metals Model'!$B20,'Commodity Prices'!$B$7:$B$22,0))*H15</f>
        <v>4599495.0423550792</v>
      </c>
      <c r="I20" s="124">
        <f>INDEX('Commodity Prices'!$D$7:$D$22,MATCH('Metals Model'!$B20,'Commodity Prices'!$B$7:$B$22,0))*I15</f>
        <v>4599495.0423550792</v>
      </c>
      <c r="J20" s="124">
        <f>INDEX('Commodity Prices'!$D$7:$D$22,MATCH('Metals Model'!$B20,'Commodity Prices'!$B$7:$B$22,0))*J15</f>
        <v>4599495.0423550792</v>
      </c>
      <c r="K20" s="124">
        <f>INDEX('Commodity Prices'!$D$7:$D$22,MATCH('Metals Model'!$B20,'Commodity Prices'!$B$7:$B$22,0))*K15</f>
        <v>4599495.0423550792</v>
      </c>
      <c r="L20" s="124">
        <f>INDEX('Commodity Prices'!$D$7:$D$22,MATCH('Metals Model'!$B20,'Commodity Prices'!$B$7:$B$22,0))*L15</f>
        <v>4599495.0423550792</v>
      </c>
      <c r="M20" s="124">
        <f>INDEX('Commodity Prices'!$D$7:$D$22,MATCH('Metals Model'!$B20,'Commodity Prices'!$B$7:$B$22,0))*M15</f>
        <v>8410526.2923550792</v>
      </c>
      <c r="N20" s="124">
        <f>INDEX('Commodity Prices'!$D$7:$D$22,MATCH('Metals Model'!$B20,'Commodity Prices'!$B$7:$B$22,0))*N15</f>
        <v>8410526.2923550792</v>
      </c>
      <c r="O20" s="124">
        <f>INDEX('Commodity Prices'!$D$7:$D$22,MATCH('Metals Model'!$B20,'Commodity Prices'!$B$7:$B$22,0))*O15</f>
        <v>8410526.2923550792</v>
      </c>
      <c r="P20" s="124">
        <f>INDEX('Commodity Prices'!$D$7:$D$22,MATCH('Metals Model'!$B20,'Commodity Prices'!$B$7:$B$22,0))*P15</f>
        <v>8410526.2923550792</v>
      </c>
      <c r="Q20" s="124">
        <f>INDEX('Commodity Prices'!$D$7:$D$22,MATCH('Metals Model'!$B20,'Commodity Prices'!$B$7:$B$22,0))*Q15</f>
        <v>8410526.2923550792</v>
      </c>
      <c r="R20" s="124">
        <f>INDEX('Commodity Prices'!$D$7:$D$22,MATCH('Metals Model'!$B20,'Commodity Prices'!$B$7:$B$22,0))*R15</f>
        <v>8410526.2923550792</v>
      </c>
      <c r="S20" s="124">
        <f>INDEX('Commodity Prices'!$D$7:$D$22,MATCH('Metals Model'!$B20,'Commodity Prices'!$B$7:$B$22,0))*S15</f>
        <v>8410526.2923550792</v>
      </c>
      <c r="T20" s="124">
        <f>INDEX('Commodity Prices'!$D$7:$D$22,MATCH('Metals Model'!$B20,'Commodity Prices'!$B$7:$B$22,0))*T15</f>
        <v>8410526.2923550792</v>
      </c>
      <c r="U20" s="124">
        <f>INDEX('Commodity Prices'!$D$7:$D$22,MATCH('Metals Model'!$B20,'Commodity Prices'!$B$7:$B$22,0))*U15</f>
        <v>8410526.2923550792</v>
      </c>
      <c r="V20" s="124">
        <f>INDEX('Commodity Prices'!$D$7:$D$22,MATCH('Metals Model'!$B20,'Commodity Prices'!$B$7:$B$22,0))*V15</f>
        <v>8410526.2923550792</v>
      </c>
      <c r="W20" s="124">
        <f>INDEX('Commodity Prices'!$D$7:$D$22,MATCH('Metals Model'!$B20,'Commodity Prices'!$B$7:$B$22,0))*W15</f>
        <v>8410526.2923550792</v>
      </c>
      <c r="X20" s="124">
        <f>INDEX('Commodity Prices'!$D$7:$D$22,MATCH('Metals Model'!$B20,'Commodity Prices'!$B$7:$B$22,0))*X15</f>
        <v>8410526.2923550792</v>
      </c>
      <c r="Y20" s="124">
        <f>INDEX('Commodity Prices'!$D$7:$D$22,MATCH('Metals Model'!$B20,'Commodity Prices'!$B$7:$B$22,0))*Y15</f>
        <v>8410526.2923550792</v>
      </c>
      <c r="Z20" s="124">
        <f>INDEX('Commodity Prices'!$D$7:$D$22,MATCH('Metals Model'!$B20,'Commodity Prices'!$B$7:$B$22,0))*Z15</f>
        <v>8410526.2923550792</v>
      </c>
      <c r="AA20" s="124">
        <f>INDEX('Commodity Prices'!$D$7:$D$22,MATCH('Metals Model'!$B20,'Commodity Prices'!$B$7:$B$22,0))*AA15</f>
        <v>8410526.2923550792</v>
      </c>
      <c r="AB20" s="124">
        <f>INDEX('Commodity Prices'!$D$7:$D$22,MATCH('Metals Model'!$B20,'Commodity Prices'!$B$7:$B$22,0))*AB15</f>
        <v>8410526.2923550792</v>
      </c>
      <c r="AC20" s="124">
        <f>INDEX('Commodity Prices'!$D$7:$D$22,MATCH('Metals Model'!$B20,'Commodity Prices'!$B$7:$B$22,0))*AC15</f>
        <v>8410526.2923550792</v>
      </c>
      <c r="AD20" s="124">
        <f>INDEX('Commodity Prices'!$D$7:$D$22,MATCH('Metals Model'!$B20,'Commodity Prices'!$B$7:$B$22,0))*AD15</f>
        <v>8410526.2923550792</v>
      </c>
      <c r="AE20" s="124">
        <f>INDEX('Commodity Prices'!$D$7:$D$22,MATCH('Metals Model'!$B20,'Commodity Prices'!$B$7:$B$22,0))*AE15</f>
        <v>8410526.2923550792</v>
      </c>
      <c r="AF20" s="124">
        <f>INDEX('Commodity Prices'!$D$7:$D$22,MATCH('Metals Model'!$B20,'Commodity Prices'!$B$7:$B$22,0))*AF15</f>
        <v>8410526.2923550792</v>
      </c>
      <c r="AG20" s="124">
        <f>INDEX('Commodity Prices'!$D$7:$D$22,MATCH('Metals Model'!$B20,'Commodity Prices'!$B$7:$B$22,0))*AG15</f>
        <v>8410526.2923550792</v>
      </c>
      <c r="AH20" s="124">
        <f>INDEX('Commodity Prices'!$D$7:$D$22,MATCH('Metals Model'!$B20,'Commodity Prices'!$B$7:$B$22,0))*AH15</f>
        <v>8410526.2923550792</v>
      </c>
      <c r="AI20" s="124">
        <f>INDEX('Commodity Prices'!$D$7:$D$22,MATCH('Metals Model'!$B20,'Commodity Prices'!$B$7:$B$22,0))*AI15</f>
        <v>8410526.2923550792</v>
      </c>
      <c r="AJ20" s="124">
        <f>INDEX('Commodity Prices'!$D$7:$D$22,MATCH('Metals Model'!$B20,'Commodity Prices'!$B$7:$B$22,0))*AJ15</f>
        <v>8410526.2923550792</v>
      </c>
      <c r="AK20" s="124">
        <f>INDEX('Commodity Prices'!$D$7:$D$22,MATCH('Metals Model'!$B20,'Commodity Prices'!$B$7:$B$22,0))*AK15</f>
        <v>8410526.2923550792</v>
      </c>
      <c r="AL20" s="124">
        <f>INDEX('Commodity Prices'!$D$7:$D$22,MATCH('Metals Model'!$B20,'Commodity Prices'!$B$7:$B$22,0))*AL15</f>
        <v>8410526.2923550792</v>
      </c>
      <c r="AM20" s="124">
        <f>INDEX('Commodity Prices'!$D$7:$D$22,MATCH('Metals Model'!$B20,'Commodity Prices'!$B$7:$B$22,0))*AM15</f>
        <v>8410526.2923550792</v>
      </c>
      <c r="AN20" s="124">
        <f>INDEX('Commodity Prices'!$D$7:$D$22,MATCH('Metals Model'!$B20,'Commodity Prices'!$B$7:$B$22,0))*AN15</f>
        <v>8410526.2923550792</v>
      </c>
      <c r="AO20" s="124">
        <f>INDEX('Commodity Prices'!$D$7:$D$22,MATCH('Metals Model'!$B20,'Commodity Prices'!$B$7:$B$22,0))*AO15</f>
        <v>8410526.2923550792</v>
      </c>
      <c r="AP20" s="124">
        <f>INDEX('Commodity Prices'!$D$7:$D$22,MATCH('Metals Model'!$B20,'Commodity Prices'!$B$7:$B$22,0))*AP15</f>
        <v>8410526.2923550792</v>
      </c>
      <c r="AQ20" s="124">
        <f>INDEX('Commodity Prices'!$D$7:$D$22,MATCH('Metals Model'!$B20,'Commodity Prices'!$B$7:$B$22,0))*AQ15</f>
        <v>8410526.2923550792</v>
      </c>
      <c r="AR20" s="124">
        <f>INDEX('Commodity Prices'!$D$7:$D$22,MATCH('Metals Model'!$B20,'Commodity Prices'!$B$7:$B$22,0))*AR15</f>
        <v>8410526.2923550792</v>
      </c>
      <c r="AS20" s="124">
        <f>INDEX('Commodity Prices'!$D$7:$D$22,MATCH('Metals Model'!$B20,'Commodity Prices'!$B$7:$B$22,0))*AS15</f>
        <v>8410526.2923550792</v>
      </c>
      <c r="AT20" s="124">
        <f>INDEX('Commodity Prices'!$D$7:$D$22,MATCH('Metals Model'!$B20,'Commodity Prices'!$B$7:$B$22,0))*AT15</f>
        <v>8410526.2923550792</v>
      </c>
      <c r="AU20" s="124">
        <f>INDEX('Commodity Prices'!$D$7:$D$22,MATCH('Metals Model'!$B20,'Commodity Prices'!$B$7:$B$22,0))*AU15</f>
        <v>8410526.2923550792</v>
      </c>
      <c r="AV20" s="124">
        <f>INDEX('Commodity Prices'!$D$7:$D$22,MATCH('Metals Model'!$B20,'Commodity Prices'!$B$7:$B$22,0))*AV15</f>
        <v>8410526.2923550792</v>
      </c>
      <c r="AW20" s="124">
        <f>INDEX('Commodity Prices'!$D$7:$D$22,MATCH('Metals Model'!$B20,'Commodity Prices'!$B$7:$B$22,0))*AW15</f>
        <v>8410526.2923550792</v>
      </c>
      <c r="AX20" s="124">
        <f>INDEX('Commodity Prices'!$D$7:$D$22,MATCH('Metals Model'!$B20,'Commodity Prices'!$B$7:$B$22,0))*AX15</f>
        <v>8410526.2923550792</v>
      </c>
      <c r="AY20" s="124">
        <f>INDEX('Commodity Prices'!$D$7:$D$22,MATCH('Metals Model'!$B20,'Commodity Prices'!$B$7:$B$22,0))*AY15</f>
        <v>8410526.2923550792</v>
      </c>
      <c r="AZ20" s="124">
        <f>INDEX('Commodity Prices'!$D$7:$D$22,MATCH('Metals Model'!$B20,'Commodity Prices'!$B$7:$B$22,0))*AZ15</f>
        <v>8410526.2923550792</v>
      </c>
      <c r="BA20" s="124">
        <f>INDEX('Commodity Prices'!$D$7:$D$22,MATCH('Metals Model'!$B20,'Commodity Prices'!$B$7:$B$22,0))*BA15</f>
        <v>8410526.2923550792</v>
      </c>
      <c r="BB20" s="124">
        <f>INDEX('Commodity Prices'!$D$7:$D$22,MATCH('Metals Model'!$B20,'Commodity Prices'!$B$7:$B$22,0))*BB15</f>
        <v>8410526.2923550792</v>
      </c>
      <c r="BC20" s="124">
        <f>INDEX('Commodity Prices'!$D$7:$D$22,MATCH('Metals Model'!$B20,'Commodity Prices'!$B$7:$B$22,0))*BC15</f>
        <v>8410526.2923550792</v>
      </c>
      <c r="BD20" s="124">
        <f>INDEX('Commodity Prices'!$D$7:$D$22,MATCH('Metals Model'!$B20,'Commodity Prices'!$B$7:$B$22,0))*BD15</f>
        <v>8410526.2923550792</v>
      </c>
      <c r="BE20" s="124">
        <f>INDEX('Commodity Prices'!$D$7:$D$22,MATCH('Metals Model'!$B20,'Commodity Prices'!$B$7:$B$22,0))*BE15</f>
        <v>8410526.2923550792</v>
      </c>
      <c r="BF20" s="124">
        <f>INDEX('Commodity Prices'!$D$7:$D$22,MATCH('Metals Model'!$B20,'Commodity Prices'!$B$7:$B$22,0))*BF15</f>
        <v>8410526.2923550792</v>
      </c>
      <c r="BG20" s="124">
        <f>INDEX('Commodity Prices'!$D$7:$D$22,MATCH('Metals Model'!$B20,'Commodity Prices'!$B$7:$B$22,0))*BG15</f>
        <v>8410526.2923550792</v>
      </c>
      <c r="BH20" s="124">
        <f>INDEX('Commodity Prices'!$D$7:$D$22,MATCH('Metals Model'!$B20,'Commodity Prices'!$B$7:$B$22,0))*BH15</f>
        <v>8410526.2923550792</v>
      </c>
      <c r="BI20" s="124">
        <f>INDEX('Commodity Prices'!$D$7:$D$22,MATCH('Metals Model'!$B20,'Commodity Prices'!$B$7:$B$22,0))*BI15</f>
        <v>8410526.2923550792</v>
      </c>
      <c r="BJ20" s="124">
        <f>INDEX('Commodity Prices'!$D$7:$D$22,MATCH('Metals Model'!$B20,'Commodity Prices'!$B$7:$B$22,0))*BJ15</f>
        <v>8410526.2923550792</v>
      </c>
      <c r="BK20" s="124">
        <f>INDEX('Commodity Prices'!$D$7:$D$22,MATCH('Metals Model'!$B20,'Commodity Prices'!$B$7:$B$22,0))*BK15</f>
        <v>8410526.2923550792</v>
      </c>
      <c r="BL20" s="124">
        <f>INDEX('Commodity Prices'!$D$7:$D$22,MATCH('Metals Model'!$B20,'Commodity Prices'!$B$7:$B$22,0))*BL15</f>
        <v>8410526.2923550792</v>
      </c>
      <c r="BM20" s="124">
        <f>INDEX('Commodity Prices'!$D$7:$D$22,MATCH('Metals Model'!$B20,'Commodity Prices'!$B$7:$B$22,0))*BM15</f>
        <v>8410526.2923550792</v>
      </c>
      <c r="BN20" s="124">
        <f>INDEX('Commodity Prices'!$D$7:$D$22,MATCH('Metals Model'!$B20,'Commodity Prices'!$B$7:$B$22,0))*BN15</f>
        <v>8410526.2923550792</v>
      </c>
      <c r="BO20" s="124">
        <f>INDEX('Commodity Prices'!$D$7:$D$22,MATCH('Metals Model'!$B20,'Commodity Prices'!$B$7:$B$22,0))*BO15</f>
        <v>8410526.2923550792</v>
      </c>
      <c r="BP20" s="124">
        <f>INDEX('Commodity Prices'!$D$7:$D$22,MATCH('Metals Model'!$B20,'Commodity Prices'!$B$7:$B$22,0))*BP15</f>
        <v>8410526.2923550792</v>
      </c>
      <c r="BQ20" s="124">
        <f>INDEX('Commodity Prices'!$D$7:$D$22,MATCH('Metals Model'!$B20,'Commodity Prices'!$B$7:$B$22,0))*BQ15</f>
        <v>8410526.2923550792</v>
      </c>
      <c r="BR20" s="124">
        <f>INDEX('Commodity Prices'!$D$7:$D$22,MATCH('Metals Model'!$B20,'Commodity Prices'!$B$7:$B$22,0))*BR15</f>
        <v>8410526.2923550792</v>
      </c>
      <c r="BS20" s="124">
        <f>INDEX('Commodity Prices'!$D$7:$D$22,MATCH('Metals Model'!$B20,'Commodity Prices'!$B$7:$B$22,0))*BS15</f>
        <v>8410526.2923550792</v>
      </c>
      <c r="BT20" s="124">
        <f>INDEX('Commodity Prices'!$D$7:$D$22,MATCH('Metals Model'!$B20,'Commodity Prices'!$B$7:$B$22,0))*BT15</f>
        <v>8410526.2923550792</v>
      </c>
      <c r="BU20" s="124">
        <f>INDEX('Commodity Prices'!$D$7:$D$22,MATCH('Metals Model'!$B20,'Commodity Prices'!$B$7:$B$22,0))*BU15</f>
        <v>8410526.2923550792</v>
      </c>
      <c r="BV20" s="124">
        <f>INDEX('Commodity Prices'!$D$7:$D$22,MATCH('Metals Model'!$B20,'Commodity Prices'!$B$7:$B$22,0))*BV15</f>
        <v>8410526.2923550792</v>
      </c>
      <c r="BW20" s="124">
        <f>INDEX('Commodity Prices'!$D$7:$D$22,MATCH('Metals Model'!$B20,'Commodity Prices'!$B$7:$B$22,0))*BW15</f>
        <v>8410526.2923550792</v>
      </c>
      <c r="BX20" s="124">
        <f>INDEX('Commodity Prices'!$D$7:$D$22,MATCH('Metals Model'!$B20,'Commodity Prices'!$B$7:$B$22,0))*BX15</f>
        <v>8410526.2923550792</v>
      </c>
      <c r="BY20" s="124">
        <f>INDEX('Commodity Prices'!$D$7:$D$22,MATCH('Metals Model'!$B20,'Commodity Prices'!$B$7:$B$22,0))*BY15</f>
        <v>8410526.2923550792</v>
      </c>
      <c r="BZ20" s="124">
        <f>INDEX('Commodity Prices'!$D$7:$D$22,MATCH('Metals Model'!$B20,'Commodity Prices'!$B$7:$B$22,0))*BZ15</f>
        <v>8410526.2923550792</v>
      </c>
      <c r="CA20" s="124">
        <f>INDEX('Commodity Prices'!$D$7:$D$22,MATCH('Metals Model'!$B20,'Commodity Prices'!$B$7:$B$22,0))*CA15</f>
        <v>8410526.2923550792</v>
      </c>
      <c r="CB20" s="124">
        <f>INDEX('Commodity Prices'!$D$7:$D$22,MATCH('Metals Model'!$B20,'Commodity Prices'!$B$7:$B$22,0))*CB15</f>
        <v>8410526.2923550792</v>
      </c>
      <c r="CC20" s="124">
        <f>INDEX('Commodity Prices'!$D$7:$D$22,MATCH('Metals Model'!$B20,'Commodity Prices'!$B$7:$B$22,0))*CC15</f>
        <v>8410526.2923550792</v>
      </c>
      <c r="CD20" s="124">
        <f>INDEX('Commodity Prices'!$D$7:$D$22,MATCH('Metals Model'!$B20,'Commodity Prices'!$B$7:$B$22,0))*CD15</f>
        <v>8410526.2923550792</v>
      </c>
      <c r="CE20" s="124">
        <f>INDEX('Commodity Prices'!$D$7:$D$22,MATCH('Metals Model'!$B20,'Commodity Prices'!$B$7:$B$22,0))*CE15</f>
        <v>8410526.2923550792</v>
      </c>
      <c r="CF20" s="124">
        <f>INDEX('Commodity Prices'!$D$7:$D$22,MATCH('Metals Model'!$B20,'Commodity Prices'!$B$7:$B$22,0))*CF15</f>
        <v>8410526.2923550792</v>
      </c>
      <c r="CG20" s="124">
        <f>INDEX('Commodity Prices'!$D$7:$D$22,MATCH('Metals Model'!$B20,'Commodity Prices'!$B$7:$B$22,0))*CG15</f>
        <v>8410526.2923550792</v>
      </c>
      <c r="CH20" s="124">
        <f>INDEX('Commodity Prices'!$D$7:$D$22,MATCH('Metals Model'!$B20,'Commodity Prices'!$B$7:$B$22,0))*CH15</f>
        <v>8410526.2923550792</v>
      </c>
      <c r="CI20" s="124">
        <f>INDEX('Commodity Prices'!$D$7:$D$22,MATCH('Metals Model'!$B20,'Commodity Prices'!$B$7:$B$22,0))*CI15</f>
        <v>8410526.2923550792</v>
      </c>
      <c r="CJ20" s="124">
        <f>INDEX('Commodity Prices'!$D$7:$D$22,MATCH('Metals Model'!$B20,'Commodity Prices'!$B$7:$B$22,0))*CJ15</f>
        <v>8410526.2923550792</v>
      </c>
      <c r="CK20" s="124">
        <f>INDEX('Commodity Prices'!$D$7:$D$22,MATCH('Metals Model'!$B20,'Commodity Prices'!$B$7:$B$22,0))*CK15</f>
        <v>8410526.2923550792</v>
      </c>
      <c r="CL20" s="124">
        <f>INDEX('Commodity Prices'!$D$7:$D$22,MATCH('Metals Model'!$B20,'Commodity Prices'!$B$7:$B$22,0))*CL15</f>
        <v>8410526.2923550792</v>
      </c>
      <c r="CM20" s="124">
        <f>INDEX('Commodity Prices'!$D$7:$D$22,MATCH('Metals Model'!$B20,'Commodity Prices'!$B$7:$B$22,0))*CM15</f>
        <v>8410526.2923550792</v>
      </c>
      <c r="CN20" s="124">
        <f>INDEX('Commodity Prices'!$D$7:$D$22,MATCH('Metals Model'!$B20,'Commodity Prices'!$B$7:$B$22,0))*CN15</f>
        <v>8410526.2923550792</v>
      </c>
      <c r="CO20" s="124">
        <f>INDEX('Commodity Prices'!$D$7:$D$22,MATCH('Metals Model'!$B20,'Commodity Prices'!$B$7:$B$22,0))*CO15</f>
        <v>8410526.2923550792</v>
      </c>
      <c r="CP20" s="124">
        <f>INDEX('Commodity Prices'!$D$7:$D$22,MATCH('Metals Model'!$B20,'Commodity Prices'!$B$7:$B$22,0))*CP15</f>
        <v>8410526.2923550792</v>
      </c>
      <c r="CQ20" s="124">
        <f>INDEX('Commodity Prices'!$D$7:$D$22,MATCH('Metals Model'!$B20,'Commodity Prices'!$B$7:$B$22,0))*CQ15</f>
        <v>8410526.2923550792</v>
      </c>
      <c r="CR20" s="124">
        <f>INDEX('Commodity Prices'!$D$7:$D$22,MATCH('Metals Model'!$B20,'Commodity Prices'!$B$7:$B$22,0))*CR15</f>
        <v>8410526.2923550792</v>
      </c>
      <c r="CS20" s="124">
        <f>INDEX('Commodity Prices'!$D$7:$D$22,MATCH('Metals Model'!$B20,'Commodity Prices'!$B$7:$B$22,0))*CS15</f>
        <v>8410526.2923550792</v>
      </c>
      <c r="CT20" s="124">
        <f>INDEX('Commodity Prices'!$D$7:$D$22,MATCH('Metals Model'!$B20,'Commodity Prices'!$B$7:$B$22,0))*CT15</f>
        <v>8410526.2923550792</v>
      </c>
      <c r="CU20" s="124">
        <f>INDEX('Commodity Prices'!$D$7:$D$22,MATCH('Metals Model'!$B20,'Commodity Prices'!$B$7:$B$22,0))*CU15</f>
        <v>8410526.2923550792</v>
      </c>
      <c r="CV20" s="124">
        <f>INDEX('Commodity Prices'!$D$7:$D$22,MATCH('Metals Model'!$B20,'Commodity Prices'!$B$7:$B$22,0))*CV15</f>
        <v>8410526.2923550792</v>
      </c>
      <c r="CW20" s="124">
        <f>INDEX('Commodity Prices'!$D$7:$D$22,MATCH('Metals Model'!$B20,'Commodity Prices'!$B$7:$B$22,0))*CW15</f>
        <v>8410526.2923550792</v>
      </c>
      <c r="CX20" s="124">
        <f>INDEX('Commodity Prices'!$D$7:$D$22,MATCH('Metals Model'!$B20,'Commodity Prices'!$B$7:$B$22,0))*CX15</f>
        <v>8410526.2923550792</v>
      </c>
      <c r="CY20" s="124">
        <f>INDEX('Commodity Prices'!$D$7:$D$22,MATCH('Metals Model'!$B20,'Commodity Prices'!$B$7:$B$22,0))*CY15</f>
        <v>8410526.2923550792</v>
      </c>
      <c r="CZ20" s="124">
        <f>INDEX('Commodity Prices'!$D$7:$D$22,MATCH('Metals Model'!$B20,'Commodity Prices'!$B$7:$B$22,0))*CZ15</f>
        <v>8410526.2923550792</v>
      </c>
      <c r="DA20" s="124">
        <f>INDEX('Commodity Prices'!$D$7:$D$22,MATCH('Metals Model'!$B20,'Commodity Prices'!$B$7:$B$22,0))*DA15</f>
        <v>8410526.2923550792</v>
      </c>
      <c r="DB20" s="124">
        <f>INDEX('Commodity Prices'!$D$7:$D$22,MATCH('Metals Model'!$B20,'Commodity Prices'!$B$7:$B$22,0))*DB15</f>
        <v>8410526.2923550792</v>
      </c>
      <c r="DC20" s="124">
        <f>INDEX('Commodity Prices'!$D$7:$D$22,MATCH('Metals Model'!$B20,'Commodity Prices'!$B$7:$B$22,0))*DC15</f>
        <v>8410526.2923550792</v>
      </c>
      <c r="DD20" s="124">
        <f>INDEX('Commodity Prices'!$D$7:$D$22,MATCH('Metals Model'!$B20,'Commodity Prices'!$B$7:$B$22,0))*DD15</f>
        <v>8410526.2923550792</v>
      </c>
      <c r="DE20" s="124">
        <f>INDEX('Commodity Prices'!$D$7:$D$22,MATCH('Metals Model'!$B20,'Commodity Prices'!$B$7:$B$22,0))*DE15</f>
        <v>8410526.2923550792</v>
      </c>
      <c r="DF20" s="124">
        <f>INDEX('Commodity Prices'!$D$7:$D$22,MATCH('Metals Model'!$B20,'Commodity Prices'!$B$7:$B$22,0))*DF15</f>
        <v>8410526.2923550792</v>
      </c>
      <c r="DG20" s="124">
        <f>INDEX('Commodity Prices'!$D$7:$D$22,MATCH('Metals Model'!$B20,'Commodity Prices'!$B$7:$B$22,0))*DG15</f>
        <v>8410526.2923550792</v>
      </c>
      <c r="DH20" s="124">
        <f>INDEX('Commodity Prices'!$D$7:$D$22,MATCH('Metals Model'!$B20,'Commodity Prices'!$B$7:$B$22,0))*DH15</f>
        <v>8410526.2923550792</v>
      </c>
      <c r="DI20" s="124">
        <f>INDEX('Commodity Prices'!$D$7:$D$22,MATCH('Metals Model'!$B20,'Commodity Prices'!$B$7:$B$22,0))*DI15</f>
        <v>8410526.2923550792</v>
      </c>
      <c r="DJ20" s="124">
        <f>INDEX('Commodity Prices'!$D$7:$D$22,MATCH('Metals Model'!$B20,'Commodity Prices'!$B$7:$B$22,0))*DJ15</f>
        <v>8410526.2923550792</v>
      </c>
      <c r="DK20" s="124">
        <f>INDEX('Commodity Prices'!$D$7:$D$22,MATCH('Metals Model'!$B20,'Commodity Prices'!$B$7:$B$22,0))*DK15</f>
        <v>8410526.2923550792</v>
      </c>
      <c r="DL20" s="124">
        <f>INDEX('Commodity Prices'!$D$7:$D$22,MATCH('Metals Model'!$B20,'Commodity Prices'!$B$7:$B$22,0))*DL15</f>
        <v>8410526.2923550792</v>
      </c>
      <c r="DM20" s="124">
        <f>INDEX('Commodity Prices'!$D$7:$D$22,MATCH('Metals Model'!$B20,'Commodity Prices'!$B$7:$B$22,0))*DM15</f>
        <v>8410526.2923550792</v>
      </c>
      <c r="DN20" s="124">
        <f>INDEX('Commodity Prices'!$D$7:$D$22,MATCH('Metals Model'!$B20,'Commodity Prices'!$B$7:$B$22,0))*DN15</f>
        <v>8410526.2923550792</v>
      </c>
      <c r="DO20" s="124">
        <f>INDEX('Commodity Prices'!$D$7:$D$22,MATCH('Metals Model'!$B20,'Commodity Prices'!$B$7:$B$22,0))*DO15</f>
        <v>8410526.2923550792</v>
      </c>
      <c r="DP20" s="124">
        <f>INDEX('Commodity Prices'!$D$7:$D$22,MATCH('Metals Model'!$B20,'Commodity Prices'!$B$7:$B$22,0))*DP15</f>
        <v>8410526.2923550792</v>
      </c>
      <c r="DQ20" s="124">
        <f>INDEX('Commodity Prices'!$D$7:$D$22,MATCH('Metals Model'!$B20,'Commodity Prices'!$B$7:$B$22,0))*DQ15</f>
        <v>8410526.2923550792</v>
      </c>
      <c r="DR20" s="124">
        <f>INDEX('Commodity Prices'!$D$7:$D$22,MATCH('Metals Model'!$B20,'Commodity Prices'!$B$7:$B$22,0))*DR15</f>
        <v>8410526.2923550792</v>
      </c>
    </row>
    <row r="21" spans="2:124" x14ac:dyDescent="0.3">
      <c r="B21" s="52" t="str">
        <f>+B16</f>
        <v>Copper</v>
      </c>
      <c r="C21" s="124">
        <f>INDEX('Commodity Prices'!$D$7:$D$22,MATCH('Metals Model'!$B21,'Commodity Prices'!$B$7:$B$22,0))*C16</f>
        <v>255140.18691588787</v>
      </c>
      <c r="D21" s="124">
        <f>INDEX('Commodity Prices'!$D$7:$D$22,MATCH('Metals Model'!$B21,'Commodity Prices'!$B$7:$B$22,0))*D16</f>
        <v>255140.18691588787</v>
      </c>
      <c r="E21" s="124">
        <f>INDEX('Commodity Prices'!$D$7:$D$22,MATCH('Metals Model'!$B21,'Commodity Prices'!$B$7:$B$22,0))*E16</f>
        <v>86903.123200411777</v>
      </c>
      <c r="F21" s="124">
        <f>INDEX('Commodity Prices'!$D$7:$D$22,MATCH('Metals Model'!$B21,'Commodity Prices'!$B$7:$B$22,0))*F16</f>
        <v>173806.24640082355</v>
      </c>
      <c r="G21" s="124">
        <f>INDEX('Commodity Prices'!$D$7:$D$22,MATCH('Metals Model'!$B21,'Commodity Prices'!$B$7:$B$22,0))*G16</f>
        <v>1086289.0400051475</v>
      </c>
      <c r="H21" s="124">
        <f>INDEX('Commodity Prices'!$D$7:$D$22,MATCH('Metals Model'!$B21,'Commodity Prices'!$B$7:$B$22,0))*H16</f>
        <v>1086289.0400051475</v>
      </c>
      <c r="I21" s="124">
        <f>INDEX('Commodity Prices'!$D$7:$D$22,MATCH('Metals Model'!$B21,'Commodity Prices'!$B$7:$B$22,0))*I16</f>
        <v>1086289.0400051475</v>
      </c>
      <c r="J21" s="124">
        <f>INDEX('Commodity Prices'!$D$7:$D$22,MATCH('Metals Model'!$B21,'Commodity Prices'!$B$7:$B$22,0))*J16</f>
        <v>1086289.0400051475</v>
      </c>
      <c r="K21" s="124">
        <f>INDEX('Commodity Prices'!$D$7:$D$22,MATCH('Metals Model'!$B21,'Commodity Prices'!$B$7:$B$22,0))*K16</f>
        <v>1086289.0400051475</v>
      </c>
      <c r="L21" s="124">
        <f>INDEX('Commodity Prices'!$D$7:$D$22,MATCH('Metals Model'!$B21,'Commodity Prices'!$B$7:$B$22,0))*L16</f>
        <v>1086289.0400051475</v>
      </c>
      <c r="M21" s="124">
        <f>INDEX('Commodity Prices'!$D$7:$D$22,MATCH('Metals Model'!$B21,'Commodity Prices'!$B$7:$B$22,0))*M16</f>
        <v>2172578.0800102949</v>
      </c>
      <c r="N21" s="124">
        <f>INDEX('Commodity Prices'!$D$7:$D$22,MATCH('Metals Model'!$B21,'Commodity Prices'!$B$7:$B$22,0))*N16</f>
        <v>1086289.0400051475</v>
      </c>
      <c r="O21" s="124">
        <f>INDEX('Commodity Prices'!$D$7:$D$22,MATCH('Metals Model'!$B21,'Commodity Prices'!$B$7:$B$22,0))*O16</f>
        <v>1086289.0400051475</v>
      </c>
      <c r="P21" s="124">
        <f>INDEX('Commodity Prices'!$D$7:$D$22,MATCH('Metals Model'!$B21,'Commodity Prices'!$B$7:$B$22,0))*P16</f>
        <v>1086289.0400051475</v>
      </c>
      <c r="Q21" s="124">
        <f>INDEX('Commodity Prices'!$D$7:$D$22,MATCH('Metals Model'!$B21,'Commodity Prices'!$B$7:$B$22,0))*Q16</f>
        <v>1086289.0400051475</v>
      </c>
      <c r="R21" s="124">
        <f>INDEX('Commodity Prices'!$D$7:$D$22,MATCH('Metals Model'!$B21,'Commodity Prices'!$B$7:$B$22,0))*R16</f>
        <v>1086289.0400051475</v>
      </c>
      <c r="S21" s="124">
        <f>INDEX('Commodity Prices'!$D$7:$D$22,MATCH('Metals Model'!$B21,'Commodity Prices'!$B$7:$B$22,0))*S16</f>
        <v>1086289.0400051475</v>
      </c>
      <c r="T21" s="124">
        <f>INDEX('Commodity Prices'!$D$7:$D$22,MATCH('Metals Model'!$B21,'Commodity Prices'!$B$7:$B$22,0))*T16</f>
        <v>1086289.0400051475</v>
      </c>
      <c r="U21" s="124">
        <f>INDEX('Commodity Prices'!$D$7:$D$22,MATCH('Metals Model'!$B21,'Commodity Prices'!$B$7:$B$22,0))*U16</f>
        <v>1086289.0400051475</v>
      </c>
      <c r="V21" s="124">
        <f>INDEX('Commodity Prices'!$D$7:$D$22,MATCH('Metals Model'!$B21,'Commodity Prices'!$B$7:$B$22,0))*V16</f>
        <v>1086289.0400051475</v>
      </c>
      <c r="W21" s="124">
        <f>INDEX('Commodity Prices'!$D$7:$D$22,MATCH('Metals Model'!$B21,'Commodity Prices'!$B$7:$B$22,0))*W16</f>
        <v>1086289.0400051475</v>
      </c>
      <c r="X21" s="124">
        <f>INDEX('Commodity Prices'!$D$7:$D$22,MATCH('Metals Model'!$B21,'Commodity Prices'!$B$7:$B$22,0))*X16</f>
        <v>1086289.0400051475</v>
      </c>
      <c r="Y21" s="124">
        <f>INDEX('Commodity Prices'!$D$7:$D$22,MATCH('Metals Model'!$B21,'Commodity Prices'!$B$7:$B$22,0))*Y16</f>
        <v>1086289.0400051475</v>
      </c>
      <c r="Z21" s="124">
        <f>INDEX('Commodity Prices'!$D$7:$D$22,MATCH('Metals Model'!$B21,'Commodity Prices'!$B$7:$B$22,0))*Z16</f>
        <v>1086289.0400051475</v>
      </c>
      <c r="AA21" s="124">
        <f>INDEX('Commodity Prices'!$D$7:$D$22,MATCH('Metals Model'!$B21,'Commodity Prices'!$B$7:$B$22,0))*AA16</f>
        <v>1086289.0400051475</v>
      </c>
      <c r="AB21" s="124">
        <f>INDEX('Commodity Prices'!$D$7:$D$22,MATCH('Metals Model'!$B21,'Commodity Prices'!$B$7:$B$22,0))*AB16</f>
        <v>1086289.0400051475</v>
      </c>
      <c r="AC21" s="124">
        <f>INDEX('Commodity Prices'!$D$7:$D$22,MATCH('Metals Model'!$B21,'Commodity Prices'!$B$7:$B$22,0))*AC16</f>
        <v>1086289.0400051475</v>
      </c>
      <c r="AD21" s="124">
        <f>INDEX('Commodity Prices'!$D$7:$D$22,MATCH('Metals Model'!$B21,'Commodity Prices'!$B$7:$B$22,0))*AD16</f>
        <v>1086289.0400051475</v>
      </c>
      <c r="AE21" s="124">
        <f>INDEX('Commodity Prices'!$D$7:$D$22,MATCH('Metals Model'!$B21,'Commodity Prices'!$B$7:$B$22,0))*AE16</f>
        <v>1086289.0400051475</v>
      </c>
      <c r="AF21" s="124">
        <f>INDEX('Commodity Prices'!$D$7:$D$22,MATCH('Metals Model'!$B21,'Commodity Prices'!$B$7:$B$22,0))*AF16</f>
        <v>1086289.0400051475</v>
      </c>
      <c r="AG21" s="124">
        <f>INDEX('Commodity Prices'!$D$7:$D$22,MATCH('Metals Model'!$B21,'Commodity Prices'!$B$7:$B$22,0))*AG16</f>
        <v>1086289.0400051475</v>
      </c>
      <c r="AH21" s="124">
        <f>INDEX('Commodity Prices'!$D$7:$D$22,MATCH('Metals Model'!$B21,'Commodity Prices'!$B$7:$B$22,0))*AH16</f>
        <v>1086289.0400051475</v>
      </c>
      <c r="AI21" s="124">
        <f>INDEX('Commodity Prices'!$D$7:$D$22,MATCH('Metals Model'!$B21,'Commodity Prices'!$B$7:$B$22,0))*AI16</f>
        <v>1086289.0400051475</v>
      </c>
      <c r="AJ21" s="124">
        <f>INDEX('Commodity Prices'!$D$7:$D$22,MATCH('Metals Model'!$B21,'Commodity Prices'!$B$7:$B$22,0))*AJ16</f>
        <v>1086289.0400051475</v>
      </c>
      <c r="AK21" s="124">
        <f>INDEX('Commodity Prices'!$D$7:$D$22,MATCH('Metals Model'!$B21,'Commodity Prices'!$B$7:$B$22,0))*AK16</f>
        <v>1086289.0400051475</v>
      </c>
      <c r="AL21" s="124">
        <f>INDEX('Commodity Prices'!$D$7:$D$22,MATCH('Metals Model'!$B21,'Commodity Prices'!$B$7:$B$22,0))*AL16</f>
        <v>1086289.0400051475</v>
      </c>
      <c r="AM21" s="124">
        <f>INDEX('Commodity Prices'!$D$7:$D$22,MATCH('Metals Model'!$B21,'Commodity Prices'!$B$7:$B$22,0))*AM16</f>
        <v>1086289.0400051475</v>
      </c>
      <c r="AN21" s="124">
        <f>INDEX('Commodity Prices'!$D$7:$D$22,MATCH('Metals Model'!$B21,'Commodity Prices'!$B$7:$B$22,0))*AN16</f>
        <v>1086289.0400051475</v>
      </c>
      <c r="AO21" s="124">
        <f>INDEX('Commodity Prices'!$D$7:$D$22,MATCH('Metals Model'!$B21,'Commodity Prices'!$B$7:$B$22,0))*AO16</f>
        <v>1086289.0400051475</v>
      </c>
      <c r="AP21" s="124">
        <f>INDEX('Commodity Prices'!$D$7:$D$22,MATCH('Metals Model'!$B21,'Commodity Prices'!$B$7:$B$22,0))*AP16</f>
        <v>1086289.0400051475</v>
      </c>
      <c r="AQ21" s="124">
        <f>INDEX('Commodity Prices'!$D$7:$D$22,MATCH('Metals Model'!$B21,'Commodity Prices'!$B$7:$B$22,0))*AQ16</f>
        <v>1086289.0400051475</v>
      </c>
      <c r="AR21" s="124">
        <f>INDEX('Commodity Prices'!$D$7:$D$22,MATCH('Metals Model'!$B21,'Commodity Prices'!$B$7:$B$22,0))*AR16</f>
        <v>1086289.0400051475</v>
      </c>
      <c r="AS21" s="124">
        <f>INDEX('Commodity Prices'!$D$7:$D$22,MATCH('Metals Model'!$B21,'Commodity Prices'!$B$7:$B$22,0))*AS16</f>
        <v>1086289.0400051475</v>
      </c>
      <c r="AT21" s="124">
        <f>INDEX('Commodity Prices'!$D$7:$D$22,MATCH('Metals Model'!$B21,'Commodity Prices'!$B$7:$B$22,0))*AT16</f>
        <v>1086289.0400051475</v>
      </c>
      <c r="AU21" s="124">
        <f>INDEX('Commodity Prices'!$D$7:$D$22,MATCH('Metals Model'!$B21,'Commodity Prices'!$B$7:$B$22,0))*AU16</f>
        <v>1086289.0400051475</v>
      </c>
      <c r="AV21" s="124">
        <f>INDEX('Commodity Prices'!$D$7:$D$22,MATCH('Metals Model'!$B21,'Commodity Prices'!$B$7:$B$22,0))*AV16</f>
        <v>1086289.0400051475</v>
      </c>
      <c r="AW21" s="124">
        <f>INDEX('Commodity Prices'!$D$7:$D$22,MATCH('Metals Model'!$B21,'Commodity Prices'!$B$7:$B$22,0))*AW16</f>
        <v>1086289.0400051475</v>
      </c>
      <c r="AX21" s="124">
        <f>INDEX('Commodity Prices'!$D$7:$D$22,MATCH('Metals Model'!$B21,'Commodity Prices'!$B$7:$B$22,0))*AX16</f>
        <v>1086289.0400051475</v>
      </c>
      <c r="AY21" s="124">
        <f>INDEX('Commodity Prices'!$D$7:$D$22,MATCH('Metals Model'!$B21,'Commodity Prices'!$B$7:$B$22,0))*AY16</f>
        <v>1086289.0400051475</v>
      </c>
      <c r="AZ21" s="124">
        <f>INDEX('Commodity Prices'!$D$7:$D$22,MATCH('Metals Model'!$B21,'Commodity Prices'!$B$7:$B$22,0))*AZ16</f>
        <v>1086289.0400051475</v>
      </c>
      <c r="BA21" s="124">
        <f>INDEX('Commodity Prices'!$D$7:$D$22,MATCH('Metals Model'!$B21,'Commodity Prices'!$B$7:$B$22,0))*BA16</f>
        <v>1086289.0400051475</v>
      </c>
      <c r="BB21" s="124">
        <f>INDEX('Commodity Prices'!$D$7:$D$22,MATCH('Metals Model'!$B21,'Commodity Prices'!$B$7:$B$22,0))*BB16</f>
        <v>1086289.0400051475</v>
      </c>
      <c r="BC21" s="124">
        <f>INDEX('Commodity Prices'!$D$7:$D$22,MATCH('Metals Model'!$B21,'Commodity Prices'!$B$7:$B$22,0))*BC16</f>
        <v>1086289.0400051475</v>
      </c>
      <c r="BD21" s="124">
        <f>INDEX('Commodity Prices'!$D$7:$D$22,MATCH('Metals Model'!$B21,'Commodity Prices'!$B$7:$B$22,0))*BD16</f>
        <v>1086289.0400051475</v>
      </c>
      <c r="BE21" s="124">
        <f>INDEX('Commodity Prices'!$D$7:$D$22,MATCH('Metals Model'!$B21,'Commodity Prices'!$B$7:$B$22,0))*BE16</f>
        <v>1086289.0400051475</v>
      </c>
      <c r="BF21" s="124">
        <f>INDEX('Commodity Prices'!$D$7:$D$22,MATCH('Metals Model'!$B21,'Commodity Prices'!$B$7:$B$22,0))*BF16</f>
        <v>1086289.0400051475</v>
      </c>
      <c r="BG21" s="124">
        <f>INDEX('Commodity Prices'!$D$7:$D$22,MATCH('Metals Model'!$B21,'Commodity Prices'!$B$7:$B$22,0))*BG16</f>
        <v>1086289.0400051475</v>
      </c>
      <c r="BH21" s="124">
        <f>INDEX('Commodity Prices'!$D$7:$D$22,MATCH('Metals Model'!$B21,'Commodity Prices'!$B$7:$B$22,0))*BH16</f>
        <v>1086289.0400051475</v>
      </c>
      <c r="BI21" s="124">
        <f>INDEX('Commodity Prices'!$D$7:$D$22,MATCH('Metals Model'!$B21,'Commodity Prices'!$B$7:$B$22,0))*BI16</f>
        <v>1086289.0400051475</v>
      </c>
      <c r="BJ21" s="124">
        <f>INDEX('Commodity Prices'!$D$7:$D$22,MATCH('Metals Model'!$B21,'Commodity Prices'!$B$7:$B$22,0))*BJ16</f>
        <v>1086289.0400051475</v>
      </c>
      <c r="BK21" s="124">
        <f>INDEX('Commodity Prices'!$D$7:$D$22,MATCH('Metals Model'!$B21,'Commodity Prices'!$B$7:$B$22,0))*BK16</f>
        <v>1086289.0400051475</v>
      </c>
      <c r="BL21" s="124">
        <f>INDEX('Commodity Prices'!$D$7:$D$22,MATCH('Metals Model'!$B21,'Commodity Prices'!$B$7:$B$22,0))*BL16</f>
        <v>1086289.0400051475</v>
      </c>
      <c r="BM21" s="124">
        <f>INDEX('Commodity Prices'!$D$7:$D$22,MATCH('Metals Model'!$B21,'Commodity Prices'!$B$7:$B$22,0))*BM16</f>
        <v>1086289.0400051475</v>
      </c>
      <c r="BN21" s="124">
        <f>INDEX('Commodity Prices'!$D$7:$D$22,MATCH('Metals Model'!$B21,'Commodity Prices'!$B$7:$B$22,0))*BN16</f>
        <v>1086289.0400051475</v>
      </c>
      <c r="BO21" s="124">
        <f>INDEX('Commodity Prices'!$D$7:$D$22,MATCH('Metals Model'!$B21,'Commodity Prices'!$B$7:$B$22,0))*BO16</f>
        <v>1086289.0400051475</v>
      </c>
      <c r="BP21" s="124">
        <f>INDEX('Commodity Prices'!$D$7:$D$22,MATCH('Metals Model'!$B21,'Commodity Prices'!$B$7:$B$22,0))*BP16</f>
        <v>1086289.0400051475</v>
      </c>
      <c r="BQ21" s="124">
        <f>INDEX('Commodity Prices'!$D$7:$D$22,MATCH('Metals Model'!$B21,'Commodity Prices'!$B$7:$B$22,0))*BQ16</f>
        <v>1086289.0400051475</v>
      </c>
      <c r="BR21" s="124">
        <f>INDEX('Commodity Prices'!$D$7:$D$22,MATCH('Metals Model'!$B21,'Commodity Prices'!$B$7:$B$22,0))*BR16</f>
        <v>1086289.0400051475</v>
      </c>
      <c r="BS21" s="124">
        <f>INDEX('Commodity Prices'!$D$7:$D$22,MATCH('Metals Model'!$B21,'Commodity Prices'!$B$7:$B$22,0))*BS16</f>
        <v>1086289.0400051475</v>
      </c>
      <c r="BT21" s="124">
        <f>INDEX('Commodity Prices'!$D$7:$D$22,MATCH('Metals Model'!$B21,'Commodity Prices'!$B$7:$B$22,0))*BT16</f>
        <v>1086289.0400051475</v>
      </c>
      <c r="BU21" s="124">
        <f>INDEX('Commodity Prices'!$D$7:$D$22,MATCH('Metals Model'!$B21,'Commodity Prices'!$B$7:$B$22,0))*BU16</f>
        <v>1086289.0400051475</v>
      </c>
      <c r="BV21" s="124">
        <f>INDEX('Commodity Prices'!$D$7:$D$22,MATCH('Metals Model'!$B21,'Commodity Prices'!$B$7:$B$22,0))*BV16</f>
        <v>1086289.0400051475</v>
      </c>
      <c r="BW21" s="124">
        <f>INDEX('Commodity Prices'!$D$7:$D$22,MATCH('Metals Model'!$B21,'Commodity Prices'!$B$7:$B$22,0))*BW16</f>
        <v>1086289.0400051475</v>
      </c>
      <c r="BX21" s="124">
        <f>INDEX('Commodity Prices'!$D$7:$D$22,MATCH('Metals Model'!$B21,'Commodity Prices'!$B$7:$B$22,0))*BX16</f>
        <v>1086289.0400051475</v>
      </c>
      <c r="BY21" s="124">
        <f>INDEX('Commodity Prices'!$D$7:$D$22,MATCH('Metals Model'!$B21,'Commodity Prices'!$B$7:$B$22,0))*BY16</f>
        <v>1086289.0400051475</v>
      </c>
      <c r="BZ21" s="124">
        <f>INDEX('Commodity Prices'!$D$7:$D$22,MATCH('Metals Model'!$B21,'Commodity Prices'!$B$7:$B$22,0))*BZ16</f>
        <v>1086289.0400051475</v>
      </c>
      <c r="CA21" s="124">
        <f>INDEX('Commodity Prices'!$D$7:$D$22,MATCH('Metals Model'!$B21,'Commodity Prices'!$B$7:$B$22,0))*CA16</f>
        <v>1086289.0400051475</v>
      </c>
      <c r="CB21" s="124">
        <f>INDEX('Commodity Prices'!$D$7:$D$22,MATCH('Metals Model'!$B21,'Commodity Prices'!$B$7:$B$22,0))*CB16</f>
        <v>1086289.0400051475</v>
      </c>
      <c r="CC21" s="124">
        <f>INDEX('Commodity Prices'!$D$7:$D$22,MATCH('Metals Model'!$B21,'Commodity Prices'!$B$7:$B$22,0))*CC16</f>
        <v>1086289.0400051475</v>
      </c>
      <c r="CD21" s="124">
        <f>INDEX('Commodity Prices'!$D$7:$D$22,MATCH('Metals Model'!$B21,'Commodity Prices'!$B$7:$B$22,0))*CD16</f>
        <v>1086289.0400051475</v>
      </c>
      <c r="CE21" s="124">
        <f>INDEX('Commodity Prices'!$D$7:$D$22,MATCH('Metals Model'!$B21,'Commodity Prices'!$B$7:$B$22,0))*CE16</f>
        <v>1086289.0400051475</v>
      </c>
      <c r="CF21" s="124">
        <f>INDEX('Commodity Prices'!$D$7:$D$22,MATCH('Metals Model'!$B21,'Commodity Prices'!$B$7:$B$22,0))*CF16</f>
        <v>1086289.0400051475</v>
      </c>
      <c r="CG21" s="124">
        <f>INDEX('Commodity Prices'!$D$7:$D$22,MATCH('Metals Model'!$B21,'Commodity Prices'!$B$7:$B$22,0))*CG16</f>
        <v>1086289.0400051475</v>
      </c>
      <c r="CH21" s="124">
        <f>INDEX('Commodity Prices'!$D$7:$D$22,MATCH('Metals Model'!$B21,'Commodity Prices'!$B$7:$B$22,0))*CH16</f>
        <v>1086289.0400051475</v>
      </c>
      <c r="CI21" s="124">
        <f>INDEX('Commodity Prices'!$D$7:$D$22,MATCH('Metals Model'!$B21,'Commodity Prices'!$B$7:$B$22,0))*CI16</f>
        <v>1086289.0400051475</v>
      </c>
      <c r="CJ21" s="124">
        <f>INDEX('Commodity Prices'!$D$7:$D$22,MATCH('Metals Model'!$B21,'Commodity Prices'!$B$7:$B$22,0))*CJ16</f>
        <v>1086289.0400051475</v>
      </c>
      <c r="CK21" s="124">
        <f>INDEX('Commodity Prices'!$D$7:$D$22,MATCH('Metals Model'!$B21,'Commodity Prices'!$B$7:$B$22,0))*CK16</f>
        <v>1086289.0400051475</v>
      </c>
      <c r="CL21" s="124">
        <f>INDEX('Commodity Prices'!$D$7:$D$22,MATCH('Metals Model'!$B21,'Commodity Prices'!$B$7:$B$22,0))*CL16</f>
        <v>1086289.0400051475</v>
      </c>
      <c r="CM21" s="124">
        <f>INDEX('Commodity Prices'!$D$7:$D$22,MATCH('Metals Model'!$B21,'Commodity Prices'!$B$7:$B$22,0))*CM16</f>
        <v>1086289.0400051475</v>
      </c>
      <c r="CN21" s="124">
        <f>INDEX('Commodity Prices'!$D$7:$D$22,MATCH('Metals Model'!$B21,'Commodity Prices'!$B$7:$B$22,0))*CN16</f>
        <v>1086289.0400051475</v>
      </c>
      <c r="CO21" s="124">
        <f>INDEX('Commodity Prices'!$D$7:$D$22,MATCH('Metals Model'!$B21,'Commodity Prices'!$B$7:$B$22,0))*CO16</f>
        <v>1086289.0400051475</v>
      </c>
      <c r="CP21" s="124">
        <f>INDEX('Commodity Prices'!$D$7:$D$22,MATCH('Metals Model'!$B21,'Commodity Prices'!$B$7:$B$22,0))*CP16</f>
        <v>1086289.0400051475</v>
      </c>
      <c r="CQ21" s="124">
        <f>INDEX('Commodity Prices'!$D$7:$D$22,MATCH('Metals Model'!$B21,'Commodity Prices'!$B$7:$B$22,0))*CQ16</f>
        <v>1086289.0400051475</v>
      </c>
      <c r="CR21" s="124">
        <f>INDEX('Commodity Prices'!$D$7:$D$22,MATCH('Metals Model'!$B21,'Commodity Prices'!$B$7:$B$22,0))*CR16</f>
        <v>1086289.0400051475</v>
      </c>
      <c r="CS21" s="124">
        <f>INDEX('Commodity Prices'!$D$7:$D$22,MATCH('Metals Model'!$B21,'Commodity Prices'!$B$7:$B$22,0))*CS16</f>
        <v>1086289.0400051475</v>
      </c>
      <c r="CT21" s="124">
        <f>INDEX('Commodity Prices'!$D$7:$D$22,MATCH('Metals Model'!$B21,'Commodity Prices'!$B$7:$B$22,0))*CT16</f>
        <v>1086289.0400051475</v>
      </c>
      <c r="CU21" s="124">
        <f>INDEX('Commodity Prices'!$D$7:$D$22,MATCH('Metals Model'!$B21,'Commodity Prices'!$B$7:$B$22,0))*CU16</f>
        <v>1086289.0400051475</v>
      </c>
      <c r="CV21" s="124">
        <f>INDEX('Commodity Prices'!$D$7:$D$22,MATCH('Metals Model'!$B21,'Commodity Prices'!$B$7:$B$22,0))*CV16</f>
        <v>1086289.0400051475</v>
      </c>
      <c r="CW21" s="124">
        <f>INDEX('Commodity Prices'!$D$7:$D$22,MATCH('Metals Model'!$B21,'Commodity Prices'!$B$7:$B$22,0))*CW16</f>
        <v>1086289.0400051475</v>
      </c>
      <c r="CX21" s="124">
        <f>INDEX('Commodity Prices'!$D$7:$D$22,MATCH('Metals Model'!$B21,'Commodity Prices'!$B$7:$B$22,0))*CX16</f>
        <v>1086289.0400051475</v>
      </c>
      <c r="CY21" s="124">
        <f>INDEX('Commodity Prices'!$D$7:$D$22,MATCH('Metals Model'!$B21,'Commodity Prices'!$B$7:$B$22,0))*CY16</f>
        <v>1086289.0400051475</v>
      </c>
      <c r="CZ21" s="124">
        <f>INDEX('Commodity Prices'!$D$7:$D$22,MATCH('Metals Model'!$B21,'Commodity Prices'!$B$7:$B$22,0))*CZ16</f>
        <v>1086289.0400051475</v>
      </c>
      <c r="DA21" s="124">
        <f>INDEX('Commodity Prices'!$D$7:$D$22,MATCH('Metals Model'!$B21,'Commodity Prices'!$B$7:$B$22,0))*DA16</f>
        <v>1086289.0400051475</v>
      </c>
      <c r="DB21" s="124">
        <f>INDEX('Commodity Prices'!$D$7:$D$22,MATCH('Metals Model'!$B21,'Commodity Prices'!$B$7:$B$22,0))*DB16</f>
        <v>1086289.0400051475</v>
      </c>
      <c r="DC21" s="124">
        <f>INDEX('Commodity Prices'!$D$7:$D$22,MATCH('Metals Model'!$B21,'Commodity Prices'!$B$7:$B$22,0))*DC16</f>
        <v>1086289.0400051475</v>
      </c>
      <c r="DD21" s="124">
        <f>INDEX('Commodity Prices'!$D$7:$D$22,MATCH('Metals Model'!$B21,'Commodity Prices'!$B$7:$B$22,0))*DD16</f>
        <v>1086289.0400051475</v>
      </c>
      <c r="DE21" s="124">
        <f>INDEX('Commodity Prices'!$D$7:$D$22,MATCH('Metals Model'!$B21,'Commodity Prices'!$B$7:$B$22,0))*DE16</f>
        <v>1086289.0400051475</v>
      </c>
      <c r="DF21" s="124">
        <f>INDEX('Commodity Prices'!$D$7:$D$22,MATCH('Metals Model'!$B21,'Commodity Prices'!$B$7:$B$22,0))*DF16</f>
        <v>1086289.0400051475</v>
      </c>
      <c r="DG21" s="124">
        <f>INDEX('Commodity Prices'!$D$7:$D$22,MATCH('Metals Model'!$B21,'Commodity Prices'!$B$7:$B$22,0))*DG16</f>
        <v>1086289.0400051475</v>
      </c>
      <c r="DH21" s="124">
        <f>INDEX('Commodity Prices'!$D$7:$D$22,MATCH('Metals Model'!$B21,'Commodity Prices'!$B$7:$B$22,0))*DH16</f>
        <v>1086289.0400051475</v>
      </c>
      <c r="DI21" s="124">
        <f>INDEX('Commodity Prices'!$D$7:$D$22,MATCH('Metals Model'!$B21,'Commodity Prices'!$B$7:$B$22,0))*DI16</f>
        <v>1086289.0400051475</v>
      </c>
      <c r="DJ21" s="124">
        <f>INDEX('Commodity Prices'!$D$7:$D$22,MATCH('Metals Model'!$B21,'Commodity Prices'!$B$7:$B$22,0))*DJ16</f>
        <v>1086289.0400051475</v>
      </c>
      <c r="DK21" s="124">
        <f>INDEX('Commodity Prices'!$D$7:$D$22,MATCH('Metals Model'!$B21,'Commodity Prices'!$B$7:$B$22,0))*DK16</f>
        <v>1086289.0400051475</v>
      </c>
      <c r="DL21" s="124">
        <f>INDEX('Commodity Prices'!$D$7:$D$22,MATCH('Metals Model'!$B21,'Commodity Prices'!$B$7:$B$22,0))*DL16</f>
        <v>1086289.0400051475</v>
      </c>
      <c r="DM21" s="124">
        <f>INDEX('Commodity Prices'!$D$7:$D$22,MATCH('Metals Model'!$B21,'Commodity Prices'!$B$7:$B$22,0))*DM16</f>
        <v>1086289.0400051475</v>
      </c>
      <c r="DN21" s="124">
        <f>INDEX('Commodity Prices'!$D$7:$D$22,MATCH('Metals Model'!$B21,'Commodity Prices'!$B$7:$B$22,0))*DN16</f>
        <v>1086289.0400051475</v>
      </c>
      <c r="DO21" s="124">
        <f>INDEX('Commodity Prices'!$D$7:$D$22,MATCH('Metals Model'!$B21,'Commodity Prices'!$B$7:$B$22,0))*DO16</f>
        <v>1086289.0400051475</v>
      </c>
      <c r="DP21" s="124">
        <f>INDEX('Commodity Prices'!$D$7:$D$22,MATCH('Metals Model'!$B21,'Commodity Prices'!$B$7:$B$22,0))*DP16</f>
        <v>1086289.0400051475</v>
      </c>
      <c r="DQ21" s="124">
        <f>INDEX('Commodity Prices'!$D$7:$D$22,MATCH('Metals Model'!$B21,'Commodity Prices'!$B$7:$B$22,0))*DQ16</f>
        <v>1086289.0400051475</v>
      </c>
      <c r="DR21" s="124">
        <f>INDEX('Commodity Prices'!$D$7:$D$22,MATCH('Metals Model'!$B21,'Commodity Prices'!$B$7:$B$22,0))*DR16</f>
        <v>1086289.0400051475</v>
      </c>
    </row>
    <row r="22" spans="2:124" x14ac:dyDescent="0.3">
      <c r="B22" s="52" t="s">
        <v>307</v>
      </c>
      <c r="C22" s="124">
        <f>INDEX('Commodity Prices'!$D$7:$D$22,MATCH('Metals Model'!$B22,'Commodity Prices'!$B$7:$B$22,0))*C17</f>
        <v>32029.509345794391</v>
      </c>
      <c r="D22" s="124">
        <f>INDEX('Commodity Prices'!$D$7:$D$22,MATCH('Metals Model'!$B22,'Commodity Prices'!$B$7:$B$22,0))*D17</f>
        <v>32029.509345794391</v>
      </c>
      <c r="E22" s="124">
        <f>INDEX('Commodity Prices'!$D$7:$D$22,MATCH('Metals Model'!$B22,'Commodity Prices'!$B$7:$B$22,0))*E17</f>
        <v>9608.8528037383185</v>
      </c>
      <c r="F22" s="124">
        <f>INDEX('Commodity Prices'!$D$7:$D$22,MATCH('Metals Model'!$B22,'Commodity Prices'!$B$7:$B$22,0))*F17</f>
        <v>19217.705607476637</v>
      </c>
      <c r="G22" s="124">
        <f>INDEX('Commodity Prices'!$D$7:$D$22,MATCH('Metals Model'!$B22,'Commodity Prices'!$B$7:$B$22,0))*G17</f>
        <v>120110.66004672898</v>
      </c>
      <c r="H22" s="124">
        <f>INDEX('Commodity Prices'!$D$7:$D$22,MATCH('Metals Model'!$B22,'Commodity Prices'!$B$7:$B$22,0))*H17</f>
        <v>120110.66004672898</v>
      </c>
      <c r="I22" s="124">
        <f>INDEX('Commodity Prices'!$D$7:$D$22,MATCH('Metals Model'!$B22,'Commodity Prices'!$B$7:$B$22,0))*I17</f>
        <v>120110.66004672898</v>
      </c>
      <c r="J22" s="124">
        <f>INDEX('Commodity Prices'!$D$7:$D$22,MATCH('Metals Model'!$B22,'Commodity Prices'!$B$7:$B$22,0))*J17</f>
        <v>120110.66004672898</v>
      </c>
      <c r="K22" s="124">
        <f>INDEX('Commodity Prices'!$D$7:$D$22,MATCH('Metals Model'!$B22,'Commodity Prices'!$B$7:$B$22,0))*K17</f>
        <v>120110.66004672898</v>
      </c>
      <c r="L22" s="124">
        <f>INDEX('Commodity Prices'!$D$7:$D$22,MATCH('Metals Model'!$B22,'Commodity Prices'!$B$7:$B$22,0))*L17</f>
        <v>120110.66004672898</v>
      </c>
      <c r="M22" s="124">
        <f>INDEX('Commodity Prices'!$D$7:$D$22,MATCH('Metals Model'!$B22,'Commodity Prices'!$B$7:$B$22,0))*M17</f>
        <v>240221.32009345797</v>
      </c>
      <c r="N22" s="124">
        <f>INDEX('Commodity Prices'!$D$7:$D$22,MATCH('Metals Model'!$B22,'Commodity Prices'!$B$7:$B$22,0))*N17</f>
        <v>120110.66004672898</v>
      </c>
      <c r="O22" s="124">
        <f>INDEX('Commodity Prices'!$D$7:$D$22,MATCH('Metals Model'!$B22,'Commodity Prices'!$B$7:$B$22,0))*O17</f>
        <v>120110.66004672898</v>
      </c>
      <c r="P22" s="124">
        <f>INDEX('Commodity Prices'!$D$7:$D$22,MATCH('Metals Model'!$B22,'Commodity Prices'!$B$7:$B$22,0))*P17</f>
        <v>120110.66004672898</v>
      </c>
      <c r="Q22" s="124">
        <f>INDEX('Commodity Prices'!$D$7:$D$22,MATCH('Metals Model'!$B22,'Commodity Prices'!$B$7:$B$22,0))*Q17</f>
        <v>120110.66004672898</v>
      </c>
      <c r="R22" s="124">
        <f>INDEX('Commodity Prices'!$D$7:$D$22,MATCH('Metals Model'!$B22,'Commodity Prices'!$B$7:$B$22,0))*R17</f>
        <v>120110.66004672898</v>
      </c>
      <c r="S22" s="124">
        <f>INDEX('Commodity Prices'!$D$7:$D$22,MATCH('Metals Model'!$B22,'Commodity Prices'!$B$7:$B$22,0))*S17</f>
        <v>120110.66004672898</v>
      </c>
      <c r="T22" s="124">
        <f>INDEX('Commodity Prices'!$D$7:$D$22,MATCH('Metals Model'!$B22,'Commodity Prices'!$B$7:$B$22,0))*T17</f>
        <v>120110.66004672898</v>
      </c>
      <c r="U22" s="124">
        <f>INDEX('Commodity Prices'!$D$7:$D$22,MATCH('Metals Model'!$B22,'Commodity Prices'!$B$7:$B$22,0))*U17</f>
        <v>120110.66004672898</v>
      </c>
      <c r="V22" s="124">
        <f>INDEX('Commodity Prices'!$D$7:$D$22,MATCH('Metals Model'!$B22,'Commodity Prices'!$B$7:$B$22,0))*V17</f>
        <v>120110.66004672898</v>
      </c>
      <c r="W22" s="124">
        <f>INDEX('Commodity Prices'!$D$7:$D$22,MATCH('Metals Model'!$B22,'Commodity Prices'!$B$7:$B$22,0))*W17</f>
        <v>120110.66004672898</v>
      </c>
      <c r="X22" s="124">
        <f>INDEX('Commodity Prices'!$D$7:$D$22,MATCH('Metals Model'!$B22,'Commodity Prices'!$B$7:$B$22,0))*X17</f>
        <v>120110.66004672898</v>
      </c>
      <c r="Y22" s="124">
        <f>INDEX('Commodity Prices'!$D$7:$D$22,MATCH('Metals Model'!$B22,'Commodity Prices'!$B$7:$B$22,0))*Y17</f>
        <v>120110.66004672898</v>
      </c>
      <c r="Z22" s="124">
        <f>INDEX('Commodity Prices'!$D$7:$D$22,MATCH('Metals Model'!$B22,'Commodity Prices'!$B$7:$B$22,0))*Z17</f>
        <v>120110.66004672898</v>
      </c>
      <c r="AA22" s="124">
        <f>INDEX('Commodity Prices'!$D$7:$D$22,MATCH('Metals Model'!$B22,'Commodity Prices'!$B$7:$B$22,0))*AA17</f>
        <v>120110.66004672898</v>
      </c>
      <c r="AB22" s="124">
        <f>INDEX('Commodity Prices'!$D$7:$D$22,MATCH('Metals Model'!$B22,'Commodity Prices'!$B$7:$B$22,0))*AB17</f>
        <v>120110.66004672898</v>
      </c>
      <c r="AC22" s="124">
        <f>INDEX('Commodity Prices'!$D$7:$D$22,MATCH('Metals Model'!$B22,'Commodity Prices'!$B$7:$B$22,0))*AC17</f>
        <v>120110.66004672898</v>
      </c>
      <c r="AD22" s="124">
        <f>INDEX('Commodity Prices'!$D$7:$D$22,MATCH('Metals Model'!$B22,'Commodity Prices'!$B$7:$B$22,0))*AD17</f>
        <v>120110.66004672898</v>
      </c>
      <c r="AE22" s="124">
        <f>INDEX('Commodity Prices'!$D$7:$D$22,MATCH('Metals Model'!$B22,'Commodity Prices'!$B$7:$B$22,0))*AE17</f>
        <v>120110.66004672898</v>
      </c>
      <c r="AF22" s="124">
        <f>INDEX('Commodity Prices'!$D$7:$D$22,MATCH('Metals Model'!$B22,'Commodity Prices'!$B$7:$B$22,0))*AF17</f>
        <v>120110.66004672898</v>
      </c>
      <c r="AG22" s="124">
        <f>INDEX('Commodity Prices'!$D$7:$D$22,MATCH('Metals Model'!$B22,'Commodity Prices'!$B$7:$B$22,0))*AG17</f>
        <v>120110.66004672898</v>
      </c>
      <c r="AH22" s="124">
        <f>INDEX('Commodity Prices'!$D$7:$D$22,MATCH('Metals Model'!$B22,'Commodity Prices'!$B$7:$B$22,0))*AH17</f>
        <v>120110.66004672898</v>
      </c>
      <c r="AI22" s="124">
        <f>INDEX('Commodity Prices'!$D$7:$D$22,MATCH('Metals Model'!$B22,'Commodity Prices'!$B$7:$B$22,0))*AI17</f>
        <v>120110.66004672898</v>
      </c>
      <c r="AJ22" s="124">
        <f>INDEX('Commodity Prices'!$D$7:$D$22,MATCH('Metals Model'!$B22,'Commodity Prices'!$B$7:$B$22,0))*AJ17</f>
        <v>120110.66004672898</v>
      </c>
      <c r="AK22" s="124">
        <f>INDEX('Commodity Prices'!$D$7:$D$22,MATCH('Metals Model'!$B22,'Commodity Prices'!$B$7:$B$22,0))*AK17</f>
        <v>120110.66004672898</v>
      </c>
      <c r="AL22" s="124">
        <f>INDEX('Commodity Prices'!$D$7:$D$22,MATCH('Metals Model'!$B22,'Commodity Prices'!$B$7:$B$22,0))*AL17</f>
        <v>120110.66004672898</v>
      </c>
      <c r="AM22" s="124">
        <f>INDEX('Commodity Prices'!$D$7:$D$22,MATCH('Metals Model'!$B22,'Commodity Prices'!$B$7:$B$22,0))*AM17</f>
        <v>120110.66004672898</v>
      </c>
      <c r="AN22" s="124">
        <f>INDEX('Commodity Prices'!$D$7:$D$22,MATCH('Metals Model'!$B22,'Commodity Prices'!$B$7:$B$22,0))*AN17</f>
        <v>120110.66004672898</v>
      </c>
      <c r="AO22" s="124">
        <f>INDEX('Commodity Prices'!$D$7:$D$22,MATCH('Metals Model'!$B22,'Commodity Prices'!$B$7:$B$22,0))*AO17</f>
        <v>120110.66004672898</v>
      </c>
      <c r="AP22" s="124">
        <f>INDEX('Commodity Prices'!$D$7:$D$22,MATCH('Metals Model'!$B22,'Commodity Prices'!$B$7:$B$22,0))*AP17</f>
        <v>120110.66004672898</v>
      </c>
      <c r="AQ22" s="124">
        <f>INDEX('Commodity Prices'!$D$7:$D$22,MATCH('Metals Model'!$B22,'Commodity Prices'!$B$7:$B$22,0))*AQ17</f>
        <v>120110.66004672898</v>
      </c>
      <c r="AR22" s="124">
        <f>INDEX('Commodity Prices'!$D$7:$D$22,MATCH('Metals Model'!$B22,'Commodity Prices'!$B$7:$B$22,0))*AR17</f>
        <v>120110.66004672898</v>
      </c>
      <c r="AS22" s="124">
        <f>INDEX('Commodity Prices'!$D$7:$D$22,MATCH('Metals Model'!$B22,'Commodity Prices'!$B$7:$B$22,0))*AS17</f>
        <v>120110.66004672898</v>
      </c>
      <c r="AT22" s="124">
        <f>INDEX('Commodity Prices'!$D$7:$D$22,MATCH('Metals Model'!$B22,'Commodity Prices'!$B$7:$B$22,0))*AT17</f>
        <v>120110.66004672898</v>
      </c>
      <c r="AU22" s="124">
        <f>INDEX('Commodity Prices'!$D$7:$D$22,MATCH('Metals Model'!$B22,'Commodity Prices'!$B$7:$B$22,0))*AU17</f>
        <v>120110.66004672898</v>
      </c>
      <c r="AV22" s="124">
        <f>INDEX('Commodity Prices'!$D$7:$D$22,MATCH('Metals Model'!$B22,'Commodity Prices'!$B$7:$B$22,0))*AV17</f>
        <v>120110.66004672898</v>
      </c>
      <c r="AW22" s="124">
        <f>INDEX('Commodity Prices'!$D$7:$D$22,MATCH('Metals Model'!$B22,'Commodity Prices'!$B$7:$B$22,0))*AW17</f>
        <v>120110.66004672898</v>
      </c>
      <c r="AX22" s="124">
        <f>INDEX('Commodity Prices'!$D$7:$D$22,MATCH('Metals Model'!$B22,'Commodity Prices'!$B$7:$B$22,0))*AX17</f>
        <v>120110.66004672898</v>
      </c>
      <c r="AY22" s="124">
        <f>INDEX('Commodity Prices'!$D$7:$D$22,MATCH('Metals Model'!$B22,'Commodity Prices'!$B$7:$B$22,0))*AY17</f>
        <v>120110.66004672898</v>
      </c>
      <c r="AZ22" s="124">
        <f>INDEX('Commodity Prices'!$D$7:$D$22,MATCH('Metals Model'!$B22,'Commodity Prices'!$B$7:$B$22,0))*AZ17</f>
        <v>120110.66004672898</v>
      </c>
      <c r="BA22" s="124">
        <f>INDEX('Commodity Prices'!$D$7:$D$22,MATCH('Metals Model'!$B22,'Commodity Prices'!$B$7:$B$22,0))*BA17</f>
        <v>120110.66004672898</v>
      </c>
      <c r="BB22" s="124">
        <f>INDEX('Commodity Prices'!$D$7:$D$22,MATCH('Metals Model'!$B22,'Commodity Prices'!$B$7:$B$22,0))*BB17</f>
        <v>120110.66004672898</v>
      </c>
      <c r="BC22" s="124">
        <f>INDEX('Commodity Prices'!$D$7:$D$22,MATCH('Metals Model'!$B22,'Commodity Prices'!$B$7:$B$22,0))*BC17</f>
        <v>120110.66004672898</v>
      </c>
      <c r="BD22" s="124">
        <f>INDEX('Commodity Prices'!$D$7:$D$22,MATCH('Metals Model'!$B22,'Commodity Prices'!$B$7:$B$22,0))*BD17</f>
        <v>120110.66004672898</v>
      </c>
      <c r="BE22" s="124">
        <f>INDEX('Commodity Prices'!$D$7:$D$22,MATCH('Metals Model'!$B22,'Commodity Prices'!$B$7:$B$22,0))*BE17</f>
        <v>120110.66004672898</v>
      </c>
      <c r="BF22" s="124">
        <f>INDEX('Commodity Prices'!$D$7:$D$22,MATCH('Metals Model'!$B22,'Commodity Prices'!$B$7:$B$22,0))*BF17</f>
        <v>120110.66004672898</v>
      </c>
      <c r="BG22" s="124">
        <f>INDEX('Commodity Prices'!$D$7:$D$22,MATCH('Metals Model'!$B22,'Commodity Prices'!$B$7:$B$22,0))*BG17</f>
        <v>120110.66004672898</v>
      </c>
      <c r="BH22" s="124">
        <f>INDEX('Commodity Prices'!$D$7:$D$22,MATCH('Metals Model'!$B22,'Commodity Prices'!$B$7:$B$22,0))*BH17</f>
        <v>120110.66004672898</v>
      </c>
      <c r="BI22" s="124">
        <f>INDEX('Commodity Prices'!$D$7:$D$22,MATCH('Metals Model'!$B22,'Commodity Prices'!$B$7:$B$22,0))*BI17</f>
        <v>120110.66004672898</v>
      </c>
      <c r="BJ22" s="124">
        <f>INDEX('Commodity Prices'!$D$7:$D$22,MATCH('Metals Model'!$B22,'Commodity Prices'!$B$7:$B$22,0))*BJ17</f>
        <v>120110.66004672898</v>
      </c>
      <c r="BK22" s="124">
        <f>INDEX('Commodity Prices'!$D$7:$D$22,MATCH('Metals Model'!$B22,'Commodity Prices'!$B$7:$B$22,0))*BK17</f>
        <v>120110.66004672898</v>
      </c>
      <c r="BL22" s="124">
        <f>INDEX('Commodity Prices'!$D$7:$D$22,MATCH('Metals Model'!$B22,'Commodity Prices'!$B$7:$B$22,0))*BL17</f>
        <v>120110.66004672898</v>
      </c>
      <c r="BM22" s="124">
        <f>INDEX('Commodity Prices'!$D$7:$D$22,MATCH('Metals Model'!$B22,'Commodity Prices'!$B$7:$B$22,0))*BM17</f>
        <v>120110.66004672898</v>
      </c>
      <c r="BN22" s="124">
        <f>INDEX('Commodity Prices'!$D$7:$D$22,MATCH('Metals Model'!$B22,'Commodity Prices'!$B$7:$B$22,0))*BN17</f>
        <v>120110.66004672898</v>
      </c>
      <c r="BO22" s="124">
        <f>INDEX('Commodity Prices'!$D$7:$D$22,MATCH('Metals Model'!$B22,'Commodity Prices'!$B$7:$B$22,0))*BO17</f>
        <v>120110.66004672898</v>
      </c>
      <c r="BP22" s="124">
        <f>INDEX('Commodity Prices'!$D$7:$D$22,MATCH('Metals Model'!$B22,'Commodity Prices'!$B$7:$B$22,0))*BP17</f>
        <v>120110.66004672898</v>
      </c>
      <c r="BQ22" s="124">
        <f>INDEX('Commodity Prices'!$D$7:$D$22,MATCH('Metals Model'!$B22,'Commodity Prices'!$B$7:$B$22,0))*BQ17</f>
        <v>120110.66004672898</v>
      </c>
      <c r="BR22" s="124">
        <f>INDEX('Commodity Prices'!$D$7:$D$22,MATCH('Metals Model'!$B22,'Commodity Prices'!$B$7:$B$22,0))*BR17</f>
        <v>120110.66004672898</v>
      </c>
      <c r="BS22" s="124">
        <f>INDEX('Commodity Prices'!$D$7:$D$22,MATCH('Metals Model'!$B22,'Commodity Prices'!$B$7:$B$22,0))*BS17</f>
        <v>120110.66004672898</v>
      </c>
      <c r="BT22" s="124">
        <f>INDEX('Commodity Prices'!$D$7:$D$22,MATCH('Metals Model'!$B22,'Commodity Prices'!$B$7:$B$22,0))*BT17</f>
        <v>120110.66004672898</v>
      </c>
      <c r="BU22" s="124">
        <f>INDEX('Commodity Prices'!$D$7:$D$22,MATCH('Metals Model'!$B22,'Commodity Prices'!$B$7:$B$22,0))*BU17</f>
        <v>120110.66004672898</v>
      </c>
      <c r="BV22" s="124">
        <f>INDEX('Commodity Prices'!$D$7:$D$22,MATCH('Metals Model'!$B22,'Commodity Prices'!$B$7:$B$22,0))*BV17</f>
        <v>120110.66004672898</v>
      </c>
      <c r="BW22" s="124">
        <f>INDEX('Commodity Prices'!$D$7:$D$22,MATCH('Metals Model'!$B22,'Commodity Prices'!$B$7:$B$22,0))*BW17</f>
        <v>120110.66004672898</v>
      </c>
      <c r="BX22" s="124">
        <f>INDEX('Commodity Prices'!$D$7:$D$22,MATCH('Metals Model'!$B22,'Commodity Prices'!$B$7:$B$22,0))*BX17</f>
        <v>120110.66004672898</v>
      </c>
      <c r="BY22" s="124">
        <f>INDEX('Commodity Prices'!$D$7:$D$22,MATCH('Metals Model'!$B22,'Commodity Prices'!$B$7:$B$22,0))*BY17</f>
        <v>120110.66004672898</v>
      </c>
      <c r="BZ22" s="124">
        <f>INDEX('Commodity Prices'!$D$7:$D$22,MATCH('Metals Model'!$B22,'Commodity Prices'!$B$7:$B$22,0))*BZ17</f>
        <v>120110.66004672898</v>
      </c>
      <c r="CA22" s="124">
        <f>INDEX('Commodity Prices'!$D$7:$D$22,MATCH('Metals Model'!$B22,'Commodity Prices'!$B$7:$B$22,0))*CA17</f>
        <v>120110.66004672898</v>
      </c>
      <c r="CB22" s="124">
        <f>INDEX('Commodity Prices'!$D$7:$D$22,MATCH('Metals Model'!$B22,'Commodity Prices'!$B$7:$B$22,0))*CB17</f>
        <v>120110.66004672898</v>
      </c>
      <c r="CC22" s="124">
        <f>INDEX('Commodity Prices'!$D$7:$D$22,MATCH('Metals Model'!$B22,'Commodity Prices'!$B$7:$B$22,0))*CC17</f>
        <v>120110.66004672898</v>
      </c>
      <c r="CD22" s="124">
        <f>INDEX('Commodity Prices'!$D$7:$D$22,MATCH('Metals Model'!$B22,'Commodity Prices'!$B$7:$B$22,0))*CD17</f>
        <v>120110.66004672898</v>
      </c>
      <c r="CE22" s="124">
        <f>INDEX('Commodity Prices'!$D$7:$D$22,MATCH('Metals Model'!$B22,'Commodity Prices'!$B$7:$B$22,0))*CE17</f>
        <v>120110.66004672898</v>
      </c>
      <c r="CF22" s="124">
        <f>INDEX('Commodity Prices'!$D$7:$D$22,MATCH('Metals Model'!$B22,'Commodity Prices'!$B$7:$B$22,0))*CF17</f>
        <v>120110.66004672898</v>
      </c>
      <c r="CG22" s="124">
        <f>INDEX('Commodity Prices'!$D$7:$D$22,MATCH('Metals Model'!$B22,'Commodity Prices'!$B$7:$B$22,0))*CG17</f>
        <v>120110.66004672898</v>
      </c>
      <c r="CH22" s="124">
        <f>INDEX('Commodity Prices'!$D$7:$D$22,MATCH('Metals Model'!$B22,'Commodity Prices'!$B$7:$B$22,0))*CH17</f>
        <v>120110.66004672898</v>
      </c>
      <c r="CI22" s="124">
        <f>INDEX('Commodity Prices'!$D$7:$D$22,MATCH('Metals Model'!$B22,'Commodity Prices'!$B$7:$B$22,0))*CI17</f>
        <v>120110.66004672898</v>
      </c>
      <c r="CJ22" s="124">
        <f>INDEX('Commodity Prices'!$D$7:$D$22,MATCH('Metals Model'!$B22,'Commodity Prices'!$B$7:$B$22,0))*CJ17</f>
        <v>120110.66004672898</v>
      </c>
      <c r="CK22" s="124">
        <f>INDEX('Commodity Prices'!$D$7:$D$22,MATCH('Metals Model'!$B22,'Commodity Prices'!$B$7:$B$22,0))*CK17</f>
        <v>120110.66004672898</v>
      </c>
      <c r="CL22" s="124">
        <f>INDEX('Commodity Prices'!$D$7:$D$22,MATCH('Metals Model'!$B22,'Commodity Prices'!$B$7:$B$22,0))*CL17</f>
        <v>120110.66004672898</v>
      </c>
      <c r="CM22" s="124">
        <f>INDEX('Commodity Prices'!$D$7:$D$22,MATCH('Metals Model'!$B22,'Commodity Prices'!$B$7:$B$22,0))*CM17</f>
        <v>120110.66004672898</v>
      </c>
      <c r="CN22" s="124">
        <f>INDEX('Commodity Prices'!$D$7:$D$22,MATCH('Metals Model'!$B22,'Commodity Prices'!$B$7:$B$22,0))*CN17</f>
        <v>120110.66004672898</v>
      </c>
      <c r="CO22" s="124">
        <f>INDEX('Commodity Prices'!$D$7:$D$22,MATCH('Metals Model'!$B22,'Commodity Prices'!$B$7:$B$22,0))*CO17</f>
        <v>120110.66004672898</v>
      </c>
      <c r="CP22" s="124">
        <f>INDEX('Commodity Prices'!$D$7:$D$22,MATCH('Metals Model'!$B22,'Commodity Prices'!$B$7:$B$22,0))*CP17</f>
        <v>120110.66004672898</v>
      </c>
      <c r="CQ22" s="124">
        <f>INDEX('Commodity Prices'!$D$7:$D$22,MATCH('Metals Model'!$B22,'Commodity Prices'!$B$7:$B$22,0))*CQ17</f>
        <v>120110.66004672898</v>
      </c>
      <c r="CR22" s="124">
        <f>INDEX('Commodity Prices'!$D$7:$D$22,MATCH('Metals Model'!$B22,'Commodity Prices'!$B$7:$B$22,0))*CR17</f>
        <v>120110.66004672898</v>
      </c>
      <c r="CS22" s="124">
        <f>INDEX('Commodity Prices'!$D$7:$D$22,MATCH('Metals Model'!$B22,'Commodity Prices'!$B$7:$B$22,0))*CS17</f>
        <v>120110.66004672898</v>
      </c>
      <c r="CT22" s="124">
        <f>INDEX('Commodity Prices'!$D$7:$D$22,MATCH('Metals Model'!$B22,'Commodity Prices'!$B$7:$B$22,0))*CT17</f>
        <v>120110.66004672898</v>
      </c>
      <c r="CU22" s="124">
        <f>INDEX('Commodity Prices'!$D$7:$D$22,MATCH('Metals Model'!$B22,'Commodity Prices'!$B$7:$B$22,0))*CU17</f>
        <v>120110.66004672898</v>
      </c>
      <c r="CV22" s="124">
        <f>INDEX('Commodity Prices'!$D$7:$D$22,MATCH('Metals Model'!$B22,'Commodity Prices'!$B$7:$B$22,0))*CV17</f>
        <v>120110.66004672898</v>
      </c>
      <c r="CW22" s="124">
        <f>INDEX('Commodity Prices'!$D$7:$D$22,MATCH('Metals Model'!$B22,'Commodity Prices'!$B$7:$B$22,0))*CW17</f>
        <v>120110.66004672898</v>
      </c>
      <c r="CX22" s="124">
        <f>INDEX('Commodity Prices'!$D$7:$D$22,MATCH('Metals Model'!$B22,'Commodity Prices'!$B$7:$B$22,0))*CX17</f>
        <v>120110.66004672898</v>
      </c>
      <c r="CY22" s="124">
        <f>INDEX('Commodity Prices'!$D$7:$D$22,MATCH('Metals Model'!$B22,'Commodity Prices'!$B$7:$B$22,0))*CY17</f>
        <v>120110.66004672898</v>
      </c>
      <c r="CZ22" s="124">
        <f>INDEX('Commodity Prices'!$D$7:$D$22,MATCH('Metals Model'!$B22,'Commodity Prices'!$B$7:$B$22,0))*CZ17</f>
        <v>120110.66004672898</v>
      </c>
      <c r="DA22" s="124">
        <f>INDEX('Commodity Prices'!$D$7:$D$22,MATCH('Metals Model'!$B22,'Commodity Prices'!$B$7:$B$22,0))*DA17</f>
        <v>120110.66004672898</v>
      </c>
      <c r="DB22" s="124">
        <f>INDEX('Commodity Prices'!$D$7:$D$22,MATCH('Metals Model'!$B22,'Commodity Prices'!$B$7:$B$22,0))*DB17</f>
        <v>120110.66004672898</v>
      </c>
      <c r="DC22" s="124">
        <f>INDEX('Commodity Prices'!$D$7:$D$22,MATCH('Metals Model'!$B22,'Commodity Prices'!$B$7:$B$22,0))*DC17</f>
        <v>120110.66004672898</v>
      </c>
      <c r="DD22" s="124">
        <f>INDEX('Commodity Prices'!$D$7:$D$22,MATCH('Metals Model'!$B22,'Commodity Prices'!$B$7:$B$22,0))*DD17</f>
        <v>120110.66004672898</v>
      </c>
      <c r="DE22" s="124">
        <f>INDEX('Commodity Prices'!$D$7:$D$22,MATCH('Metals Model'!$B22,'Commodity Prices'!$B$7:$B$22,0))*DE17</f>
        <v>120110.66004672898</v>
      </c>
      <c r="DF22" s="124">
        <f>INDEX('Commodity Prices'!$D$7:$D$22,MATCH('Metals Model'!$B22,'Commodity Prices'!$B$7:$B$22,0))*DF17</f>
        <v>120110.66004672898</v>
      </c>
      <c r="DG22" s="124">
        <f>INDEX('Commodity Prices'!$D$7:$D$22,MATCH('Metals Model'!$B22,'Commodity Prices'!$B$7:$B$22,0))*DG17</f>
        <v>120110.66004672898</v>
      </c>
      <c r="DH22" s="124">
        <f>INDEX('Commodity Prices'!$D$7:$D$22,MATCH('Metals Model'!$B22,'Commodity Prices'!$B$7:$B$22,0))*DH17</f>
        <v>120110.66004672898</v>
      </c>
      <c r="DI22" s="124">
        <f>INDEX('Commodity Prices'!$D$7:$D$22,MATCH('Metals Model'!$B22,'Commodity Prices'!$B$7:$B$22,0))*DI17</f>
        <v>120110.66004672898</v>
      </c>
      <c r="DJ22" s="124">
        <f>INDEX('Commodity Prices'!$D$7:$D$22,MATCH('Metals Model'!$B22,'Commodity Prices'!$B$7:$B$22,0))*DJ17</f>
        <v>120110.66004672898</v>
      </c>
      <c r="DK22" s="124">
        <f>INDEX('Commodity Prices'!$D$7:$D$22,MATCH('Metals Model'!$B22,'Commodity Prices'!$B$7:$B$22,0))*DK17</f>
        <v>120110.66004672898</v>
      </c>
      <c r="DL22" s="124">
        <f>INDEX('Commodity Prices'!$D$7:$D$22,MATCH('Metals Model'!$B22,'Commodity Prices'!$B$7:$B$22,0))*DL17</f>
        <v>120110.66004672898</v>
      </c>
      <c r="DM22" s="124">
        <f>INDEX('Commodity Prices'!$D$7:$D$22,MATCH('Metals Model'!$B22,'Commodity Prices'!$B$7:$B$22,0))*DM17</f>
        <v>120110.66004672898</v>
      </c>
      <c r="DN22" s="124">
        <f>INDEX('Commodity Prices'!$D$7:$D$22,MATCH('Metals Model'!$B22,'Commodity Prices'!$B$7:$B$22,0))*DN17</f>
        <v>120110.66004672898</v>
      </c>
      <c r="DO22" s="124">
        <f>INDEX('Commodity Prices'!$D$7:$D$22,MATCH('Metals Model'!$B22,'Commodity Prices'!$B$7:$B$22,0))*DO17</f>
        <v>120110.66004672898</v>
      </c>
      <c r="DP22" s="124">
        <f>INDEX('Commodity Prices'!$D$7:$D$22,MATCH('Metals Model'!$B22,'Commodity Prices'!$B$7:$B$22,0))*DP17</f>
        <v>120110.66004672898</v>
      </c>
      <c r="DQ22" s="124">
        <f>INDEX('Commodity Prices'!$D$7:$D$22,MATCH('Metals Model'!$B22,'Commodity Prices'!$B$7:$B$22,0))*DQ17</f>
        <v>120110.66004672898</v>
      </c>
      <c r="DR22" s="124">
        <f>INDEX('Commodity Prices'!$D$7:$D$22,MATCH('Metals Model'!$B22,'Commodity Prices'!$B$7:$B$22,0))*DR17</f>
        <v>120110.66004672898</v>
      </c>
    </row>
    <row r="23" spans="2:124" x14ac:dyDescent="0.3"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</row>
    <row r="24" spans="2:124" x14ac:dyDescent="0.3">
      <c r="B24" s="64" t="s">
        <v>192</v>
      </c>
    </row>
    <row r="25" spans="2:124" x14ac:dyDescent="0.3">
      <c r="B25" s="119" t="s">
        <v>17</v>
      </c>
      <c r="C25" s="120">
        <f>EOMONTH(MIN(Assumptions!$C$8:$C$9),1)</f>
        <v>46387</v>
      </c>
      <c r="D25" s="120">
        <f>EOMONTH(C25,1)</f>
        <v>46418</v>
      </c>
      <c r="E25" s="120">
        <f t="shared" ref="E25:BP25" si="6">EOMONTH(D25,1)</f>
        <v>46446</v>
      </c>
      <c r="F25" s="120">
        <f t="shared" si="6"/>
        <v>46477</v>
      </c>
      <c r="G25" s="120">
        <f t="shared" si="6"/>
        <v>46507</v>
      </c>
      <c r="H25" s="120">
        <f t="shared" si="6"/>
        <v>46538</v>
      </c>
      <c r="I25" s="120">
        <f t="shared" si="6"/>
        <v>46568</v>
      </c>
      <c r="J25" s="120">
        <f t="shared" si="6"/>
        <v>46599</v>
      </c>
      <c r="K25" s="120">
        <f t="shared" si="6"/>
        <v>46630</v>
      </c>
      <c r="L25" s="120">
        <f t="shared" si="6"/>
        <v>46660</v>
      </c>
      <c r="M25" s="120">
        <f t="shared" si="6"/>
        <v>46691</v>
      </c>
      <c r="N25" s="120">
        <f t="shared" si="6"/>
        <v>46721</v>
      </c>
      <c r="O25" s="120">
        <f t="shared" si="6"/>
        <v>46752</v>
      </c>
      <c r="P25" s="120">
        <f t="shared" si="6"/>
        <v>46783</v>
      </c>
      <c r="Q25" s="120">
        <f t="shared" si="6"/>
        <v>46812</v>
      </c>
      <c r="R25" s="120">
        <f t="shared" si="6"/>
        <v>46843</v>
      </c>
      <c r="S25" s="120">
        <f t="shared" si="6"/>
        <v>46873</v>
      </c>
      <c r="T25" s="120">
        <f t="shared" si="6"/>
        <v>46904</v>
      </c>
      <c r="U25" s="120">
        <f t="shared" si="6"/>
        <v>46934</v>
      </c>
      <c r="V25" s="120">
        <f t="shared" si="6"/>
        <v>46965</v>
      </c>
      <c r="W25" s="120">
        <f t="shared" si="6"/>
        <v>46996</v>
      </c>
      <c r="X25" s="120">
        <f t="shared" si="6"/>
        <v>47026</v>
      </c>
      <c r="Y25" s="120">
        <f t="shared" si="6"/>
        <v>47057</v>
      </c>
      <c r="Z25" s="120">
        <f t="shared" si="6"/>
        <v>47087</v>
      </c>
      <c r="AA25" s="120">
        <f t="shared" si="6"/>
        <v>47118</v>
      </c>
      <c r="AB25" s="120">
        <f t="shared" si="6"/>
        <v>47149</v>
      </c>
      <c r="AC25" s="120">
        <f t="shared" si="6"/>
        <v>47177</v>
      </c>
      <c r="AD25" s="120">
        <f t="shared" si="6"/>
        <v>47208</v>
      </c>
      <c r="AE25" s="120">
        <f t="shared" si="6"/>
        <v>47238</v>
      </c>
      <c r="AF25" s="120">
        <f t="shared" si="6"/>
        <v>47269</v>
      </c>
      <c r="AG25" s="120">
        <f t="shared" si="6"/>
        <v>47299</v>
      </c>
      <c r="AH25" s="120">
        <f t="shared" si="6"/>
        <v>47330</v>
      </c>
      <c r="AI25" s="120">
        <f t="shared" si="6"/>
        <v>47361</v>
      </c>
      <c r="AJ25" s="120">
        <f t="shared" si="6"/>
        <v>47391</v>
      </c>
      <c r="AK25" s="120">
        <f t="shared" si="6"/>
        <v>47422</v>
      </c>
      <c r="AL25" s="120">
        <f t="shared" si="6"/>
        <v>47452</v>
      </c>
      <c r="AM25" s="120">
        <f t="shared" si="6"/>
        <v>47483</v>
      </c>
      <c r="AN25" s="120">
        <f t="shared" si="6"/>
        <v>47514</v>
      </c>
      <c r="AO25" s="120">
        <f t="shared" si="6"/>
        <v>47542</v>
      </c>
      <c r="AP25" s="120">
        <f t="shared" si="6"/>
        <v>47573</v>
      </c>
      <c r="AQ25" s="120">
        <f t="shared" si="6"/>
        <v>47603</v>
      </c>
      <c r="AR25" s="120">
        <f t="shared" si="6"/>
        <v>47634</v>
      </c>
      <c r="AS25" s="120">
        <f t="shared" si="6"/>
        <v>47664</v>
      </c>
      <c r="AT25" s="120">
        <f t="shared" si="6"/>
        <v>47695</v>
      </c>
      <c r="AU25" s="120">
        <f t="shared" si="6"/>
        <v>47726</v>
      </c>
      <c r="AV25" s="120">
        <f t="shared" si="6"/>
        <v>47756</v>
      </c>
      <c r="AW25" s="120">
        <f t="shared" si="6"/>
        <v>47787</v>
      </c>
      <c r="AX25" s="120">
        <f t="shared" si="6"/>
        <v>47817</v>
      </c>
      <c r="AY25" s="120">
        <f t="shared" si="6"/>
        <v>47848</v>
      </c>
      <c r="AZ25" s="120">
        <f t="shared" si="6"/>
        <v>47879</v>
      </c>
      <c r="BA25" s="120">
        <f t="shared" si="6"/>
        <v>47907</v>
      </c>
      <c r="BB25" s="120">
        <f t="shared" si="6"/>
        <v>47938</v>
      </c>
      <c r="BC25" s="120">
        <f t="shared" si="6"/>
        <v>47968</v>
      </c>
      <c r="BD25" s="120">
        <f t="shared" si="6"/>
        <v>47999</v>
      </c>
      <c r="BE25" s="120">
        <f t="shared" si="6"/>
        <v>48029</v>
      </c>
      <c r="BF25" s="120">
        <f t="shared" si="6"/>
        <v>48060</v>
      </c>
      <c r="BG25" s="120">
        <f t="shared" si="6"/>
        <v>48091</v>
      </c>
      <c r="BH25" s="120">
        <f t="shared" si="6"/>
        <v>48121</v>
      </c>
      <c r="BI25" s="120">
        <f t="shared" si="6"/>
        <v>48152</v>
      </c>
      <c r="BJ25" s="120">
        <f t="shared" si="6"/>
        <v>48182</v>
      </c>
      <c r="BK25" s="120">
        <f t="shared" si="6"/>
        <v>48213</v>
      </c>
      <c r="BL25" s="120">
        <f t="shared" si="6"/>
        <v>48244</v>
      </c>
      <c r="BM25" s="120">
        <f t="shared" si="6"/>
        <v>48273</v>
      </c>
      <c r="BN25" s="120">
        <f t="shared" si="6"/>
        <v>48304</v>
      </c>
      <c r="BO25" s="120">
        <f t="shared" si="6"/>
        <v>48334</v>
      </c>
      <c r="BP25" s="120">
        <f t="shared" si="6"/>
        <v>48365</v>
      </c>
      <c r="BQ25" s="120">
        <f t="shared" ref="BQ25:DR25" si="7">EOMONTH(BP25,1)</f>
        <v>48395</v>
      </c>
      <c r="BR25" s="120">
        <f t="shared" si="7"/>
        <v>48426</v>
      </c>
      <c r="BS25" s="120">
        <f t="shared" si="7"/>
        <v>48457</v>
      </c>
      <c r="BT25" s="120">
        <f t="shared" si="7"/>
        <v>48487</v>
      </c>
      <c r="BU25" s="120">
        <f t="shared" si="7"/>
        <v>48518</v>
      </c>
      <c r="BV25" s="120">
        <f t="shared" si="7"/>
        <v>48548</v>
      </c>
      <c r="BW25" s="120">
        <f t="shared" si="7"/>
        <v>48579</v>
      </c>
      <c r="BX25" s="120">
        <f t="shared" si="7"/>
        <v>48610</v>
      </c>
      <c r="BY25" s="120">
        <f t="shared" si="7"/>
        <v>48638</v>
      </c>
      <c r="BZ25" s="120">
        <f t="shared" si="7"/>
        <v>48669</v>
      </c>
      <c r="CA25" s="120">
        <f t="shared" si="7"/>
        <v>48699</v>
      </c>
      <c r="CB25" s="120">
        <f t="shared" si="7"/>
        <v>48730</v>
      </c>
      <c r="CC25" s="120">
        <f t="shared" si="7"/>
        <v>48760</v>
      </c>
      <c r="CD25" s="120">
        <f t="shared" si="7"/>
        <v>48791</v>
      </c>
      <c r="CE25" s="120">
        <f t="shared" si="7"/>
        <v>48822</v>
      </c>
      <c r="CF25" s="120">
        <f t="shared" si="7"/>
        <v>48852</v>
      </c>
      <c r="CG25" s="120">
        <f t="shared" si="7"/>
        <v>48883</v>
      </c>
      <c r="CH25" s="120">
        <f t="shared" si="7"/>
        <v>48913</v>
      </c>
      <c r="CI25" s="120">
        <f t="shared" si="7"/>
        <v>48944</v>
      </c>
      <c r="CJ25" s="120">
        <f t="shared" si="7"/>
        <v>48975</v>
      </c>
      <c r="CK25" s="120">
        <f t="shared" si="7"/>
        <v>49003</v>
      </c>
      <c r="CL25" s="120">
        <f t="shared" si="7"/>
        <v>49034</v>
      </c>
      <c r="CM25" s="120">
        <f t="shared" si="7"/>
        <v>49064</v>
      </c>
      <c r="CN25" s="120">
        <f t="shared" si="7"/>
        <v>49095</v>
      </c>
      <c r="CO25" s="120">
        <f t="shared" si="7"/>
        <v>49125</v>
      </c>
      <c r="CP25" s="120">
        <f t="shared" si="7"/>
        <v>49156</v>
      </c>
      <c r="CQ25" s="120">
        <f t="shared" si="7"/>
        <v>49187</v>
      </c>
      <c r="CR25" s="120">
        <f t="shared" si="7"/>
        <v>49217</v>
      </c>
      <c r="CS25" s="120">
        <f t="shared" si="7"/>
        <v>49248</v>
      </c>
      <c r="CT25" s="120">
        <f t="shared" si="7"/>
        <v>49278</v>
      </c>
      <c r="CU25" s="120">
        <f t="shared" si="7"/>
        <v>49309</v>
      </c>
      <c r="CV25" s="120">
        <f t="shared" si="7"/>
        <v>49340</v>
      </c>
      <c r="CW25" s="120">
        <f t="shared" si="7"/>
        <v>49368</v>
      </c>
      <c r="CX25" s="120">
        <f t="shared" si="7"/>
        <v>49399</v>
      </c>
      <c r="CY25" s="120">
        <f t="shared" si="7"/>
        <v>49429</v>
      </c>
      <c r="CZ25" s="120">
        <f t="shared" si="7"/>
        <v>49460</v>
      </c>
      <c r="DA25" s="120">
        <f t="shared" si="7"/>
        <v>49490</v>
      </c>
      <c r="DB25" s="120">
        <f t="shared" si="7"/>
        <v>49521</v>
      </c>
      <c r="DC25" s="120">
        <f t="shared" si="7"/>
        <v>49552</v>
      </c>
      <c r="DD25" s="120">
        <f t="shared" si="7"/>
        <v>49582</v>
      </c>
      <c r="DE25" s="120">
        <f t="shared" si="7"/>
        <v>49613</v>
      </c>
      <c r="DF25" s="120">
        <f t="shared" si="7"/>
        <v>49643</v>
      </c>
      <c r="DG25" s="120">
        <f t="shared" si="7"/>
        <v>49674</v>
      </c>
      <c r="DH25" s="120">
        <f t="shared" si="7"/>
        <v>49705</v>
      </c>
      <c r="DI25" s="120">
        <f t="shared" si="7"/>
        <v>49734</v>
      </c>
      <c r="DJ25" s="120">
        <f t="shared" si="7"/>
        <v>49765</v>
      </c>
      <c r="DK25" s="120">
        <f t="shared" si="7"/>
        <v>49795</v>
      </c>
      <c r="DL25" s="120">
        <f t="shared" si="7"/>
        <v>49826</v>
      </c>
      <c r="DM25" s="120">
        <f t="shared" si="7"/>
        <v>49856</v>
      </c>
      <c r="DN25" s="120">
        <f t="shared" si="7"/>
        <v>49887</v>
      </c>
      <c r="DO25" s="120">
        <f t="shared" si="7"/>
        <v>49918</v>
      </c>
      <c r="DP25" s="120">
        <f t="shared" si="7"/>
        <v>49948</v>
      </c>
      <c r="DQ25" s="120">
        <f t="shared" si="7"/>
        <v>49979</v>
      </c>
      <c r="DR25" s="120">
        <f t="shared" si="7"/>
        <v>50009</v>
      </c>
    </row>
    <row r="26" spans="2:124" x14ac:dyDescent="0.3">
      <c r="B26" s="52" t="s">
        <v>200</v>
      </c>
      <c r="C26" s="116">
        <f>SUM(C20:C22)</f>
        <v>1502319.7003848266</v>
      </c>
      <c r="D26" s="116">
        <f t="shared" ref="D26:BO26" si="8">SUM(D20:D22)</f>
        <v>1502319.7003848266</v>
      </c>
      <c r="E26" s="116">
        <f t="shared" si="8"/>
        <v>832431.18278096279</v>
      </c>
      <c r="F26" s="116">
        <f t="shared" si="8"/>
        <v>928943.1587851129</v>
      </c>
      <c r="G26" s="116">
        <f t="shared" si="8"/>
        <v>5805894.7424069559</v>
      </c>
      <c r="H26" s="116">
        <f t="shared" si="8"/>
        <v>5805894.7424069559</v>
      </c>
      <c r="I26" s="116">
        <f t="shared" si="8"/>
        <v>5805894.7424069559</v>
      </c>
      <c r="J26" s="116">
        <f t="shared" si="8"/>
        <v>5805894.7424069559</v>
      </c>
      <c r="K26" s="116">
        <f t="shared" si="8"/>
        <v>5805894.7424069559</v>
      </c>
      <c r="L26" s="116">
        <f t="shared" si="8"/>
        <v>5805894.7424069559</v>
      </c>
      <c r="M26" s="116">
        <f t="shared" si="8"/>
        <v>10823325.692458833</v>
      </c>
      <c r="N26" s="116">
        <f t="shared" si="8"/>
        <v>9616925.992406955</v>
      </c>
      <c r="O26" s="116">
        <f t="shared" si="8"/>
        <v>9616925.992406955</v>
      </c>
      <c r="P26" s="116">
        <f t="shared" si="8"/>
        <v>9616925.992406955</v>
      </c>
      <c r="Q26" s="116">
        <f t="shared" si="8"/>
        <v>9616925.992406955</v>
      </c>
      <c r="R26" s="116">
        <f t="shared" si="8"/>
        <v>9616925.992406955</v>
      </c>
      <c r="S26" s="116">
        <f t="shared" si="8"/>
        <v>9616925.992406955</v>
      </c>
      <c r="T26" s="116">
        <f t="shared" si="8"/>
        <v>9616925.992406955</v>
      </c>
      <c r="U26" s="116">
        <f t="shared" si="8"/>
        <v>9616925.992406955</v>
      </c>
      <c r="V26" s="116">
        <f t="shared" si="8"/>
        <v>9616925.992406955</v>
      </c>
      <c r="W26" s="116">
        <f t="shared" si="8"/>
        <v>9616925.992406955</v>
      </c>
      <c r="X26" s="116">
        <f t="shared" si="8"/>
        <v>9616925.992406955</v>
      </c>
      <c r="Y26" s="116">
        <f t="shared" si="8"/>
        <v>9616925.992406955</v>
      </c>
      <c r="Z26" s="116">
        <f t="shared" si="8"/>
        <v>9616925.992406955</v>
      </c>
      <c r="AA26" s="116">
        <f t="shared" si="8"/>
        <v>9616925.992406955</v>
      </c>
      <c r="AB26" s="116">
        <f t="shared" si="8"/>
        <v>9616925.992406955</v>
      </c>
      <c r="AC26" s="116">
        <f t="shared" si="8"/>
        <v>9616925.992406955</v>
      </c>
      <c r="AD26" s="116">
        <f t="shared" si="8"/>
        <v>9616925.992406955</v>
      </c>
      <c r="AE26" s="116">
        <f t="shared" si="8"/>
        <v>9616925.992406955</v>
      </c>
      <c r="AF26" s="116">
        <f t="shared" si="8"/>
        <v>9616925.992406955</v>
      </c>
      <c r="AG26" s="116">
        <f t="shared" si="8"/>
        <v>9616925.992406955</v>
      </c>
      <c r="AH26" s="116">
        <f t="shared" si="8"/>
        <v>9616925.992406955</v>
      </c>
      <c r="AI26" s="116">
        <f t="shared" si="8"/>
        <v>9616925.992406955</v>
      </c>
      <c r="AJ26" s="116">
        <f t="shared" si="8"/>
        <v>9616925.992406955</v>
      </c>
      <c r="AK26" s="116">
        <f t="shared" si="8"/>
        <v>9616925.992406955</v>
      </c>
      <c r="AL26" s="116">
        <f t="shared" si="8"/>
        <v>9616925.992406955</v>
      </c>
      <c r="AM26" s="116">
        <f t="shared" si="8"/>
        <v>9616925.992406955</v>
      </c>
      <c r="AN26" s="116">
        <f t="shared" si="8"/>
        <v>9616925.992406955</v>
      </c>
      <c r="AO26" s="116">
        <f t="shared" si="8"/>
        <v>9616925.992406955</v>
      </c>
      <c r="AP26" s="116">
        <f t="shared" si="8"/>
        <v>9616925.992406955</v>
      </c>
      <c r="AQ26" s="116">
        <f t="shared" si="8"/>
        <v>9616925.992406955</v>
      </c>
      <c r="AR26" s="116">
        <f t="shared" si="8"/>
        <v>9616925.992406955</v>
      </c>
      <c r="AS26" s="116">
        <f t="shared" si="8"/>
        <v>9616925.992406955</v>
      </c>
      <c r="AT26" s="116">
        <f t="shared" si="8"/>
        <v>9616925.992406955</v>
      </c>
      <c r="AU26" s="116">
        <f t="shared" si="8"/>
        <v>9616925.992406955</v>
      </c>
      <c r="AV26" s="116">
        <f t="shared" si="8"/>
        <v>9616925.992406955</v>
      </c>
      <c r="AW26" s="116">
        <f t="shared" si="8"/>
        <v>9616925.992406955</v>
      </c>
      <c r="AX26" s="116">
        <f t="shared" si="8"/>
        <v>9616925.992406955</v>
      </c>
      <c r="AY26" s="116">
        <f t="shared" si="8"/>
        <v>9616925.992406955</v>
      </c>
      <c r="AZ26" s="116">
        <f t="shared" si="8"/>
        <v>9616925.992406955</v>
      </c>
      <c r="BA26" s="116">
        <f t="shared" si="8"/>
        <v>9616925.992406955</v>
      </c>
      <c r="BB26" s="116">
        <f t="shared" si="8"/>
        <v>9616925.992406955</v>
      </c>
      <c r="BC26" s="116">
        <f t="shared" si="8"/>
        <v>9616925.992406955</v>
      </c>
      <c r="BD26" s="116">
        <f t="shared" si="8"/>
        <v>9616925.992406955</v>
      </c>
      <c r="BE26" s="116">
        <f t="shared" si="8"/>
        <v>9616925.992406955</v>
      </c>
      <c r="BF26" s="116">
        <f t="shared" si="8"/>
        <v>9616925.992406955</v>
      </c>
      <c r="BG26" s="116">
        <f t="shared" si="8"/>
        <v>9616925.992406955</v>
      </c>
      <c r="BH26" s="116">
        <f t="shared" si="8"/>
        <v>9616925.992406955</v>
      </c>
      <c r="BI26" s="116">
        <f t="shared" si="8"/>
        <v>9616925.992406955</v>
      </c>
      <c r="BJ26" s="116">
        <f t="shared" si="8"/>
        <v>9616925.992406955</v>
      </c>
      <c r="BK26" s="116">
        <f t="shared" si="8"/>
        <v>9616925.992406955</v>
      </c>
      <c r="BL26" s="116">
        <f t="shared" si="8"/>
        <v>9616925.992406955</v>
      </c>
      <c r="BM26" s="116">
        <f t="shared" si="8"/>
        <v>9616925.992406955</v>
      </c>
      <c r="BN26" s="116">
        <f t="shared" si="8"/>
        <v>9616925.992406955</v>
      </c>
      <c r="BO26" s="116">
        <f t="shared" si="8"/>
        <v>9616925.992406955</v>
      </c>
      <c r="BP26" s="116">
        <f t="shared" ref="BP26:DR26" si="9">SUM(BP20:BP22)</f>
        <v>9616925.992406955</v>
      </c>
      <c r="BQ26" s="116">
        <f t="shared" si="9"/>
        <v>9616925.992406955</v>
      </c>
      <c r="BR26" s="116">
        <f t="shared" si="9"/>
        <v>9616925.992406955</v>
      </c>
      <c r="BS26" s="116">
        <f t="shared" si="9"/>
        <v>9616925.992406955</v>
      </c>
      <c r="BT26" s="116">
        <f t="shared" si="9"/>
        <v>9616925.992406955</v>
      </c>
      <c r="BU26" s="116">
        <f t="shared" si="9"/>
        <v>9616925.992406955</v>
      </c>
      <c r="BV26" s="116">
        <f t="shared" si="9"/>
        <v>9616925.992406955</v>
      </c>
      <c r="BW26" s="116">
        <f t="shared" si="9"/>
        <v>9616925.992406955</v>
      </c>
      <c r="BX26" s="116">
        <f t="shared" si="9"/>
        <v>9616925.992406955</v>
      </c>
      <c r="BY26" s="116">
        <f t="shared" si="9"/>
        <v>9616925.992406955</v>
      </c>
      <c r="BZ26" s="116">
        <f t="shared" si="9"/>
        <v>9616925.992406955</v>
      </c>
      <c r="CA26" s="116">
        <f t="shared" si="9"/>
        <v>9616925.992406955</v>
      </c>
      <c r="CB26" s="116">
        <f t="shared" si="9"/>
        <v>9616925.992406955</v>
      </c>
      <c r="CC26" s="116">
        <f t="shared" si="9"/>
        <v>9616925.992406955</v>
      </c>
      <c r="CD26" s="116">
        <f t="shared" si="9"/>
        <v>9616925.992406955</v>
      </c>
      <c r="CE26" s="116">
        <f t="shared" si="9"/>
        <v>9616925.992406955</v>
      </c>
      <c r="CF26" s="116">
        <f t="shared" si="9"/>
        <v>9616925.992406955</v>
      </c>
      <c r="CG26" s="116">
        <f t="shared" si="9"/>
        <v>9616925.992406955</v>
      </c>
      <c r="CH26" s="116">
        <f t="shared" si="9"/>
        <v>9616925.992406955</v>
      </c>
      <c r="CI26" s="116">
        <f t="shared" si="9"/>
        <v>9616925.992406955</v>
      </c>
      <c r="CJ26" s="116">
        <f t="shared" si="9"/>
        <v>9616925.992406955</v>
      </c>
      <c r="CK26" s="116">
        <f t="shared" si="9"/>
        <v>9616925.992406955</v>
      </c>
      <c r="CL26" s="116">
        <f t="shared" si="9"/>
        <v>9616925.992406955</v>
      </c>
      <c r="CM26" s="116">
        <f t="shared" si="9"/>
        <v>9616925.992406955</v>
      </c>
      <c r="CN26" s="116">
        <f t="shared" si="9"/>
        <v>9616925.992406955</v>
      </c>
      <c r="CO26" s="116">
        <f t="shared" si="9"/>
        <v>9616925.992406955</v>
      </c>
      <c r="CP26" s="116">
        <f t="shared" si="9"/>
        <v>9616925.992406955</v>
      </c>
      <c r="CQ26" s="116">
        <f t="shared" si="9"/>
        <v>9616925.992406955</v>
      </c>
      <c r="CR26" s="116">
        <f t="shared" si="9"/>
        <v>9616925.992406955</v>
      </c>
      <c r="CS26" s="116">
        <f t="shared" si="9"/>
        <v>9616925.992406955</v>
      </c>
      <c r="CT26" s="116">
        <f t="shared" si="9"/>
        <v>9616925.992406955</v>
      </c>
      <c r="CU26" s="116">
        <f t="shared" si="9"/>
        <v>9616925.992406955</v>
      </c>
      <c r="CV26" s="116">
        <f t="shared" si="9"/>
        <v>9616925.992406955</v>
      </c>
      <c r="CW26" s="116">
        <f t="shared" si="9"/>
        <v>9616925.992406955</v>
      </c>
      <c r="CX26" s="116">
        <f t="shared" si="9"/>
        <v>9616925.992406955</v>
      </c>
      <c r="CY26" s="116">
        <f t="shared" si="9"/>
        <v>9616925.992406955</v>
      </c>
      <c r="CZ26" s="116">
        <f t="shared" si="9"/>
        <v>9616925.992406955</v>
      </c>
      <c r="DA26" s="116">
        <f t="shared" si="9"/>
        <v>9616925.992406955</v>
      </c>
      <c r="DB26" s="116">
        <f t="shared" si="9"/>
        <v>9616925.992406955</v>
      </c>
      <c r="DC26" s="116">
        <f t="shared" si="9"/>
        <v>9616925.992406955</v>
      </c>
      <c r="DD26" s="116">
        <f t="shared" si="9"/>
        <v>9616925.992406955</v>
      </c>
      <c r="DE26" s="116">
        <f t="shared" si="9"/>
        <v>9616925.992406955</v>
      </c>
      <c r="DF26" s="116">
        <f t="shared" si="9"/>
        <v>9616925.992406955</v>
      </c>
      <c r="DG26" s="116">
        <f t="shared" si="9"/>
        <v>9616925.992406955</v>
      </c>
      <c r="DH26" s="116">
        <f t="shared" si="9"/>
        <v>9616925.992406955</v>
      </c>
      <c r="DI26" s="116">
        <f t="shared" si="9"/>
        <v>9616925.992406955</v>
      </c>
      <c r="DJ26" s="116">
        <f t="shared" si="9"/>
        <v>9616925.992406955</v>
      </c>
      <c r="DK26" s="116">
        <f t="shared" si="9"/>
        <v>9616925.992406955</v>
      </c>
      <c r="DL26" s="116">
        <f t="shared" si="9"/>
        <v>9616925.992406955</v>
      </c>
      <c r="DM26" s="116">
        <f t="shared" si="9"/>
        <v>9616925.992406955</v>
      </c>
      <c r="DN26" s="116">
        <f t="shared" si="9"/>
        <v>9616925.992406955</v>
      </c>
      <c r="DO26" s="116">
        <f t="shared" si="9"/>
        <v>9616925.992406955</v>
      </c>
      <c r="DP26" s="116">
        <f t="shared" si="9"/>
        <v>9616925.992406955</v>
      </c>
      <c r="DQ26" s="116">
        <f t="shared" si="9"/>
        <v>9616925.992406955</v>
      </c>
      <c r="DR26" s="116">
        <f t="shared" si="9"/>
        <v>9616925.992406955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6811-83F6-4A84-8B00-892D85C2506C}">
  <sheetPr>
    <tabColor theme="8"/>
  </sheetPr>
  <dimension ref="B1:DR25"/>
  <sheetViews>
    <sheetView showGridLines="0" workbookViewId="0">
      <selection activeCell="C10" sqref="C10"/>
    </sheetView>
  </sheetViews>
  <sheetFormatPr defaultRowHeight="15" x14ac:dyDescent="0.3"/>
  <cols>
    <col min="1" max="1" width="1.7109375" style="52" customWidth="1"/>
    <col min="2" max="2" width="26.7109375" style="52" bestFit="1" customWidth="1"/>
    <col min="3" max="5" width="11" style="52" bestFit="1" customWidth="1"/>
    <col min="6" max="6" width="9.5703125" style="52" bestFit="1" customWidth="1"/>
    <col min="7" max="11" width="11" style="52" bestFit="1" customWidth="1"/>
    <col min="12" max="122" width="12" style="52" bestFit="1" customWidth="1"/>
    <col min="123" max="16384" width="9.140625" style="52"/>
  </cols>
  <sheetData>
    <row r="1" spans="2:122" s="83" customFormat="1" x14ac:dyDescent="0.3">
      <c r="B1" s="178" t="s">
        <v>283</v>
      </c>
    </row>
    <row r="2" spans="2:122" s="83" customFormat="1" ht="18" x14ac:dyDescent="0.35">
      <c r="B2" s="90" t="s">
        <v>213</v>
      </c>
      <c r="C2" s="82"/>
      <c r="D2" s="82"/>
      <c r="E2" s="82"/>
      <c r="F2" s="82"/>
      <c r="G2" s="82"/>
      <c r="H2" s="89"/>
      <c r="I2" s="89"/>
      <c r="J2" s="89"/>
      <c r="K2" s="89"/>
    </row>
    <row r="4" spans="2:122" x14ac:dyDescent="0.3">
      <c r="B4" s="73" t="s">
        <v>1</v>
      </c>
      <c r="C4" s="73" t="s">
        <v>207</v>
      </c>
      <c r="D4" s="73"/>
      <c r="E4" s="73"/>
    </row>
    <row r="5" spans="2:122" x14ac:dyDescent="0.3">
      <c r="B5" s="52" t="str">
        <f>+Assumptions!B64</f>
        <v>Germanium</v>
      </c>
      <c r="C5" s="68">
        <f>+Assumptions!E64</f>
        <v>7.6299999999999998E-5</v>
      </c>
      <c r="D5" s="121"/>
      <c r="E5" s="122"/>
    </row>
    <row r="6" spans="2:122" x14ac:dyDescent="0.3">
      <c r="B6" s="52" t="str">
        <f>+Assumptions!B65</f>
        <v>Gallium</v>
      </c>
      <c r="C6" s="68">
        <f>+Assumptions!E65</f>
        <v>6.0000000000000008E-5</v>
      </c>
      <c r="D6" s="68"/>
      <c r="E6" s="122"/>
    </row>
    <row r="7" spans="2:122" x14ac:dyDescent="0.3">
      <c r="B7" s="52" t="str">
        <f>+Assumptions!B66</f>
        <v>Indium</v>
      </c>
      <c r="C7" s="68">
        <f>+Assumptions!E66</f>
        <v>2.7759999999999997E-4</v>
      </c>
      <c r="D7" s="68"/>
      <c r="E7" s="122"/>
    </row>
    <row r="8" spans="2:122" x14ac:dyDescent="0.3">
      <c r="B8" s="52" t="str">
        <f>+Assumptions!B67</f>
        <v>Tellurium</v>
      </c>
      <c r="C8" s="68">
        <f>+Assumptions!E67</f>
        <v>6.9699999999999992E-4</v>
      </c>
      <c r="D8" s="68"/>
      <c r="E8" s="122"/>
    </row>
    <row r="10" spans="2:122" x14ac:dyDescent="0.3">
      <c r="B10" s="64" t="s">
        <v>199</v>
      </c>
      <c r="C10" s="330">
        <f>INT(((YEAR(C24)-YEAR($C$24))*12 + MONTH(C24)-MONTH($C$24))/12) + 1</f>
        <v>1</v>
      </c>
      <c r="D10" s="330">
        <f t="shared" ref="D10:BO10" si="0">INT(((YEAR(D24)-YEAR($C$24))*12 + MONTH(D24)-MONTH($C$24))/12) + 1</f>
        <v>1</v>
      </c>
      <c r="E10" s="330">
        <f t="shared" si="0"/>
        <v>1</v>
      </c>
      <c r="F10" s="330">
        <f t="shared" si="0"/>
        <v>1</v>
      </c>
      <c r="G10" s="330">
        <f t="shared" si="0"/>
        <v>1</v>
      </c>
      <c r="H10" s="330">
        <f t="shared" si="0"/>
        <v>1</v>
      </c>
      <c r="I10" s="330">
        <f t="shared" si="0"/>
        <v>1</v>
      </c>
      <c r="J10" s="330">
        <f t="shared" si="0"/>
        <v>1</v>
      </c>
      <c r="K10" s="330">
        <f t="shared" si="0"/>
        <v>1</v>
      </c>
      <c r="L10" s="330">
        <f t="shared" si="0"/>
        <v>1</v>
      </c>
      <c r="M10" s="330">
        <f t="shared" si="0"/>
        <v>1</v>
      </c>
      <c r="N10" s="330">
        <f t="shared" si="0"/>
        <v>1</v>
      </c>
      <c r="O10" s="330">
        <f t="shared" si="0"/>
        <v>2</v>
      </c>
      <c r="P10" s="330">
        <f t="shared" si="0"/>
        <v>2</v>
      </c>
      <c r="Q10" s="330">
        <f t="shared" si="0"/>
        <v>2</v>
      </c>
      <c r="R10" s="330">
        <f t="shared" si="0"/>
        <v>2</v>
      </c>
      <c r="S10" s="330">
        <f t="shared" si="0"/>
        <v>2</v>
      </c>
      <c r="T10" s="330">
        <f t="shared" si="0"/>
        <v>2</v>
      </c>
      <c r="U10" s="330">
        <f t="shared" si="0"/>
        <v>2</v>
      </c>
      <c r="V10" s="330">
        <f t="shared" si="0"/>
        <v>2</v>
      </c>
      <c r="W10" s="330">
        <f t="shared" si="0"/>
        <v>2</v>
      </c>
      <c r="X10" s="330">
        <f t="shared" si="0"/>
        <v>2</v>
      </c>
      <c r="Y10" s="330">
        <f t="shared" si="0"/>
        <v>2</v>
      </c>
      <c r="Z10" s="330">
        <f t="shared" si="0"/>
        <v>2</v>
      </c>
      <c r="AA10" s="330">
        <f t="shared" si="0"/>
        <v>3</v>
      </c>
      <c r="AB10" s="330">
        <f t="shared" si="0"/>
        <v>3</v>
      </c>
      <c r="AC10" s="330">
        <f t="shared" si="0"/>
        <v>3</v>
      </c>
      <c r="AD10" s="330">
        <f t="shared" si="0"/>
        <v>3</v>
      </c>
      <c r="AE10" s="330">
        <f t="shared" si="0"/>
        <v>3</v>
      </c>
      <c r="AF10" s="330">
        <f t="shared" si="0"/>
        <v>3</v>
      </c>
      <c r="AG10" s="330">
        <f t="shared" si="0"/>
        <v>3</v>
      </c>
      <c r="AH10" s="330">
        <f t="shared" si="0"/>
        <v>3</v>
      </c>
      <c r="AI10" s="330">
        <f t="shared" si="0"/>
        <v>3</v>
      </c>
      <c r="AJ10" s="330">
        <f t="shared" si="0"/>
        <v>3</v>
      </c>
      <c r="AK10" s="330">
        <f t="shared" si="0"/>
        <v>3</v>
      </c>
      <c r="AL10" s="330">
        <f t="shared" si="0"/>
        <v>3</v>
      </c>
      <c r="AM10" s="330">
        <f t="shared" si="0"/>
        <v>4</v>
      </c>
      <c r="AN10" s="330">
        <f t="shared" si="0"/>
        <v>4</v>
      </c>
      <c r="AO10" s="330">
        <f t="shared" si="0"/>
        <v>4</v>
      </c>
      <c r="AP10" s="330">
        <f t="shared" si="0"/>
        <v>4</v>
      </c>
      <c r="AQ10" s="330">
        <f t="shared" si="0"/>
        <v>4</v>
      </c>
      <c r="AR10" s="330">
        <f t="shared" si="0"/>
        <v>4</v>
      </c>
      <c r="AS10" s="330">
        <f t="shared" si="0"/>
        <v>4</v>
      </c>
      <c r="AT10" s="330">
        <f t="shared" si="0"/>
        <v>4</v>
      </c>
      <c r="AU10" s="330">
        <f t="shared" si="0"/>
        <v>4</v>
      </c>
      <c r="AV10" s="330">
        <f t="shared" si="0"/>
        <v>4</v>
      </c>
      <c r="AW10" s="330">
        <f t="shared" si="0"/>
        <v>4</v>
      </c>
      <c r="AX10" s="330">
        <f t="shared" si="0"/>
        <v>4</v>
      </c>
      <c r="AY10" s="330">
        <f t="shared" si="0"/>
        <v>5</v>
      </c>
      <c r="AZ10" s="330">
        <f t="shared" si="0"/>
        <v>5</v>
      </c>
      <c r="BA10" s="330">
        <f t="shared" si="0"/>
        <v>5</v>
      </c>
      <c r="BB10" s="330">
        <f t="shared" si="0"/>
        <v>5</v>
      </c>
      <c r="BC10" s="330">
        <f t="shared" si="0"/>
        <v>5</v>
      </c>
      <c r="BD10" s="330">
        <f t="shared" si="0"/>
        <v>5</v>
      </c>
      <c r="BE10" s="330">
        <f t="shared" si="0"/>
        <v>5</v>
      </c>
      <c r="BF10" s="330">
        <f t="shared" si="0"/>
        <v>5</v>
      </c>
      <c r="BG10" s="330">
        <f t="shared" si="0"/>
        <v>5</v>
      </c>
      <c r="BH10" s="330">
        <f t="shared" si="0"/>
        <v>5</v>
      </c>
      <c r="BI10" s="330">
        <f t="shared" si="0"/>
        <v>5</v>
      </c>
      <c r="BJ10" s="330">
        <f t="shared" si="0"/>
        <v>5</v>
      </c>
      <c r="BK10" s="330">
        <f t="shared" si="0"/>
        <v>6</v>
      </c>
      <c r="BL10" s="330">
        <f t="shared" si="0"/>
        <v>6</v>
      </c>
      <c r="BM10" s="330">
        <f t="shared" si="0"/>
        <v>6</v>
      </c>
      <c r="BN10" s="330">
        <f t="shared" si="0"/>
        <v>6</v>
      </c>
      <c r="BO10" s="330">
        <f t="shared" si="0"/>
        <v>6</v>
      </c>
      <c r="BP10" s="330">
        <f t="shared" ref="BP10:DR10" si="1">INT(((YEAR(BP24)-YEAR($C$24))*12 + MONTH(BP24)-MONTH($C$24))/12) + 1</f>
        <v>6</v>
      </c>
      <c r="BQ10" s="330">
        <f t="shared" si="1"/>
        <v>6</v>
      </c>
      <c r="BR10" s="330">
        <f t="shared" si="1"/>
        <v>6</v>
      </c>
      <c r="BS10" s="330">
        <f t="shared" si="1"/>
        <v>6</v>
      </c>
      <c r="BT10" s="330">
        <f t="shared" si="1"/>
        <v>6</v>
      </c>
      <c r="BU10" s="330">
        <f t="shared" si="1"/>
        <v>6</v>
      </c>
      <c r="BV10" s="330">
        <f t="shared" si="1"/>
        <v>6</v>
      </c>
      <c r="BW10" s="330">
        <f t="shared" si="1"/>
        <v>7</v>
      </c>
      <c r="BX10" s="330">
        <f t="shared" si="1"/>
        <v>7</v>
      </c>
      <c r="BY10" s="330">
        <f t="shared" si="1"/>
        <v>7</v>
      </c>
      <c r="BZ10" s="330">
        <f t="shared" si="1"/>
        <v>7</v>
      </c>
      <c r="CA10" s="330">
        <f t="shared" si="1"/>
        <v>7</v>
      </c>
      <c r="CB10" s="330">
        <f t="shared" si="1"/>
        <v>7</v>
      </c>
      <c r="CC10" s="330">
        <f t="shared" si="1"/>
        <v>7</v>
      </c>
      <c r="CD10" s="330">
        <f t="shared" si="1"/>
        <v>7</v>
      </c>
      <c r="CE10" s="330">
        <f t="shared" si="1"/>
        <v>7</v>
      </c>
      <c r="CF10" s="330">
        <f t="shared" si="1"/>
        <v>7</v>
      </c>
      <c r="CG10" s="330">
        <f t="shared" si="1"/>
        <v>7</v>
      </c>
      <c r="CH10" s="330">
        <f t="shared" si="1"/>
        <v>7</v>
      </c>
      <c r="CI10" s="330">
        <f t="shared" si="1"/>
        <v>8</v>
      </c>
      <c r="CJ10" s="330">
        <f t="shared" si="1"/>
        <v>8</v>
      </c>
      <c r="CK10" s="330">
        <f t="shared" si="1"/>
        <v>8</v>
      </c>
      <c r="CL10" s="330">
        <f t="shared" si="1"/>
        <v>8</v>
      </c>
      <c r="CM10" s="330">
        <f t="shared" si="1"/>
        <v>8</v>
      </c>
      <c r="CN10" s="330">
        <f t="shared" si="1"/>
        <v>8</v>
      </c>
      <c r="CO10" s="330">
        <f t="shared" si="1"/>
        <v>8</v>
      </c>
      <c r="CP10" s="330">
        <f t="shared" si="1"/>
        <v>8</v>
      </c>
      <c r="CQ10" s="330">
        <f t="shared" si="1"/>
        <v>8</v>
      </c>
      <c r="CR10" s="330">
        <f t="shared" si="1"/>
        <v>8</v>
      </c>
      <c r="CS10" s="330">
        <f t="shared" si="1"/>
        <v>8</v>
      </c>
      <c r="CT10" s="330">
        <f t="shared" si="1"/>
        <v>8</v>
      </c>
      <c r="CU10" s="330">
        <f t="shared" si="1"/>
        <v>9</v>
      </c>
      <c r="CV10" s="330">
        <f t="shared" si="1"/>
        <v>9</v>
      </c>
      <c r="CW10" s="330">
        <f t="shared" si="1"/>
        <v>9</v>
      </c>
      <c r="CX10" s="330">
        <f t="shared" si="1"/>
        <v>9</v>
      </c>
      <c r="CY10" s="330">
        <f t="shared" si="1"/>
        <v>9</v>
      </c>
      <c r="CZ10" s="330">
        <f t="shared" si="1"/>
        <v>9</v>
      </c>
      <c r="DA10" s="330">
        <f t="shared" si="1"/>
        <v>9</v>
      </c>
      <c r="DB10" s="330">
        <f t="shared" si="1"/>
        <v>9</v>
      </c>
      <c r="DC10" s="330">
        <f t="shared" si="1"/>
        <v>9</v>
      </c>
      <c r="DD10" s="330">
        <f t="shared" si="1"/>
        <v>9</v>
      </c>
      <c r="DE10" s="330">
        <f t="shared" si="1"/>
        <v>9</v>
      </c>
      <c r="DF10" s="330">
        <f t="shared" si="1"/>
        <v>9</v>
      </c>
      <c r="DG10" s="330">
        <f t="shared" si="1"/>
        <v>10</v>
      </c>
      <c r="DH10" s="330">
        <f t="shared" si="1"/>
        <v>10</v>
      </c>
      <c r="DI10" s="330">
        <f t="shared" si="1"/>
        <v>10</v>
      </c>
      <c r="DJ10" s="330">
        <f t="shared" si="1"/>
        <v>10</v>
      </c>
      <c r="DK10" s="330">
        <f t="shared" si="1"/>
        <v>10</v>
      </c>
      <c r="DL10" s="330">
        <f t="shared" si="1"/>
        <v>10</v>
      </c>
      <c r="DM10" s="330">
        <f t="shared" si="1"/>
        <v>10</v>
      </c>
      <c r="DN10" s="330">
        <f t="shared" si="1"/>
        <v>10</v>
      </c>
      <c r="DO10" s="330">
        <f t="shared" si="1"/>
        <v>10</v>
      </c>
      <c r="DP10" s="330">
        <f t="shared" si="1"/>
        <v>10</v>
      </c>
      <c r="DQ10" s="330">
        <f t="shared" si="1"/>
        <v>10</v>
      </c>
      <c r="DR10" s="330">
        <f t="shared" si="1"/>
        <v>10</v>
      </c>
    </row>
    <row r="11" spans="2:122" x14ac:dyDescent="0.3">
      <c r="B11" s="175" t="s">
        <v>166</v>
      </c>
      <c r="C11" s="175">
        <f>IF(C24&lt;=Assumptions!$F$17, Assumptions!$D$17, IF(C24&lt;=Assumptions!$F$18, Assumptions!$D$18, Assumptions!$D$19))</f>
        <v>40</v>
      </c>
      <c r="D11" s="175">
        <f>IF(D24&lt;=Assumptions!$F$17, Assumptions!$D$17, IF(D24&lt;=Assumptions!$F$18, Assumptions!$D$18, Assumptions!$D$19))</f>
        <v>40</v>
      </c>
      <c r="E11" s="175">
        <f>IF(E24&lt;=Assumptions!$F$17, Assumptions!$D$17, IF(E24&lt;=Assumptions!$F$18, Assumptions!$D$18, Assumptions!$D$19))</f>
        <v>40</v>
      </c>
      <c r="F11" s="175">
        <f>IF(F24&lt;=Assumptions!$F$17, Assumptions!$D$17, IF(F24&lt;=Assumptions!$F$18, Assumptions!$D$18, Assumptions!$D$19))</f>
        <v>40</v>
      </c>
      <c r="G11" s="175">
        <f>IF(G24&lt;=Assumptions!$F$17, Assumptions!$D$17, IF(G24&lt;=Assumptions!$F$18, Assumptions!$D$18, Assumptions!$D$19))</f>
        <v>250</v>
      </c>
      <c r="H11" s="175">
        <f>IF(H24&lt;=Assumptions!$F$17, Assumptions!$D$17, IF(H24&lt;=Assumptions!$F$18, Assumptions!$D$18, Assumptions!$D$19))</f>
        <v>250</v>
      </c>
      <c r="I11" s="175">
        <f>IF(I24&lt;=Assumptions!$F$17, Assumptions!$D$17, IF(I24&lt;=Assumptions!$F$18, Assumptions!$D$18, Assumptions!$D$19))</f>
        <v>250</v>
      </c>
      <c r="J11" s="175">
        <f>IF(J24&lt;=Assumptions!$F$17, Assumptions!$D$17, IF(J24&lt;=Assumptions!$F$18, Assumptions!$D$18, Assumptions!$D$19))</f>
        <v>250</v>
      </c>
      <c r="K11" s="175">
        <f>IF(K24&lt;=Assumptions!$F$17, Assumptions!$D$17, IF(K24&lt;=Assumptions!$F$18, Assumptions!$D$18, Assumptions!$D$19))</f>
        <v>250</v>
      </c>
      <c r="L11" s="175">
        <f>IF(L24&lt;=Assumptions!$F$17, Assumptions!$D$17, IF(L24&lt;=Assumptions!$F$18, Assumptions!$D$18, Assumptions!$D$19))</f>
        <v>250</v>
      </c>
      <c r="M11" s="175">
        <f>IF(M24&lt;=Assumptions!$F$17, Assumptions!$D$17, IF(M24&lt;=Assumptions!$F$18, Assumptions!$D$18, Assumptions!$D$19))</f>
        <v>500</v>
      </c>
      <c r="N11" s="175">
        <f>IF(N24&lt;=Assumptions!$F$17, Assumptions!$D$17, IF(N24&lt;=Assumptions!$F$18, Assumptions!$D$18, Assumptions!$D$19))</f>
        <v>500</v>
      </c>
      <c r="O11" s="175">
        <f>IF(O24&lt;=Assumptions!$F$17, Assumptions!$D$17, IF(O24&lt;=Assumptions!$F$18, Assumptions!$D$18, Assumptions!$D$19))</f>
        <v>500</v>
      </c>
      <c r="P11" s="175">
        <f>IF(P24&lt;=Assumptions!$F$17, Assumptions!$D$17, IF(P24&lt;=Assumptions!$F$18, Assumptions!$D$18, Assumptions!$D$19))</f>
        <v>500</v>
      </c>
      <c r="Q11" s="175">
        <f>IF(Q24&lt;=Assumptions!$F$17, Assumptions!$D$17, IF(Q24&lt;=Assumptions!$F$18, Assumptions!$D$18, Assumptions!$D$19))</f>
        <v>500</v>
      </c>
      <c r="R11" s="175">
        <f>IF(R24&lt;=Assumptions!$F$17, Assumptions!$D$17, IF(R24&lt;=Assumptions!$F$18, Assumptions!$D$18, Assumptions!$D$19))</f>
        <v>500</v>
      </c>
      <c r="S11" s="175">
        <f>IF(S24&lt;=Assumptions!$F$17, Assumptions!$D$17, IF(S24&lt;=Assumptions!$F$18, Assumptions!$D$18, Assumptions!$D$19))</f>
        <v>500</v>
      </c>
      <c r="T11" s="175">
        <f>IF(T24&lt;=Assumptions!$F$17, Assumptions!$D$17, IF(T24&lt;=Assumptions!$F$18, Assumptions!$D$18, Assumptions!$D$19))</f>
        <v>500</v>
      </c>
      <c r="U11" s="175">
        <f>IF(U24&lt;=Assumptions!$F$17, Assumptions!$D$17, IF(U24&lt;=Assumptions!$F$18, Assumptions!$D$18, Assumptions!$D$19))</f>
        <v>500</v>
      </c>
      <c r="V11" s="175">
        <f>IF(V24&lt;=Assumptions!$F$17, Assumptions!$D$17, IF(V24&lt;=Assumptions!$F$18, Assumptions!$D$18, Assumptions!$D$19))</f>
        <v>500</v>
      </c>
      <c r="W11" s="175">
        <f>IF(W24&lt;=Assumptions!$F$17, Assumptions!$D$17, IF(W24&lt;=Assumptions!$F$18, Assumptions!$D$18, Assumptions!$D$19))</f>
        <v>500</v>
      </c>
      <c r="X11" s="175">
        <f>IF(X24&lt;=Assumptions!$F$17, Assumptions!$D$17, IF(X24&lt;=Assumptions!$F$18, Assumptions!$D$18, Assumptions!$D$19))</f>
        <v>500</v>
      </c>
      <c r="Y11" s="175">
        <f>IF(Y24&lt;=Assumptions!$F$17, Assumptions!$D$17, IF(Y24&lt;=Assumptions!$F$18, Assumptions!$D$18, Assumptions!$D$19))</f>
        <v>500</v>
      </c>
      <c r="Z11" s="175">
        <f>IF(Z24&lt;=Assumptions!$F$17, Assumptions!$D$17, IF(Z24&lt;=Assumptions!$F$18, Assumptions!$D$18, Assumptions!$D$19))</f>
        <v>500</v>
      </c>
      <c r="AA11" s="175">
        <f>IF(AA24&lt;=Assumptions!$F$17, Assumptions!$D$17, IF(AA24&lt;=Assumptions!$F$18, Assumptions!$D$18, Assumptions!$D$19))</f>
        <v>500</v>
      </c>
      <c r="AB11" s="175">
        <f>IF(AB24&lt;=Assumptions!$F$17, Assumptions!$D$17, IF(AB24&lt;=Assumptions!$F$18, Assumptions!$D$18, Assumptions!$D$19))</f>
        <v>500</v>
      </c>
      <c r="AC11" s="175">
        <f>IF(AC24&lt;=Assumptions!$F$17, Assumptions!$D$17, IF(AC24&lt;=Assumptions!$F$18, Assumptions!$D$18, Assumptions!$D$19))</f>
        <v>500</v>
      </c>
      <c r="AD11" s="175">
        <f>IF(AD24&lt;=Assumptions!$F$17, Assumptions!$D$17, IF(AD24&lt;=Assumptions!$F$18, Assumptions!$D$18, Assumptions!$D$19))</f>
        <v>500</v>
      </c>
      <c r="AE11" s="175">
        <f>IF(AE24&lt;=Assumptions!$F$17, Assumptions!$D$17, IF(AE24&lt;=Assumptions!$F$18, Assumptions!$D$18, Assumptions!$D$19))</f>
        <v>500</v>
      </c>
      <c r="AF11" s="175">
        <f>IF(AF24&lt;=Assumptions!$F$17, Assumptions!$D$17, IF(AF24&lt;=Assumptions!$F$18, Assumptions!$D$18, Assumptions!$D$19))</f>
        <v>500</v>
      </c>
      <c r="AG11" s="175">
        <f>IF(AG24&lt;=Assumptions!$F$17, Assumptions!$D$17, IF(AG24&lt;=Assumptions!$F$18, Assumptions!$D$18, Assumptions!$D$19))</f>
        <v>500</v>
      </c>
      <c r="AH11" s="175">
        <f>IF(AH24&lt;=Assumptions!$F$17, Assumptions!$D$17, IF(AH24&lt;=Assumptions!$F$18, Assumptions!$D$18, Assumptions!$D$19))</f>
        <v>500</v>
      </c>
      <c r="AI11" s="175">
        <f>IF(AI24&lt;=Assumptions!$F$17, Assumptions!$D$17, IF(AI24&lt;=Assumptions!$F$18, Assumptions!$D$18, Assumptions!$D$19))</f>
        <v>500</v>
      </c>
      <c r="AJ11" s="175">
        <f>IF(AJ24&lt;=Assumptions!$F$17, Assumptions!$D$17, IF(AJ24&lt;=Assumptions!$F$18, Assumptions!$D$18, Assumptions!$D$19))</f>
        <v>500</v>
      </c>
      <c r="AK11" s="175">
        <f>IF(AK24&lt;=Assumptions!$F$17, Assumptions!$D$17, IF(AK24&lt;=Assumptions!$F$18, Assumptions!$D$18, Assumptions!$D$19))</f>
        <v>500</v>
      </c>
      <c r="AL11" s="175">
        <f>IF(AL24&lt;=Assumptions!$F$17, Assumptions!$D$17, IF(AL24&lt;=Assumptions!$F$18, Assumptions!$D$18, Assumptions!$D$19))</f>
        <v>500</v>
      </c>
      <c r="AM11" s="175">
        <f>IF(AM24&lt;=Assumptions!$F$17, Assumptions!$D$17, IF(AM24&lt;=Assumptions!$F$18, Assumptions!$D$18, Assumptions!$D$19))</f>
        <v>500</v>
      </c>
      <c r="AN11" s="175">
        <f>IF(AN24&lt;=Assumptions!$F$17, Assumptions!$D$17, IF(AN24&lt;=Assumptions!$F$18, Assumptions!$D$18, Assumptions!$D$19))</f>
        <v>500</v>
      </c>
      <c r="AO11" s="175">
        <f>IF(AO24&lt;=Assumptions!$F$17, Assumptions!$D$17, IF(AO24&lt;=Assumptions!$F$18, Assumptions!$D$18, Assumptions!$D$19))</f>
        <v>500</v>
      </c>
      <c r="AP11" s="175">
        <f>IF(AP24&lt;=Assumptions!$F$17, Assumptions!$D$17, IF(AP24&lt;=Assumptions!$F$18, Assumptions!$D$18, Assumptions!$D$19))</f>
        <v>500</v>
      </c>
      <c r="AQ11" s="175">
        <f>IF(AQ24&lt;=Assumptions!$F$17, Assumptions!$D$17, IF(AQ24&lt;=Assumptions!$F$18, Assumptions!$D$18, Assumptions!$D$19))</f>
        <v>500</v>
      </c>
      <c r="AR11" s="175">
        <f>IF(AR24&lt;=Assumptions!$F$17, Assumptions!$D$17, IF(AR24&lt;=Assumptions!$F$18, Assumptions!$D$18, Assumptions!$D$19))</f>
        <v>500</v>
      </c>
      <c r="AS11" s="175">
        <f>IF(AS24&lt;=Assumptions!$F$17, Assumptions!$D$17, IF(AS24&lt;=Assumptions!$F$18, Assumptions!$D$18, Assumptions!$D$19))</f>
        <v>500</v>
      </c>
      <c r="AT11" s="175">
        <f>IF(AT24&lt;=Assumptions!$F$17, Assumptions!$D$17, IF(AT24&lt;=Assumptions!$F$18, Assumptions!$D$18, Assumptions!$D$19))</f>
        <v>500</v>
      </c>
      <c r="AU11" s="175">
        <f>IF(AU24&lt;=Assumptions!$F$17, Assumptions!$D$17, IF(AU24&lt;=Assumptions!$F$18, Assumptions!$D$18, Assumptions!$D$19))</f>
        <v>500</v>
      </c>
      <c r="AV11" s="175">
        <f>IF(AV24&lt;=Assumptions!$F$17, Assumptions!$D$17, IF(AV24&lt;=Assumptions!$F$18, Assumptions!$D$18, Assumptions!$D$19))</f>
        <v>500</v>
      </c>
      <c r="AW11" s="175">
        <f>IF(AW24&lt;=Assumptions!$F$17, Assumptions!$D$17, IF(AW24&lt;=Assumptions!$F$18, Assumptions!$D$18, Assumptions!$D$19))</f>
        <v>500</v>
      </c>
      <c r="AX11" s="175">
        <f>IF(AX24&lt;=Assumptions!$F$17, Assumptions!$D$17, IF(AX24&lt;=Assumptions!$F$18, Assumptions!$D$18, Assumptions!$D$19))</f>
        <v>500</v>
      </c>
      <c r="AY11" s="175">
        <f>IF(AY24&lt;=Assumptions!$F$17, Assumptions!$D$17, IF(AY24&lt;=Assumptions!$F$18, Assumptions!$D$18, Assumptions!$D$19))</f>
        <v>500</v>
      </c>
      <c r="AZ11" s="175">
        <f>IF(AZ24&lt;=Assumptions!$F$17, Assumptions!$D$17, IF(AZ24&lt;=Assumptions!$F$18, Assumptions!$D$18, Assumptions!$D$19))</f>
        <v>500</v>
      </c>
      <c r="BA11" s="175">
        <f>IF(BA24&lt;=Assumptions!$F$17, Assumptions!$D$17, IF(BA24&lt;=Assumptions!$F$18, Assumptions!$D$18, Assumptions!$D$19))</f>
        <v>500</v>
      </c>
      <c r="BB11" s="175">
        <f>IF(BB24&lt;=Assumptions!$F$17, Assumptions!$D$17, IF(BB24&lt;=Assumptions!$F$18, Assumptions!$D$18, Assumptions!$D$19))</f>
        <v>500</v>
      </c>
      <c r="BC11" s="175">
        <f>IF(BC24&lt;=Assumptions!$F$17, Assumptions!$D$17, IF(BC24&lt;=Assumptions!$F$18, Assumptions!$D$18, Assumptions!$D$19))</f>
        <v>500</v>
      </c>
      <c r="BD11" s="175">
        <f>IF(BD24&lt;=Assumptions!$F$17, Assumptions!$D$17, IF(BD24&lt;=Assumptions!$F$18, Assumptions!$D$18, Assumptions!$D$19))</f>
        <v>500</v>
      </c>
      <c r="BE11" s="175">
        <f>IF(BE24&lt;=Assumptions!$F$17, Assumptions!$D$17, IF(BE24&lt;=Assumptions!$F$18, Assumptions!$D$18, Assumptions!$D$19))</f>
        <v>500</v>
      </c>
      <c r="BF11" s="175">
        <f>IF(BF24&lt;=Assumptions!$F$17, Assumptions!$D$17, IF(BF24&lt;=Assumptions!$F$18, Assumptions!$D$18, Assumptions!$D$19))</f>
        <v>500</v>
      </c>
      <c r="BG11" s="175">
        <f>IF(BG24&lt;=Assumptions!$F$17, Assumptions!$D$17, IF(BG24&lt;=Assumptions!$F$18, Assumptions!$D$18, Assumptions!$D$19))</f>
        <v>500</v>
      </c>
      <c r="BH11" s="175">
        <f>IF(BH24&lt;=Assumptions!$F$17, Assumptions!$D$17, IF(BH24&lt;=Assumptions!$F$18, Assumptions!$D$18, Assumptions!$D$19))</f>
        <v>500</v>
      </c>
      <c r="BI11" s="175">
        <f>IF(BI24&lt;=Assumptions!$F$17, Assumptions!$D$17, IF(BI24&lt;=Assumptions!$F$18, Assumptions!$D$18, Assumptions!$D$19))</f>
        <v>500</v>
      </c>
      <c r="BJ11" s="175">
        <f>IF(BJ24&lt;=Assumptions!$F$17, Assumptions!$D$17, IF(BJ24&lt;=Assumptions!$F$18, Assumptions!$D$18, Assumptions!$D$19))</f>
        <v>500</v>
      </c>
      <c r="BK11" s="175">
        <f>IF(BK24&lt;=Assumptions!$F$17, Assumptions!$D$17, IF(BK24&lt;=Assumptions!$F$18, Assumptions!$D$18, Assumptions!$D$19))</f>
        <v>500</v>
      </c>
      <c r="BL11" s="175">
        <f>IF(BL24&lt;=Assumptions!$F$17, Assumptions!$D$17, IF(BL24&lt;=Assumptions!$F$18, Assumptions!$D$18, Assumptions!$D$19))</f>
        <v>500</v>
      </c>
      <c r="BM11" s="175">
        <f>IF(BM24&lt;=Assumptions!$F$17, Assumptions!$D$17, IF(BM24&lt;=Assumptions!$F$18, Assumptions!$D$18, Assumptions!$D$19))</f>
        <v>500</v>
      </c>
      <c r="BN11" s="175">
        <f>IF(BN24&lt;=Assumptions!$F$17, Assumptions!$D$17, IF(BN24&lt;=Assumptions!$F$18, Assumptions!$D$18, Assumptions!$D$19))</f>
        <v>500</v>
      </c>
      <c r="BO11" s="175">
        <f>IF(BO24&lt;=Assumptions!$F$17, Assumptions!$D$17, IF(BO24&lt;=Assumptions!$F$18, Assumptions!$D$18, Assumptions!$D$19))</f>
        <v>500</v>
      </c>
      <c r="BP11" s="175">
        <f>IF(BP24&lt;=Assumptions!$F$17, Assumptions!$D$17, IF(BP24&lt;=Assumptions!$F$18, Assumptions!$D$18, Assumptions!$D$19))</f>
        <v>500</v>
      </c>
      <c r="BQ11" s="175">
        <f>IF(BQ24&lt;=Assumptions!$F$17, Assumptions!$D$17, IF(BQ24&lt;=Assumptions!$F$18, Assumptions!$D$18, Assumptions!$D$19))</f>
        <v>500</v>
      </c>
      <c r="BR11" s="175">
        <f>IF(BR24&lt;=Assumptions!$F$17, Assumptions!$D$17, IF(BR24&lt;=Assumptions!$F$18, Assumptions!$D$18, Assumptions!$D$19))</f>
        <v>500</v>
      </c>
      <c r="BS11" s="175">
        <f>IF(BS24&lt;=Assumptions!$F$17, Assumptions!$D$17, IF(BS24&lt;=Assumptions!$F$18, Assumptions!$D$18, Assumptions!$D$19))</f>
        <v>500</v>
      </c>
      <c r="BT11" s="175">
        <f>IF(BT24&lt;=Assumptions!$F$17, Assumptions!$D$17, IF(BT24&lt;=Assumptions!$F$18, Assumptions!$D$18, Assumptions!$D$19))</f>
        <v>500</v>
      </c>
      <c r="BU11" s="175">
        <f>IF(BU24&lt;=Assumptions!$F$17, Assumptions!$D$17, IF(BU24&lt;=Assumptions!$F$18, Assumptions!$D$18, Assumptions!$D$19))</f>
        <v>500</v>
      </c>
      <c r="BV11" s="175">
        <f>IF(BV24&lt;=Assumptions!$F$17, Assumptions!$D$17, IF(BV24&lt;=Assumptions!$F$18, Assumptions!$D$18, Assumptions!$D$19))</f>
        <v>500</v>
      </c>
      <c r="BW11" s="175">
        <f>IF(BW24&lt;=Assumptions!$F$17, Assumptions!$D$17, IF(BW24&lt;=Assumptions!$F$18, Assumptions!$D$18, Assumptions!$D$19))</f>
        <v>500</v>
      </c>
      <c r="BX11" s="175">
        <f>IF(BX24&lt;=Assumptions!$F$17, Assumptions!$D$17, IF(BX24&lt;=Assumptions!$F$18, Assumptions!$D$18, Assumptions!$D$19))</f>
        <v>500</v>
      </c>
      <c r="BY11" s="175">
        <f>IF(BY24&lt;=Assumptions!$F$17, Assumptions!$D$17, IF(BY24&lt;=Assumptions!$F$18, Assumptions!$D$18, Assumptions!$D$19))</f>
        <v>500</v>
      </c>
      <c r="BZ11" s="175">
        <f>IF(BZ24&lt;=Assumptions!$F$17, Assumptions!$D$17, IF(BZ24&lt;=Assumptions!$F$18, Assumptions!$D$18, Assumptions!$D$19))</f>
        <v>500</v>
      </c>
      <c r="CA11" s="175">
        <f>IF(CA24&lt;=Assumptions!$F$17, Assumptions!$D$17, IF(CA24&lt;=Assumptions!$F$18, Assumptions!$D$18, Assumptions!$D$19))</f>
        <v>500</v>
      </c>
      <c r="CB11" s="175">
        <f>IF(CB24&lt;=Assumptions!$F$17, Assumptions!$D$17, IF(CB24&lt;=Assumptions!$F$18, Assumptions!$D$18, Assumptions!$D$19))</f>
        <v>500</v>
      </c>
      <c r="CC11" s="175">
        <f>IF(CC24&lt;=Assumptions!$F$17, Assumptions!$D$17, IF(CC24&lt;=Assumptions!$F$18, Assumptions!$D$18, Assumptions!$D$19))</f>
        <v>500</v>
      </c>
      <c r="CD11" s="175">
        <f>IF(CD24&lt;=Assumptions!$F$17, Assumptions!$D$17, IF(CD24&lt;=Assumptions!$F$18, Assumptions!$D$18, Assumptions!$D$19))</f>
        <v>500</v>
      </c>
      <c r="CE11" s="175">
        <f>IF(CE24&lt;=Assumptions!$F$17, Assumptions!$D$17, IF(CE24&lt;=Assumptions!$F$18, Assumptions!$D$18, Assumptions!$D$19))</f>
        <v>500</v>
      </c>
      <c r="CF11" s="175">
        <f>IF(CF24&lt;=Assumptions!$F$17, Assumptions!$D$17, IF(CF24&lt;=Assumptions!$F$18, Assumptions!$D$18, Assumptions!$D$19))</f>
        <v>500</v>
      </c>
      <c r="CG11" s="175">
        <f>IF(CG24&lt;=Assumptions!$F$17, Assumptions!$D$17, IF(CG24&lt;=Assumptions!$F$18, Assumptions!$D$18, Assumptions!$D$19))</f>
        <v>500</v>
      </c>
      <c r="CH11" s="175">
        <f>IF(CH24&lt;=Assumptions!$F$17, Assumptions!$D$17, IF(CH24&lt;=Assumptions!$F$18, Assumptions!$D$18, Assumptions!$D$19))</f>
        <v>500</v>
      </c>
      <c r="CI11" s="175">
        <f>IF(CI24&lt;=Assumptions!$F$17, Assumptions!$D$17, IF(CI24&lt;=Assumptions!$F$18, Assumptions!$D$18, Assumptions!$D$19))</f>
        <v>500</v>
      </c>
      <c r="CJ11" s="175">
        <f>IF(CJ24&lt;=Assumptions!$F$17, Assumptions!$D$17, IF(CJ24&lt;=Assumptions!$F$18, Assumptions!$D$18, Assumptions!$D$19))</f>
        <v>500</v>
      </c>
      <c r="CK11" s="175">
        <f>IF(CK24&lt;=Assumptions!$F$17, Assumptions!$D$17, IF(CK24&lt;=Assumptions!$F$18, Assumptions!$D$18, Assumptions!$D$19))</f>
        <v>500</v>
      </c>
      <c r="CL11" s="175">
        <f>IF(CL24&lt;=Assumptions!$F$17, Assumptions!$D$17, IF(CL24&lt;=Assumptions!$F$18, Assumptions!$D$18, Assumptions!$D$19))</f>
        <v>500</v>
      </c>
      <c r="CM11" s="175">
        <f>IF(CM24&lt;=Assumptions!$F$17, Assumptions!$D$17, IF(CM24&lt;=Assumptions!$F$18, Assumptions!$D$18, Assumptions!$D$19))</f>
        <v>500</v>
      </c>
      <c r="CN11" s="175">
        <f>IF(CN24&lt;=Assumptions!$F$17, Assumptions!$D$17, IF(CN24&lt;=Assumptions!$F$18, Assumptions!$D$18, Assumptions!$D$19))</f>
        <v>500</v>
      </c>
      <c r="CO11" s="175">
        <f>IF(CO24&lt;=Assumptions!$F$17, Assumptions!$D$17, IF(CO24&lt;=Assumptions!$F$18, Assumptions!$D$18, Assumptions!$D$19))</f>
        <v>500</v>
      </c>
      <c r="CP11" s="175">
        <f>IF(CP24&lt;=Assumptions!$F$17, Assumptions!$D$17, IF(CP24&lt;=Assumptions!$F$18, Assumptions!$D$18, Assumptions!$D$19))</f>
        <v>500</v>
      </c>
      <c r="CQ11" s="175">
        <f>IF(CQ24&lt;=Assumptions!$F$17, Assumptions!$D$17, IF(CQ24&lt;=Assumptions!$F$18, Assumptions!$D$18, Assumptions!$D$19))</f>
        <v>500</v>
      </c>
      <c r="CR11" s="175">
        <f>IF(CR24&lt;=Assumptions!$F$17, Assumptions!$D$17, IF(CR24&lt;=Assumptions!$F$18, Assumptions!$D$18, Assumptions!$D$19))</f>
        <v>500</v>
      </c>
      <c r="CS11" s="175">
        <f>IF(CS24&lt;=Assumptions!$F$17, Assumptions!$D$17, IF(CS24&lt;=Assumptions!$F$18, Assumptions!$D$18, Assumptions!$D$19))</f>
        <v>500</v>
      </c>
      <c r="CT11" s="175">
        <f>IF(CT24&lt;=Assumptions!$F$17, Assumptions!$D$17, IF(CT24&lt;=Assumptions!$F$18, Assumptions!$D$18, Assumptions!$D$19))</f>
        <v>500</v>
      </c>
      <c r="CU11" s="175">
        <f>IF(CU24&lt;=Assumptions!$F$17, Assumptions!$D$17, IF(CU24&lt;=Assumptions!$F$18, Assumptions!$D$18, Assumptions!$D$19))</f>
        <v>500</v>
      </c>
      <c r="CV11" s="175">
        <f>IF(CV24&lt;=Assumptions!$F$17, Assumptions!$D$17, IF(CV24&lt;=Assumptions!$F$18, Assumptions!$D$18, Assumptions!$D$19))</f>
        <v>500</v>
      </c>
      <c r="CW11" s="175">
        <f>IF(CW24&lt;=Assumptions!$F$17, Assumptions!$D$17, IF(CW24&lt;=Assumptions!$F$18, Assumptions!$D$18, Assumptions!$D$19))</f>
        <v>500</v>
      </c>
      <c r="CX11" s="175">
        <f>IF(CX24&lt;=Assumptions!$F$17, Assumptions!$D$17, IF(CX24&lt;=Assumptions!$F$18, Assumptions!$D$18, Assumptions!$D$19))</f>
        <v>500</v>
      </c>
      <c r="CY11" s="175">
        <f>IF(CY24&lt;=Assumptions!$F$17, Assumptions!$D$17, IF(CY24&lt;=Assumptions!$F$18, Assumptions!$D$18, Assumptions!$D$19))</f>
        <v>500</v>
      </c>
      <c r="CZ11" s="175">
        <f>IF(CZ24&lt;=Assumptions!$F$17, Assumptions!$D$17, IF(CZ24&lt;=Assumptions!$F$18, Assumptions!$D$18, Assumptions!$D$19))</f>
        <v>500</v>
      </c>
      <c r="DA11" s="175">
        <f>IF(DA24&lt;=Assumptions!$F$17, Assumptions!$D$17, IF(DA24&lt;=Assumptions!$F$18, Assumptions!$D$18, Assumptions!$D$19))</f>
        <v>500</v>
      </c>
      <c r="DB11" s="175">
        <f>IF(DB24&lt;=Assumptions!$F$17, Assumptions!$D$17, IF(DB24&lt;=Assumptions!$F$18, Assumptions!$D$18, Assumptions!$D$19))</f>
        <v>500</v>
      </c>
      <c r="DC11" s="175">
        <f>IF(DC24&lt;=Assumptions!$F$17, Assumptions!$D$17, IF(DC24&lt;=Assumptions!$F$18, Assumptions!$D$18, Assumptions!$D$19))</f>
        <v>500</v>
      </c>
      <c r="DD11" s="175">
        <f>IF(DD24&lt;=Assumptions!$F$17, Assumptions!$D$17, IF(DD24&lt;=Assumptions!$F$18, Assumptions!$D$18, Assumptions!$D$19))</f>
        <v>500</v>
      </c>
      <c r="DE11" s="175">
        <f>IF(DE24&lt;=Assumptions!$F$17, Assumptions!$D$17, IF(DE24&lt;=Assumptions!$F$18, Assumptions!$D$18, Assumptions!$D$19))</f>
        <v>500</v>
      </c>
      <c r="DF11" s="175">
        <f>IF(DF24&lt;=Assumptions!$F$17, Assumptions!$D$17, IF(DF24&lt;=Assumptions!$F$18, Assumptions!$D$18, Assumptions!$D$19))</f>
        <v>500</v>
      </c>
      <c r="DG11" s="175">
        <f>IF(DG24&lt;=Assumptions!$F$17, Assumptions!$D$17, IF(DG24&lt;=Assumptions!$F$18, Assumptions!$D$18, Assumptions!$D$19))</f>
        <v>500</v>
      </c>
      <c r="DH11" s="175">
        <f>IF(DH24&lt;=Assumptions!$F$17, Assumptions!$D$17, IF(DH24&lt;=Assumptions!$F$18, Assumptions!$D$18, Assumptions!$D$19))</f>
        <v>500</v>
      </c>
      <c r="DI11" s="175">
        <f>IF(DI24&lt;=Assumptions!$F$17, Assumptions!$D$17, IF(DI24&lt;=Assumptions!$F$18, Assumptions!$D$18, Assumptions!$D$19))</f>
        <v>500</v>
      </c>
      <c r="DJ11" s="175">
        <f>IF(DJ24&lt;=Assumptions!$F$17, Assumptions!$D$17, IF(DJ24&lt;=Assumptions!$F$18, Assumptions!$D$18, Assumptions!$D$19))</f>
        <v>500</v>
      </c>
      <c r="DK11" s="175">
        <f>IF(DK24&lt;=Assumptions!$F$17, Assumptions!$D$17, IF(DK24&lt;=Assumptions!$F$18, Assumptions!$D$18, Assumptions!$D$19))</f>
        <v>500</v>
      </c>
      <c r="DL11" s="175">
        <f>IF(DL24&lt;=Assumptions!$F$17, Assumptions!$D$17, IF(DL24&lt;=Assumptions!$F$18, Assumptions!$D$18, Assumptions!$D$19))</f>
        <v>500</v>
      </c>
      <c r="DM11" s="175">
        <f>IF(DM24&lt;=Assumptions!$F$17, Assumptions!$D$17, IF(DM24&lt;=Assumptions!$F$18, Assumptions!$D$18, Assumptions!$D$19))</f>
        <v>500</v>
      </c>
      <c r="DN11" s="175">
        <f>IF(DN24&lt;=Assumptions!$F$17, Assumptions!$D$17, IF(DN24&lt;=Assumptions!$F$18, Assumptions!$D$18, Assumptions!$D$19))</f>
        <v>500</v>
      </c>
      <c r="DO11" s="175">
        <f>IF(DO24&lt;=Assumptions!$F$17, Assumptions!$D$17, IF(DO24&lt;=Assumptions!$F$18, Assumptions!$D$18, Assumptions!$D$19))</f>
        <v>500</v>
      </c>
      <c r="DP11" s="175">
        <f>IF(DP24&lt;=Assumptions!$F$17, Assumptions!$D$17, IF(DP24&lt;=Assumptions!$F$18, Assumptions!$D$18, Assumptions!$D$19))</f>
        <v>500</v>
      </c>
      <c r="DQ11" s="175">
        <f>IF(DQ24&lt;=Assumptions!$F$17, Assumptions!$D$17, IF(DQ24&lt;=Assumptions!$F$18, Assumptions!$D$18, Assumptions!$D$19))</f>
        <v>500</v>
      </c>
      <c r="DR11" s="175">
        <f>IF(DR24&lt;=Assumptions!$F$17, Assumptions!$D$17, IF(DR24&lt;=Assumptions!$F$18, Assumptions!$D$18, Assumptions!$D$19))</f>
        <v>500</v>
      </c>
    </row>
    <row r="12" spans="2:122" x14ac:dyDescent="0.3">
      <c r="B12" s="52" t="str">
        <f>+B5</f>
        <v>Germanium</v>
      </c>
      <c r="C12" s="55">
        <f>IF(C$11&lt;250,0,$C5*C$11*Assumptions!$C$7/12)*0.5</f>
        <v>0</v>
      </c>
      <c r="D12" s="55">
        <f>IF(D$11&lt;250,0,$C5*D$11*Assumptions!$C$7/12)*0.5</f>
        <v>0</v>
      </c>
      <c r="E12" s="55">
        <f>IF(E$11&lt;250,0,$C5*E$11*Assumptions!$C$7/12)*0.5</f>
        <v>0</v>
      </c>
      <c r="F12" s="55">
        <f>IF(F$11&lt;250,0,$C5*F$11*Assumptions!$C$7/12)*0.5</f>
        <v>0</v>
      </c>
      <c r="G12" s="55">
        <f>IF(G$11&lt;250,0,$C5*G$11*Assumptions!$C$7/12)*0.5</f>
        <v>0.25830729166666666</v>
      </c>
      <c r="H12" s="55">
        <f>IF(H$11&lt;250,0,$C5*H$11*Assumptions!$C$7/12)*0.5</f>
        <v>0.25830729166666666</v>
      </c>
      <c r="I12" s="55">
        <f>IF(I$11&lt;250,0,$C5*I$11*Assumptions!$C$7/12)*0.5</f>
        <v>0.25830729166666666</v>
      </c>
      <c r="J12" s="55">
        <f>IF(J$11&lt;250,0,$C5*J$11*Assumptions!$C$7/12)*0.5</f>
        <v>0.25830729166666666</v>
      </c>
      <c r="K12" s="55">
        <f>IF(K$11&lt;250,0,$C5*K$11*Assumptions!$C$7/12)*0.5</f>
        <v>0.25830729166666666</v>
      </c>
      <c r="L12" s="55">
        <f>IF(L$11&lt;250,0,$C5*L$11*Assumptions!$C$7/12)*0.5</f>
        <v>0.25830729166666666</v>
      </c>
      <c r="M12" s="55">
        <f>IF(M$11&lt;250,0,$C5*M$11*Assumptions!$C$7/12)*0.5</f>
        <v>0.51661458333333332</v>
      </c>
      <c r="N12" s="55">
        <f>IF(N$11&lt;250,0,$C5*N$11*Assumptions!$C$7/12)*0.5</f>
        <v>0.51661458333333332</v>
      </c>
      <c r="O12" s="55">
        <f>IF(O$11&lt;250,0,$C5*O$11*Assumptions!$C$7/12)*0.5</f>
        <v>0.51661458333333332</v>
      </c>
      <c r="P12" s="55">
        <f>IF(P$11&lt;250,0,$C5*P$11*Assumptions!$C$7/12)*0.5</f>
        <v>0.51661458333333332</v>
      </c>
      <c r="Q12" s="55">
        <f>IF(Q$11&lt;250,0,$C5*Q$11*Assumptions!$C$7/12)*0.5</f>
        <v>0.51661458333333332</v>
      </c>
      <c r="R12" s="55">
        <f>IF(R$11&lt;250,0,$C5*R$11*Assumptions!$C$7/12)*0.5</f>
        <v>0.51661458333333332</v>
      </c>
      <c r="S12" s="55">
        <f>IF(S$11&lt;250,0,$C5*S$11*Assumptions!$C$7/12)*0.5</f>
        <v>0.51661458333333332</v>
      </c>
      <c r="T12" s="55">
        <f>IF(T$11&lt;250,0,$C5*T$11*Assumptions!$C$7/12)*0.5</f>
        <v>0.51661458333333332</v>
      </c>
      <c r="U12" s="55">
        <f>IF(U$11&lt;250,0,$C5*U$11*Assumptions!$C$7/12)*0.5</f>
        <v>0.51661458333333332</v>
      </c>
      <c r="V12" s="55">
        <f>IF(V$11&lt;250,0,$C5*V$11*Assumptions!$C$7/12)*0.5</f>
        <v>0.51661458333333332</v>
      </c>
      <c r="W12" s="55">
        <f>IF(W$11&lt;250,0,$C5*W$11*Assumptions!$C$7/12)*0.5</f>
        <v>0.51661458333333332</v>
      </c>
      <c r="X12" s="55">
        <f>IF(X$11&lt;250,0,$C5*X$11*Assumptions!$C$7/12)*0.5</f>
        <v>0.51661458333333332</v>
      </c>
      <c r="Y12" s="55">
        <f>IF(Y$11&lt;250,0,$C5*Y$11*Assumptions!$C$7/12)*0.5</f>
        <v>0.51661458333333332</v>
      </c>
      <c r="Z12" s="55">
        <f>IF(Z$11&lt;250,0,$C5*Z$11*Assumptions!$C$7/12)*0.5</f>
        <v>0.51661458333333332</v>
      </c>
      <c r="AA12" s="55">
        <f>IF(AA$11&lt;250,0,$C5*AA$11*Assumptions!$C$7/12)*0.5</f>
        <v>0.51661458333333332</v>
      </c>
      <c r="AB12" s="55">
        <f>IF(AB$11&lt;250,0,$C5*AB$11*Assumptions!$C$7/12)*0.5</f>
        <v>0.51661458333333332</v>
      </c>
      <c r="AC12" s="55">
        <f>IF(AC$11&lt;250,0,$C5*AC$11*Assumptions!$C$7/12)*0.5</f>
        <v>0.51661458333333332</v>
      </c>
      <c r="AD12" s="55">
        <f>IF(AD$11&lt;250,0,$C5*AD$11*Assumptions!$C$7/12)*0.5</f>
        <v>0.51661458333333332</v>
      </c>
      <c r="AE12" s="55">
        <f>IF(AE$11&lt;250,0,$C5*AE$11*Assumptions!$C$7/12)*0.5</f>
        <v>0.51661458333333332</v>
      </c>
      <c r="AF12" s="55">
        <f>IF(AF$11&lt;250,0,$C5*AF$11*Assumptions!$C$7/12)*0.5</f>
        <v>0.51661458333333332</v>
      </c>
      <c r="AG12" s="55">
        <f>IF(AG$11&lt;250,0,$C5*AG$11*Assumptions!$C$7/12)*0.5</f>
        <v>0.51661458333333332</v>
      </c>
      <c r="AH12" s="55">
        <f>IF(AH$11&lt;250,0,$C5*AH$11*Assumptions!$C$7/12)*0.5</f>
        <v>0.51661458333333332</v>
      </c>
      <c r="AI12" s="55">
        <f>IF(AI$11&lt;250,0,$C5*AI$11*Assumptions!$C$7/12)*0.5</f>
        <v>0.51661458333333332</v>
      </c>
      <c r="AJ12" s="55">
        <f>IF(AJ$11&lt;250,0,$C5*AJ$11*Assumptions!$C$7/12)*0.5</f>
        <v>0.51661458333333332</v>
      </c>
      <c r="AK12" s="55">
        <f>IF(AK$11&lt;250,0,$C5*AK$11*Assumptions!$C$7/12)*0.5</f>
        <v>0.51661458333333332</v>
      </c>
      <c r="AL12" s="55">
        <f>IF(AL$11&lt;250,0,$C5*AL$11*Assumptions!$C$7/12)*0.5</f>
        <v>0.51661458333333332</v>
      </c>
      <c r="AM12" s="55">
        <f>IF(AM$11&lt;250,0,$C5*AM$11*Assumptions!$C$7/12)*0.5</f>
        <v>0.51661458333333332</v>
      </c>
      <c r="AN12" s="55">
        <f>IF(AN$11&lt;250,0,$C5*AN$11*Assumptions!$C$7/12)*0.5</f>
        <v>0.51661458333333332</v>
      </c>
      <c r="AO12" s="55">
        <f>IF(AO$11&lt;250,0,$C5*AO$11*Assumptions!$C$7/12)*0.5</f>
        <v>0.51661458333333332</v>
      </c>
      <c r="AP12" s="55">
        <f>IF(AP$11&lt;250,0,$C5*AP$11*Assumptions!$C$7/12)*0.5</f>
        <v>0.51661458333333332</v>
      </c>
      <c r="AQ12" s="55">
        <f>IF(AQ$11&lt;250,0,$C5*AQ$11*Assumptions!$C$7/12)*0.5</f>
        <v>0.51661458333333332</v>
      </c>
      <c r="AR12" s="55">
        <f>IF(AR$11&lt;250,0,$C5*AR$11*Assumptions!$C$7/12)*0.5</f>
        <v>0.51661458333333332</v>
      </c>
      <c r="AS12" s="55">
        <f>IF(AS$11&lt;250,0,$C5*AS$11*Assumptions!$C$7/12)*0.5</f>
        <v>0.51661458333333332</v>
      </c>
      <c r="AT12" s="55">
        <f>IF(AT$11&lt;250,0,$C5*AT$11*Assumptions!$C$7/12)*0.5</f>
        <v>0.51661458333333332</v>
      </c>
      <c r="AU12" s="55">
        <f>IF(AU$11&lt;250,0,$C5*AU$11*Assumptions!$C$7/12)*0.5</f>
        <v>0.51661458333333332</v>
      </c>
      <c r="AV12" s="55">
        <f>IF(AV$11&lt;250,0,$C5*AV$11*Assumptions!$C$7/12)*0.5</f>
        <v>0.51661458333333332</v>
      </c>
      <c r="AW12" s="55">
        <f>IF(AW$11&lt;250,0,$C5*AW$11*Assumptions!$C$7/12)*0.5</f>
        <v>0.51661458333333332</v>
      </c>
      <c r="AX12" s="55">
        <f>IF(AX$11&lt;250,0,$C5*AX$11*Assumptions!$C$7/12)*0.5</f>
        <v>0.51661458333333332</v>
      </c>
      <c r="AY12" s="55">
        <f>IF(AY$11&lt;250,0,$C5*AY$11*Assumptions!$C$7/12)*0.5</f>
        <v>0.51661458333333332</v>
      </c>
      <c r="AZ12" s="55">
        <f>IF(AZ$11&lt;250,0,$C5*AZ$11*Assumptions!$C$7/12)*0.5</f>
        <v>0.51661458333333332</v>
      </c>
      <c r="BA12" s="55">
        <f>IF(BA$11&lt;250,0,$C5*BA$11*Assumptions!$C$7/12)*0.5</f>
        <v>0.51661458333333332</v>
      </c>
      <c r="BB12" s="55">
        <f>IF(BB$11&lt;250,0,$C5*BB$11*Assumptions!$C$7/12)*0.5</f>
        <v>0.51661458333333332</v>
      </c>
      <c r="BC12" s="55">
        <f>IF(BC$11&lt;250,0,$C5*BC$11*Assumptions!$C$7/12)*0.5</f>
        <v>0.51661458333333332</v>
      </c>
      <c r="BD12" s="55">
        <f>IF(BD$11&lt;250,0,$C5*BD$11*Assumptions!$C$7/12)*0.5</f>
        <v>0.51661458333333332</v>
      </c>
      <c r="BE12" s="55">
        <f>IF(BE$11&lt;250,0,$C5*BE$11*Assumptions!$C$7/12)*0.5</f>
        <v>0.51661458333333332</v>
      </c>
      <c r="BF12" s="55">
        <f>IF(BF$11&lt;250,0,$C5*BF$11*Assumptions!$C$7/12)*0.5</f>
        <v>0.51661458333333332</v>
      </c>
      <c r="BG12" s="55">
        <f>IF(BG$11&lt;250,0,$C5*BG$11*Assumptions!$C$7/12)*0.5</f>
        <v>0.51661458333333332</v>
      </c>
      <c r="BH12" s="55">
        <f>IF(BH$11&lt;250,0,$C5*BH$11*Assumptions!$C$7/12)*0.5</f>
        <v>0.51661458333333332</v>
      </c>
      <c r="BI12" s="55">
        <f>IF(BI$11&lt;250,0,$C5*BI$11*Assumptions!$C$7/12)*0.5</f>
        <v>0.51661458333333332</v>
      </c>
      <c r="BJ12" s="55">
        <f>IF(BJ$11&lt;250,0,$C5*BJ$11*Assumptions!$C$7/12)*0.5</f>
        <v>0.51661458333333332</v>
      </c>
      <c r="BK12" s="55">
        <f>IF(BK$11&lt;250,0,$C5*BK$11*Assumptions!$C$7/12)*0.5</f>
        <v>0.51661458333333332</v>
      </c>
      <c r="BL12" s="55">
        <f>IF(BL$11&lt;250,0,$C5*BL$11*Assumptions!$C$7/12)*0.5</f>
        <v>0.51661458333333332</v>
      </c>
      <c r="BM12" s="55">
        <f>IF(BM$11&lt;250,0,$C5*BM$11*Assumptions!$C$7/12)*0.5</f>
        <v>0.51661458333333332</v>
      </c>
      <c r="BN12" s="55">
        <f>IF(BN$11&lt;250,0,$C5*BN$11*Assumptions!$C$7/12)*0.5</f>
        <v>0.51661458333333332</v>
      </c>
      <c r="BO12" s="55">
        <f>IF(BO$11&lt;250,0,$C5*BO$11*Assumptions!$C$7/12)*0.5</f>
        <v>0.51661458333333332</v>
      </c>
      <c r="BP12" s="55">
        <f>IF(BP$11&lt;250,0,$C5*BP$11*Assumptions!$C$7/12)*0.5</f>
        <v>0.51661458333333332</v>
      </c>
      <c r="BQ12" s="55">
        <f>IF(BQ$11&lt;250,0,$C5*BQ$11*Assumptions!$C$7/12)*0.5</f>
        <v>0.51661458333333332</v>
      </c>
      <c r="BR12" s="55">
        <f>IF(BR$11&lt;250,0,$C5*BR$11*Assumptions!$C$7/12)*0.5</f>
        <v>0.51661458333333332</v>
      </c>
      <c r="BS12" s="55">
        <f>IF(BS$11&lt;250,0,$C5*BS$11*Assumptions!$C$7/12)*0.5</f>
        <v>0.51661458333333332</v>
      </c>
      <c r="BT12" s="55">
        <f>IF(BT$11&lt;250,0,$C5*BT$11*Assumptions!$C$7/12)*0.5</f>
        <v>0.51661458333333332</v>
      </c>
      <c r="BU12" s="55">
        <f>IF(BU$11&lt;250,0,$C5*BU$11*Assumptions!$C$7/12)*0.5</f>
        <v>0.51661458333333332</v>
      </c>
      <c r="BV12" s="55">
        <f>IF(BV$11&lt;250,0,$C5*BV$11*Assumptions!$C$7/12)*0.5</f>
        <v>0.51661458333333332</v>
      </c>
      <c r="BW12" s="55">
        <f>IF(BW$11&lt;250,0,$C5*BW$11*Assumptions!$C$7/12)*0.5</f>
        <v>0.51661458333333332</v>
      </c>
      <c r="BX12" s="55">
        <f>IF(BX$11&lt;250,0,$C5*BX$11*Assumptions!$C$7/12)*0.5</f>
        <v>0.51661458333333332</v>
      </c>
      <c r="BY12" s="55">
        <f>IF(BY$11&lt;250,0,$C5*BY$11*Assumptions!$C$7/12)*0.5</f>
        <v>0.51661458333333332</v>
      </c>
      <c r="BZ12" s="55">
        <f>IF(BZ$11&lt;250,0,$C5*BZ$11*Assumptions!$C$7/12)*0.5</f>
        <v>0.51661458333333332</v>
      </c>
      <c r="CA12" s="55">
        <f>IF(CA$11&lt;250,0,$C5*CA$11*Assumptions!$C$7/12)*0.5</f>
        <v>0.51661458333333332</v>
      </c>
      <c r="CB12" s="55">
        <f>IF(CB$11&lt;250,0,$C5*CB$11*Assumptions!$C$7/12)*0.5</f>
        <v>0.51661458333333332</v>
      </c>
      <c r="CC12" s="55">
        <f>IF(CC$11&lt;250,0,$C5*CC$11*Assumptions!$C$7/12)*0.5</f>
        <v>0.51661458333333332</v>
      </c>
      <c r="CD12" s="55">
        <f>IF(CD$11&lt;250,0,$C5*CD$11*Assumptions!$C$7/12)*0.5</f>
        <v>0.51661458333333332</v>
      </c>
      <c r="CE12" s="55">
        <f>IF(CE$11&lt;250,0,$C5*CE$11*Assumptions!$C$7/12)*0.5</f>
        <v>0.51661458333333332</v>
      </c>
      <c r="CF12" s="55">
        <f>IF(CF$11&lt;250,0,$C5*CF$11*Assumptions!$C$7/12)*0.5</f>
        <v>0.51661458333333332</v>
      </c>
      <c r="CG12" s="55">
        <f>IF(CG$11&lt;250,0,$C5*CG$11*Assumptions!$C$7/12)*0.5</f>
        <v>0.51661458333333332</v>
      </c>
      <c r="CH12" s="55">
        <f>IF(CH$11&lt;250,0,$C5*CH$11*Assumptions!$C$7/12)*0.5</f>
        <v>0.51661458333333332</v>
      </c>
      <c r="CI12" s="55">
        <f>IF(CI$11&lt;250,0,$C5*CI$11*Assumptions!$C$7/12)*0.5</f>
        <v>0.51661458333333332</v>
      </c>
      <c r="CJ12" s="55">
        <f>IF(CJ$11&lt;250,0,$C5*CJ$11*Assumptions!$C$7/12)*0.5</f>
        <v>0.51661458333333332</v>
      </c>
      <c r="CK12" s="55">
        <f>IF(CK$11&lt;250,0,$C5*CK$11*Assumptions!$C$7/12)*0.5</f>
        <v>0.51661458333333332</v>
      </c>
      <c r="CL12" s="55">
        <f>IF(CL$11&lt;250,0,$C5*CL$11*Assumptions!$C$7/12)*0.5</f>
        <v>0.51661458333333332</v>
      </c>
      <c r="CM12" s="55">
        <f>IF(CM$11&lt;250,0,$C5*CM$11*Assumptions!$C$7/12)*0.5</f>
        <v>0.51661458333333332</v>
      </c>
      <c r="CN12" s="55">
        <f>IF(CN$11&lt;250,0,$C5*CN$11*Assumptions!$C$7/12)*0.5</f>
        <v>0.51661458333333332</v>
      </c>
      <c r="CO12" s="55">
        <f>IF(CO$11&lt;250,0,$C5*CO$11*Assumptions!$C$7/12)*0.5</f>
        <v>0.51661458333333332</v>
      </c>
      <c r="CP12" s="55">
        <f>IF(CP$11&lt;250,0,$C5*CP$11*Assumptions!$C$7/12)*0.5</f>
        <v>0.51661458333333332</v>
      </c>
      <c r="CQ12" s="55">
        <f>IF(CQ$11&lt;250,0,$C5*CQ$11*Assumptions!$C$7/12)*0.5</f>
        <v>0.51661458333333332</v>
      </c>
      <c r="CR12" s="55">
        <f>IF(CR$11&lt;250,0,$C5*CR$11*Assumptions!$C$7/12)*0.5</f>
        <v>0.51661458333333332</v>
      </c>
      <c r="CS12" s="55">
        <f>IF(CS$11&lt;250,0,$C5*CS$11*Assumptions!$C$7/12)*0.5</f>
        <v>0.51661458333333332</v>
      </c>
      <c r="CT12" s="55">
        <f>IF(CT$11&lt;250,0,$C5*CT$11*Assumptions!$C$7/12)*0.5</f>
        <v>0.51661458333333332</v>
      </c>
      <c r="CU12" s="55">
        <f>IF(CU$11&lt;250,0,$C5*CU$11*Assumptions!$C$7/12)*0.5</f>
        <v>0.51661458333333332</v>
      </c>
      <c r="CV12" s="55">
        <f>IF(CV$11&lt;250,0,$C5*CV$11*Assumptions!$C$7/12)*0.5</f>
        <v>0.51661458333333332</v>
      </c>
      <c r="CW12" s="55">
        <f>IF(CW$11&lt;250,0,$C5*CW$11*Assumptions!$C$7/12)*0.5</f>
        <v>0.51661458333333332</v>
      </c>
      <c r="CX12" s="55">
        <f>IF(CX$11&lt;250,0,$C5*CX$11*Assumptions!$C$7/12)*0.5</f>
        <v>0.51661458333333332</v>
      </c>
      <c r="CY12" s="55">
        <f>IF(CY$11&lt;250,0,$C5*CY$11*Assumptions!$C$7/12)*0.5</f>
        <v>0.51661458333333332</v>
      </c>
      <c r="CZ12" s="55">
        <f>IF(CZ$11&lt;250,0,$C5*CZ$11*Assumptions!$C$7/12)*0.5</f>
        <v>0.51661458333333332</v>
      </c>
      <c r="DA12" s="55">
        <f>IF(DA$11&lt;250,0,$C5*DA$11*Assumptions!$C$7/12)*0.5</f>
        <v>0.51661458333333332</v>
      </c>
      <c r="DB12" s="55">
        <f>IF(DB$11&lt;250,0,$C5*DB$11*Assumptions!$C$7/12)*0.5</f>
        <v>0.51661458333333332</v>
      </c>
      <c r="DC12" s="55">
        <f>IF(DC$11&lt;250,0,$C5*DC$11*Assumptions!$C$7/12)*0.5</f>
        <v>0.51661458333333332</v>
      </c>
      <c r="DD12" s="55">
        <f>IF(DD$11&lt;250,0,$C5*DD$11*Assumptions!$C$7/12)*0.5</f>
        <v>0.51661458333333332</v>
      </c>
      <c r="DE12" s="55">
        <f>IF(DE$11&lt;250,0,$C5*DE$11*Assumptions!$C$7/12)*0.5</f>
        <v>0.51661458333333332</v>
      </c>
      <c r="DF12" s="55">
        <f>IF(DF$11&lt;250,0,$C5*DF$11*Assumptions!$C$7/12)*0.5</f>
        <v>0.51661458333333332</v>
      </c>
      <c r="DG12" s="55">
        <f>IF(DG$11&lt;250,0,$C5*DG$11*Assumptions!$C$7/12)*0.5</f>
        <v>0.51661458333333332</v>
      </c>
      <c r="DH12" s="55">
        <f>IF(DH$11&lt;250,0,$C5*DH$11*Assumptions!$C$7/12)*0.5</f>
        <v>0.51661458333333332</v>
      </c>
      <c r="DI12" s="55">
        <f>IF(DI$11&lt;250,0,$C5*DI$11*Assumptions!$C$7/12)*0.5</f>
        <v>0.51661458333333332</v>
      </c>
      <c r="DJ12" s="55">
        <f>IF(DJ$11&lt;250,0,$C5*DJ$11*Assumptions!$C$7/12)*0.5</f>
        <v>0.51661458333333332</v>
      </c>
      <c r="DK12" s="55">
        <f>IF(DK$11&lt;250,0,$C5*DK$11*Assumptions!$C$7/12)*0.5</f>
        <v>0.51661458333333332</v>
      </c>
      <c r="DL12" s="55">
        <f>IF(DL$11&lt;250,0,$C5*DL$11*Assumptions!$C$7/12)*0.5</f>
        <v>0.51661458333333332</v>
      </c>
      <c r="DM12" s="55">
        <f>IF(DM$11&lt;250,0,$C5*DM$11*Assumptions!$C$7/12)*0.5</f>
        <v>0.51661458333333332</v>
      </c>
      <c r="DN12" s="55">
        <f>IF(DN$11&lt;250,0,$C5*DN$11*Assumptions!$C$7/12)*0.5</f>
        <v>0.51661458333333332</v>
      </c>
      <c r="DO12" s="55">
        <f>IF(DO$11&lt;250,0,$C5*DO$11*Assumptions!$C$7/12)*0.5</f>
        <v>0.51661458333333332</v>
      </c>
      <c r="DP12" s="55">
        <f>IF(DP$11&lt;250,0,$C5*DP$11*Assumptions!$C$7/12)*0.5</f>
        <v>0.51661458333333332</v>
      </c>
      <c r="DQ12" s="55">
        <f>IF(DQ$11&lt;250,0,$C5*DQ$11*Assumptions!$C$7/12)*0.5</f>
        <v>0.51661458333333332</v>
      </c>
      <c r="DR12" s="55">
        <f>IF(DR$11&lt;250,0,$C5*DR$11*Assumptions!$C$7/12)*0.5</f>
        <v>0.51661458333333332</v>
      </c>
    </row>
    <row r="13" spans="2:122" x14ac:dyDescent="0.3">
      <c r="B13" s="52" t="str">
        <f>+B6</f>
        <v>Gallium</v>
      </c>
      <c r="C13" s="55">
        <f>IF(C$11&lt;250,0,$C6*C$11*Assumptions!$C$7/12)*0.5</f>
        <v>0</v>
      </c>
      <c r="D13" s="55">
        <f>IF(D$11&lt;250,0,$C6*D$11*Assumptions!$C$7/12)*0.5</f>
        <v>0</v>
      </c>
      <c r="E13" s="55">
        <f>IF(E$11&lt;250,0,$C6*E$11*Assumptions!$C$7/12)*0.5</f>
        <v>0</v>
      </c>
      <c r="F13" s="55">
        <f>IF(F$11&lt;250,0,$C6*F$11*Assumptions!$C$7/12)*0.5</f>
        <v>0</v>
      </c>
      <c r="G13" s="55">
        <f>IF(G$11&lt;250,0,$C6*G$11*Assumptions!$C$7/12)*0.5</f>
        <v>0.20312500000000003</v>
      </c>
      <c r="H13" s="55">
        <f>IF(H$11&lt;250,0,$C6*H$11*Assumptions!$C$7/12)*0.5</f>
        <v>0.20312500000000003</v>
      </c>
      <c r="I13" s="55">
        <f>IF(I$11&lt;250,0,$C6*I$11*Assumptions!$C$7/12)*0.5</f>
        <v>0.20312500000000003</v>
      </c>
      <c r="J13" s="55">
        <f>IF(J$11&lt;250,0,$C6*J$11*Assumptions!$C$7/12)*0.5</f>
        <v>0.20312500000000003</v>
      </c>
      <c r="K13" s="55">
        <f>IF(K$11&lt;250,0,$C6*K$11*Assumptions!$C$7/12)*0.5</f>
        <v>0.20312500000000003</v>
      </c>
      <c r="L13" s="55">
        <f>IF(L$11&lt;250,0,$C6*L$11*Assumptions!$C$7/12)*0.5</f>
        <v>0.20312500000000003</v>
      </c>
      <c r="M13" s="55">
        <f>IF(M$11&lt;250,0,$C6*M$11*Assumptions!$C$7/12)*0.5</f>
        <v>0.40625000000000006</v>
      </c>
      <c r="N13" s="55">
        <f>IF(N$11&lt;250,0,$C6*N$11*Assumptions!$C$7/12)*0.5</f>
        <v>0.40625000000000006</v>
      </c>
      <c r="O13" s="55">
        <f>IF(O$11&lt;250,0,$C6*O$11*Assumptions!$C$7/12)*0.5</f>
        <v>0.40625000000000006</v>
      </c>
      <c r="P13" s="55">
        <f>IF(P$11&lt;250,0,$C6*P$11*Assumptions!$C$7/12)*0.5</f>
        <v>0.40625000000000006</v>
      </c>
      <c r="Q13" s="55">
        <f>IF(Q$11&lt;250,0,$C6*Q$11*Assumptions!$C$7/12)*0.5</f>
        <v>0.40625000000000006</v>
      </c>
      <c r="R13" s="55">
        <f>IF(R$11&lt;250,0,$C6*R$11*Assumptions!$C$7/12)*0.5</f>
        <v>0.40625000000000006</v>
      </c>
      <c r="S13" s="55">
        <f>IF(S$11&lt;250,0,$C6*S$11*Assumptions!$C$7/12)*0.5</f>
        <v>0.40625000000000006</v>
      </c>
      <c r="T13" s="55">
        <f>IF(T$11&lt;250,0,$C6*T$11*Assumptions!$C$7/12)*0.5</f>
        <v>0.40625000000000006</v>
      </c>
      <c r="U13" s="55">
        <f>IF(U$11&lt;250,0,$C6*U$11*Assumptions!$C$7/12)*0.5</f>
        <v>0.40625000000000006</v>
      </c>
      <c r="V13" s="55">
        <f>IF(V$11&lt;250,0,$C6*V$11*Assumptions!$C$7/12)*0.5</f>
        <v>0.40625000000000006</v>
      </c>
      <c r="W13" s="55">
        <f>IF(W$11&lt;250,0,$C6*W$11*Assumptions!$C$7/12)*0.5</f>
        <v>0.40625000000000006</v>
      </c>
      <c r="X13" s="55">
        <f>IF(X$11&lt;250,0,$C6*X$11*Assumptions!$C$7/12)*0.5</f>
        <v>0.40625000000000006</v>
      </c>
      <c r="Y13" s="55">
        <f>IF(Y$11&lt;250,0,$C6*Y$11*Assumptions!$C$7/12)*0.5</f>
        <v>0.40625000000000006</v>
      </c>
      <c r="Z13" s="55">
        <f>IF(Z$11&lt;250,0,$C6*Z$11*Assumptions!$C$7/12)*0.5</f>
        <v>0.40625000000000006</v>
      </c>
      <c r="AA13" s="55">
        <f>IF(AA$11&lt;250,0,$C6*AA$11*Assumptions!$C$7/12)*0.5</f>
        <v>0.40625000000000006</v>
      </c>
      <c r="AB13" s="55">
        <f>IF(AB$11&lt;250,0,$C6*AB$11*Assumptions!$C$7/12)*0.5</f>
        <v>0.40625000000000006</v>
      </c>
      <c r="AC13" s="55">
        <f>IF(AC$11&lt;250,0,$C6*AC$11*Assumptions!$C$7/12)*0.5</f>
        <v>0.40625000000000006</v>
      </c>
      <c r="AD13" s="55">
        <f>IF(AD$11&lt;250,0,$C6*AD$11*Assumptions!$C$7/12)*0.5</f>
        <v>0.40625000000000006</v>
      </c>
      <c r="AE13" s="55">
        <f>IF(AE$11&lt;250,0,$C6*AE$11*Assumptions!$C$7/12)*0.5</f>
        <v>0.40625000000000006</v>
      </c>
      <c r="AF13" s="55">
        <f>IF(AF$11&lt;250,0,$C6*AF$11*Assumptions!$C$7/12)*0.5</f>
        <v>0.40625000000000006</v>
      </c>
      <c r="AG13" s="55">
        <f>IF(AG$11&lt;250,0,$C6*AG$11*Assumptions!$C$7/12)*0.5</f>
        <v>0.40625000000000006</v>
      </c>
      <c r="AH13" s="55">
        <f>IF(AH$11&lt;250,0,$C6*AH$11*Assumptions!$C$7/12)*0.5</f>
        <v>0.40625000000000006</v>
      </c>
      <c r="AI13" s="55">
        <f>IF(AI$11&lt;250,0,$C6*AI$11*Assumptions!$C$7/12)*0.5</f>
        <v>0.40625000000000006</v>
      </c>
      <c r="AJ13" s="55">
        <f>IF(AJ$11&lt;250,0,$C6*AJ$11*Assumptions!$C$7/12)*0.5</f>
        <v>0.40625000000000006</v>
      </c>
      <c r="AK13" s="55">
        <f>IF(AK$11&lt;250,0,$C6*AK$11*Assumptions!$C$7/12)*0.5</f>
        <v>0.40625000000000006</v>
      </c>
      <c r="AL13" s="55">
        <f>IF(AL$11&lt;250,0,$C6*AL$11*Assumptions!$C$7/12)*0.5</f>
        <v>0.40625000000000006</v>
      </c>
      <c r="AM13" s="55">
        <f>IF(AM$11&lt;250,0,$C6*AM$11*Assumptions!$C$7/12)*0.5</f>
        <v>0.40625000000000006</v>
      </c>
      <c r="AN13" s="55">
        <f>IF(AN$11&lt;250,0,$C6*AN$11*Assumptions!$C$7/12)*0.5</f>
        <v>0.40625000000000006</v>
      </c>
      <c r="AO13" s="55">
        <f>IF(AO$11&lt;250,0,$C6*AO$11*Assumptions!$C$7/12)*0.5</f>
        <v>0.40625000000000006</v>
      </c>
      <c r="AP13" s="55">
        <f>IF(AP$11&lt;250,0,$C6*AP$11*Assumptions!$C$7/12)*0.5</f>
        <v>0.40625000000000006</v>
      </c>
      <c r="AQ13" s="55">
        <f>IF(AQ$11&lt;250,0,$C6*AQ$11*Assumptions!$C$7/12)*0.5</f>
        <v>0.40625000000000006</v>
      </c>
      <c r="AR13" s="55">
        <f>IF(AR$11&lt;250,0,$C6*AR$11*Assumptions!$C$7/12)*0.5</f>
        <v>0.40625000000000006</v>
      </c>
      <c r="AS13" s="55">
        <f>IF(AS$11&lt;250,0,$C6*AS$11*Assumptions!$C$7/12)*0.5</f>
        <v>0.40625000000000006</v>
      </c>
      <c r="AT13" s="55">
        <f>IF(AT$11&lt;250,0,$C6*AT$11*Assumptions!$C$7/12)*0.5</f>
        <v>0.40625000000000006</v>
      </c>
      <c r="AU13" s="55">
        <f>IF(AU$11&lt;250,0,$C6*AU$11*Assumptions!$C$7/12)*0.5</f>
        <v>0.40625000000000006</v>
      </c>
      <c r="AV13" s="55">
        <f>IF(AV$11&lt;250,0,$C6*AV$11*Assumptions!$C$7/12)*0.5</f>
        <v>0.40625000000000006</v>
      </c>
      <c r="AW13" s="55">
        <f>IF(AW$11&lt;250,0,$C6*AW$11*Assumptions!$C$7/12)*0.5</f>
        <v>0.40625000000000006</v>
      </c>
      <c r="AX13" s="55">
        <f>IF(AX$11&lt;250,0,$C6*AX$11*Assumptions!$C$7/12)*0.5</f>
        <v>0.40625000000000006</v>
      </c>
      <c r="AY13" s="55">
        <f>IF(AY$11&lt;250,0,$C6*AY$11*Assumptions!$C$7/12)*0.5</f>
        <v>0.40625000000000006</v>
      </c>
      <c r="AZ13" s="55">
        <f>IF(AZ$11&lt;250,0,$C6*AZ$11*Assumptions!$C$7/12)*0.5</f>
        <v>0.40625000000000006</v>
      </c>
      <c r="BA13" s="55">
        <f>IF(BA$11&lt;250,0,$C6*BA$11*Assumptions!$C$7/12)*0.5</f>
        <v>0.40625000000000006</v>
      </c>
      <c r="BB13" s="55">
        <f>IF(BB$11&lt;250,0,$C6*BB$11*Assumptions!$C$7/12)*0.5</f>
        <v>0.40625000000000006</v>
      </c>
      <c r="BC13" s="55">
        <f>IF(BC$11&lt;250,0,$C6*BC$11*Assumptions!$C$7/12)*0.5</f>
        <v>0.40625000000000006</v>
      </c>
      <c r="BD13" s="55">
        <f>IF(BD$11&lt;250,0,$C6*BD$11*Assumptions!$C$7/12)*0.5</f>
        <v>0.40625000000000006</v>
      </c>
      <c r="BE13" s="55">
        <f>IF(BE$11&lt;250,0,$C6*BE$11*Assumptions!$C$7/12)*0.5</f>
        <v>0.40625000000000006</v>
      </c>
      <c r="BF13" s="55">
        <f>IF(BF$11&lt;250,0,$C6*BF$11*Assumptions!$C$7/12)*0.5</f>
        <v>0.40625000000000006</v>
      </c>
      <c r="BG13" s="55">
        <f>IF(BG$11&lt;250,0,$C6*BG$11*Assumptions!$C$7/12)*0.5</f>
        <v>0.40625000000000006</v>
      </c>
      <c r="BH13" s="55">
        <f>IF(BH$11&lt;250,0,$C6*BH$11*Assumptions!$C$7/12)*0.5</f>
        <v>0.40625000000000006</v>
      </c>
      <c r="BI13" s="55">
        <f>IF(BI$11&lt;250,0,$C6*BI$11*Assumptions!$C$7/12)*0.5</f>
        <v>0.40625000000000006</v>
      </c>
      <c r="BJ13" s="55">
        <f>IF(BJ$11&lt;250,0,$C6*BJ$11*Assumptions!$C$7/12)*0.5</f>
        <v>0.40625000000000006</v>
      </c>
      <c r="BK13" s="55">
        <f>IF(BK$11&lt;250,0,$C6*BK$11*Assumptions!$C$7/12)*0.5</f>
        <v>0.40625000000000006</v>
      </c>
      <c r="BL13" s="55">
        <f>IF(BL$11&lt;250,0,$C6*BL$11*Assumptions!$C$7/12)*0.5</f>
        <v>0.40625000000000006</v>
      </c>
      <c r="BM13" s="55">
        <f>IF(BM$11&lt;250,0,$C6*BM$11*Assumptions!$C$7/12)*0.5</f>
        <v>0.40625000000000006</v>
      </c>
      <c r="BN13" s="55">
        <f>IF(BN$11&lt;250,0,$C6*BN$11*Assumptions!$C$7/12)*0.5</f>
        <v>0.40625000000000006</v>
      </c>
      <c r="BO13" s="55">
        <f>IF(BO$11&lt;250,0,$C6*BO$11*Assumptions!$C$7/12)*0.5</f>
        <v>0.40625000000000006</v>
      </c>
      <c r="BP13" s="55">
        <f>IF(BP$11&lt;250,0,$C6*BP$11*Assumptions!$C$7/12)*0.5</f>
        <v>0.40625000000000006</v>
      </c>
      <c r="BQ13" s="55">
        <f>IF(BQ$11&lt;250,0,$C6*BQ$11*Assumptions!$C$7/12)*0.5</f>
        <v>0.40625000000000006</v>
      </c>
      <c r="BR13" s="55">
        <f>IF(BR$11&lt;250,0,$C6*BR$11*Assumptions!$C$7/12)*0.5</f>
        <v>0.40625000000000006</v>
      </c>
      <c r="BS13" s="55">
        <f>IF(BS$11&lt;250,0,$C6*BS$11*Assumptions!$C$7/12)*0.5</f>
        <v>0.40625000000000006</v>
      </c>
      <c r="BT13" s="55">
        <f>IF(BT$11&lt;250,0,$C6*BT$11*Assumptions!$C$7/12)*0.5</f>
        <v>0.40625000000000006</v>
      </c>
      <c r="BU13" s="55">
        <f>IF(BU$11&lt;250,0,$C6*BU$11*Assumptions!$C$7/12)*0.5</f>
        <v>0.40625000000000006</v>
      </c>
      <c r="BV13" s="55">
        <f>IF(BV$11&lt;250,0,$C6*BV$11*Assumptions!$C$7/12)*0.5</f>
        <v>0.40625000000000006</v>
      </c>
      <c r="BW13" s="55">
        <f>IF(BW$11&lt;250,0,$C6*BW$11*Assumptions!$C$7/12)*0.5</f>
        <v>0.40625000000000006</v>
      </c>
      <c r="BX13" s="55">
        <f>IF(BX$11&lt;250,0,$C6*BX$11*Assumptions!$C$7/12)*0.5</f>
        <v>0.40625000000000006</v>
      </c>
      <c r="BY13" s="55">
        <f>IF(BY$11&lt;250,0,$C6*BY$11*Assumptions!$C$7/12)*0.5</f>
        <v>0.40625000000000006</v>
      </c>
      <c r="BZ13" s="55">
        <f>IF(BZ$11&lt;250,0,$C6*BZ$11*Assumptions!$C$7/12)*0.5</f>
        <v>0.40625000000000006</v>
      </c>
      <c r="CA13" s="55">
        <f>IF(CA$11&lt;250,0,$C6*CA$11*Assumptions!$C$7/12)*0.5</f>
        <v>0.40625000000000006</v>
      </c>
      <c r="CB13" s="55">
        <f>IF(CB$11&lt;250,0,$C6*CB$11*Assumptions!$C$7/12)*0.5</f>
        <v>0.40625000000000006</v>
      </c>
      <c r="CC13" s="55">
        <f>IF(CC$11&lt;250,0,$C6*CC$11*Assumptions!$C$7/12)*0.5</f>
        <v>0.40625000000000006</v>
      </c>
      <c r="CD13" s="55">
        <f>IF(CD$11&lt;250,0,$C6*CD$11*Assumptions!$C$7/12)*0.5</f>
        <v>0.40625000000000006</v>
      </c>
      <c r="CE13" s="55">
        <f>IF(CE$11&lt;250,0,$C6*CE$11*Assumptions!$C$7/12)*0.5</f>
        <v>0.40625000000000006</v>
      </c>
      <c r="CF13" s="55">
        <f>IF(CF$11&lt;250,0,$C6*CF$11*Assumptions!$C$7/12)*0.5</f>
        <v>0.40625000000000006</v>
      </c>
      <c r="CG13" s="55">
        <f>IF(CG$11&lt;250,0,$C6*CG$11*Assumptions!$C$7/12)*0.5</f>
        <v>0.40625000000000006</v>
      </c>
      <c r="CH13" s="55">
        <f>IF(CH$11&lt;250,0,$C6*CH$11*Assumptions!$C$7/12)*0.5</f>
        <v>0.40625000000000006</v>
      </c>
      <c r="CI13" s="55">
        <f>IF(CI$11&lt;250,0,$C6*CI$11*Assumptions!$C$7/12)*0.5</f>
        <v>0.40625000000000006</v>
      </c>
      <c r="CJ13" s="55">
        <f>IF(CJ$11&lt;250,0,$C6*CJ$11*Assumptions!$C$7/12)*0.5</f>
        <v>0.40625000000000006</v>
      </c>
      <c r="CK13" s="55">
        <f>IF(CK$11&lt;250,0,$C6*CK$11*Assumptions!$C$7/12)*0.5</f>
        <v>0.40625000000000006</v>
      </c>
      <c r="CL13" s="55">
        <f>IF(CL$11&lt;250,0,$C6*CL$11*Assumptions!$C$7/12)*0.5</f>
        <v>0.40625000000000006</v>
      </c>
      <c r="CM13" s="55">
        <f>IF(CM$11&lt;250,0,$C6*CM$11*Assumptions!$C$7/12)*0.5</f>
        <v>0.40625000000000006</v>
      </c>
      <c r="CN13" s="55">
        <f>IF(CN$11&lt;250,0,$C6*CN$11*Assumptions!$C$7/12)*0.5</f>
        <v>0.40625000000000006</v>
      </c>
      <c r="CO13" s="55">
        <f>IF(CO$11&lt;250,0,$C6*CO$11*Assumptions!$C$7/12)*0.5</f>
        <v>0.40625000000000006</v>
      </c>
      <c r="CP13" s="55">
        <f>IF(CP$11&lt;250,0,$C6*CP$11*Assumptions!$C$7/12)*0.5</f>
        <v>0.40625000000000006</v>
      </c>
      <c r="CQ13" s="55">
        <f>IF(CQ$11&lt;250,0,$C6*CQ$11*Assumptions!$C$7/12)*0.5</f>
        <v>0.40625000000000006</v>
      </c>
      <c r="CR13" s="55">
        <f>IF(CR$11&lt;250,0,$C6*CR$11*Assumptions!$C$7/12)*0.5</f>
        <v>0.40625000000000006</v>
      </c>
      <c r="CS13" s="55">
        <f>IF(CS$11&lt;250,0,$C6*CS$11*Assumptions!$C$7/12)*0.5</f>
        <v>0.40625000000000006</v>
      </c>
      <c r="CT13" s="55">
        <f>IF(CT$11&lt;250,0,$C6*CT$11*Assumptions!$C$7/12)*0.5</f>
        <v>0.40625000000000006</v>
      </c>
      <c r="CU13" s="55">
        <f>IF(CU$11&lt;250,0,$C6*CU$11*Assumptions!$C$7/12)*0.5</f>
        <v>0.40625000000000006</v>
      </c>
      <c r="CV13" s="55">
        <f>IF(CV$11&lt;250,0,$C6*CV$11*Assumptions!$C$7/12)*0.5</f>
        <v>0.40625000000000006</v>
      </c>
      <c r="CW13" s="55">
        <f>IF(CW$11&lt;250,0,$C6*CW$11*Assumptions!$C$7/12)*0.5</f>
        <v>0.40625000000000006</v>
      </c>
      <c r="CX13" s="55">
        <f>IF(CX$11&lt;250,0,$C6*CX$11*Assumptions!$C$7/12)*0.5</f>
        <v>0.40625000000000006</v>
      </c>
      <c r="CY13" s="55">
        <f>IF(CY$11&lt;250,0,$C6*CY$11*Assumptions!$C$7/12)*0.5</f>
        <v>0.40625000000000006</v>
      </c>
      <c r="CZ13" s="55">
        <f>IF(CZ$11&lt;250,0,$C6*CZ$11*Assumptions!$C$7/12)*0.5</f>
        <v>0.40625000000000006</v>
      </c>
      <c r="DA13" s="55">
        <f>IF(DA$11&lt;250,0,$C6*DA$11*Assumptions!$C$7/12)*0.5</f>
        <v>0.40625000000000006</v>
      </c>
      <c r="DB13" s="55">
        <f>IF(DB$11&lt;250,0,$C6*DB$11*Assumptions!$C$7/12)*0.5</f>
        <v>0.40625000000000006</v>
      </c>
      <c r="DC13" s="55">
        <f>IF(DC$11&lt;250,0,$C6*DC$11*Assumptions!$C$7/12)*0.5</f>
        <v>0.40625000000000006</v>
      </c>
      <c r="DD13" s="55">
        <f>IF(DD$11&lt;250,0,$C6*DD$11*Assumptions!$C$7/12)*0.5</f>
        <v>0.40625000000000006</v>
      </c>
      <c r="DE13" s="55">
        <f>IF(DE$11&lt;250,0,$C6*DE$11*Assumptions!$C$7/12)*0.5</f>
        <v>0.40625000000000006</v>
      </c>
      <c r="DF13" s="55">
        <f>IF(DF$11&lt;250,0,$C6*DF$11*Assumptions!$C$7/12)*0.5</f>
        <v>0.40625000000000006</v>
      </c>
      <c r="DG13" s="55">
        <f>IF(DG$11&lt;250,0,$C6*DG$11*Assumptions!$C$7/12)*0.5</f>
        <v>0.40625000000000006</v>
      </c>
      <c r="DH13" s="55">
        <f>IF(DH$11&lt;250,0,$C6*DH$11*Assumptions!$C$7/12)*0.5</f>
        <v>0.40625000000000006</v>
      </c>
      <c r="DI13" s="55">
        <f>IF(DI$11&lt;250,0,$C6*DI$11*Assumptions!$C$7/12)*0.5</f>
        <v>0.40625000000000006</v>
      </c>
      <c r="DJ13" s="55">
        <f>IF(DJ$11&lt;250,0,$C6*DJ$11*Assumptions!$C$7/12)*0.5</f>
        <v>0.40625000000000006</v>
      </c>
      <c r="DK13" s="55">
        <f>IF(DK$11&lt;250,0,$C6*DK$11*Assumptions!$C$7/12)*0.5</f>
        <v>0.40625000000000006</v>
      </c>
      <c r="DL13" s="55">
        <f>IF(DL$11&lt;250,0,$C6*DL$11*Assumptions!$C$7/12)*0.5</f>
        <v>0.40625000000000006</v>
      </c>
      <c r="DM13" s="55">
        <f>IF(DM$11&lt;250,0,$C6*DM$11*Assumptions!$C$7/12)*0.5</f>
        <v>0.40625000000000006</v>
      </c>
      <c r="DN13" s="55">
        <f>IF(DN$11&lt;250,0,$C6*DN$11*Assumptions!$C$7/12)*0.5</f>
        <v>0.40625000000000006</v>
      </c>
      <c r="DO13" s="55">
        <f>IF(DO$11&lt;250,0,$C6*DO$11*Assumptions!$C$7/12)*0.5</f>
        <v>0.40625000000000006</v>
      </c>
      <c r="DP13" s="55">
        <f>IF(DP$11&lt;250,0,$C6*DP$11*Assumptions!$C$7/12)*0.5</f>
        <v>0.40625000000000006</v>
      </c>
      <c r="DQ13" s="55">
        <f>IF(DQ$11&lt;250,0,$C6*DQ$11*Assumptions!$C$7/12)*0.5</f>
        <v>0.40625000000000006</v>
      </c>
      <c r="DR13" s="55">
        <f>IF(DR$11&lt;250,0,$C6*DR$11*Assumptions!$C$7/12)*0.5</f>
        <v>0.40625000000000006</v>
      </c>
    </row>
    <row r="14" spans="2:122" x14ac:dyDescent="0.3">
      <c r="B14" s="52" t="str">
        <f>+B7</f>
        <v>Indium</v>
      </c>
      <c r="C14" s="55">
        <f>IF(C$11&lt;250,0,$C7*C$11*Assumptions!$C$7/12)*0.5</f>
        <v>0</v>
      </c>
      <c r="D14" s="55">
        <f>IF(D$11&lt;250,0,$C7*D$11*Assumptions!$C$7/12)*0.5</f>
        <v>0</v>
      </c>
      <c r="E14" s="55">
        <f>IF(E$11&lt;250,0,$C7*E$11*Assumptions!$C$7/12)*0.5</f>
        <v>0</v>
      </c>
      <c r="F14" s="55">
        <f>IF(F$11&lt;250,0,$C7*F$11*Assumptions!$C$7/12)*0.5</f>
        <v>0</v>
      </c>
      <c r="G14" s="55">
        <f>IF(G$11&lt;250,0,$C7*G$11*Assumptions!$C$7/12)*0.5</f>
        <v>0.93979166666666647</v>
      </c>
      <c r="H14" s="55">
        <f>IF(H$11&lt;250,0,$C7*H$11*Assumptions!$C$7/12)*0.5</f>
        <v>0.93979166666666647</v>
      </c>
      <c r="I14" s="55">
        <f>IF(I$11&lt;250,0,$C7*I$11*Assumptions!$C$7/12)*0.5</f>
        <v>0.93979166666666647</v>
      </c>
      <c r="J14" s="55">
        <f>IF(J$11&lt;250,0,$C7*J$11*Assumptions!$C$7/12)*0.5</f>
        <v>0.93979166666666647</v>
      </c>
      <c r="K14" s="55">
        <f>IF(K$11&lt;250,0,$C7*K$11*Assumptions!$C$7/12)*0.5</f>
        <v>0.93979166666666647</v>
      </c>
      <c r="L14" s="55">
        <f>IF(L$11&lt;250,0,$C7*L$11*Assumptions!$C$7/12)*0.5</f>
        <v>0.93979166666666647</v>
      </c>
      <c r="M14" s="55">
        <f>IF(M$11&lt;250,0,$C7*M$11*Assumptions!$C$7/12)*0.5</f>
        <v>1.8795833333333329</v>
      </c>
      <c r="N14" s="55">
        <f>IF(N$11&lt;250,0,$C7*N$11*Assumptions!$C$7/12)*0.5</f>
        <v>1.8795833333333329</v>
      </c>
      <c r="O14" s="55">
        <f>IF(O$11&lt;250,0,$C7*O$11*Assumptions!$C$7/12)*0.5</f>
        <v>1.8795833333333329</v>
      </c>
      <c r="P14" s="55">
        <f>IF(P$11&lt;250,0,$C7*P$11*Assumptions!$C$7/12)*0.5</f>
        <v>1.8795833333333329</v>
      </c>
      <c r="Q14" s="55">
        <f>IF(Q$11&lt;250,0,$C7*Q$11*Assumptions!$C$7/12)*0.5</f>
        <v>1.8795833333333329</v>
      </c>
      <c r="R14" s="55">
        <f>IF(R$11&lt;250,0,$C7*R$11*Assumptions!$C$7/12)*0.5</f>
        <v>1.8795833333333329</v>
      </c>
      <c r="S14" s="55">
        <f>IF(S$11&lt;250,0,$C7*S$11*Assumptions!$C$7/12)*0.5</f>
        <v>1.8795833333333329</v>
      </c>
      <c r="T14" s="55">
        <f>IF(T$11&lt;250,0,$C7*T$11*Assumptions!$C$7/12)*0.5</f>
        <v>1.8795833333333329</v>
      </c>
      <c r="U14" s="55">
        <f>IF(U$11&lt;250,0,$C7*U$11*Assumptions!$C$7/12)*0.5</f>
        <v>1.8795833333333329</v>
      </c>
      <c r="V14" s="55">
        <f>IF(V$11&lt;250,0,$C7*V$11*Assumptions!$C$7/12)*0.5</f>
        <v>1.8795833333333329</v>
      </c>
      <c r="W14" s="55">
        <f>IF(W$11&lt;250,0,$C7*W$11*Assumptions!$C$7/12)*0.5</f>
        <v>1.8795833333333329</v>
      </c>
      <c r="X14" s="55">
        <f>IF(X$11&lt;250,0,$C7*X$11*Assumptions!$C$7/12)*0.5</f>
        <v>1.8795833333333329</v>
      </c>
      <c r="Y14" s="55">
        <f>IF(Y$11&lt;250,0,$C7*Y$11*Assumptions!$C$7/12)*0.5</f>
        <v>1.8795833333333329</v>
      </c>
      <c r="Z14" s="55">
        <f>IF(Z$11&lt;250,0,$C7*Z$11*Assumptions!$C$7/12)*0.5</f>
        <v>1.8795833333333329</v>
      </c>
      <c r="AA14" s="55">
        <f>IF(AA$11&lt;250,0,$C7*AA$11*Assumptions!$C$7/12)*0.5</f>
        <v>1.8795833333333329</v>
      </c>
      <c r="AB14" s="55">
        <f>IF(AB$11&lt;250,0,$C7*AB$11*Assumptions!$C$7/12)*0.5</f>
        <v>1.8795833333333329</v>
      </c>
      <c r="AC14" s="55">
        <f>IF(AC$11&lt;250,0,$C7*AC$11*Assumptions!$C$7/12)*0.5</f>
        <v>1.8795833333333329</v>
      </c>
      <c r="AD14" s="55">
        <f>IF(AD$11&lt;250,0,$C7*AD$11*Assumptions!$C$7/12)*0.5</f>
        <v>1.8795833333333329</v>
      </c>
      <c r="AE14" s="55">
        <f>IF(AE$11&lt;250,0,$C7*AE$11*Assumptions!$C$7/12)*0.5</f>
        <v>1.8795833333333329</v>
      </c>
      <c r="AF14" s="55">
        <f>IF(AF$11&lt;250,0,$C7*AF$11*Assumptions!$C$7/12)*0.5</f>
        <v>1.8795833333333329</v>
      </c>
      <c r="AG14" s="55">
        <f>IF(AG$11&lt;250,0,$C7*AG$11*Assumptions!$C$7/12)*0.5</f>
        <v>1.8795833333333329</v>
      </c>
      <c r="AH14" s="55">
        <f>IF(AH$11&lt;250,0,$C7*AH$11*Assumptions!$C$7/12)*0.5</f>
        <v>1.8795833333333329</v>
      </c>
      <c r="AI14" s="55">
        <f>IF(AI$11&lt;250,0,$C7*AI$11*Assumptions!$C$7/12)*0.5</f>
        <v>1.8795833333333329</v>
      </c>
      <c r="AJ14" s="55">
        <f>IF(AJ$11&lt;250,0,$C7*AJ$11*Assumptions!$C$7/12)*0.5</f>
        <v>1.8795833333333329</v>
      </c>
      <c r="AK14" s="55">
        <f>IF(AK$11&lt;250,0,$C7*AK$11*Assumptions!$C$7/12)*0.5</f>
        <v>1.8795833333333329</v>
      </c>
      <c r="AL14" s="55">
        <f>IF(AL$11&lt;250,0,$C7*AL$11*Assumptions!$C$7/12)*0.5</f>
        <v>1.8795833333333329</v>
      </c>
      <c r="AM14" s="55">
        <f>IF(AM$11&lt;250,0,$C7*AM$11*Assumptions!$C$7/12)*0.5</f>
        <v>1.8795833333333329</v>
      </c>
      <c r="AN14" s="55">
        <f>IF(AN$11&lt;250,0,$C7*AN$11*Assumptions!$C$7/12)*0.5</f>
        <v>1.8795833333333329</v>
      </c>
      <c r="AO14" s="55">
        <f>IF(AO$11&lt;250,0,$C7*AO$11*Assumptions!$C$7/12)*0.5</f>
        <v>1.8795833333333329</v>
      </c>
      <c r="AP14" s="55">
        <f>IF(AP$11&lt;250,0,$C7*AP$11*Assumptions!$C$7/12)*0.5</f>
        <v>1.8795833333333329</v>
      </c>
      <c r="AQ14" s="55">
        <f>IF(AQ$11&lt;250,0,$C7*AQ$11*Assumptions!$C$7/12)*0.5</f>
        <v>1.8795833333333329</v>
      </c>
      <c r="AR14" s="55">
        <f>IF(AR$11&lt;250,0,$C7*AR$11*Assumptions!$C$7/12)*0.5</f>
        <v>1.8795833333333329</v>
      </c>
      <c r="AS14" s="55">
        <f>IF(AS$11&lt;250,0,$C7*AS$11*Assumptions!$C$7/12)*0.5</f>
        <v>1.8795833333333329</v>
      </c>
      <c r="AT14" s="55">
        <f>IF(AT$11&lt;250,0,$C7*AT$11*Assumptions!$C$7/12)*0.5</f>
        <v>1.8795833333333329</v>
      </c>
      <c r="AU14" s="55">
        <f>IF(AU$11&lt;250,0,$C7*AU$11*Assumptions!$C$7/12)*0.5</f>
        <v>1.8795833333333329</v>
      </c>
      <c r="AV14" s="55">
        <f>IF(AV$11&lt;250,0,$C7*AV$11*Assumptions!$C$7/12)*0.5</f>
        <v>1.8795833333333329</v>
      </c>
      <c r="AW14" s="55">
        <f>IF(AW$11&lt;250,0,$C7*AW$11*Assumptions!$C$7/12)*0.5</f>
        <v>1.8795833333333329</v>
      </c>
      <c r="AX14" s="55">
        <f>IF(AX$11&lt;250,0,$C7*AX$11*Assumptions!$C$7/12)*0.5</f>
        <v>1.8795833333333329</v>
      </c>
      <c r="AY14" s="55">
        <f>IF(AY$11&lt;250,0,$C7*AY$11*Assumptions!$C$7/12)*0.5</f>
        <v>1.8795833333333329</v>
      </c>
      <c r="AZ14" s="55">
        <f>IF(AZ$11&lt;250,0,$C7*AZ$11*Assumptions!$C$7/12)*0.5</f>
        <v>1.8795833333333329</v>
      </c>
      <c r="BA14" s="55">
        <f>IF(BA$11&lt;250,0,$C7*BA$11*Assumptions!$C$7/12)*0.5</f>
        <v>1.8795833333333329</v>
      </c>
      <c r="BB14" s="55">
        <f>IF(BB$11&lt;250,0,$C7*BB$11*Assumptions!$C$7/12)*0.5</f>
        <v>1.8795833333333329</v>
      </c>
      <c r="BC14" s="55">
        <f>IF(BC$11&lt;250,0,$C7*BC$11*Assumptions!$C$7/12)*0.5</f>
        <v>1.8795833333333329</v>
      </c>
      <c r="BD14" s="55">
        <f>IF(BD$11&lt;250,0,$C7*BD$11*Assumptions!$C$7/12)*0.5</f>
        <v>1.8795833333333329</v>
      </c>
      <c r="BE14" s="55">
        <f>IF(BE$11&lt;250,0,$C7*BE$11*Assumptions!$C$7/12)*0.5</f>
        <v>1.8795833333333329</v>
      </c>
      <c r="BF14" s="55">
        <f>IF(BF$11&lt;250,0,$C7*BF$11*Assumptions!$C$7/12)*0.5</f>
        <v>1.8795833333333329</v>
      </c>
      <c r="BG14" s="55">
        <f>IF(BG$11&lt;250,0,$C7*BG$11*Assumptions!$C$7/12)*0.5</f>
        <v>1.8795833333333329</v>
      </c>
      <c r="BH14" s="55">
        <f>IF(BH$11&lt;250,0,$C7*BH$11*Assumptions!$C$7/12)*0.5</f>
        <v>1.8795833333333329</v>
      </c>
      <c r="BI14" s="55">
        <f>IF(BI$11&lt;250,0,$C7*BI$11*Assumptions!$C$7/12)*0.5</f>
        <v>1.8795833333333329</v>
      </c>
      <c r="BJ14" s="55">
        <f>IF(BJ$11&lt;250,0,$C7*BJ$11*Assumptions!$C$7/12)*0.5</f>
        <v>1.8795833333333329</v>
      </c>
      <c r="BK14" s="55">
        <f>IF(BK$11&lt;250,0,$C7*BK$11*Assumptions!$C$7/12)*0.5</f>
        <v>1.8795833333333329</v>
      </c>
      <c r="BL14" s="55">
        <f>IF(BL$11&lt;250,0,$C7*BL$11*Assumptions!$C$7/12)*0.5</f>
        <v>1.8795833333333329</v>
      </c>
      <c r="BM14" s="55">
        <f>IF(BM$11&lt;250,0,$C7*BM$11*Assumptions!$C$7/12)*0.5</f>
        <v>1.8795833333333329</v>
      </c>
      <c r="BN14" s="55">
        <f>IF(BN$11&lt;250,0,$C7*BN$11*Assumptions!$C$7/12)*0.5</f>
        <v>1.8795833333333329</v>
      </c>
      <c r="BO14" s="55">
        <f>IF(BO$11&lt;250,0,$C7*BO$11*Assumptions!$C$7/12)*0.5</f>
        <v>1.8795833333333329</v>
      </c>
      <c r="BP14" s="55">
        <f>IF(BP$11&lt;250,0,$C7*BP$11*Assumptions!$C$7/12)*0.5</f>
        <v>1.8795833333333329</v>
      </c>
      <c r="BQ14" s="55">
        <f>IF(BQ$11&lt;250,0,$C7*BQ$11*Assumptions!$C$7/12)*0.5</f>
        <v>1.8795833333333329</v>
      </c>
      <c r="BR14" s="55">
        <f>IF(BR$11&lt;250,0,$C7*BR$11*Assumptions!$C$7/12)*0.5</f>
        <v>1.8795833333333329</v>
      </c>
      <c r="BS14" s="55">
        <f>IF(BS$11&lt;250,0,$C7*BS$11*Assumptions!$C$7/12)*0.5</f>
        <v>1.8795833333333329</v>
      </c>
      <c r="BT14" s="55">
        <f>IF(BT$11&lt;250,0,$C7*BT$11*Assumptions!$C$7/12)*0.5</f>
        <v>1.8795833333333329</v>
      </c>
      <c r="BU14" s="55">
        <f>IF(BU$11&lt;250,0,$C7*BU$11*Assumptions!$C$7/12)*0.5</f>
        <v>1.8795833333333329</v>
      </c>
      <c r="BV14" s="55">
        <f>IF(BV$11&lt;250,0,$C7*BV$11*Assumptions!$C$7/12)*0.5</f>
        <v>1.8795833333333329</v>
      </c>
      <c r="BW14" s="55">
        <f>IF(BW$11&lt;250,0,$C7*BW$11*Assumptions!$C$7/12)*0.5</f>
        <v>1.8795833333333329</v>
      </c>
      <c r="BX14" s="55">
        <f>IF(BX$11&lt;250,0,$C7*BX$11*Assumptions!$C$7/12)*0.5</f>
        <v>1.8795833333333329</v>
      </c>
      <c r="BY14" s="55">
        <f>IF(BY$11&lt;250,0,$C7*BY$11*Assumptions!$C$7/12)*0.5</f>
        <v>1.8795833333333329</v>
      </c>
      <c r="BZ14" s="55">
        <f>IF(BZ$11&lt;250,0,$C7*BZ$11*Assumptions!$C$7/12)*0.5</f>
        <v>1.8795833333333329</v>
      </c>
      <c r="CA14" s="55">
        <f>IF(CA$11&lt;250,0,$C7*CA$11*Assumptions!$C$7/12)*0.5</f>
        <v>1.8795833333333329</v>
      </c>
      <c r="CB14" s="55">
        <f>IF(CB$11&lt;250,0,$C7*CB$11*Assumptions!$C$7/12)*0.5</f>
        <v>1.8795833333333329</v>
      </c>
      <c r="CC14" s="55">
        <f>IF(CC$11&lt;250,0,$C7*CC$11*Assumptions!$C$7/12)*0.5</f>
        <v>1.8795833333333329</v>
      </c>
      <c r="CD14" s="55">
        <f>IF(CD$11&lt;250,0,$C7*CD$11*Assumptions!$C$7/12)*0.5</f>
        <v>1.8795833333333329</v>
      </c>
      <c r="CE14" s="55">
        <f>IF(CE$11&lt;250,0,$C7*CE$11*Assumptions!$C$7/12)*0.5</f>
        <v>1.8795833333333329</v>
      </c>
      <c r="CF14" s="55">
        <f>IF(CF$11&lt;250,0,$C7*CF$11*Assumptions!$C$7/12)*0.5</f>
        <v>1.8795833333333329</v>
      </c>
      <c r="CG14" s="55">
        <f>IF(CG$11&lt;250,0,$C7*CG$11*Assumptions!$C$7/12)*0.5</f>
        <v>1.8795833333333329</v>
      </c>
      <c r="CH14" s="55">
        <f>IF(CH$11&lt;250,0,$C7*CH$11*Assumptions!$C$7/12)*0.5</f>
        <v>1.8795833333333329</v>
      </c>
      <c r="CI14" s="55">
        <f>IF(CI$11&lt;250,0,$C7*CI$11*Assumptions!$C$7/12)*0.5</f>
        <v>1.8795833333333329</v>
      </c>
      <c r="CJ14" s="55">
        <f>IF(CJ$11&lt;250,0,$C7*CJ$11*Assumptions!$C$7/12)*0.5</f>
        <v>1.8795833333333329</v>
      </c>
      <c r="CK14" s="55">
        <f>IF(CK$11&lt;250,0,$C7*CK$11*Assumptions!$C$7/12)*0.5</f>
        <v>1.8795833333333329</v>
      </c>
      <c r="CL14" s="55">
        <f>IF(CL$11&lt;250,0,$C7*CL$11*Assumptions!$C$7/12)*0.5</f>
        <v>1.8795833333333329</v>
      </c>
      <c r="CM14" s="55">
        <f>IF(CM$11&lt;250,0,$C7*CM$11*Assumptions!$C$7/12)*0.5</f>
        <v>1.8795833333333329</v>
      </c>
      <c r="CN14" s="55">
        <f>IF(CN$11&lt;250,0,$C7*CN$11*Assumptions!$C$7/12)*0.5</f>
        <v>1.8795833333333329</v>
      </c>
      <c r="CO14" s="55">
        <f>IF(CO$11&lt;250,0,$C7*CO$11*Assumptions!$C$7/12)*0.5</f>
        <v>1.8795833333333329</v>
      </c>
      <c r="CP14" s="55">
        <f>IF(CP$11&lt;250,0,$C7*CP$11*Assumptions!$C$7/12)*0.5</f>
        <v>1.8795833333333329</v>
      </c>
      <c r="CQ14" s="55">
        <f>IF(CQ$11&lt;250,0,$C7*CQ$11*Assumptions!$C$7/12)*0.5</f>
        <v>1.8795833333333329</v>
      </c>
      <c r="CR14" s="55">
        <f>IF(CR$11&lt;250,0,$C7*CR$11*Assumptions!$C$7/12)*0.5</f>
        <v>1.8795833333333329</v>
      </c>
      <c r="CS14" s="55">
        <f>IF(CS$11&lt;250,0,$C7*CS$11*Assumptions!$C$7/12)*0.5</f>
        <v>1.8795833333333329</v>
      </c>
      <c r="CT14" s="55">
        <f>IF(CT$11&lt;250,0,$C7*CT$11*Assumptions!$C$7/12)*0.5</f>
        <v>1.8795833333333329</v>
      </c>
      <c r="CU14" s="55">
        <f>IF(CU$11&lt;250,0,$C7*CU$11*Assumptions!$C$7/12)*0.5</f>
        <v>1.8795833333333329</v>
      </c>
      <c r="CV14" s="55">
        <f>IF(CV$11&lt;250,0,$C7*CV$11*Assumptions!$C$7/12)*0.5</f>
        <v>1.8795833333333329</v>
      </c>
      <c r="CW14" s="55">
        <f>IF(CW$11&lt;250,0,$C7*CW$11*Assumptions!$C$7/12)*0.5</f>
        <v>1.8795833333333329</v>
      </c>
      <c r="CX14" s="55">
        <f>IF(CX$11&lt;250,0,$C7*CX$11*Assumptions!$C$7/12)*0.5</f>
        <v>1.8795833333333329</v>
      </c>
      <c r="CY14" s="55">
        <f>IF(CY$11&lt;250,0,$C7*CY$11*Assumptions!$C$7/12)*0.5</f>
        <v>1.8795833333333329</v>
      </c>
      <c r="CZ14" s="55">
        <f>IF(CZ$11&lt;250,0,$C7*CZ$11*Assumptions!$C$7/12)*0.5</f>
        <v>1.8795833333333329</v>
      </c>
      <c r="DA14" s="55">
        <f>IF(DA$11&lt;250,0,$C7*DA$11*Assumptions!$C$7/12)*0.5</f>
        <v>1.8795833333333329</v>
      </c>
      <c r="DB14" s="55">
        <f>IF(DB$11&lt;250,0,$C7*DB$11*Assumptions!$C$7/12)*0.5</f>
        <v>1.8795833333333329</v>
      </c>
      <c r="DC14" s="55">
        <f>IF(DC$11&lt;250,0,$C7*DC$11*Assumptions!$C$7/12)*0.5</f>
        <v>1.8795833333333329</v>
      </c>
      <c r="DD14" s="55">
        <f>IF(DD$11&lt;250,0,$C7*DD$11*Assumptions!$C$7/12)*0.5</f>
        <v>1.8795833333333329</v>
      </c>
      <c r="DE14" s="55">
        <f>IF(DE$11&lt;250,0,$C7*DE$11*Assumptions!$C$7/12)*0.5</f>
        <v>1.8795833333333329</v>
      </c>
      <c r="DF14" s="55">
        <f>IF(DF$11&lt;250,0,$C7*DF$11*Assumptions!$C$7/12)*0.5</f>
        <v>1.8795833333333329</v>
      </c>
      <c r="DG14" s="55">
        <f>IF(DG$11&lt;250,0,$C7*DG$11*Assumptions!$C$7/12)*0.5</f>
        <v>1.8795833333333329</v>
      </c>
      <c r="DH14" s="55">
        <f>IF(DH$11&lt;250,0,$C7*DH$11*Assumptions!$C$7/12)*0.5</f>
        <v>1.8795833333333329</v>
      </c>
      <c r="DI14" s="55">
        <f>IF(DI$11&lt;250,0,$C7*DI$11*Assumptions!$C$7/12)*0.5</f>
        <v>1.8795833333333329</v>
      </c>
      <c r="DJ14" s="55">
        <f>IF(DJ$11&lt;250,0,$C7*DJ$11*Assumptions!$C$7/12)*0.5</f>
        <v>1.8795833333333329</v>
      </c>
      <c r="DK14" s="55">
        <f>IF(DK$11&lt;250,0,$C7*DK$11*Assumptions!$C$7/12)*0.5</f>
        <v>1.8795833333333329</v>
      </c>
      <c r="DL14" s="55">
        <f>IF(DL$11&lt;250,0,$C7*DL$11*Assumptions!$C$7/12)*0.5</f>
        <v>1.8795833333333329</v>
      </c>
      <c r="DM14" s="55">
        <f>IF(DM$11&lt;250,0,$C7*DM$11*Assumptions!$C$7/12)*0.5</f>
        <v>1.8795833333333329</v>
      </c>
      <c r="DN14" s="55">
        <f>IF(DN$11&lt;250,0,$C7*DN$11*Assumptions!$C$7/12)*0.5</f>
        <v>1.8795833333333329</v>
      </c>
      <c r="DO14" s="55">
        <f>IF(DO$11&lt;250,0,$C7*DO$11*Assumptions!$C$7/12)*0.5</f>
        <v>1.8795833333333329</v>
      </c>
      <c r="DP14" s="55">
        <f>IF(DP$11&lt;250,0,$C7*DP$11*Assumptions!$C$7/12)*0.5</f>
        <v>1.8795833333333329</v>
      </c>
      <c r="DQ14" s="55">
        <f>IF(DQ$11&lt;250,0,$C7*DQ$11*Assumptions!$C$7/12)*0.5</f>
        <v>1.8795833333333329</v>
      </c>
      <c r="DR14" s="55">
        <f>IF(DR$11&lt;250,0,$C7*DR$11*Assumptions!$C$7/12)*0.5</f>
        <v>1.8795833333333329</v>
      </c>
    </row>
    <row r="15" spans="2:122" x14ac:dyDescent="0.3">
      <c r="B15" s="52" t="str">
        <f>+B8</f>
        <v>Tellurium</v>
      </c>
      <c r="C15" s="55">
        <f>IF(C$11&lt;250,0,$C8*C$11*Assumptions!$C$7/12)*0.5</f>
        <v>0</v>
      </c>
      <c r="D15" s="55">
        <f>IF(D$11&lt;250,0,$C8*D$11*Assumptions!$C$7/12)*0.5</f>
        <v>0</v>
      </c>
      <c r="E15" s="55">
        <f>IF(E$11&lt;250,0,$C8*E$11*Assumptions!$C$7/12)*0.5</f>
        <v>0</v>
      </c>
      <c r="F15" s="55">
        <f>IF(F$11&lt;250,0,$C8*F$11*Assumptions!$C$7/12)*0.5</f>
        <v>0</v>
      </c>
      <c r="G15" s="55">
        <f>IF(G$11&lt;250,0,$C8*G$11*Assumptions!$C$7/12)*0.5</f>
        <v>2.3596354166666664</v>
      </c>
      <c r="H15" s="55">
        <f>IF(H$11&lt;250,0,$C8*H$11*Assumptions!$C$7/12)*0.5</f>
        <v>2.3596354166666664</v>
      </c>
      <c r="I15" s="55">
        <f>IF(I$11&lt;250,0,$C8*I$11*Assumptions!$C$7/12)*0.5</f>
        <v>2.3596354166666664</v>
      </c>
      <c r="J15" s="55">
        <f>IF(J$11&lt;250,0,$C8*J$11*Assumptions!$C$7/12)*0.5</f>
        <v>2.3596354166666664</v>
      </c>
      <c r="K15" s="55">
        <f>IF(K$11&lt;250,0,$C8*K$11*Assumptions!$C$7/12)*0.5</f>
        <v>2.3596354166666664</v>
      </c>
      <c r="L15" s="55">
        <f>IF(L$11&lt;250,0,$C8*L$11*Assumptions!$C$7/12)*0.5</f>
        <v>2.3596354166666664</v>
      </c>
      <c r="M15" s="55">
        <f>IF(M$11&lt;250,0,$C8*M$11*Assumptions!$C$7/12)*0.5</f>
        <v>4.7192708333333329</v>
      </c>
      <c r="N15" s="55">
        <f>IF(N$11&lt;250,0,$C8*N$11*Assumptions!$C$7/12)*0.5</f>
        <v>4.7192708333333329</v>
      </c>
      <c r="O15" s="55">
        <f>IF(O$11&lt;250,0,$C8*O$11*Assumptions!$C$7/12)*0.5</f>
        <v>4.7192708333333329</v>
      </c>
      <c r="P15" s="55">
        <f>IF(P$11&lt;250,0,$C8*P$11*Assumptions!$C$7/12)*0.5</f>
        <v>4.7192708333333329</v>
      </c>
      <c r="Q15" s="55">
        <f>IF(Q$11&lt;250,0,$C8*Q$11*Assumptions!$C$7/12)*0.5</f>
        <v>4.7192708333333329</v>
      </c>
      <c r="R15" s="55">
        <f>IF(R$11&lt;250,0,$C8*R$11*Assumptions!$C$7/12)*0.5</f>
        <v>4.7192708333333329</v>
      </c>
      <c r="S15" s="55">
        <f>IF(S$11&lt;250,0,$C8*S$11*Assumptions!$C$7/12)*0.5</f>
        <v>4.7192708333333329</v>
      </c>
      <c r="T15" s="55">
        <f>IF(T$11&lt;250,0,$C8*T$11*Assumptions!$C$7/12)*0.5</f>
        <v>4.7192708333333329</v>
      </c>
      <c r="U15" s="55">
        <f>IF(U$11&lt;250,0,$C8*U$11*Assumptions!$C$7/12)*0.5</f>
        <v>4.7192708333333329</v>
      </c>
      <c r="V15" s="55">
        <f>IF(V$11&lt;250,0,$C8*V$11*Assumptions!$C$7/12)*0.5</f>
        <v>4.7192708333333329</v>
      </c>
      <c r="W15" s="55">
        <f>IF(W$11&lt;250,0,$C8*W$11*Assumptions!$C$7/12)*0.5</f>
        <v>4.7192708333333329</v>
      </c>
      <c r="X15" s="55">
        <f>IF(X$11&lt;250,0,$C8*X$11*Assumptions!$C$7/12)*0.5</f>
        <v>4.7192708333333329</v>
      </c>
      <c r="Y15" s="55">
        <f>IF(Y$11&lt;250,0,$C8*Y$11*Assumptions!$C$7/12)*0.5</f>
        <v>4.7192708333333329</v>
      </c>
      <c r="Z15" s="55">
        <f>IF(Z$11&lt;250,0,$C8*Z$11*Assumptions!$C$7/12)*0.5</f>
        <v>4.7192708333333329</v>
      </c>
      <c r="AA15" s="55">
        <f>IF(AA$11&lt;250,0,$C8*AA$11*Assumptions!$C$7/12)*0.5</f>
        <v>4.7192708333333329</v>
      </c>
      <c r="AB15" s="55">
        <f>IF(AB$11&lt;250,0,$C8*AB$11*Assumptions!$C$7/12)*0.5</f>
        <v>4.7192708333333329</v>
      </c>
      <c r="AC15" s="55">
        <f>IF(AC$11&lt;250,0,$C8*AC$11*Assumptions!$C$7/12)*0.5</f>
        <v>4.7192708333333329</v>
      </c>
      <c r="AD15" s="55">
        <f>IF(AD$11&lt;250,0,$C8*AD$11*Assumptions!$C$7/12)*0.5</f>
        <v>4.7192708333333329</v>
      </c>
      <c r="AE15" s="55">
        <f>IF(AE$11&lt;250,0,$C8*AE$11*Assumptions!$C$7/12)*0.5</f>
        <v>4.7192708333333329</v>
      </c>
      <c r="AF15" s="55">
        <f>IF(AF$11&lt;250,0,$C8*AF$11*Assumptions!$C$7/12)*0.5</f>
        <v>4.7192708333333329</v>
      </c>
      <c r="AG15" s="55">
        <f>IF(AG$11&lt;250,0,$C8*AG$11*Assumptions!$C$7/12)*0.5</f>
        <v>4.7192708333333329</v>
      </c>
      <c r="AH15" s="55">
        <f>IF(AH$11&lt;250,0,$C8*AH$11*Assumptions!$C$7/12)*0.5</f>
        <v>4.7192708333333329</v>
      </c>
      <c r="AI15" s="55">
        <f>IF(AI$11&lt;250,0,$C8*AI$11*Assumptions!$C$7/12)*0.5</f>
        <v>4.7192708333333329</v>
      </c>
      <c r="AJ15" s="55">
        <f>IF(AJ$11&lt;250,0,$C8*AJ$11*Assumptions!$C$7/12)*0.5</f>
        <v>4.7192708333333329</v>
      </c>
      <c r="AK15" s="55">
        <f>IF(AK$11&lt;250,0,$C8*AK$11*Assumptions!$C$7/12)*0.5</f>
        <v>4.7192708333333329</v>
      </c>
      <c r="AL15" s="55">
        <f>IF(AL$11&lt;250,0,$C8*AL$11*Assumptions!$C$7/12)*0.5</f>
        <v>4.7192708333333329</v>
      </c>
      <c r="AM15" s="55">
        <f>IF(AM$11&lt;250,0,$C8*AM$11*Assumptions!$C$7/12)*0.5</f>
        <v>4.7192708333333329</v>
      </c>
      <c r="AN15" s="55">
        <f>IF(AN$11&lt;250,0,$C8*AN$11*Assumptions!$C$7/12)*0.5</f>
        <v>4.7192708333333329</v>
      </c>
      <c r="AO15" s="55">
        <f>IF(AO$11&lt;250,0,$C8*AO$11*Assumptions!$C$7/12)*0.5</f>
        <v>4.7192708333333329</v>
      </c>
      <c r="AP15" s="55">
        <f>IF(AP$11&lt;250,0,$C8*AP$11*Assumptions!$C$7/12)*0.5</f>
        <v>4.7192708333333329</v>
      </c>
      <c r="AQ15" s="55">
        <f>IF(AQ$11&lt;250,0,$C8*AQ$11*Assumptions!$C$7/12)*0.5</f>
        <v>4.7192708333333329</v>
      </c>
      <c r="AR15" s="55">
        <f>IF(AR$11&lt;250,0,$C8*AR$11*Assumptions!$C$7/12)*0.5</f>
        <v>4.7192708333333329</v>
      </c>
      <c r="AS15" s="55">
        <f>IF(AS$11&lt;250,0,$C8*AS$11*Assumptions!$C$7/12)*0.5</f>
        <v>4.7192708333333329</v>
      </c>
      <c r="AT15" s="55">
        <f>IF(AT$11&lt;250,0,$C8*AT$11*Assumptions!$C$7/12)*0.5</f>
        <v>4.7192708333333329</v>
      </c>
      <c r="AU15" s="55">
        <f>IF(AU$11&lt;250,0,$C8*AU$11*Assumptions!$C$7/12)*0.5</f>
        <v>4.7192708333333329</v>
      </c>
      <c r="AV15" s="55">
        <f>IF(AV$11&lt;250,0,$C8*AV$11*Assumptions!$C$7/12)*0.5</f>
        <v>4.7192708333333329</v>
      </c>
      <c r="AW15" s="55">
        <f>IF(AW$11&lt;250,0,$C8*AW$11*Assumptions!$C$7/12)*0.5</f>
        <v>4.7192708333333329</v>
      </c>
      <c r="AX15" s="55">
        <f>IF(AX$11&lt;250,0,$C8*AX$11*Assumptions!$C$7/12)*0.5</f>
        <v>4.7192708333333329</v>
      </c>
      <c r="AY15" s="55">
        <f>IF(AY$11&lt;250,0,$C8*AY$11*Assumptions!$C$7/12)*0.5</f>
        <v>4.7192708333333329</v>
      </c>
      <c r="AZ15" s="55">
        <f>IF(AZ$11&lt;250,0,$C8*AZ$11*Assumptions!$C$7/12)*0.5</f>
        <v>4.7192708333333329</v>
      </c>
      <c r="BA15" s="55">
        <f>IF(BA$11&lt;250,0,$C8*BA$11*Assumptions!$C$7/12)*0.5</f>
        <v>4.7192708333333329</v>
      </c>
      <c r="BB15" s="55">
        <f>IF(BB$11&lt;250,0,$C8*BB$11*Assumptions!$C$7/12)*0.5</f>
        <v>4.7192708333333329</v>
      </c>
      <c r="BC15" s="55">
        <f>IF(BC$11&lt;250,0,$C8*BC$11*Assumptions!$C$7/12)*0.5</f>
        <v>4.7192708333333329</v>
      </c>
      <c r="BD15" s="55">
        <f>IF(BD$11&lt;250,0,$C8*BD$11*Assumptions!$C$7/12)*0.5</f>
        <v>4.7192708333333329</v>
      </c>
      <c r="BE15" s="55">
        <f>IF(BE$11&lt;250,0,$C8*BE$11*Assumptions!$C$7/12)*0.5</f>
        <v>4.7192708333333329</v>
      </c>
      <c r="BF15" s="55">
        <f>IF(BF$11&lt;250,0,$C8*BF$11*Assumptions!$C$7/12)*0.5</f>
        <v>4.7192708333333329</v>
      </c>
      <c r="BG15" s="55">
        <f>IF(BG$11&lt;250,0,$C8*BG$11*Assumptions!$C$7/12)*0.5</f>
        <v>4.7192708333333329</v>
      </c>
      <c r="BH15" s="55">
        <f>IF(BH$11&lt;250,0,$C8*BH$11*Assumptions!$C$7/12)*0.5</f>
        <v>4.7192708333333329</v>
      </c>
      <c r="BI15" s="55">
        <f>IF(BI$11&lt;250,0,$C8*BI$11*Assumptions!$C$7/12)*0.5</f>
        <v>4.7192708333333329</v>
      </c>
      <c r="BJ15" s="55">
        <f>IF(BJ$11&lt;250,0,$C8*BJ$11*Assumptions!$C$7/12)*0.5</f>
        <v>4.7192708333333329</v>
      </c>
      <c r="BK15" s="55">
        <f>IF(BK$11&lt;250,0,$C8*BK$11*Assumptions!$C$7/12)*0.5</f>
        <v>4.7192708333333329</v>
      </c>
      <c r="BL15" s="55">
        <f>IF(BL$11&lt;250,0,$C8*BL$11*Assumptions!$C$7/12)*0.5</f>
        <v>4.7192708333333329</v>
      </c>
      <c r="BM15" s="55">
        <f>IF(BM$11&lt;250,0,$C8*BM$11*Assumptions!$C$7/12)*0.5</f>
        <v>4.7192708333333329</v>
      </c>
      <c r="BN15" s="55">
        <f>IF(BN$11&lt;250,0,$C8*BN$11*Assumptions!$C$7/12)*0.5</f>
        <v>4.7192708333333329</v>
      </c>
      <c r="BO15" s="55">
        <f>IF(BO$11&lt;250,0,$C8*BO$11*Assumptions!$C$7/12)*0.5</f>
        <v>4.7192708333333329</v>
      </c>
      <c r="BP15" s="55">
        <f>IF(BP$11&lt;250,0,$C8*BP$11*Assumptions!$C$7/12)*0.5</f>
        <v>4.7192708333333329</v>
      </c>
      <c r="BQ15" s="55">
        <f>IF(BQ$11&lt;250,0,$C8*BQ$11*Assumptions!$C$7/12)*0.5</f>
        <v>4.7192708333333329</v>
      </c>
      <c r="BR15" s="55">
        <f>IF(BR$11&lt;250,0,$C8*BR$11*Assumptions!$C$7/12)*0.5</f>
        <v>4.7192708333333329</v>
      </c>
      <c r="BS15" s="55">
        <f>IF(BS$11&lt;250,0,$C8*BS$11*Assumptions!$C$7/12)*0.5</f>
        <v>4.7192708333333329</v>
      </c>
      <c r="BT15" s="55">
        <f>IF(BT$11&lt;250,0,$C8*BT$11*Assumptions!$C$7/12)*0.5</f>
        <v>4.7192708333333329</v>
      </c>
      <c r="BU15" s="55">
        <f>IF(BU$11&lt;250,0,$C8*BU$11*Assumptions!$C$7/12)*0.5</f>
        <v>4.7192708333333329</v>
      </c>
      <c r="BV15" s="55">
        <f>IF(BV$11&lt;250,0,$C8*BV$11*Assumptions!$C$7/12)*0.5</f>
        <v>4.7192708333333329</v>
      </c>
      <c r="BW15" s="55">
        <f>IF(BW$11&lt;250,0,$C8*BW$11*Assumptions!$C$7/12)*0.5</f>
        <v>4.7192708333333329</v>
      </c>
      <c r="BX15" s="55">
        <f>IF(BX$11&lt;250,0,$C8*BX$11*Assumptions!$C$7/12)*0.5</f>
        <v>4.7192708333333329</v>
      </c>
      <c r="BY15" s="55">
        <f>IF(BY$11&lt;250,0,$C8*BY$11*Assumptions!$C$7/12)*0.5</f>
        <v>4.7192708333333329</v>
      </c>
      <c r="BZ15" s="55">
        <f>IF(BZ$11&lt;250,0,$C8*BZ$11*Assumptions!$C$7/12)*0.5</f>
        <v>4.7192708333333329</v>
      </c>
      <c r="CA15" s="55">
        <f>IF(CA$11&lt;250,0,$C8*CA$11*Assumptions!$C$7/12)*0.5</f>
        <v>4.7192708333333329</v>
      </c>
      <c r="CB15" s="55">
        <f>IF(CB$11&lt;250,0,$C8*CB$11*Assumptions!$C$7/12)*0.5</f>
        <v>4.7192708333333329</v>
      </c>
      <c r="CC15" s="55">
        <f>IF(CC$11&lt;250,0,$C8*CC$11*Assumptions!$C$7/12)*0.5</f>
        <v>4.7192708333333329</v>
      </c>
      <c r="CD15" s="55">
        <f>IF(CD$11&lt;250,0,$C8*CD$11*Assumptions!$C$7/12)*0.5</f>
        <v>4.7192708333333329</v>
      </c>
      <c r="CE15" s="55">
        <f>IF(CE$11&lt;250,0,$C8*CE$11*Assumptions!$C$7/12)*0.5</f>
        <v>4.7192708333333329</v>
      </c>
      <c r="CF15" s="55">
        <f>IF(CF$11&lt;250,0,$C8*CF$11*Assumptions!$C$7/12)*0.5</f>
        <v>4.7192708333333329</v>
      </c>
      <c r="CG15" s="55">
        <f>IF(CG$11&lt;250,0,$C8*CG$11*Assumptions!$C$7/12)*0.5</f>
        <v>4.7192708333333329</v>
      </c>
      <c r="CH15" s="55">
        <f>IF(CH$11&lt;250,0,$C8*CH$11*Assumptions!$C$7/12)*0.5</f>
        <v>4.7192708333333329</v>
      </c>
      <c r="CI15" s="55">
        <f>IF(CI$11&lt;250,0,$C8*CI$11*Assumptions!$C$7/12)*0.5</f>
        <v>4.7192708333333329</v>
      </c>
      <c r="CJ15" s="55">
        <f>IF(CJ$11&lt;250,0,$C8*CJ$11*Assumptions!$C$7/12)*0.5</f>
        <v>4.7192708333333329</v>
      </c>
      <c r="CK15" s="55">
        <f>IF(CK$11&lt;250,0,$C8*CK$11*Assumptions!$C$7/12)*0.5</f>
        <v>4.7192708333333329</v>
      </c>
      <c r="CL15" s="55">
        <f>IF(CL$11&lt;250,0,$C8*CL$11*Assumptions!$C$7/12)*0.5</f>
        <v>4.7192708333333329</v>
      </c>
      <c r="CM15" s="55">
        <f>IF(CM$11&lt;250,0,$C8*CM$11*Assumptions!$C$7/12)*0.5</f>
        <v>4.7192708333333329</v>
      </c>
      <c r="CN15" s="55">
        <f>IF(CN$11&lt;250,0,$C8*CN$11*Assumptions!$C$7/12)*0.5</f>
        <v>4.7192708333333329</v>
      </c>
      <c r="CO15" s="55">
        <f>IF(CO$11&lt;250,0,$C8*CO$11*Assumptions!$C$7/12)*0.5</f>
        <v>4.7192708333333329</v>
      </c>
      <c r="CP15" s="55">
        <f>IF(CP$11&lt;250,0,$C8*CP$11*Assumptions!$C$7/12)*0.5</f>
        <v>4.7192708333333329</v>
      </c>
      <c r="CQ15" s="55">
        <f>IF(CQ$11&lt;250,0,$C8*CQ$11*Assumptions!$C$7/12)*0.5</f>
        <v>4.7192708333333329</v>
      </c>
      <c r="CR15" s="55">
        <f>IF(CR$11&lt;250,0,$C8*CR$11*Assumptions!$C$7/12)*0.5</f>
        <v>4.7192708333333329</v>
      </c>
      <c r="CS15" s="55">
        <f>IF(CS$11&lt;250,0,$C8*CS$11*Assumptions!$C$7/12)*0.5</f>
        <v>4.7192708333333329</v>
      </c>
      <c r="CT15" s="55">
        <f>IF(CT$11&lt;250,0,$C8*CT$11*Assumptions!$C$7/12)*0.5</f>
        <v>4.7192708333333329</v>
      </c>
      <c r="CU15" s="55">
        <f>IF(CU$11&lt;250,0,$C8*CU$11*Assumptions!$C$7/12)*0.5</f>
        <v>4.7192708333333329</v>
      </c>
      <c r="CV15" s="55">
        <f>IF(CV$11&lt;250,0,$C8*CV$11*Assumptions!$C$7/12)*0.5</f>
        <v>4.7192708333333329</v>
      </c>
      <c r="CW15" s="55">
        <f>IF(CW$11&lt;250,0,$C8*CW$11*Assumptions!$C$7/12)*0.5</f>
        <v>4.7192708333333329</v>
      </c>
      <c r="CX15" s="55">
        <f>IF(CX$11&lt;250,0,$C8*CX$11*Assumptions!$C$7/12)*0.5</f>
        <v>4.7192708333333329</v>
      </c>
      <c r="CY15" s="55">
        <f>IF(CY$11&lt;250,0,$C8*CY$11*Assumptions!$C$7/12)*0.5</f>
        <v>4.7192708333333329</v>
      </c>
      <c r="CZ15" s="55">
        <f>IF(CZ$11&lt;250,0,$C8*CZ$11*Assumptions!$C$7/12)*0.5</f>
        <v>4.7192708333333329</v>
      </c>
      <c r="DA15" s="55">
        <f>IF(DA$11&lt;250,0,$C8*DA$11*Assumptions!$C$7/12)*0.5</f>
        <v>4.7192708333333329</v>
      </c>
      <c r="DB15" s="55">
        <f>IF(DB$11&lt;250,0,$C8*DB$11*Assumptions!$C$7/12)*0.5</f>
        <v>4.7192708333333329</v>
      </c>
      <c r="DC15" s="55">
        <f>IF(DC$11&lt;250,0,$C8*DC$11*Assumptions!$C$7/12)*0.5</f>
        <v>4.7192708333333329</v>
      </c>
      <c r="DD15" s="55">
        <f>IF(DD$11&lt;250,0,$C8*DD$11*Assumptions!$C$7/12)*0.5</f>
        <v>4.7192708333333329</v>
      </c>
      <c r="DE15" s="55">
        <f>IF(DE$11&lt;250,0,$C8*DE$11*Assumptions!$C$7/12)*0.5</f>
        <v>4.7192708333333329</v>
      </c>
      <c r="DF15" s="55">
        <f>IF(DF$11&lt;250,0,$C8*DF$11*Assumptions!$C$7/12)*0.5</f>
        <v>4.7192708333333329</v>
      </c>
      <c r="DG15" s="55">
        <f>IF(DG$11&lt;250,0,$C8*DG$11*Assumptions!$C$7/12)*0.5</f>
        <v>4.7192708333333329</v>
      </c>
      <c r="DH15" s="55">
        <f>IF(DH$11&lt;250,0,$C8*DH$11*Assumptions!$C$7/12)*0.5</f>
        <v>4.7192708333333329</v>
      </c>
      <c r="DI15" s="55">
        <f>IF(DI$11&lt;250,0,$C8*DI$11*Assumptions!$C$7/12)*0.5</f>
        <v>4.7192708333333329</v>
      </c>
      <c r="DJ15" s="55">
        <f>IF(DJ$11&lt;250,0,$C8*DJ$11*Assumptions!$C$7/12)*0.5</f>
        <v>4.7192708333333329</v>
      </c>
      <c r="DK15" s="55">
        <f>IF(DK$11&lt;250,0,$C8*DK$11*Assumptions!$C$7/12)*0.5</f>
        <v>4.7192708333333329</v>
      </c>
      <c r="DL15" s="55">
        <f>IF(DL$11&lt;250,0,$C8*DL$11*Assumptions!$C$7/12)*0.5</f>
        <v>4.7192708333333329</v>
      </c>
      <c r="DM15" s="55">
        <f>IF(DM$11&lt;250,0,$C8*DM$11*Assumptions!$C$7/12)*0.5</f>
        <v>4.7192708333333329</v>
      </c>
      <c r="DN15" s="55">
        <f>IF(DN$11&lt;250,0,$C8*DN$11*Assumptions!$C$7/12)*0.5</f>
        <v>4.7192708333333329</v>
      </c>
      <c r="DO15" s="55">
        <f>IF(DO$11&lt;250,0,$C8*DO$11*Assumptions!$C$7/12)*0.5</f>
        <v>4.7192708333333329</v>
      </c>
      <c r="DP15" s="55">
        <f>IF(DP$11&lt;250,0,$C8*DP$11*Assumptions!$C$7/12)*0.5</f>
        <v>4.7192708333333329</v>
      </c>
      <c r="DQ15" s="55">
        <f>IF(DQ$11&lt;250,0,$C8*DQ$11*Assumptions!$C$7/12)*0.5</f>
        <v>4.7192708333333329</v>
      </c>
      <c r="DR15" s="55">
        <f>IF(DR$11&lt;250,0,$C8*DR$11*Assumptions!$C$7/12)*0.5</f>
        <v>4.7192708333333329</v>
      </c>
    </row>
    <row r="16" spans="2:122" x14ac:dyDescent="0.3"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</row>
    <row r="17" spans="2:122" x14ac:dyDescent="0.3">
      <c r="B17" s="64" t="s">
        <v>200</v>
      </c>
    </row>
    <row r="18" spans="2:122" x14ac:dyDescent="0.3">
      <c r="B18" s="52" t="str">
        <f>+B12</f>
        <v>Germanium</v>
      </c>
      <c r="C18" s="124">
        <f>INDEX('Commodity Prices'!$D$7:$D$22,MATCH($B18,'Commodity Prices'!$B$7:$B$22,0))*C12</f>
        <v>0</v>
      </c>
      <c r="D18" s="124">
        <f>INDEX('Commodity Prices'!$D$7:$D$22,MATCH($B18,'Commodity Prices'!$B$7:$B$22,0))*D12</f>
        <v>0</v>
      </c>
      <c r="E18" s="124">
        <f>INDEX('Commodity Prices'!$D$7:$D$22,MATCH($B18,'Commodity Prices'!$B$7:$B$22,0))*E12</f>
        <v>0</v>
      </c>
      <c r="F18" s="124">
        <f>INDEX('Commodity Prices'!$D$7:$D$22,MATCH($B18,'Commodity Prices'!$B$7:$B$22,0))*F12</f>
        <v>0</v>
      </c>
      <c r="G18" s="124">
        <f>INDEX('Commodity Prices'!$D$7:$D$22,MATCH($B18,'Commodity Prices'!$B$7:$B$22,0))*G12</f>
        <v>1291536.4583333333</v>
      </c>
      <c r="H18" s="124">
        <f>INDEX('Commodity Prices'!$D$7:$D$22,MATCH($B18,'Commodity Prices'!$B$7:$B$22,0))*H12</f>
        <v>1291536.4583333333</v>
      </c>
      <c r="I18" s="124">
        <f>INDEX('Commodity Prices'!$D$7:$D$22,MATCH($B18,'Commodity Prices'!$B$7:$B$22,0))*I12</f>
        <v>1291536.4583333333</v>
      </c>
      <c r="J18" s="124">
        <f>INDEX('Commodity Prices'!$D$7:$D$22,MATCH($B18,'Commodity Prices'!$B$7:$B$22,0))*J12</f>
        <v>1291536.4583333333</v>
      </c>
      <c r="K18" s="124">
        <f>INDEX('Commodity Prices'!$D$7:$D$22,MATCH($B18,'Commodity Prices'!$B$7:$B$22,0))*K12</f>
        <v>1291536.4583333333</v>
      </c>
      <c r="L18" s="124">
        <f>INDEX('Commodity Prices'!$D$7:$D$22,MATCH($B18,'Commodity Prices'!$B$7:$B$22,0))*L12</f>
        <v>1291536.4583333333</v>
      </c>
      <c r="M18" s="124">
        <f>INDEX('Commodity Prices'!$D$7:$D$22,MATCH($B18,'Commodity Prices'!$B$7:$B$22,0))*M12</f>
        <v>2583072.9166666665</v>
      </c>
      <c r="N18" s="124">
        <f>INDEX('Commodity Prices'!$D$7:$D$22,MATCH($B18,'Commodity Prices'!$B$7:$B$22,0))*N12</f>
        <v>2583072.9166666665</v>
      </c>
      <c r="O18" s="124">
        <f>INDEX('Commodity Prices'!$D$7:$D$22,MATCH($B18,'Commodity Prices'!$B$7:$B$22,0))*O12</f>
        <v>2583072.9166666665</v>
      </c>
      <c r="P18" s="124">
        <f>INDEX('Commodity Prices'!$D$7:$D$22,MATCH($B18,'Commodity Prices'!$B$7:$B$22,0))*P12</f>
        <v>2583072.9166666665</v>
      </c>
      <c r="Q18" s="124">
        <f>INDEX('Commodity Prices'!$D$7:$D$22,MATCH($B18,'Commodity Prices'!$B$7:$B$22,0))*Q12</f>
        <v>2583072.9166666665</v>
      </c>
      <c r="R18" s="124">
        <f>INDEX('Commodity Prices'!$D$7:$D$22,MATCH($B18,'Commodity Prices'!$B$7:$B$22,0))*R12</f>
        <v>2583072.9166666665</v>
      </c>
      <c r="S18" s="124">
        <f>INDEX('Commodity Prices'!$D$7:$D$22,MATCH($B18,'Commodity Prices'!$B$7:$B$22,0))*S12</f>
        <v>2583072.9166666665</v>
      </c>
      <c r="T18" s="124">
        <f>INDEX('Commodity Prices'!$D$7:$D$22,MATCH($B18,'Commodity Prices'!$B$7:$B$22,0))*T12</f>
        <v>2583072.9166666665</v>
      </c>
      <c r="U18" s="124">
        <f>INDEX('Commodity Prices'!$D$7:$D$22,MATCH($B18,'Commodity Prices'!$B$7:$B$22,0))*U12</f>
        <v>2583072.9166666665</v>
      </c>
      <c r="V18" s="124">
        <f>INDEX('Commodity Prices'!$D$7:$D$22,MATCH($B18,'Commodity Prices'!$B$7:$B$22,0))*V12</f>
        <v>2583072.9166666665</v>
      </c>
      <c r="W18" s="124">
        <f>INDEX('Commodity Prices'!$D$7:$D$22,MATCH($B18,'Commodity Prices'!$B$7:$B$22,0))*W12</f>
        <v>2583072.9166666665</v>
      </c>
      <c r="X18" s="124">
        <f>INDEX('Commodity Prices'!$D$7:$D$22,MATCH($B18,'Commodity Prices'!$B$7:$B$22,0))*X12</f>
        <v>2583072.9166666665</v>
      </c>
      <c r="Y18" s="124">
        <f>INDEX('Commodity Prices'!$D$7:$D$22,MATCH($B18,'Commodity Prices'!$B$7:$B$22,0))*Y12</f>
        <v>2583072.9166666665</v>
      </c>
      <c r="Z18" s="124">
        <f>INDEX('Commodity Prices'!$D$7:$D$22,MATCH($B18,'Commodity Prices'!$B$7:$B$22,0))*Z12</f>
        <v>2583072.9166666665</v>
      </c>
      <c r="AA18" s="124">
        <f>INDEX('Commodity Prices'!$D$7:$D$22,MATCH($B18,'Commodity Prices'!$B$7:$B$22,0))*AA12</f>
        <v>2583072.9166666665</v>
      </c>
      <c r="AB18" s="124">
        <f>INDEX('Commodity Prices'!$D$7:$D$22,MATCH($B18,'Commodity Prices'!$B$7:$B$22,0))*AB12</f>
        <v>2583072.9166666665</v>
      </c>
      <c r="AC18" s="124">
        <f>INDEX('Commodity Prices'!$D$7:$D$22,MATCH($B18,'Commodity Prices'!$B$7:$B$22,0))*AC12</f>
        <v>2583072.9166666665</v>
      </c>
      <c r="AD18" s="124">
        <f>INDEX('Commodity Prices'!$D$7:$D$22,MATCH($B18,'Commodity Prices'!$B$7:$B$22,0))*AD12</f>
        <v>2583072.9166666665</v>
      </c>
      <c r="AE18" s="124">
        <f>INDEX('Commodity Prices'!$D$7:$D$22,MATCH($B18,'Commodity Prices'!$B$7:$B$22,0))*AE12</f>
        <v>2583072.9166666665</v>
      </c>
      <c r="AF18" s="124">
        <f>INDEX('Commodity Prices'!$D$7:$D$22,MATCH($B18,'Commodity Prices'!$B$7:$B$22,0))*AF12</f>
        <v>2583072.9166666665</v>
      </c>
      <c r="AG18" s="124">
        <f>INDEX('Commodity Prices'!$D$7:$D$22,MATCH($B18,'Commodity Prices'!$B$7:$B$22,0))*AG12</f>
        <v>2583072.9166666665</v>
      </c>
      <c r="AH18" s="124">
        <f>INDEX('Commodity Prices'!$D$7:$D$22,MATCH($B18,'Commodity Prices'!$B$7:$B$22,0))*AH12</f>
        <v>2583072.9166666665</v>
      </c>
      <c r="AI18" s="124">
        <f>INDEX('Commodity Prices'!$D$7:$D$22,MATCH($B18,'Commodity Prices'!$B$7:$B$22,0))*AI12</f>
        <v>2583072.9166666665</v>
      </c>
      <c r="AJ18" s="124">
        <f>INDEX('Commodity Prices'!$D$7:$D$22,MATCH($B18,'Commodity Prices'!$B$7:$B$22,0))*AJ12</f>
        <v>2583072.9166666665</v>
      </c>
      <c r="AK18" s="124">
        <f>INDEX('Commodity Prices'!$D$7:$D$22,MATCH($B18,'Commodity Prices'!$B$7:$B$22,0))*AK12</f>
        <v>2583072.9166666665</v>
      </c>
      <c r="AL18" s="124">
        <f>INDEX('Commodity Prices'!$D$7:$D$22,MATCH($B18,'Commodity Prices'!$B$7:$B$22,0))*AL12</f>
        <v>2583072.9166666665</v>
      </c>
      <c r="AM18" s="124">
        <f>INDEX('Commodity Prices'!$D$7:$D$22,MATCH($B18,'Commodity Prices'!$B$7:$B$22,0))*AM12</f>
        <v>2583072.9166666665</v>
      </c>
      <c r="AN18" s="124">
        <f>INDEX('Commodity Prices'!$D$7:$D$22,MATCH($B18,'Commodity Prices'!$B$7:$B$22,0))*AN12</f>
        <v>2583072.9166666665</v>
      </c>
      <c r="AO18" s="124">
        <f>INDEX('Commodity Prices'!$D$7:$D$22,MATCH($B18,'Commodity Prices'!$B$7:$B$22,0))*AO12</f>
        <v>2583072.9166666665</v>
      </c>
      <c r="AP18" s="124">
        <f>INDEX('Commodity Prices'!$D$7:$D$22,MATCH($B18,'Commodity Prices'!$B$7:$B$22,0))*AP12</f>
        <v>2583072.9166666665</v>
      </c>
      <c r="AQ18" s="124">
        <f>INDEX('Commodity Prices'!$D$7:$D$22,MATCH($B18,'Commodity Prices'!$B$7:$B$22,0))*AQ12</f>
        <v>2583072.9166666665</v>
      </c>
      <c r="AR18" s="124">
        <f>INDEX('Commodity Prices'!$D$7:$D$22,MATCH($B18,'Commodity Prices'!$B$7:$B$22,0))*AR12</f>
        <v>2583072.9166666665</v>
      </c>
      <c r="AS18" s="124">
        <f>INDEX('Commodity Prices'!$D$7:$D$22,MATCH($B18,'Commodity Prices'!$B$7:$B$22,0))*AS12</f>
        <v>2583072.9166666665</v>
      </c>
      <c r="AT18" s="124">
        <f>INDEX('Commodity Prices'!$D$7:$D$22,MATCH($B18,'Commodity Prices'!$B$7:$B$22,0))*AT12</f>
        <v>2583072.9166666665</v>
      </c>
      <c r="AU18" s="124">
        <f>INDEX('Commodity Prices'!$D$7:$D$22,MATCH($B18,'Commodity Prices'!$B$7:$B$22,0))*AU12</f>
        <v>2583072.9166666665</v>
      </c>
      <c r="AV18" s="124">
        <f>INDEX('Commodity Prices'!$D$7:$D$22,MATCH($B18,'Commodity Prices'!$B$7:$B$22,0))*AV12</f>
        <v>2583072.9166666665</v>
      </c>
      <c r="AW18" s="124">
        <f>INDEX('Commodity Prices'!$D$7:$D$22,MATCH($B18,'Commodity Prices'!$B$7:$B$22,0))*AW12</f>
        <v>2583072.9166666665</v>
      </c>
      <c r="AX18" s="124">
        <f>INDEX('Commodity Prices'!$D$7:$D$22,MATCH($B18,'Commodity Prices'!$B$7:$B$22,0))*AX12</f>
        <v>2583072.9166666665</v>
      </c>
      <c r="AY18" s="124">
        <f>INDEX('Commodity Prices'!$D$7:$D$22,MATCH($B18,'Commodity Prices'!$B$7:$B$22,0))*AY12</f>
        <v>2583072.9166666665</v>
      </c>
      <c r="AZ18" s="124">
        <f>INDEX('Commodity Prices'!$D$7:$D$22,MATCH($B18,'Commodity Prices'!$B$7:$B$22,0))*AZ12</f>
        <v>2583072.9166666665</v>
      </c>
      <c r="BA18" s="124">
        <f>INDEX('Commodity Prices'!$D$7:$D$22,MATCH($B18,'Commodity Prices'!$B$7:$B$22,0))*BA12</f>
        <v>2583072.9166666665</v>
      </c>
      <c r="BB18" s="124">
        <f>INDEX('Commodity Prices'!$D$7:$D$22,MATCH($B18,'Commodity Prices'!$B$7:$B$22,0))*BB12</f>
        <v>2583072.9166666665</v>
      </c>
      <c r="BC18" s="124">
        <f>INDEX('Commodity Prices'!$D$7:$D$22,MATCH($B18,'Commodity Prices'!$B$7:$B$22,0))*BC12</f>
        <v>2583072.9166666665</v>
      </c>
      <c r="BD18" s="124">
        <f>INDEX('Commodity Prices'!$D$7:$D$22,MATCH($B18,'Commodity Prices'!$B$7:$B$22,0))*BD12</f>
        <v>2583072.9166666665</v>
      </c>
      <c r="BE18" s="124">
        <f>INDEX('Commodity Prices'!$D$7:$D$22,MATCH($B18,'Commodity Prices'!$B$7:$B$22,0))*BE12</f>
        <v>2583072.9166666665</v>
      </c>
      <c r="BF18" s="124">
        <f>INDEX('Commodity Prices'!$D$7:$D$22,MATCH($B18,'Commodity Prices'!$B$7:$B$22,0))*BF12</f>
        <v>2583072.9166666665</v>
      </c>
      <c r="BG18" s="124">
        <f>INDEX('Commodity Prices'!$D$7:$D$22,MATCH($B18,'Commodity Prices'!$B$7:$B$22,0))*BG12</f>
        <v>2583072.9166666665</v>
      </c>
      <c r="BH18" s="124">
        <f>INDEX('Commodity Prices'!$D$7:$D$22,MATCH($B18,'Commodity Prices'!$B$7:$B$22,0))*BH12</f>
        <v>2583072.9166666665</v>
      </c>
      <c r="BI18" s="124">
        <f>INDEX('Commodity Prices'!$D$7:$D$22,MATCH($B18,'Commodity Prices'!$B$7:$B$22,0))*BI12</f>
        <v>2583072.9166666665</v>
      </c>
      <c r="BJ18" s="124">
        <f>INDEX('Commodity Prices'!$D$7:$D$22,MATCH($B18,'Commodity Prices'!$B$7:$B$22,0))*BJ12</f>
        <v>2583072.9166666665</v>
      </c>
      <c r="BK18" s="124">
        <f>INDEX('Commodity Prices'!$D$7:$D$22,MATCH($B18,'Commodity Prices'!$B$7:$B$22,0))*BK12</f>
        <v>2583072.9166666665</v>
      </c>
      <c r="BL18" s="124">
        <f>INDEX('Commodity Prices'!$D$7:$D$22,MATCH($B18,'Commodity Prices'!$B$7:$B$22,0))*BL12</f>
        <v>2583072.9166666665</v>
      </c>
      <c r="BM18" s="124">
        <f>INDEX('Commodity Prices'!$D$7:$D$22,MATCH($B18,'Commodity Prices'!$B$7:$B$22,0))*BM12</f>
        <v>2583072.9166666665</v>
      </c>
      <c r="BN18" s="124">
        <f>INDEX('Commodity Prices'!$D$7:$D$22,MATCH($B18,'Commodity Prices'!$B$7:$B$22,0))*BN12</f>
        <v>2583072.9166666665</v>
      </c>
      <c r="BO18" s="124">
        <f>INDEX('Commodity Prices'!$D$7:$D$22,MATCH($B18,'Commodity Prices'!$B$7:$B$22,0))*BO12</f>
        <v>2583072.9166666665</v>
      </c>
      <c r="BP18" s="124">
        <f>INDEX('Commodity Prices'!$D$7:$D$22,MATCH($B18,'Commodity Prices'!$B$7:$B$22,0))*BP12</f>
        <v>2583072.9166666665</v>
      </c>
      <c r="BQ18" s="124">
        <f>INDEX('Commodity Prices'!$D$7:$D$22,MATCH($B18,'Commodity Prices'!$B$7:$B$22,0))*BQ12</f>
        <v>2583072.9166666665</v>
      </c>
      <c r="BR18" s="124">
        <f>INDEX('Commodity Prices'!$D$7:$D$22,MATCH($B18,'Commodity Prices'!$B$7:$B$22,0))*BR12</f>
        <v>2583072.9166666665</v>
      </c>
      <c r="BS18" s="124">
        <f>INDEX('Commodity Prices'!$D$7:$D$22,MATCH($B18,'Commodity Prices'!$B$7:$B$22,0))*BS12</f>
        <v>2583072.9166666665</v>
      </c>
      <c r="BT18" s="124">
        <f>INDEX('Commodity Prices'!$D$7:$D$22,MATCH($B18,'Commodity Prices'!$B$7:$B$22,0))*BT12</f>
        <v>2583072.9166666665</v>
      </c>
      <c r="BU18" s="124">
        <f>INDEX('Commodity Prices'!$D$7:$D$22,MATCH($B18,'Commodity Prices'!$B$7:$B$22,0))*BU12</f>
        <v>2583072.9166666665</v>
      </c>
      <c r="BV18" s="124">
        <f>INDEX('Commodity Prices'!$D$7:$D$22,MATCH($B18,'Commodity Prices'!$B$7:$B$22,0))*BV12</f>
        <v>2583072.9166666665</v>
      </c>
      <c r="BW18" s="124">
        <f>INDEX('Commodity Prices'!$D$7:$D$22,MATCH($B18,'Commodity Prices'!$B$7:$B$22,0))*BW12</f>
        <v>2583072.9166666665</v>
      </c>
      <c r="BX18" s="124">
        <f>INDEX('Commodity Prices'!$D$7:$D$22,MATCH($B18,'Commodity Prices'!$B$7:$B$22,0))*BX12</f>
        <v>2583072.9166666665</v>
      </c>
      <c r="BY18" s="124">
        <f>INDEX('Commodity Prices'!$D$7:$D$22,MATCH($B18,'Commodity Prices'!$B$7:$B$22,0))*BY12</f>
        <v>2583072.9166666665</v>
      </c>
      <c r="BZ18" s="124">
        <f>INDEX('Commodity Prices'!$D$7:$D$22,MATCH($B18,'Commodity Prices'!$B$7:$B$22,0))*BZ12</f>
        <v>2583072.9166666665</v>
      </c>
      <c r="CA18" s="124">
        <f>INDEX('Commodity Prices'!$D$7:$D$22,MATCH($B18,'Commodity Prices'!$B$7:$B$22,0))*CA12</f>
        <v>2583072.9166666665</v>
      </c>
      <c r="CB18" s="124">
        <f>INDEX('Commodity Prices'!$D$7:$D$22,MATCH($B18,'Commodity Prices'!$B$7:$B$22,0))*CB12</f>
        <v>2583072.9166666665</v>
      </c>
      <c r="CC18" s="124">
        <f>INDEX('Commodity Prices'!$D$7:$D$22,MATCH($B18,'Commodity Prices'!$B$7:$B$22,0))*CC12</f>
        <v>2583072.9166666665</v>
      </c>
      <c r="CD18" s="124">
        <f>INDEX('Commodity Prices'!$D$7:$D$22,MATCH($B18,'Commodity Prices'!$B$7:$B$22,0))*CD12</f>
        <v>2583072.9166666665</v>
      </c>
      <c r="CE18" s="124">
        <f>INDEX('Commodity Prices'!$D$7:$D$22,MATCH($B18,'Commodity Prices'!$B$7:$B$22,0))*CE12</f>
        <v>2583072.9166666665</v>
      </c>
      <c r="CF18" s="124">
        <f>INDEX('Commodity Prices'!$D$7:$D$22,MATCH($B18,'Commodity Prices'!$B$7:$B$22,0))*CF12</f>
        <v>2583072.9166666665</v>
      </c>
      <c r="CG18" s="124">
        <f>INDEX('Commodity Prices'!$D$7:$D$22,MATCH($B18,'Commodity Prices'!$B$7:$B$22,0))*CG12</f>
        <v>2583072.9166666665</v>
      </c>
      <c r="CH18" s="124">
        <f>INDEX('Commodity Prices'!$D$7:$D$22,MATCH($B18,'Commodity Prices'!$B$7:$B$22,0))*CH12</f>
        <v>2583072.9166666665</v>
      </c>
      <c r="CI18" s="124">
        <f>INDEX('Commodity Prices'!$D$7:$D$22,MATCH($B18,'Commodity Prices'!$B$7:$B$22,0))*CI12</f>
        <v>2583072.9166666665</v>
      </c>
      <c r="CJ18" s="124">
        <f>INDEX('Commodity Prices'!$D$7:$D$22,MATCH($B18,'Commodity Prices'!$B$7:$B$22,0))*CJ12</f>
        <v>2583072.9166666665</v>
      </c>
      <c r="CK18" s="124">
        <f>INDEX('Commodity Prices'!$D$7:$D$22,MATCH($B18,'Commodity Prices'!$B$7:$B$22,0))*CK12</f>
        <v>2583072.9166666665</v>
      </c>
      <c r="CL18" s="124">
        <f>INDEX('Commodity Prices'!$D$7:$D$22,MATCH($B18,'Commodity Prices'!$B$7:$B$22,0))*CL12</f>
        <v>2583072.9166666665</v>
      </c>
      <c r="CM18" s="124">
        <f>INDEX('Commodity Prices'!$D$7:$D$22,MATCH($B18,'Commodity Prices'!$B$7:$B$22,0))*CM12</f>
        <v>2583072.9166666665</v>
      </c>
      <c r="CN18" s="124">
        <f>INDEX('Commodity Prices'!$D$7:$D$22,MATCH($B18,'Commodity Prices'!$B$7:$B$22,0))*CN12</f>
        <v>2583072.9166666665</v>
      </c>
      <c r="CO18" s="124">
        <f>INDEX('Commodity Prices'!$D$7:$D$22,MATCH($B18,'Commodity Prices'!$B$7:$B$22,0))*CO12</f>
        <v>2583072.9166666665</v>
      </c>
      <c r="CP18" s="124">
        <f>INDEX('Commodity Prices'!$D$7:$D$22,MATCH($B18,'Commodity Prices'!$B$7:$B$22,0))*CP12</f>
        <v>2583072.9166666665</v>
      </c>
      <c r="CQ18" s="124">
        <f>INDEX('Commodity Prices'!$D$7:$D$22,MATCH($B18,'Commodity Prices'!$B$7:$B$22,0))*CQ12</f>
        <v>2583072.9166666665</v>
      </c>
      <c r="CR18" s="124">
        <f>INDEX('Commodity Prices'!$D$7:$D$22,MATCH($B18,'Commodity Prices'!$B$7:$B$22,0))*CR12</f>
        <v>2583072.9166666665</v>
      </c>
      <c r="CS18" s="124">
        <f>INDEX('Commodity Prices'!$D$7:$D$22,MATCH($B18,'Commodity Prices'!$B$7:$B$22,0))*CS12</f>
        <v>2583072.9166666665</v>
      </c>
      <c r="CT18" s="124">
        <f>INDEX('Commodity Prices'!$D$7:$D$22,MATCH($B18,'Commodity Prices'!$B$7:$B$22,0))*CT12</f>
        <v>2583072.9166666665</v>
      </c>
      <c r="CU18" s="124">
        <f>INDEX('Commodity Prices'!$D$7:$D$22,MATCH($B18,'Commodity Prices'!$B$7:$B$22,0))*CU12</f>
        <v>2583072.9166666665</v>
      </c>
      <c r="CV18" s="124">
        <f>INDEX('Commodity Prices'!$D$7:$D$22,MATCH($B18,'Commodity Prices'!$B$7:$B$22,0))*CV12</f>
        <v>2583072.9166666665</v>
      </c>
      <c r="CW18" s="124">
        <f>INDEX('Commodity Prices'!$D$7:$D$22,MATCH($B18,'Commodity Prices'!$B$7:$B$22,0))*CW12</f>
        <v>2583072.9166666665</v>
      </c>
      <c r="CX18" s="124">
        <f>INDEX('Commodity Prices'!$D$7:$D$22,MATCH($B18,'Commodity Prices'!$B$7:$B$22,0))*CX12</f>
        <v>2583072.9166666665</v>
      </c>
      <c r="CY18" s="124">
        <f>INDEX('Commodity Prices'!$D$7:$D$22,MATCH($B18,'Commodity Prices'!$B$7:$B$22,0))*CY12</f>
        <v>2583072.9166666665</v>
      </c>
      <c r="CZ18" s="124">
        <f>INDEX('Commodity Prices'!$D$7:$D$22,MATCH($B18,'Commodity Prices'!$B$7:$B$22,0))*CZ12</f>
        <v>2583072.9166666665</v>
      </c>
      <c r="DA18" s="124">
        <f>INDEX('Commodity Prices'!$D$7:$D$22,MATCH($B18,'Commodity Prices'!$B$7:$B$22,0))*DA12</f>
        <v>2583072.9166666665</v>
      </c>
      <c r="DB18" s="124">
        <f>INDEX('Commodity Prices'!$D$7:$D$22,MATCH($B18,'Commodity Prices'!$B$7:$B$22,0))*DB12</f>
        <v>2583072.9166666665</v>
      </c>
      <c r="DC18" s="124">
        <f>INDEX('Commodity Prices'!$D$7:$D$22,MATCH($B18,'Commodity Prices'!$B$7:$B$22,0))*DC12</f>
        <v>2583072.9166666665</v>
      </c>
      <c r="DD18" s="124">
        <f>INDEX('Commodity Prices'!$D$7:$D$22,MATCH($B18,'Commodity Prices'!$B$7:$B$22,0))*DD12</f>
        <v>2583072.9166666665</v>
      </c>
      <c r="DE18" s="124">
        <f>INDEX('Commodity Prices'!$D$7:$D$22,MATCH($B18,'Commodity Prices'!$B$7:$B$22,0))*DE12</f>
        <v>2583072.9166666665</v>
      </c>
      <c r="DF18" s="124">
        <f>INDEX('Commodity Prices'!$D$7:$D$22,MATCH($B18,'Commodity Prices'!$B$7:$B$22,0))*DF12</f>
        <v>2583072.9166666665</v>
      </c>
      <c r="DG18" s="124">
        <f>INDEX('Commodity Prices'!$D$7:$D$22,MATCH($B18,'Commodity Prices'!$B$7:$B$22,0))*DG12</f>
        <v>2583072.9166666665</v>
      </c>
      <c r="DH18" s="124">
        <f>INDEX('Commodity Prices'!$D$7:$D$22,MATCH($B18,'Commodity Prices'!$B$7:$B$22,0))*DH12</f>
        <v>2583072.9166666665</v>
      </c>
      <c r="DI18" s="124">
        <f>INDEX('Commodity Prices'!$D$7:$D$22,MATCH($B18,'Commodity Prices'!$B$7:$B$22,0))*DI12</f>
        <v>2583072.9166666665</v>
      </c>
      <c r="DJ18" s="124">
        <f>INDEX('Commodity Prices'!$D$7:$D$22,MATCH($B18,'Commodity Prices'!$B$7:$B$22,0))*DJ12</f>
        <v>2583072.9166666665</v>
      </c>
      <c r="DK18" s="124">
        <f>INDEX('Commodity Prices'!$D$7:$D$22,MATCH($B18,'Commodity Prices'!$B$7:$B$22,0))*DK12</f>
        <v>2583072.9166666665</v>
      </c>
      <c r="DL18" s="124">
        <f>INDEX('Commodity Prices'!$D$7:$D$22,MATCH($B18,'Commodity Prices'!$B$7:$B$22,0))*DL12</f>
        <v>2583072.9166666665</v>
      </c>
      <c r="DM18" s="124">
        <f>INDEX('Commodity Prices'!$D$7:$D$22,MATCH($B18,'Commodity Prices'!$B$7:$B$22,0))*DM12</f>
        <v>2583072.9166666665</v>
      </c>
      <c r="DN18" s="124">
        <f>INDEX('Commodity Prices'!$D$7:$D$22,MATCH($B18,'Commodity Prices'!$B$7:$B$22,0))*DN12</f>
        <v>2583072.9166666665</v>
      </c>
      <c r="DO18" s="124">
        <f>INDEX('Commodity Prices'!$D$7:$D$22,MATCH($B18,'Commodity Prices'!$B$7:$B$22,0))*DO12</f>
        <v>2583072.9166666665</v>
      </c>
      <c r="DP18" s="124">
        <f>INDEX('Commodity Prices'!$D$7:$D$22,MATCH($B18,'Commodity Prices'!$B$7:$B$22,0))*DP12</f>
        <v>2583072.9166666665</v>
      </c>
      <c r="DQ18" s="124">
        <f>INDEX('Commodity Prices'!$D$7:$D$22,MATCH($B18,'Commodity Prices'!$B$7:$B$22,0))*DQ12</f>
        <v>2583072.9166666665</v>
      </c>
      <c r="DR18" s="124">
        <f>INDEX('Commodity Prices'!$D$7:$D$22,MATCH($B18,'Commodity Prices'!$B$7:$B$22,0))*DR12</f>
        <v>2583072.9166666665</v>
      </c>
    </row>
    <row r="19" spans="2:122" x14ac:dyDescent="0.3">
      <c r="B19" s="52" t="str">
        <f>+B13</f>
        <v>Gallium</v>
      </c>
      <c r="C19" s="124">
        <f>INDEX('Commodity Prices'!$D$7:$D$22,MATCH($B19,'Commodity Prices'!$B$7:$B$22,0))*C13</f>
        <v>0</v>
      </c>
      <c r="D19" s="124">
        <f>INDEX('Commodity Prices'!$D$7:$D$22,MATCH($B19,'Commodity Prices'!$B$7:$B$22,0))*D13</f>
        <v>0</v>
      </c>
      <c r="E19" s="124">
        <f>INDEX('Commodity Prices'!$D$7:$D$22,MATCH($B19,'Commodity Prices'!$B$7:$B$22,0))*E13</f>
        <v>0</v>
      </c>
      <c r="F19" s="124">
        <f>INDEX('Commodity Prices'!$D$7:$D$22,MATCH($B19,'Commodity Prices'!$B$7:$B$22,0))*F13</f>
        <v>0</v>
      </c>
      <c r="G19" s="124">
        <f>INDEX('Commodity Prices'!$D$7:$D$22,MATCH($B19,'Commodity Prices'!$B$7:$B$22,0))*G13</f>
        <v>40625.000000000007</v>
      </c>
      <c r="H19" s="124">
        <f>INDEX('Commodity Prices'!$D$7:$D$22,MATCH($B19,'Commodity Prices'!$B$7:$B$22,0))*H13</f>
        <v>40625.000000000007</v>
      </c>
      <c r="I19" s="124">
        <f>INDEX('Commodity Prices'!$D$7:$D$22,MATCH($B19,'Commodity Prices'!$B$7:$B$22,0))*I13</f>
        <v>40625.000000000007</v>
      </c>
      <c r="J19" s="124">
        <f>INDEX('Commodity Prices'!$D$7:$D$22,MATCH($B19,'Commodity Prices'!$B$7:$B$22,0))*J13</f>
        <v>40625.000000000007</v>
      </c>
      <c r="K19" s="124">
        <f>INDEX('Commodity Prices'!$D$7:$D$22,MATCH($B19,'Commodity Prices'!$B$7:$B$22,0))*K13</f>
        <v>40625.000000000007</v>
      </c>
      <c r="L19" s="124">
        <f>INDEX('Commodity Prices'!$D$7:$D$22,MATCH($B19,'Commodity Prices'!$B$7:$B$22,0))*L13</f>
        <v>40625.000000000007</v>
      </c>
      <c r="M19" s="124">
        <f>INDEX('Commodity Prices'!$D$7:$D$22,MATCH($B19,'Commodity Prices'!$B$7:$B$22,0))*M13</f>
        <v>81250.000000000015</v>
      </c>
      <c r="N19" s="124">
        <f>INDEX('Commodity Prices'!$D$7:$D$22,MATCH($B19,'Commodity Prices'!$B$7:$B$22,0))*N13</f>
        <v>81250.000000000015</v>
      </c>
      <c r="O19" s="124">
        <f>INDEX('Commodity Prices'!$D$7:$D$22,MATCH($B19,'Commodity Prices'!$B$7:$B$22,0))*O13</f>
        <v>81250.000000000015</v>
      </c>
      <c r="P19" s="124">
        <f>INDEX('Commodity Prices'!$D$7:$D$22,MATCH($B19,'Commodity Prices'!$B$7:$B$22,0))*P13</f>
        <v>81250.000000000015</v>
      </c>
      <c r="Q19" s="124">
        <f>INDEX('Commodity Prices'!$D$7:$D$22,MATCH($B19,'Commodity Prices'!$B$7:$B$22,0))*Q13</f>
        <v>81250.000000000015</v>
      </c>
      <c r="R19" s="124">
        <f>INDEX('Commodity Prices'!$D$7:$D$22,MATCH($B19,'Commodity Prices'!$B$7:$B$22,0))*R13</f>
        <v>81250.000000000015</v>
      </c>
      <c r="S19" s="124">
        <f>INDEX('Commodity Prices'!$D$7:$D$22,MATCH($B19,'Commodity Prices'!$B$7:$B$22,0))*S13</f>
        <v>81250.000000000015</v>
      </c>
      <c r="T19" s="124">
        <f>INDEX('Commodity Prices'!$D$7:$D$22,MATCH($B19,'Commodity Prices'!$B$7:$B$22,0))*T13</f>
        <v>81250.000000000015</v>
      </c>
      <c r="U19" s="124">
        <f>INDEX('Commodity Prices'!$D$7:$D$22,MATCH($B19,'Commodity Prices'!$B$7:$B$22,0))*U13</f>
        <v>81250.000000000015</v>
      </c>
      <c r="V19" s="124">
        <f>INDEX('Commodity Prices'!$D$7:$D$22,MATCH($B19,'Commodity Prices'!$B$7:$B$22,0))*V13</f>
        <v>81250.000000000015</v>
      </c>
      <c r="W19" s="124">
        <f>INDEX('Commodity Prices'!$D$7:$D$22,MATCH($B19,'Commodity Prices'!$B$7:$B$22,0))*W13</f>
        <v>81250.000000000015</v>
      </c>
      <c r="X19" s="124">
        <f>INDEX('Commodity Prices'!$D$7:$D$22,MATCH($B19,'Commodity Prices'!$B$7:$B$22,0))*X13</f>
        <v>81250.000000000015</v>
      </c>
      <c r="Y19" s="124">
        <f>INDEX('Commodity Prices'!$D$7:$D$22,MATCH($B19,'Commodity Prices'!$B$7:$B$22,0))*Y13</f>
        <v>81250.000000000015</v>
      </c>
      <c r="Z19" s="124">
        <f>INDEX('Commodity Prices'!$D$7:$D$22,MATCH($B19,'Commodity Prices'!$B$7:$B$22,0))*Z13</f>
        <v>81250.000000000015</v>
      </c>
      <c r="AA19" s="124">
        <f>INDEX('Commodity Prices'!$D$7:$D$22,MATCH($B19,'Commodity Prices'!$B$7:$B$22,0))*AA13</f>
        <v>81250.000000000015</v>
      </c>
      <c r="AB19" s="124">
        <f>INDEX('Commodity Prices'!$D$7:$D$22,MATCH($B19,'Commodity Prices'!$B$7:$B$22,0))*AB13</f>
        <v>81250.000000000015</v>
      </c>
      <c r="AC19" s="124">
        <f>INDEX('Commodity Prices'!$D$7:$D$22,MATCH($B19,'Commodity Prices'!$B$7:$B$22,0))*AC13</f>
        <v>81250.000000000015</v>
      </c>
      <c r="AD19" s="124">
        <f>INDEX('Commodity Prices'!$D$7:$D$22,MATCH($B19,'Commodity Prices'!$B$7:$B$22,0))*AD13</f>
        <v>81250.000000000015</v>
      </c>
      <c r="AE19" s="124">
        <f>INDEX('Commodity Prices'!$D$7:$D$22,MATCH($B19,'Commodity Prices'!$B$7:$B$22,0))*AE13</f>
        <v>81250.000000000015</v>
      </c>
      <c r="AF19" s="124">
        <f>INDEX('Commodity Prices'!$D$7:$D$22,MATCH($B19,'Commodity Prices'!$B$7:$B$22,0))*AF13</f>
        <v>81250.000000000015</v>
      </c>
      <c r="AG19" s="124">
        <f>INDEX('Commodity Prices'!$D$7:$D$22,MATCH($B19,'Commodity Prices'!$B$7:$B$22,0))*AG13</f>
        <v>81250.000000000015</v>
      </c>
      <c r="AH19" s="124">
        <f>INDEX('Commodity Prices'!$D$7:$D$22,MATCH($B19,'Commodity Prices'!$B$7:$B$22,0))*AH13</f>
        <v>81250.000000000015</v>
      </c>
      <c r="AI19" s="124">
        <f>INDEX('Commodity Prices'!$D$7:$D$22,MATCH($B19,'Commodity Prices'!$B$7:$B$22,0))*AI13</f>
        <v>81250.000000000015</v>
      </c>
      <c r="AJ19" s="124">
        <f>INDEX('Commodity Prices'!$D$7:$D$22,MATCH($B19,'Commodity Prices'!$B$7:$B$22,0))*AJ13</f>
        <v>81250.000000000015</v>
      </c>
      <c r="AK19" s="124">
        <f>INDEX('Commodity Prices'!$D$7:$D$22,MATCH($B19,'Commodity Prices'!$B$7:$B$22,0))*AK13</f>
        <v>81250.000000000015</v>
      </c>
      <c r="AL19" s="124">
        <f>INDEX('Commodity Prices'!$D$7:$D$22,MATCH($B19,'Commodity Prices'!$B$7:$B$22,0))*AL13</f>
        <v>81250.000000000015</v>
      </c>
      <c r="AM19" s="124">
        <f>INDEX('Commodity Prices'!$D$7:$D$22,MATCH($B19,'Commodity Prices'!$B$7:$B$22,0))*AM13</f>
        <v>81250.000000000015</v>
      </c>
      <c r="AN19" s="124">
        <f>INDEX('Commodity Prices'!$D$7:$D$22,MATCH($B19,'Commodity Prices'!$B$7:$B$22,0))*AN13</f>
        <v>81250.000000000015</v>
      </c>
      <c r="AO19" s="124">
        <f>INDEX('Commodity Prices'!$D$7:$D$22,MATCH($B19,'Commodity Prices'!$B$7:$B$22,0))*AO13</f>
        <v>81250.000000000015</v>
      </c>
      <c r="AP19" s="124">
        <f>INDEX('Commodity Prices'!$D$7:$D$22,MATCH($B19,'Commodity Prices'!$B$7:$B$22,0))*AP13</f>
        <v>81250.000000000015</v>
      </c>
      <c r="AQ19" s="124">
        <f>INDEX('Commodity Prices'!$D$7:$D$22,MATCH($B19,'Commodity Prices'!$B$7:$B$22,0))*AQ13</f>
        <v>81250.000000000015</v>
      </c>
      <c r="AR19" s="124">
        <f>INDEX('Commodity Prices'!$D$7:$D$22,MATCH($B19,'Commodity Prices'!$B$7:$B$22,0))*AR13</f>
        <v>81250.000000000015</v>
      </c>
      <c r="AS19" s="124">
        <f>INDEX('Commodity Prices'!$D$7:$D$22,MATCH($B19,'Commodity Prices'!$B$7:$B$22,0))*AS13</f>
        <v>81250.000000000015</v>
      </c>
      <c r="AT19" s="124">
        <f>INDEX('Commodity Prices'!$D$7:$D$22,MATCH($B19,'Commodity Prices'!$B$7:$B$22,0))*AT13</f>
        <v>81250.000000000015</v>
      </c>
      <c r="AU19" s="124">
        <f>INDEX('Commodity Prices'!$D$7:$D$22,MATCH($B19,'Commodity Prices'!$B$7:$B$22,0))*AU13</f>
        <v>81250.000000000015</v>
      </c>
      <c r="AV19" s="124">
        <f>INDEX('Commodity Prices'!$D$7:$D$22,MATCH($B19,'Commodity Prices'!$B$7:$B$22,0))*AV13</f>
        <v>81250.000000000015</v>
      </c>
      <c r="AW19" s="124">
        <f>INDEX('Commodity Prices'!$D$7:$D$22,MATCH($B19,'Commodity Prices'!$B$7:$B$22,0))*AW13</f>
        <v>81250.000000000015</v>
      </c>
      <c r="AX19" s="124">
        <f>INDEX('Commodity Prices'!$D$7:$D$22,MATCH($B19,'Commodity Prices'!$B$7:$B$22,0))*AX13</f>
        <v>81250.000000000015</v>
      </c>
      <c r="AY19" s="124">
        <f>INDEX('Commodity Prices'!$D$7:$D$22,MATCH($B19,'Commodity Prices'!$B$7:$B$22,0))*AY13</f>
        <v>81250.000000000015</v>
      </c>
      <c r="AZ19" s="124">
        <f>INDEX('Commodity Prices'!$D$7:$D$22,MATCH($B19,'Commodity Prices'!$B$7:$B$22,0))*AZ13</f>
        <v>81250.000000000015</v>
      </c>
      <c r="BA19" s="124">
        <f>INDEX('Commodity Prices'!$D$7:$D$22,MATCH($B19,'Commodity Prices'!$B$7:$B$22,0))*BA13</f>
        <v>81250.000000000015</v>
      </c>
      <c r="BB19" s="124">
        <f>INDEX('Commodity Prices'!$D$7:$D$22,MATCH($B19,'Commodity Prices'!$B$7:$B$22,0))*BB13</f>
        <v>81250.000000000015</v>
      </c>
      <c r="BC19" s="124">
        <f>INDEX('Commodity Prices'!$D$7:$D$22,MATCH($B19,'Commodity Prices'!$B$7:$B$22,0))*BC13</f>
        <v>81250.000000000015</v>
      </c>
      <c r="BD19" s="124">
        <f>INDEX('Commodity Prices'!$D$7:$D$22,MATCH($B19,'Commodity Prices'!$B$7:$B$22,0))*BD13</f>
        <v>81250.000000000015</v>
      </c>
      <c r="BE19" s="124">
        <f>INDEX('Commodity Prices'!$D$7:$D$22,MATCH($B19,'Commodity Prices'!$B$7:$B$22,0))*BE13</f>
        <v>81250.000000000015</v>
      </c>
      <c r="BF19" s="124">
        <f>INDEX('Commodity Prices'!$D$7:$D$22,MATCH($B19,'Commodity Prices'!$B$7:$B$22,0))*BF13</f>
        <v>81250.000000000015</v>
      </c>
      <c r="BG19" s="124">
        <f>INDEX('Commodity Prices'!$D$7:$D$22,MATCH($B19,'Commodity Prices'!$B$7:$B$22,0))*BG13</f>
        <v>81250.000000000015</v>
      </c>
      <c r="BH19" s="124">
        <f>INDEX('Commodity Prices'!$D$7:$D$22,MATCH($B19,'Commodity Prices'!$B$7:$B$22,0))*BH13</f>
        <v>81250.000000000015</v>
      </c>
      <c r="BI19" s="124">
        <f>INDEX('Commodity Prices'!$D$7:$D$22,MATCH($B19,'Commodity Prices'!$B$7:$B$22,0))*BI13</f>
        <v>81250.000000000015</v>
      </c>
      <c r="BJ19" s="124">
        <f>INDEX('Commodity Prices'!$D$7:$D$22,MATCH($B19,'Commodity Prices'!$B$7:$B$22,0))*BJ13</f>
        <v>81250.000000000015</v>
      </c>
      <c r="BK19" s="124">
        <f>INDEX('Commodity Prices'!$D$7:$D$22,MATCH($B19,'Commodity Prices'!$B$7:$B$22,0))*BK13</f>
        <v>81250.000000000015</v>
      </c>
      <c r="BL19" s="124">
        <f>INDEX('Commodity Prices'!$D$7:$D$22,MATCH($B19,'Commodity Prices'!$B$7:$B$22,0))*BL13</f>
        <v>81250.000000000015</v>
      </c>
      <c r="BM19" s="124">
        <f>INDEX('Commodity Prices'!$D$7:$D$22,MATCH($B19,'Commodity Prices'!$B$7:$B$22,0))*BM13</f>
        <v>81250.000000000015</v>
      </c>
      <c r="BN19" s="124">
        <f>INDEX('Commodity Prices'!$D$7:$D$22,MATCH($B19,'Commodity Prices'!$B$7:$B$22,0))*BN13</f>
        <v>81250.000000000015</v>
      </c>
      <c r="BO19" s="124">
        <f>INDEX('Commodity Prices'!$D$7:$D$22,MATCH($B19,'Commodity Prices'!$B$7:$B$22,0))*BO13</f>
        <v>81250.000000000015</v>
      </c>
      <c r="BP19" s="124">
        <f>INDEX('Commodity Prices'!$D$7:$D$22,MATCH($B19,'Commodity Prices'!$B$7:$B$22,0))*BP13</f>
        <v>81250.000000000015</v>
      </c>
      <c r="BQ19" s="124">
        <f>INDEX('Commodity Prices'!$D$7:$D$22,MATCH($B19,'Commodity Prices'!$B$7:$B$22,0))*BQ13</f>
        <v>81250.000000000015</v>
      </c>
      <c r="BR19" s="124">
        <f>INDEX('Commodity Prices'!$D$7:$D$22,MATCH($B19,'Commodity Prices'!$B$7:$B$22,0))*BR13</f>
        <v>81250.000000000015</v>
      </c>
      <c r="BS19" s="124">
        <f>INDEX('Commodity Prices'!$D$7:$D$22,MATCH($B19,'Commodity Prices'!$B$7:$B$22,0))*BS13</f>
        <v>81250.000000000015</v>
      </c>
      <c r="BT19" s="124">
        <f>INDEX('Commodity Prices'!$D$7:$D$22,MATCH($B19,'Commodity Prices'!$B$7:$B$22,0))*BT13</f>
        <v>81250.000000000015</v>
      </c>
      <c r="BU19" s="124">
        <f>INDEX('Commodity Prices'!$D$7:$D$22,MATCH($B19,'Commodity Prices'!$B$7:$B$22,0))*BU13</f>
        <v>81250.000000000015</v>
      </c>
      <c r="BV19" s="124">
        <f>INDEX('Commodity Prices'!$D$7:$D$22,MATCH($B19,'Commodity Prices'!$B$7:$B$22,0))*BV13</f>
        <v>81250.000000000015</v>
      </c>
      <c r="BW19" s="124">
        <f>INDEX('Commodity Prices'!$D$7:$D$22,MATCH($B19,'Commodity Prices'!$B$7:$B$22,0))*BW13</f>
        <v>81250.000000000015</v>
      </c>
      <c r="BX19" s="124">
        <f>INDEX('Commodity Prices'!$D$7:$D$22,MATCH($B19,'Commodity Prices'!$B$7:$B$22,0))*BX13</f>
        <v>81250.000000000015</v>
      </c>
      <c r="BY19" s="124">
        <f>INDEX('Commodity Prices'!$D$7:$D$22,MATCH($B19,'Commodity Prices'!$B$7:$B$22,0))*BY13</f>
        <v>81250.000000000015</v>
      </c>
      <c r="BZ19" s="124">
        <f>INDEX('Commodity Prices'!$D$7:$D$22,MATCH($B19,'Commodity Prices'!$B$7:$B$22,0))*BZ13</f>
        <v>81250.000000000015</v>
      </c>
      <c r="CA19" s="124">
        <f>INDEX('Commodity Prices'!$D$7:$D$22,MATCH($B19,'Commodity Prices'!$B$7:$B$22,0))*CA13</f>
        <v>81250.000000000015</v>
      </c>
      <c r="CB19" s="124">
        <f>INDEX('Commodity Prices'!$D$7:$D$22,MATCH($B19,'Commodity Prices'!$B$7:$B$22,0))*CB13</f>
        <v>81250.000000000015</v>
      </c>
      <c r="CC19" s="124">
        <f>INDEX('Commodity Prices'!$D$7:$D$22,MATCH($B19,'Commodity Prices'!$B$7:$B$22,0))*CC13</f>
        <v>81250.000000000015</v>
      </c>
      <c r="CD19" s="124">
        <f>INDEX('Commodity Prices'!$D$7:$D$22,MATCH($B19,'Commodity Prices'!$B$7:$B$22,0))*CD13</f>
        <v>81250.000000000015</v>
      </c>
      <c r="CE19" s="124">
        <f>INDEX('Commodity Prices'!$D$7:$D$22,MATCH($B19,'Commodity Prices'!$B$7:$B$22,0))*CE13</f>
        <v>81250.000000000015</v>
      </c>
      <c r="CF19" s="124">
        <f>INDEX('Commodity Prices'!$D$7:$D$22,MATCH($B19,'Commodity Prices'!$B$7:$B$22,0))*CF13</f>
        <v>81250.000000000015</v>
      </c>
      <c r="CG19" s="124">
        <f>INDEX('Commodity Prices'!$D$7:$D$22,MATCH($B19,'Commodity Prices'!$B$7:$B$22,0))*CG13</f>
        <v>81250.000000000015</v>
      </c>
      <c r="CH19" s="124">
        <f>INDEX('Commodity Prices'!$D$7:$D$22,MATCH($B19,'Commodity Prices'!$B$7:$B$22,0))*CH13</f>
        <v>81250.000000000015</v>
      </c>
      <c r="CI19" s="124">
        <f>INDEX('Commodity Prices'!$D$7:$D$22,MATCH($B19,'Commodity Prices'!$B$7:$B$22,0))*CI13</f>
        <v>81250.000000000015</v>
      </c>
      <c r="CJ19" s="124">
        <f>INDEX('Commodity Prices'!$D$7:$D$22,MATCH($B19,'Commodity Prices'!$B$7:$B$22,0))*CJ13</f>
        <v>81250.000000000015</v>
      </c>
      <c r="CK19" s="124">
        <f>INDEX('Commodity Prices'!$D$7:$D$22,MATCH($B19,'Commodity Prices'!$B$7:$B$22,0))*CK13</f>
        <v>81250.000000000015</v>
      </c>
      <c r="CL19" s="124">
        <f>INDEX('Commodity Prices'!$D$7:$D$22,MATCH($B19,'Commodity Prices'!$B$7:$B$22,0))*CL13</f>
        <v>81250.000000000015</v>
      </c>
      <c r="CM19" s="124">
        <f>INDEX('Commodity Prices'!$D$7:$D$22,MATCH($B19,'Commodity Prices'!$B$7:$B$22,0))*CM13</f>
        <v>81250.000000000015</v>
      </c>
      <c r="CN19" s="124">
        <f>INDEX('Commodity Prices'!$D$7:$D$22,MATCH($B19,'Commodity Prices'!$B$7:$B$22,0))*CN13</f>
        <v>81250.000000000015</v>
      </c>
      <c r="CO19" s="124">
        <f>INDEX('Commodity Prices'!$D$7:$D$22,MATCH($B19,'Commodity Prices'!$B$7:$B$22,0))*CO13</f>
        <v>81250.000000000015</v>
      </c>
      <c r="CP19" s="124">
        <f>INDEX('Commodity Prices'!$D$7:$D$22,MATCH($B19,'Commodity Prices'!$B$7:$B$22,0))*CP13</f>
        <v>81250.000000000015</v>
      </c>
      <c r="CQ19" s="124">
        <f>INDEX('Commodity Prices'!$D$7:$D$22,MATCH($B19,'Commodity Prices'!$B$7:$B$22,0))*CQ13</f>
        <v>81250.000000000015</v>
      </c>
      <c r="CR19" s="124">
        <f>INDEX('Commodity Prices'!$D$7:$D$22,MATCH($B19,'Commodity Prices'!$B$7:$B$22,0))*CR13</f>
        <v>81250.000000000015</v>
      </c>
      <c r="CS19" s="124">
        <f>INDEX('Commodity Prices'!$D$7:$D$22,MATCH($B19,'Commodity Prices'!$B$7:$B$22,0))*CS13</f>
        <v>81250.000000000015</v>
      </c>
      <c r="CT19" s="124">
        <f>INDEX('Commodity Prices'!$D$7:$D$22,MATCH($B19,'Commodity Prices'!$B$7:$B$22,0))*CT13</f>
        <v>81250.000000000015</v>
      </c>
      <c r="CU19" s="124">
        <f>INDEX('Commodity Prices'!$D$7:$D$22,MATCH($B19,'Commodity Prices'!$B$7:$B$22,0))*CU13</f>
        <v>81250.000000000015</v>
      </c>
      <c r="CV19" s="124">
        <f>INDEX('Commodity Prices'!$D$7:$D$22,MATCH($B19,'Commodity Prices'!$B$7:$B$22,0))*CV13</f>
        <v>81250.000000000015</v>
      </c>
      <c r="CW19" s="124">
        <f>INDEX('Commodity Prices'!$D$7:$D$22,MATCH($B19,'Commodity Prices'!$B$7:$B$22,0))*CW13</f>
        <v>81250.000000000015</v>
      </c>
      <c r="CX19" s="124">
        <f>INDEX('Commodity Prices'!$D$7:$D$22,MATCH($B19,'Commodity Prices'!$B$7:$B$22,0))*CX13</f>
        <v>81250.000000000015</v>
      </c>
      <c r="CY19" s="124">
        <f>INDEX('Commodity Prices'!$D$7:$D$22,MATCH($B19,'Commodity Prices'!$B$7:$B$22,0))*CY13</f>
        <v>81250.000000000015</v>
      </c>
      <c r="CZ19" s="124">
        <f>INDEX('Commodity Prices'!$D$7:$D$22,MATCH($B19,'Commodity Prices'!$B$7:$B$22,0))*CZ13</f>
        <v>81250.000000000015</v>
      </c>
      <c r="DA19" s="124">
        <f>INDEX('Commodity Prices'!$D$7:$D$22,MATCH($B19,'Commodity Prices'!$B$7:$B$22,0))*DA13</f>
        <v>81250.000000000015</v>
      </c>
      <c r="DB19" s="124">
        <f>INDEX('Commodity Prices'!$D$7:$D$22,MATCH($B19,'Commodity Prices'!$B$7:$B$22,0))*DB13</f>
        <v>81250.000000000015</v>
      </c>
      <c r="DC19" s="124">
        <f>INDEX('Commodity Prices'!$D$7:$D$22,MATCH($B19,'Commodity Prices'!$B$7:$B$22,0))*DC13</f>
        <v>81250.000000000015</v>
      </c>
      <c r="DD19" s="124">
        <f>INDEX('Commodity Prices'!$D$7:$D$22,MATCH($B19,'Commodity Prices'!$B$7:$B$22,0))*DD13</f>
        <v>81250.000000000015</v>
      </c>
      <c r="DE19" s="124">
        <f>INDEX('Commodity Prices'!$D$7:$D$22,MATCH($B19,'Commodity Prices'!$B$7:$B$22,0))*DE13</f>
        <v>81250.000000000015</v>
      </c>
      <c r="DF19" s="124">
        <f>INDEX('Commodity Prices'!$D$7:$D$22,MATCH($B19,'Commodity Prices'!$B$7:$B$22,0))*DF13</f>
        <v>81250.000000000015</v>
      </c>
      <c r="DG19" s="124">
        <f>INDEX('Commodity Prices'!$D$7:$D$22,MATCH($B19,'Commodity Prices'!$B$7:$B$22,0))*DG13</f>
        <v>81250.000000000015</v>
      </c>
      <c r="DH19" s="124">
        <f>INDEX('Commodity Prices'!$D$7:$D$22,MATCH($B19,'Commodity Prices'!$B$7:$B$22,0))*DH13</f>
        <v>81250.000000000015</v>
      </c>
      <c r="DI19" s="124">
        <f>INDEX('Commodity Prices'!$D$7:$D$22,MATCH($B19,'Commodity Prices'!$B$7:$B$22,0))*DI13</f>
        <v>81250.000000000015</v>
      </c>
      <c r="DJ19" s="124">
        <f>INDEX('Commodity Prices'!$D$7:$D$22,MATCH($B19,'Commodity Prices'!$B$7:$B$22,0))*DJ13</f>
        <v>81250.000000000015</v>
      </c>
      <c r="DK19" s="124">
        <f>INDEX('Commodity Prices'!$D$7:$D$22,MATCH($B19,'Commodity Prices'!$B$7:$B$22,0))*DK13</f>
        <v>81250.000000000015</v>
      </c>
      <c r="DL19" s="124">
        <f>INDEX('Commodity Prices'!$D$7:$D$22,MATCH($B19,'Commodity Prices'!$B$7:$B$22,0))*DL13</f>
        <v>81250.000000000015</v>
      </c>
      <c r="DM19" s="124">
        <f>INDEX('Commodity Prices'!$D$7:$D$22,MATCH($B19,'Commodity Prices'!$B$7:$B$22,0))*DM13</f>
        <v>81250.000000000015</v>
      </c>
      <c r="DN19" s="124">
        <f>INDEX('Commodity Prices'!$D$7:$D$22,MATCH($B19,'Commodity Prices'!$B$7:$B$22,0))*DN13</f>
        <v>81250.000000000015</v>
      </c>
      <c r="DO19" s="124">
        <f>INDEX('Commodity Prices'!$D$7:$D$22,MATCH($B19,'Commodity Prices'!$B$7:$B$22,0))*DO13</f>
        <v>81250.000000000015</v>
      </c>
      <c r="DP19" s="124">
        <f>INDEX('Commodity Prices'!$D$7:$D$22,MATCH($B19,'Commodity Prices'!$B$7:$B$22,0))*DP13</f>
        <v>81250.000000000015</v>
      </c>
      <c r="DQ19" s="124">
        <f>INDEX('Commodity Prices'!$D$7:$D$22,MATCH($B19,'Commodity Prices'!$B$7:$B$22,0))*DQ13</f>
        <v>81250.000000000015</v>
      </c>
      <c r="DR19" s="124">
        <f>INDEX('Commodity Prices'!$D$7:$D$22,MATCH($B19,'Commodity Prices'!$B$7:$B$22,0))*DR13</f>
        <v>81250.000000000015</v>
      </c>
    </row>
    <row r="20" spans="2:122" x14ac:dyDescent="0.3">
      <c r="B20" s="52" t="str">
        <f>+B14</f>
        <v>Indium</v>
      </c>
      <c r="C20" s="124">
        <f>INDEX('Commodity Prices'!$D$7:$D$22,MATCH($B20,'Commodity Prices'!$B$7:$B$22,0))*C14</f>
        <v>0</v>
      </c>
      <c r="D20" s="124">
        <f>INDEX('Commodity Prices'!$D$7:$D$22,MATCH($B20,'Commodity Prices'!$B$7:$B$22,0))*D14</f>
        <v>0</v>
      </c>
      <c r="E20" s="124">
        <f>INDEX('Commodity Prices'!$D$7:$D$22,MATCH($B20,'Commodity Prices'!$B$7:$B$22,0))*E14</f>
        <v>0</v>
      </c>
      <c r="F20" s="124">
        <f>INDEX('Commodity Prices'!$D$7:$D$22,MATCH($B20,'Commodity Prices'!$B$7:$B$22,0))*F14</f>
        <v>0</v>
      </c>
      <c r="G20" s="124">
        <f>INDEX('Commodity Prices'!$D$7:$D$22,MATCH($B20,'Commodity Prices'!$B$7:$B$22,0))*G14</f>
        <v>469895.83333333326</v>
      </c>
      <c r="H20" s="124">
        <f>INDEX('Commodity Prices'!$D$7:$D$22,MATCH($B20,'Commodity Prices'!$B$7:$B$22,0))*H14</f>
        <v>469895.83333333326</v>
      </c>
      <c r="I20" s="124">
        <f>INDEX('Commodity Prices'!$D$7:$D$22,MATCH($B20,'Commodity Prices'!$B$7:$B$22,0))*I14</f>
        <v>469895.83333333326</v>
      </c>
      <c r="J20" s="124">
        <f>INDEX('Commodity Prices'!$D$7:$D$22,MATCH($B20,'Commodity Prices'!$B$7:$B$22,0))*J14</f>
        <v>469895.83333333326</v>
      </c>
      <c r="K20" s="124">
        <f>INDEX('Commodity Prices'!$D$7:$D$22,MATCH($B20,'Commodity Prices'!$B$7:$B$22,0))*K14</f>
        <v>469895.83333333326</v>
      </c>
      <c r="L20" s="124">
        <f>INDEX('Commodity Prices'!$D$7:$D$22,MATCH($B20,'Commodity Prices'!$B$7:$B$22,0))*L14</f>
        <v>469895.83333333326</v>
      </c>
      <c r="M20" s="124">
        <f>INDEX('Commodity Prices'!$D$7:$D$22,MATCH($B20,'Commodity Prices'!$B$7:$B$22,0))*M14</f>
        <v>939791.66666666651</v>
      </c>
      <c r="N20" s="124">
        <f>INDEX('Commodity Prices'!$D$7:$D$22,MATCH($B20,'Commodity Prices'!$B$7:$B$22,0))*N14</f>
        <v>939791.66666666651</v>
      </c>
      <c r="O20" s="124">
        <f>INDEX('Commodity Prices'!$D$7:$D$22,MATCH($B20,'Commodity Prices'!$B$7:$B$22,0))*O14</f>
        <v>939791.66666666651</v>
      </c>
      <c r="P20" s="124">
        <f>INDEX('Commodity Prices'!$D$7:$D$22,MATCH($B20,'Commodity Prices'!$B$7:$B$22,0))*P14</f>
        <v>939791.66666666651</v>
      </c>
      <c r="Q20" s="124">
        <f>INDEX('Commodity Prices'!$D$7:$D$22,MATCH($B20,'Commodity Prices'!$B$7:$B$22,0))*Q14</f>
        <v>939791.66666666651</v>
      </c>
      <c r="R20" s="124">
        <f>INDEX('Commodity Prices'!$D$7:$D$22,MATCH($B20,'Commodity Prices'!$B$7:$B$22,0))*R14</f>
        <v>939791.66666666651</v>
      </c>
      <c r="S20" s="124">
        <f>INDEX('Commodity Prices'!$D$7:$D$22,MATCH($B20,'Commodity Prices'!$B$7:$B$22,0))*S14</f>
        <v>939791.66666666651</v>
      </c>
      <c r="T20" s="124">
        <f>INDEX('Commodity Prices'!$D$7:$D$22,MATCH($B20,'Commodity Prices'!$B$7:$B$22,0))*T14</f>
        <v>939791.66666666651</v>
      </c>
      <c r="U20" s="124">
        <f>INDEX('Commodity Prices'!$D$7:$D$22,MATCH($B20,'Commodity Prices'!$B$7:$B$22,0))*U14</f>
        <v>939791.66666666651</v>
      </c>
      <c r="V20" s="124">
        <f>INDEX('Commodity Prices'!$D$7:$D$22,MATCH($B20,'Commodity Prices'!$B$7:$B$22,0))*V14</f>
        <v>939791.66666666651</v>
      </c>
      <c r="W20" s="124">
        <f>INDEX('Commodity Prices'!$D$7:$D$22,MATCH($B20,'Commodity Prices'!$B$7:$B$22,0))*W14</f>
        <v>939791.66666666651</v>
      </c>
      <c r="X20" s="124">
        <f>INDEX('Commodity Prices'!$D$7:$D$22,MATCH($B20,'Commodity Prices'!$B$7:$B$22,0))*X14</f>
        <v>939791.66666666651</v>
      </c>
      <c r="Y20" s="124">
        <f>INDEX('Commodity Prices'!$D$7:$D$22,MATCH($B20,'Commodity Prices'!$B$7:$B$22,0))*Y14</f>
        <v>939791.66666666651</v>
      </c>
      <c r="Z20" s="124">
        <f>INDEX('Commodity Prices'!$D$7:$D$22,MATCH($B20,'Commodity Prices'!$B$7:$B$22,0))*Z14</f>
        <v>939791.66666666651</v>
      </c>
      <c r="AA20" s="124">
        <f>INDEX('Commodity Prices'!$D$7:$D$22,MATCH($B20,'Commodity Prices'!$B$7:$B$22,0))*AA14</f>
        <v>939791.66666666651</v>
      </c>
      <c r="AB20" s="124">
        <f>INDEX('Commodity Prices'!$D$7:$D$22,MATCH($B20,'Commodity Prices'!$B$7:$B$22,0))*AB14</f>
        <v>939791.66666666651</v>
      </c>
      <c r="AC20" s="124">
        <f>INDEX('Commodity Prices'!$D$7:$D$22,MATCH($B20,'Commodity Prices'!$B$7:$B$22,0))*AC14</f>
        <v>939791.66666666651</v>
      </c>
      <c r="AD20" s="124">
        <f>INDEX('Commodity Prices'!$D$7:$D$22,MATCH($B20,'Commodity Prices'!$B$7:$B$22,0))*AD14</f>
        <v>939791.66666666651</v>
      </c>
      <c r="AE20" s="124">
        <f>INDEX('Commodity Prices'!$D$7:$D$22,MATCH($B20,'Commodity Prices'!$B$7:$B$22,0))*AE14</f>
        <v>939791.66666666651</v>
      </c>
      <c r="AF20" s="124">
        <f>INDEX('Commodity Prices'!$D$7:$D$22,MATCH($B20,'Commodity Prices'!$B$7:$B$22,0))*AF14</f>
        <v>939791.66666666651</v>
      </c>
      <c r="AG20" s="124">
        <f>INDEX('Commodity Prices'!$D$7:$D$22,MATCH($B20,'Commodity Prices'!$B$7:$B$22,0))*AG14</f>
        <v>939791.66666666651</v>
      </c>
      <c r="AH20" s="124">
        <f>INDEX('Commodity Prices'!$D$7:$D$22,MATCH($B20,'Commodity Prices'!$B$7:$B$22,0))*AH14</f>
        <v>939791.66666666651</v>
      </c>
      <c r="AI20" s="124">
        <f>INDEX('Commodity Prices'!$D$7:$D$22,MATCH($B20,'Commodity Prices'!$B$7:$B$22,0))*AI14</f>
        <v>939791.66666666651</v>
      </c>
      <c r="AJ20" s="124">
        <f>INDEX('Commodity Prices'!$D$7:$D$22,MATCH($B20,'Commodity Prices'!$B$7:$B$22,0))*AJ14</f>
        <v>939791.66666666651</v>
      </c>
      <c r="AK20" s="124">
        <f>INDEX('Commodity Prices'!$D$7:$D$22,MATCH($B20,'Commodity Prices'!$B$7:$B$22,0))*AK14</f>
        <v>939791.66666666651</v>
      </c>
      <c r="AL20" s="124">
        <f>INDEX('Commodity Prices'!$D$7:$D$22,MATCH($B20,'Commodity Prices'!$B$7:$B$22,0))*AL14</f>
        <v>939791.66666666651</v>
      </c>
      <c r="AM20" s="124">
        <f>INDEX('Commodity Prices'!$D$7:$D$22,MATCH($B20,'Commodity Prices'!$B$7:$B$22,0))*AM14</f>
        <v>939791.66666666651</v>
      </c>
      <c r="AN20" s="124">
        <f>INDEX('Commodity Prices'!$D$7:$D$22,MATCH($B20,'Commodity Prices'!$B$7:$B$22,0))*AN14</f>
        <v>939791.66666666651</v>
      </c>
      <c r="AO20" s="124">
        <f>INDEX('Commodity Prices'!$D$7:$D$22,MATCH($B20,'Commodity Prices'!$B$7:$B$22,0))*AO14</f>
        <v>939791.66666666651</v>
      </c>
      <c r="AP20" s="124">
        <f>INDEX('Commodity Prices'!$D$7:$D$22,MATCH($B20,'Commodity Prices'!$B$7:$B$22,0))*AP14</f>
        <v>939791.66666666651</v>
      </c>
      <c r="AQ20" s="124">
        <f>INDEX('Commodity Prices'!$D$7:$D$22,MATCH($B20,'Commodity Prices'!$B$7:$B$22,0))*AQ14</f>
        <v>939791.66666666651</v>
      </c>
      <c r="AR20" s="124">
        <f>INDEX('Commodity Prices'!$D$7:$D$22,MATCH($B20,'Commodity Prices'!$B$7:$B$22,0))*AR14</f>
        <v>939791.66666666651</v>
      </c>
      <c r="AS20" s="124">
        <f>INDEX('Commodity Prices'!$D$7:$D$22,MATCH($B20,'Commodity Prices'!$B$7:$B$22,0))*AS14</f>
        <v>939791.66666666651</v>
      </c>
      <c r="AT20" s="124">
        <f>INDEX('Commodity Prices'!$D$7:$D$22,MATCH($B20,'Commodity Prices'!$B$7:$B$22,0))*AT14</f>
        <v>939791.66666666651</v>
      </c>
      <c r="AU20" s="124">
        <f>INDEX('Commodity Prices'!$D$7:$D$22,MATCH($B20,'Commodity Prices'!$B$7:$B$22,0))*AU14</f>
        <v>939791.66666666651</v>
      </c>
      <c r="AV20" s="124">
        <f>INDEX('Commodity Prices'!$D$7:$D$22,MATCH($B20,'Commodity Prices'!$B$7:$B$22,0))*AV14</f>
        <v>939791.66666666651</v>
      </c>
      <c r="AW20" s="124">
        <f>INDEX('Commodity Prices'!$D$7:$D$22,MATCH($B20,'Commodity Prices'!$B$7:$B$22,0))*AW14</f>
        <v>939791.66666666651</v>
      </c>
      <c r="AX20" s="124">
        <f>INDEX('Commodity Prices'!$D$7:$D$22,MATCH($B20,'Commodity Prices'!$B$7:$B$22,0))*AX14</f>
        <v>939791.66666666651</v>
      </c>
      <c r="AY20" s="124">
        <f>INDEX('Commodity Prices'!$D$7:$D$22,MATCH($B20,'Commodity Prices'!$B$7:$B$22,0))*AY14</f>
        <v>939791.66666666651</v>
      </c>
      <c r="AZ20" s="124">
        <f>INDEX('Commodity Prices'!$D$7:$D$22,MATCH($B20,'Commodity Prices'!$B$7:$B$22,0))*AZ14</f>
        <v>939791.66666666651</v>
      </c>
      <c r="BA20" s="124">
        <f>INDEX('Commodity Prices'!$D$7:$D$22,MATCH($B20,'Commodity Prices'!$B$7:$B$22,0))*BA14</f>
        <v>939791.66666666651</v>
      </c>
      <c r="BB20" s="124">
        <f>INDEX('Commodity Prices'!$D$7:$D$22,MATCH($B20,'Commodity Prices'!$B$7:$B$22,0))*BB14</f>
        <v>939791.66666666651</v>
      </c>
      <c r="BC20" s="124">
        <f>INDEX('Commodity Prices'!$D$7:$D$22,MATCH($B20,'Commodity Prices'!$B$7:$B$22,0))*BC14</f>
        <v>939791.66666666651</v>
      </c>
      <c r="BD20" s="124">
        <f>INDEX('Commodity Prices'!$D$7:$D$22,MATCH($B20,'Commodity Prices'!$B$7:$B$22,0))*BD14</f>
        <v>939791.66666666651</v>
      </c>
      <c r="BE20" s="124">
        <f>INDEX('Commodity Prices'!$D$7:$D$22,MATCH($B20,'Commodity Prices'!$B$7:$B$22,0))*BE14</f>
        <v>939791.66666666651</v>
      </c>
      <c r="BF20" s="124">
        <f>INDEX('Commodity Prices'!$D$7:$D$22,MATCH($B20,'Commodity Prices'!$B$7:$B$22,0))*BF14</f>
        <v>939791.66666666651</v>
      </c>
      <c r="BG20" s="124">
        <f>INDEX('Commodity Prices'!$D$7:$D$22,MATCH($B20,'Commodity Prices'!$B$7:$B$22,0))*BG14</f>
        <v>939791.66666666651</v>
      </c>
      <c r="BH20" s="124">
        <f>INDEX('Commodity Prices'!$D$7:$D$22,MATCH($B20,'Commodity Prices'!$B$7:$B$22,0))*BH14</f>
        <v>939791.66666666651</v>
      </c>
      <c r="BI20" s="124">
        <f>INDEX('Commodity Prices'!$D$7:$D$22,MATCH($B20,'Commodity Prices'!$B$7:$B$22,0))*BI14</f>
        <v>939791.66666666651</v>
      </c>
      <c r="BJ20" s="124">
        <f>INDEX('Commodity Prices'!$D$7:$D$22,MATCH($B20,'Commodity Prices'!$B$7:$B$22,0))*BJ14</f>
        <v>939791.66666666651</v>
      </c>
      <c r="BK20" s="124">
        <f>INDEX('Commodity Prices'!$D$7:$D$22,MATCH($B20,'Commodity Prices'!$B$7:$B$22,0))*BK14</f>
        <v>939791.66666666651</v>
      </c>
      <c r="BL20" s="124">
        <f>INDEX('Commodity Prices'!$D$7:$D$22,MATCH($B20,'Commodity Prices'!$B$7:$B$22,0))*BL14</f>
        <v>939791.66666666651</v>
      </c>
      <c r="BM20" s="124">
        <f>INDEX('Commodity Prices'!$D$7:$D$22,MATCH($B20,'Commodity Prices'!$B$7:$B$22,0))*BM14</f>
        <v>939791.66666666651</v>
      </c>
      <c r="BN20" s="124">
        <f>INDEX('Commodity Prices'!$D$7:$D$22,MATCH($B20,'Commodity Prices'!$B$7:$B$22,0))*BN14</f>
        <v>939791.66666666651</v>
      </c>
      <c r="BO20" s="124">
        <f>INDEX('Commodity Prices'!$D$7:$D$22,MATCH($B20,'Commodity Prices'!$B$7:$B$22,0))*BO14</f>
        <v>939791.66666666651</v>
      </c>
      <c r="BP20" s="124">
        <f>INDEX('Commodity Prices'!$D$7:$D$22,MATCH($B20,'Commodity Prices'!$B$7:$B$22,0))*BP14</f>
        <v>939791.66666666651</v>
      </c>
      <c r="BQ20" s="124">
        <f>INDEX('Commodity Prices'!$D$7:$D$22,MATCH($B20,'Commodity Prices'!$B$7:$B$22,0))*BQ14</f>
        <v>939791.66666666651</v>
      </c>
      <c r="BR20" s="124">
        <f>INDEX('Commodity Prices'!$D$7:$D$22,MATCH($B20,'Commodity Prices'!$B$7:$B$22,0))*BR14</f>
        <v>939791.66666666651</v>
      </c>
      <c r="BS20" s="124">
        <f>INDEX('Commodity Prices'!$D$7:$D$22,MATCH($B20,'Commodity Prices'!$B$7:$B$22,0))*BS14</f>
        <v>939791.66666666651</v>
      </c>
      <c r="BT20" s="124">
        <f>INDEX('Commodity Prices'!$D$7:$D$22,MATCH($B20,'Commodity Prices'!$B$7:$B$22,0))*BT14</f>
        <v>939791.66666666651</v>
      </c>
      <c r="BU20" s="124">
        <f>INDEX('Commodity Prices'!$D$7:$D$22,MATCH($B20,'Commodity Prices'!$B$7:$B$22,0))*BU14</f>
        <v>939791.66666666651</v>
      </c>
      <c r="BV20" s="124">
        <f>INDEX('Commodity Prices'!$D$7:$D$22,MATCH($B20,'Commodity Prices'!$B$7:$B$22,0))*BV14</f>
        <v>939791.66666666651</v>
      </c>
      <c r="BW20" s="124">
        <f>INDEX('Commodity Prices'!$D$7:$D$22,MATCH($B20,'Commodity Prices'!$B$7:$B$22,0))*BW14</f>
        <v>939791.66666666651</v>
      </c>
      <c r="BX20" s="124">
        <f>INDEX('Commodity Prices'!$D$7:$D$22,MATCH($B20,'Commodity Prices'!$B$7:$B$22,0))*BX14</f>
        <v>939791.66666666651</v>
      </c>
      <c r="BY20" s="124">
        <f>INDEX('Commodity Prices'!$D$7:$D$22,MATCH($B20,'Commodity Prices'!$B$7:$B$22,0))*BY14</f>
        <v>939791.66666666651</v>
      </c>
      <c r="BZ20" s="124">
        <f>INDEX('Commodity Prices'!$D$7:$D$22,MATCH($B20,'Commodity Prices'!$B$7:$B$22,0))*BZ14</f>
        <v>939791.66666666651</v>
      </c>
      <c r="CA20" s="124">
        <f>INDEX('Commodity Prices'!$D$7:$D$22,MATCH($B20,'Commodity Prices'!$B$7:$B$22,0))*CA14</f>
        <v>939791.66666666651</v>
      </c>
      <c r="CB20" s="124">
        <f>INDEX('Commodity Prices'!$D$7:$D$22,MATCH($B20,'Commodity Prices'!$B$7:$B$22,0))*CB14</f>
        <v>939791.66666666651</v>
      </c>
      <c r="CC20" s="124">
        <f>INDEX('Commodity Prices'!$D$7:$D$22,MATCH($B20,'Commodity Prices'!$B$7:$B$22,0))*CC14</f>
        <v>939791.66666666651</v>
      </c>
      <c r="CD20" s="124">
        <f>INDEX('Commodity Prices'!$D$7:$D$22,MATCH($B20,'Commodity Prices'!$B$7:$B$22,0))*CD14</f>
        <v>939791.66666666651</v>
      </c>
      <c r="CE20" s="124">
        <f>INDEX('Commodity Prices'!$D$7:$D$22,MATCH($B20,'Commodity Prices'!$B$7:$B$22,0))*CE14</f>
        <v>939791.66666666651</v>
      </c>
      <c r="CF20" s="124">
        <f>INDEX('Commodity Prices'!$D$7:$D$22,MATCH($B20,'Commodity Prices'!$B$7:$B$22,0))*CF14</f>
        <v>939791.66666666651</v>
      </c>
      <c r="CG20" s="124">
        <f>INDEX('Commodity Prices'!$D$7:$D$22,MATCH($B20,'Commodity Prices'!$B$7:$B$22,0))*CG14</f>
        <v>939791.66666666651</v>
      </c>
      <c r="CH20" s="124">
        <f>INDEX('Commodity Prices'!$D$7:$D$22,MATCH($B20,'Commodity Prices'!$B$7:$B$22,0))*CH14</f>
        <v>939791.66666666651</v>
      </c>
      <c r="CI20" s="124">
        <f>INDEX('Commodity Prices'!$D$7:$D$22,MATCH($B20,'Commodity Prices'!$B$7:$B$22,0))*CI14</f>
        <v>939791.66666666651</v>
      </c>
      <c r="CJ20" s="124">
        <f>INDEX('Commodity Prices'!$D$7:$D$22,MATCH($B20,'Commodity Prices'!$B$7:$B$22,0))*CJ14</f>
        <v>939791.66666666651</v>
      </c>
      <c r="CK20" s="124">
        <f>INDEX('Commodity Prices'!$D$7:$D$22,MATCH($B20,'Commodity Prices'!$B$7:$B$22,0))*CK14</f>
        <v>939791.66666666651</v>
      </c>
      <c r="CL20" s="124">
        <f>INDEX('Commodity Prices'!$D$7:$D$22,MATCH($B20,'Commodity Prices'!$B$7:$B$22,0))*CL14</f>
        <v>939791.66666666651</v>
      </c>
      <c r="CM20" s="124">
        <f>INDEX('Commodity Prices'!$D$7:$D$22,MATCH($B20,'Commodity Prices'!$B$7:$B$22,0))*CM14</f>
        <v>939791.66666666651</v>
      </c>
      <c r="CN20" s="124">
        <f>INDEX('Commodity Prices'!$D$7:$D$22,MATCH($B20,'Commodity Prices'!$B$7:$B$22,0))*CN14</f>
        <v>939791.66666666651</v>
      </c>
      <c r="CO20" s="124">
        <f>INDEX('Commodity Prices'!$D$7:$D$22,MATCH($B20,'Commodity Prices'!$B$7:$B$22,0))*CO14</f>
        <v>939791.66666666651</v>
      </c>
      <c r="CP20" s="124">
        <f>INDEX('Commodity Prices'!$D$7:$D$22,MATCH($B20,'Commodity Prices'!$B$7:$B$22,0))*CP14</f>
        <v>939791.66666666651</v>
      </c>
      <c r="CQ20" s="124">
        <f>INDEX('Commodity Prices'!$D$7:$D$22,MATCH($B20,'Commodity Prices'!$B$7:$B$22,0))*CQ14</f>
        <v>939791.66666666651</v>
      </c>
      <c r="CR20" s="124">
        <f>INDEX('Commodity Prices'!$D$7:$D$22,MATCH($B20,'Commodity Prices'!$B$7:$B$22,0))*CR14</f>
        <v>939791.66666666651</v>
      </c>
      <c r="CS20" s="124">
        <f>INDEX('Commodity Prices'!$D$7:$D$22,MATCH($B20,'Commodity Prices'!$B$7:$B$22,0))*CS14</f>
        <v>939791.66666666651</v>
      </c>
      <c r="CT20" s="124">
        <f>INDEX('Commodity Prices'!$D$7:$D$22,MATCH($B20,'Commodity Prices'!$B$7:$B$22,0))*CT14</f>
        <v>939791.66666666651</v>
      </c>
      <c r="CU20" s="124">
        <f>INDEX('Commodity Prices'!$D$7:$D$22,MATCH($B20,'Commodity Prices'!$B$7:$B$22,0))*CU14</f>
        <v>939791.66666666651</v>
      </c>
      <c r="CV20" s="124">
        <f>INDEX('Commodity Prices'!$D$7:$D$22,MATCH($B20,'Commodity Prices'!$B$7:$B$22,0))*CV14</f>
        <v>939791.66666666651</v>
      </c>
      <c r="CW20" s="124">
        <f>INDEX('Commodity Prices'!$D$7:$D$22,MATCH($B20,'Commodity Prices'!$B$7:$B$22,0))*CW14</f>
        <v>939791.66666666651</v>
      </c>
      <c r="CX20" s="124">
        <f>INDEX('Commodity Prices'!$D$7:$D$22,MATCH($B20,'Commodity Prices'!$B$7:$B$22,0))*CX14</f>
        <v>939791.66666666651</v>
      </c>
      <c r="CY20" s="124">
        <f>INDEX('Commodity Prices'!$D$7:$D$22,MATCH($B20,'Commodity Prices'!$B$7:$B$22,0))*CY14</f>
        <v>939791.66666666651</v>
      </c>
      <c r="CZ20" s="124">
        <f>INDEX('Commodity Prices'!$D$7:$D$22,MATCH($B20,'Commodity Prices'!$B$7:$B$22,0))*CZ14</f>
        <v>939791.66666666651</v>
      </c>
      <c r="DA20" s="124">
        <f>INDEX('Commodity Prices'!$D$7:$D$22,MATCH($B20,'Commodity Prices'!$B$7:$B$22,0))*DA14</f>
        <v>939791.66666666651</v>
      </c>
      <c r="DB20" s="124">
        <f>INDEX('Commodity Prices'!$D$7:$D$22,MATCH($B20,'Commodity Prices'!$B$7:$B$22,0))*DB14</f>
        <v>939791.66666666651</v>
      </c>
      <c r="DC20" s="124">
        <f>INDEX('Commodity Prices'!$D$7:$D$22,MATCH($B20,'Commodity Prices'!$B$7:$B$22,0))*DC14</f>
        <v>939791.66666666651</v>
      </c>
      <c r="DD20" s="124">
        <f>INDEX('Commodity Prices'!$D$7:$D$22,MATCH($B20,'Commodity Prices'!$B$7:$B$22,0))*DD14</f>
        <v>939791.66666666651</v>
      </c>
      <c r="DE20" s="124">
        <f>INDEX('Commodity Prices'!$D$7:$D$22,MATCH($B20,'Commodity Prices'!$B$7:$B$22,0))*DE14</f>
        <v>939791.66666666651</v>
      </c>
      <c r="DF20" s="124">
        <f>INDEX('Commodity Prices'!$D$7:$D$22,MATCH($B20,'Commodity Prices'!$B$7:$B$22,0))*DF14</f>
        <v>939791.66666666651</v>
      </c>
      <c r="DG20" s="124">
        <f>INDEX('Commodity Prices'!$D$7:$D$22,MATCH($B20,'Commodity Prices'!$B$7:$B$22,0))*DG14</f>
        <v>939791.66666666651</v>
      </c>
      <c r="DH20" s="124">
        <f>INDEX('Commodity Prices'!$D$7:$D$22,MATCH($B20,'Commodity Prices'!$B$7:$B$22,0))*DH14</f>
        <v>939791.66666666651</v>
      </c>
      <c r="DI20" s="124">
        <f>INDEX('Commodity Prices'!$D$7:$D$22,MATCH($B20,'Commodity Prices'!$B$7:$B$22,0))*DI14</f>
        <v>939791.66666666651</v>
      </c>
      <c r="DJ20" s="124">
        <f>INDEX('Commodity Prices'!$D$7:$D$22,MATCH($B20,'Commodity Prices'!$B$7:$B$22,0))*DJ14</f>
        <v>939791.66666666651</v>
      </c>
      <c r="DK20" s="124">
        <f>INDEX('Commodity Prices'!$D$7:$D$22,MATCH($B20,'Commodity Prices'!$B$7:$B$22,0))*DK14</f>
        <v>939791.66666666651</v>
      </c>
      <c r="DL20" s="124">
        <f>INDEX('Commodity Prices'!$D$7:$D$22,MATCH($B20,'Commodity Prices'!$B$7:$B$22,0))*DL14</f>
        <v>939791.66666666651</v>
      </c>
      <c r="DM20" s="124">
        <f>INDEX('Commodity Prices'!$D$7:$D$22,MATCH($B20,'Commodity Prices'!$B$7:$B$22,0))*DM14</f>
        <v>939791.66666666651</v>
      </c>
      <c r="DN20" s="124">
        <f>INDEX('Commodity Prices'!$D$7:$D$22,MATCH($B20,'Commodity Prices'!$B$7:$B$22,0))*DN14</f>
        <v>939791.66666666651</v>
      </c>
      <c r="DO20" s="124">
        <f>INDEX('Commodity Prices'!$D$7:$D$22,MATCH($B20,'Commodity Prices'!$B$7:$B$22,0))*DO14</f>
        <v>939791.66666666651</v>
      </c>
      <c r="DP20" s="124">
        <f>INDEX('Commodity Prices'!$D$7:$D$22,MATCH($B20,'Commodity Prices'!$B$7:$B$22,0))*DP14</f>
        <v>939791.66666666651</v>
      </c>
      <c r="DQ20" s="124">
        <f>INDEX('Commodity Prices'!$D$7:$D$22,MATCH($B20,'Commodity Prices'!$B$7:$B$22,0))*DQ14</f>
        <v>939791.66666666651</v>
      </c>
      <c r="DR20" s="124">
        <f>INDEX('Commodity Prices'!$D$7:$D$22,MATCH($B20,'Commodity Prices'!$B$7:$B$22,0))*DR14</f>
        <v>939791.66666666651</v>
      </c>
    </row>
    <row r="21" spans="2:122" x14ac:dyDescent="0.3">
      <c r="B21" s="52" t="str">
        <f>+B15</f>
        <v>Tellurium</v>
      </c>
      <c r="C21" s="124">
        <f>INDEX('Commodity Prices'!$D$7:$D$22,MATCH($B21,'Commodity Prices'!$B$7:$B$22,0))*C15</f>
        <v>0</v>
      </c>
      <c r="D21" s="124">
        <f>INDEX('Commodity Prices'!$D$7:$D$22,MATCH($B21,'Commodity Prices'!$B$7:$B$22,0))*D15</f>
        <v>0</v>
      </c>
      <c r="E21" s="124">
        <f>INDEX('Commodity Prices'!$D$7:$D$22,MATCH($B21,'Commodity Prices'!$B$7:$B$22,0))*E15</f>
        <v>0</v>
      </c>
      <c r="F21" s="124">
        <f>INDEX('Commodity Prices'!$D$7:$D$22,MATCH($B21,'Commodity Prices'!$B$7:$B$22,0))*F15</f>
        <v>0</v>
      </c>
      <c r="G21" s="124">
        <f>INDEX('Commodity Prices'!$D$7:$D$22,MATCH($B21,'Commodity Prices'!$B$7:$B$22,0))*G15</f>
        <v>165174.47916666666</v>
      </c>
      <c r="H21" s="124">
        <f>INDEX('Commodity Prices'!$D$7:$D$22,MATCH($B21,'Commodity Prices'!$B$7:$B$22,0))*H15</f>
        <v>165174.47916666666</v>
      </c>
      <c r="I21" s="124">
        <f>INDEX('Commodity Prices'!$D$7:$D$22,MATCH($B21,'Commodity Prices'!$B$7:$B$22,0))*I15</f>
        <v>165174.47916666666</v>
      </c>
      <c r="J21" s="124">
        <f>INDEX('Commodity Prices'!$D$7:$D$22,MATCH($B21,'Commodity Prices'!$B$7:$B$22,0))*J15</f>
        <v>165174.47916666666</v>
      </c>
      <c r="K21" s="124">
        <f>INDEX('Commodity Prices'!$D$7:$D$22,MATCH($B21,'Commodity Prices'!$B$7:$B$22,0))*K15</f>
        <v>165174.47916666666</v>
      </c>
      <c r="L21" s="124">
        <f>INDEX('Commodity Prices'!$D$7:$D$22,MATCH($B21,'Commodity Prices'!$B$7:$B$22,0))*L15</f>
        <v>165174.47916666666</v>
      </c>
      <c r="M21" s="124">
        <f>INDEX('Commodity Prices'!$D$7:$D$22,MATCH($B21,'Commodity Prices'!$B$7:$B$22,0))*M15</f>
        <v>330348.95833333331</v>
      </c>
      <c r="N21" s="124">
        <f>INDEX('Commodity Prices'!$D$7:$D$22,MATCH($B21,'Commodity Prices'!$B$7:$B$22,0))*N15</f>
        <v>330348.95833333331</v>
      </c>
      <c r="O21" s="124">
        <f>INDEX('Commodity Prices'!$D$7:$D$22,MATCH($B21,'Commodity Prices'!$B$7:$B$22,0))*O15</f>
        <v>330348.95833333331</v>
      </c>
      <c r="P21" s="124">
        <f>INDEX('Commodity Prices'!$D$7:$D$22,MATCH($B21,'Commodity Prices'!$B$7:$B$22,0))*P15</f>
        <v>330348.95833333331</v>
      </c>
      <c r="Q21" s="124">
        <f>INDEX('Commodity Prices'!$D$7:$D$22,MATCH($B21,'Commodity Prices'!$B$7:$B$22,0))*Q15</f>
        <v>330348.95833333331</v>
      </c>
      <c r="R21" s="124">
        <f>INDEX('Commodity Prices'!$D$7:$D$22,MATCH($B21,'Commodity Prices'!$B$7:$B$22,0))*R15</f>
        <v>330348.95833333331</v>
      </c>
      <c r="S21" s="124">
        <f>INDEX('Commodity Prices'!$D$7:$D$22,MATCH($B21,'Commodity Prices'!$B$7:$B$22,0))*S15</f>
        <v>330348.95833333331</v>
      </c>
      <c r="T21" s="124">
        <f>INDEX('Commodity Prices'!$D$7:$D$22,MATCH($B21,'Commodity Prices'!$B$7:$B$22,0))*T15</f>
        <v>330348.95833333331</v>
      </c>
      <c r="U21" s="124">
        <f>INDEX('Commodity Prices'!$D$7:$D$22,MATCH($B21,'Commodity Prices'!$B$7:$B$22,0))*U15</f>
        <v>330348.95833333331</v>
      </c>
      <c r="V21" s="124">
        <f>INDEX('Commodity Prices'!$D$7:$D$22,MATCH($B21,'Commodity Prices'!$B$7:$B$22,0))*V15</f>
        <v>330348.95833333331</v>
      </c>
      <c r="W21" s="124">
        <f>INDEX('Commodity Prices'!$D$7:$D$22,MATCH($B21,'Commodity Prices'!$B$7:$B$22,0))*W15</f>
        <v>330348.95833333331</v>
      </c>
      <c r="X21" s="124">
        <f>INDEX('Commodity Prices'!$D$7:$D$22,MATCH($B21,'Commodity Prices'!$B$7:$B$22,0))*X15</f>
        <v>330348.95833333331</v>
      </c>
      <c r="Y21" s="124">
        <f>INDEX('Commodity Prices'!$D$7:$D$22,MATCH($B21,'Commodity Prices'!$B$7:$B$22,0))*Y15</f>
        <v>330348.95833333331</v>
      </c>
      <c r="Z21" s="124">
        <f>INDEX('Commodity Prices'!$D$7:$D$22,MATCH($B21,'Commodity Prices'!$B$7:$B$22,0))*Z15</f>
        <v>330348.95833333331</v>
      </c>
      <c r="AA21" s="124">
        <f>INDEX('Commodity Prices'!$D$7:$D$22,MATCH($B21,'Commodity Prices'!$B$7:$B$22,0))*AA15</f>
        <v>330348.95833333331</v>
      </c>
      <c r="AB21" s="124">
        <f>INDEX('Commodity Prices'!$D$7:$D$22,MATCH($B21,'Commodity Prices'!$B$7:$B$22,0))*AB15</f>
        <v>330348.95833333331</v>
      </c>
      <c r="AC21" s="124">
        <f>INDEX('Commodity Prices'!$D$7:$D$22,MATCH($B21,'Commodity Prices'!$B$7:$B$22,0))*AC15</f>
        <v>330348.95833333331</v>
      </c>
      <c r="AD21" s="124">
        <f>INDEX('Commodity Prices'!$D$7:$D$22,MATCH($B21,'Commodity Prices'!$B$7:$B$22,0))*AD15</f>
        <v>330348.95833333331</v>
      </c>
      <c r="AE21" s="124">
        <f>INDEX('Commodity Prices'!$D$7:$D$22,MATCH($B21,'Commodity Prices'!$B$7:$B$22,0))*AE15</f>
        <v>330348.95833333331</v>
      </c>
      <c r="AF21" s="124">
        <f>INDEX('Commodity Prices'!$D$7:$D$22,MATCH($B21,'Commodity Prices'!$B$7:$B$22,0))*AF15</f>
        <v>330348.95833333331</v>
      </c>
      <c r="AG21" s="124">
        <f>INDEX('Commodity Prices'!$D$7:$D$22,MATCH($B21,'Commodity Prices'!$B$7:$B$22,0))*AG15</f>
        <v>330348.95833333331</v>
      </c>
      <c r="AH21" s="124">
        <f>INDEX('Commodity Prices'!$D$7:$D$22,MATCH($B21,'Commodity Prices'!$B$7:$B$22,0))*AH15</f>
        <v>330348.95833333331</v>
      </c>
      <c r="AI21" s="124">
        <f>INDEX('Commodity Prices'!$D$7:$D$22,MATCH($B21,'Commodity Prices'!$B$7:$B$22,0))*AI15</f>
        <v>330348.95833333331</v>
      </c>
      <c r="AJ21" s="124">
        <f>INDEX('Commodity Prices'!$D$7:$D$22,MATCH($B21,'Commodity Prices'!$B$7:$B$22,0))*AJ15</f>
        <v>330348.95833333331</v>
      </c>
      <c r="AK21" s="124">
        <f>INDEX('Commodity Prices'!$D$7:$D$22,MATCH($B21,'Commodity Prices'!$B$7:$B$22,0))*AK15</f>
        <v>330348.95833333331</v>
      </c>
      <c r="AL21" s="124">
        <f>INDEX('Commodity Prices'!$D$7:$D$22,MATCH($B21,'Commodity Prices'!$B$7:$B$22,0))*AL15</f>
        <v>330348.95833333331</v>
      </c>
      <c r="AM21" s="124">
        <f>INDEX('Commodity Prices'!$D$7:$D$22,MATCH($B21,'Commodity Prices'!$B$7:$B$22,0))*AM15</f>
        <v>330348.95833333331</v>
      </c>
      <c r="AN21" s="124">
        <f>INDEX('Commodity Prices'!$D$7:$D$22,MATCH($B21,'Commodity Prices'!$B$7:$B$22,0))*AN15</f>
        <v>330348.95833333331</v>
      </c>
      <c r="AO21" s="124">
        <f>INDEX('Commodity Prices'!$D$7:$D$22,MATCH($B21,'Commodity Prices'!$B$7:$B$22,0))*AO15</f>
        <v>330348.95833333331</v>
      </c>
      <c r="AP21" s="124">
        <f>INDEX('Commodity Prices'!$D$7:$D$22,MATCH($B21,'Commodity Prices'!$B$7:$B$22,0))*AP15</f>
        <v>330348.95833333331</v>
      </c>
      <c r="AQ21" s="124">
        <f>INDEX('Commodity Prices'!$D$7:$D$22,MATCH($B21,'Commodity Prices'!$B$7:$B$22,0))*AQ15</f>
        <v>330348.95833333331</v>
      </c>
      <c r="AR21" s="124">
        <f>INDEX('Commodity Prices'!$D$7:$D$22,MATCH($B21,'Commodity Prices'!$B$7:$B$22,0))*AR15</f>
        <v>330348.95833333331</v>
      </c>
      <c r="AS21" s="124">
        <f>INDEX('Commodity Prices'!$D$7:$D$22,MATCH($B21,'Commodity Prices'!$B$7:$B$22,0))*AS15</f>
        <v>330348.95833333331</v>
      </c>
      <c r="AT21" s="124">
        <f>INDEX('Commodity Prices'!$D$7:$D$22,MATCH($B21,'Commodity Prices'!$B$7:$B$22,0))*AT15</f>
        <v>330348.95833333331</v>
      </c>
      <c r="AU21" s="124">
        <f>INDEX('Commodity Prices'!$D$7:$D$22,MATCH($B21,'Commodity Prices'!$B$7:$B$22,0))*AU15</f>
        <v>330348.95833333331</v>
      </c>
      <c r="AV21" s="124">
        <f>INDEX('Commodity Prices'!$D$7:$D$22,MATCH($B21,'Commodity Prices'!$B$7:$B$22,0))*AV15</f>
        <v>330348.95833333331</v>
      </c>
      <c r="AW21" s="124">
        <f>INDEX('Commodity Prices'!$D$7:$D$22,MATCH($B21,'Commodity Prices'!$B$7:$B$22,0))*AW15</f>
        <v>330348.95833333331</v>
      </c>
      <c r="AX21" s="124">
        <f>INDEX('Commodity Prices'!$D$7:$D$22,MATCH($B21,'Commodity Prices'!$B$7:$B$22,0))*AX15</f>
        <v>330348.95833333331</v>
      </c>
      <c r="AY21" s="124">
        <f>INDEX('Commodity Prices'!$D$7:$D$22,MATCH($B21,'Commodity Prices'!$B$7:$B$22,0))*AY15</f>
        <v>330348.95833333331</v>
      </c>
      <c r="AZ21" s="124">
        <f>INDEX('Commodity Prices'!$D$7:$D$22,MATCH($B21,'Commodity Prices'!$B$7:$B$22,0))*AZ15</f>
        <v>330348.95833333331</v>
      </c>
      <c r="BA21" s="124">
        <f>INDEX('Commodity Prices'!$D$7:$D$22,MATCH($B21,'Commodity Prices'!$B$7:$B$22,0))*BA15</f>
        <v>330348.95833333331</v>
      </c>
      <c r="BB21" s="124">
        <f>INDEX('Commodity Prices'!$D$7:$D$22,MATCH($B21,'Commodity Prices'!$B$7:$B$22,0))*BB15</f>
        <v>330348.95833333331</v>
      </c>
      <c r="BC21" s="124">
        <f>INDEX('Commodity Prices'!$D$7:$D$22,MATCH($B21,'Commodity Prices'!$B$7:$B$22,0))*BC15</f>
        <v>330348.95833333331</v>
      </c>
      <c r="BD21" s="124">
        <f>INDEX('Commodity Prices'!$D$7:$D$22,MATCH($B21,'Commodity Prices'!$B$7:$B$22,0))*BD15</f>
        <v>330348.95833333331</v>
      </c>
      <c r="BE21" s="124">
        <f>INDEX('Commodity Prices'!$D$7:$D$22,MATCH($B21,'Commodity Prices'!$B$7:$B$22,0))*BE15</f>
        <v>330348.95833333331</v>
      </c>
      <c r="BF21" s="124">
        <f>INDEX('Commodity Prices'!$D$7:$D$22,MATCH($B21,'Commodity Prices'!$B$7:$B$22,0))*BF15</f>
        <v>330348.95833333331</v>
      </c>
      <c r="BG21" s="124">
        <f>INDEX('Commodity Prices'!$D$7:$D$22,MATCH($B21,'Commodity Prices'!$B$7:$B$22,0))*BG15</f>
        <v>330348.95833333331</v>
      </c>
      <c r="BH21" s="124">
        <f>INDEX('Commodity Prices'!$D$7:$D$22,MATCH($B21,'Commodity Prices'!$B$7:$B$22,0))*BH15</f>
        <v>330348.95833333331</v>
      </c>
      <c r="BI21" s="124">
        <f>INDEX('Commodity Prices'!$D$7:$D$22,MATCH($B21,'Commodity Prices'!$B$7:$B$22,0))*BI15</f>
        <v>330348.95833333331</v>
      </c>
      <c r="BJ21" s="124">
        <f>INDEX('Commodity Prices'!$D$7:$D$22,MATCH($B21,'Commodity Prices'!$B$7:$B$22,0))*BJ15</f>
        <v>330348.95833333331</v>
      </c>
      <c r="BK21" s="124">
        <f>INDEX('Commodity Prices'!$D$7:$D$22,MATCH($B21,'Commodity Prices'!$B$7:$B$22,0))*BK15</f>
        <v>330348.95833333331</v>
      </c>
      <c r="BL21" s="124">
        <f>INDEX('Commodity Prices'!$D$7:$D$22,MATCH($B21,'Commodity Prices'!$B$7:$B$22,0))*BL15</f>
        <v>330348.95833333331</v>
      </c>
      <c r="BM21" s="124">
        <f>INDEX('Commodity Prices'!$D$7:$D$22,MATCH($B21,'Commodity Prices'!$B$7:$B$22,0))*BM15</f>
        <v>330348.95833333331</v>
      </c>
      <c r="BN21" s="124">
        <f>INDEX('Commodity Prices'!$D$7:$D$22,MATCH($B21,'Commodity Prices'!$B$7:$B$22,0))*BN15</f>
        <v>330348.95833333331</v>
      </c>
      <c r="BO21" s="124">
        <f>INDEX('Commodity Prices'!$D$7:$D$22,MATCH($B21,'Commodity Prices'!$B$7:$B$22,0))*BO15</f>
        <v>330348.95833333331</v>
      </c>
      <c r="BP21" s="124">
        <f>INDEX('Commodity Prices'!$D$7:$D$22,MATCH($B21,'Commodity Prices'!$B$7:$B$22,0))*BP15</f>
        <v>330348.95833333331</v>
      </c>
      <c r="BQ21" s="124">
        <f>INDEX('Commodity Prices'!$D$7:$D$22,MATCH($B21,'Commodity Prices'!$B$7:$B$22,0))*BQ15</f>
        <v>330348.95833333331</v>
      </c>
      <c r="BR21" s="124">
        <f>INDEX('Commodity Prices'!$D$7:$D$22,MATCH($B21,'Commodity Prices'!$B$7:$B$22,0))*BR15</f>
        <v>330348.95833333331</v>
      </c>
      <c r="BS21" s="124">
        <f>INDEX('Commodity Prices'!$D$7:$D$22,MATCH($B21,'Commodity Prices'!$B$7:$B$22,0))*BS15</f>
        <v>330348.95833333331</v>
      </c>
      <c r="BT21" s="124">
        <f>INDEX('Commodity Prices'!$D$7:$D$22,MATCH($B21,'Commodity Prices'!$B$7:$B$22,0))*BT15</f>
        <v>330348.95833333331</v>
      </c>
      <c r="BU21" s="124">
        <f>INDEX('Commodity Prices'!$D$7:$D$22,MATCH($B21,'Commodity Prices'!$B$7:$B$22,0))*BU15</f>
        <v>330348.95833333331</v>
      </c>
      <c r="BV21" s="124">
        <f>INDEX('Commodity Prices'!$D$7:$D$22,MATCH($B21,'Commodity Prices'!$B$7:$B$22,0))*BV15</f>
        <v>330348.95833333331</v>
      </c>
      <c r="BW21" s="124">
        <f>INDEX('Commodity Prices'!$D$7:$D$22,MATCH($B21,'Commodity Prices'!$B$7:$B$22,0))*BW15</f>
        <v>330348.95833333331</v>
      </c>
      <c r="BX21" s="124">
        <f>INDEX('Commodity Prices'!$D$7:$D$22,MATCH($B21,'Commodity Prices'!$B$7:$B$22,0))*BX15</f>
        <v>330348.95833333331</v>
      </c>
      <c r="BY21" s="124">
        <f>INDEX('Commodity Prices'!$D$7:$D$22,MATCH($B21,'Commodity Prices'!$B$7:$B$22,0))*BY15</f>
        <v>330348.95833333331</v>
      </c>
      <c r="BZ21" s="124">
        <f>INDEX('Commodity Prices'!$D$7:$D$22,MATCH($B21,'Commodity Prices'!$B$7:$B$22,0))*BZ15</f>
        <v>330348.95833333331</v>
      </c>
      <c r="CA21" s="124">
        <f>INDEX('Commodity Prices'!$D$7:$D$22,MATCH($B21,'Commodity Prices'!$B$7:$B$22,0))*CA15</f>
        <v>330348.95833333331</v>
      </c>
      <c r="CB21" s="124">
        <f>INDEX('Commodity Prices'!$D$7:$D$22,MATCH($B21,'Commodity Prices'!$B$7:$B$22,0))*CB15</f>
        <v>330348.95833333331</v>
      </c>
      <c r="CC21" s="124">
        <f>INDEX('Commodity Prices'!$D$7:$D$22,MATCH($B21,'Commodity Prices'!$B$7:$B$22,0))*CC15</f>
        <v>330348.95833333331</v>
      </c>
      <c r="CD21" s="124">
        <f>INDEX('Commodity Prices'!$D$7:$D$22,MATCH($B21,'Commodity Prices'!$B$7:$B$22,0))*CD15</f>
        <v>330348.95833333331</v>
      </c>
      <c r="CE21" s="124">
        <f>INDEX('Commodity Prices'!$D$7:$D$22,MATCH($B21,'Commodity Prices'!$B$7:$B$22,0))*CE15</f>
        <v>330348.95833333331</v>
      </c>
      <c r="CF21" s="124">
        <f>INDEX('Commodity Prices'!$D$7:$D$22,MATCH($B21,'Commodity Prices'!$B$7:$B$22,0))*CF15</f>
        <v>330348.95833333331</v>
      </c>
      <c r="CG21" s="124">
        <f>INDEX('Commodity Prices'!$D$7:$D$22,MATCH($B21,'Commodity Prices'!$B$7:$B$22,0))*CG15</f>
        <v>330348.95833333331</v>
      </c>
      <c r="CH21" s="124">
        <f>INDEX('Commodity Prices'!$D$7:$D$22,MATCH($B21,'Commodity Prices'!$B$7:$B$22,0))*CH15</f>
        <v>330348.95833333331</v>
      </c>
      <c r="CI21" s="124">
        <f>INDEX('Commodity Prices'!$D$7:$D$22,MATCH($B21,'Commodity Prices'!$B$7:$B$22,0))*CI15</f>
        <v>330348.95833333331</v>
      </c>
      <c r="CJ21" s="124">
        <f>INDEX('Commodity Prices'!$D$7:$D$22,MATCH($B21,'Commodity Prices'!$B$7:$B$22,0))*CJ15</f>
        <v>330348.95833333331</v>
      </c>
      <c r="CK21" s="124">
        <f>INDEX('Commodity Prices'!$D$7:$D$22,MATCH($B21,'Commodity Prices'!$B$7:$B$22,0))*CK15</f>
        <v>330348.95833333331</v>
      </c>
      <c r="CL21" s="124">
        <f>INDEX('Commodity Prices'!$D$7:$D$22,MATCH($B21,'Commodity Prices'!$B$7:$B$22,0))*CL15</f>
        <v>330348.95833333331</v>
      </c>
      <c r="CM21" s="124">
        <f>INDEX('Commodity Prices'!$D$7:$D$22,MATCH($B21,'Commodity Prices'!$B$7:$B$22,0))*CM15</f>
        <v>330348.95833333331</v>
      </c>
      <c r="CN21" s="124">
        <f>INDEX('Commodity Prices'!$D$7:$D$22,MATCH($B21,'Commodity Prices'!$B$7:$B$22,0))*CN15</f>
        <v>330348.95833333331</v>
      </c>
      <c r="CO21" s="124">
        <f>INDEX('Commodity Prices'!$D$7:$D$22,MATCH($B21,'Commodity Prices'!$B$7:$B$22,0))*CO15</f>
        <v>330348.95833333331</v>
      </c>
      <c r="CP21" s="124">
        <f>INDEX('Commodity Prices'!$D$7:$D$22,MATCH($B21,'Commodity Prices'!$B$7:$B$22,0))*CP15</f>
        <v>330348.95833333331</v>
      </c>
      <c r="CQ21" s="124">
        <f>INDEX('Commodity Prices'!$D$7:$D$22,MATCH($B21,'Commodity Prices'!$B$7:$B$22,0))*CQ15</f>
        <v>330348.95833333331</v>
      </c>
      <c r="CR21" s="124">
        <f>INDEX('Commodity Prices'!$D$7:$D$22,MATCH($B21,'Commodity Prices'!$B$7:$B$22,0))*CR15</f>
        <v>330348.95833333331</v>
      </c>
      <c r="CS21" s="124">
        <f>INDEX('Commodity Prices'!$D$7:$D$22,MATCH($B21,'Commodity Prices'!$B$7:$B$22,0))*CS15</f>
        <v>330348.95833333331</v>
      </c>
      <c r="CT21" s="124">
        <f>INDEX('Commodity Prices'!$D$7:$D$22,MATCH($B21,'Commodity Prices'!$B$7:$B$22,0))*CT15</f>
        <v>330348.95833333331</v>
      </c>
      <c r="CU21" s="124">
        <f>INDEX('Commodity Prices'!$D$7:$D$22,MATCH($B21,'Commodity Prices'!$B$7:$B$22,0))*CU15</f>
        <v>330348.95833333331</v>
      </c>
      <c r="CV21" s="124">
        <f>INDEX('Commodity Prices'!$D$7:$D$22,MATCH($B21,'Commodity Prices'!$B$7:$B$22,0))*CV15</f>
        <v>330348.95833333331</v>
      </c>
      <c r="CW21" s="124">
        <f>INDEX('Commodity Prices'!$D$7:$D$22,MATCH($B21,'Commodity Prices'!$B$7:$B$22,0))*CW15</f>
        <v>330348.95833333331</v>
      </c>
      <c r="CX21" s="124">
        <f>INDEX('Commodity Prices'!$D$7:$D$22,MATCH($B21,'Commodity Prices'!$B$7:$B$22,0))*CX15</f>
        <v>330348.95833333331</v>
      </c>
      <c r="CY21" s="124">
        <f>INDEX('Commodity Prices'!$D$7:$D$22,MATCH($B21,'Commodity Prices'!$B$7:$B$22,0))*CY15</f>
        <v>330348.95833333331</v>
      </c>
      <c r="CZ21" s="124">
        <f>INDEX('Commodity Prices'!$D$7:$D$22,MATCH($B21,'Commodity Prices'!$B$7:$B$22,0))*CZ15</f>
        <v>330348.95833333331</v>
      </c>
      <c r="DA21" s="124">
        <f>INDEX('Commodity Prices'!$D$7:$D$22,MATCH($B21,'Commodity Prices'!$B$7:$B$22,0))*DA15</f>
        <v>330348.95833333331</v>
      </c>
      <c r="DB21" s="124">
        <f>INDEX('Commodity Prices'!$D$7:$D$22,MATCH($B21,'Commodity Prices'!$B$7:$B$22,0))*DB15</f>
        <v>330348.95833333331</v>
      </c>
      <c r="DC21" s="124">
        <f>INDEX('Commodity Prices'!$D$7:$D$22,MATCH($B21,'Commodity Prices'!$B$7:$B$22,0))*DC15</f>
        <v>330348.95833333331</v>
      </c>
      <c r="DD21" s="124">
        <f>INDEX('Commodity Prices'!$D$7:$D$22,MATCH($B21,'Commodity Prices'!$B$7:$B$22,0))*DD15</f>
        <v>330348.95833333331</v>
      </c>
      <c r="DE21" s="124">
        <f>INDEX('Commodity Prices'!$D$7:$D$22,MATCH($B21,'Commodity Prices'!$B$7:$B$22,0))*DE15</f>
        <v>330348.95833333331</v>
      </c>
      <c r="DF21" s="124">
        <f>INDEX('Commodity Prices'!$D$7:$D$22,MATCH($B21,'Commodity Prices'!$B$7:$B$22,0))*DF15</f>
        <v>330348.95833333331</v>
      </c>
      <c r="DG21" s="124">
        <f>INDEX('Commodity Prices'!$D$7:$D$22,MATCH($B21,'Commodity Prices'!$B$7:$B$22,0))*DG15</f>
        <v>330348.95833333331</v>
      </c>
      <c r="DH21" s="124">
        <f>INDEX('Commodity Prices'!$D$7:$D$22,MATCH($B21,'Commodity Prices'!$B$7:$B$22,0))*DH15</f>
        <v>330348.95833333331</v>
      </c>
      <c r="DI21" s="124">
        <f>INDEX('Commodity Prices'!$D$7:$D$22,MATCH($B21,'Commodity Prices'!$B$7:$B$22,0))*DI15</f>
        <v>330348.95833333331</v>
      </c>
      <c r="DJ21" s="124">
        <f>INDEX('Commodity Prices'!$D$7:$D$22,MATCH($B21,'Commodity Prices'!$B$7:$B$22,0))*DJ15</f>
        <v>330348.95833333331</v>
      </c>
      <c r="DK21" s="124">
        <f>INDEX('Commodity Prices'!$D$7:$D$22,MATCH($B21,'Commodity Prices'!$B$7:$B$22,0))*DK15</f>
        <v>330348.95833333331</v>
      </c>
      <c r="DL21" s="124">
        <f>INDEX('Commodity Prices'!$D$7:$D$22,MATCH($B21,'Commodity Prices'!$B$7:$B$22,0))*DL15</f>
        <v>330348.95833333331</v>
      </c>
      <c r="DM21" s="124">
        <f>INDEX('Commodity Prices'!$D$7:$D$22,MATCH($B21,'Commodity Prices'!$B$7:$B$22,0))*DM15</f>
        <v>330348.95833333331</v>
      </c>
      <c r="DN21" s="124">
        <f>INDEX('Commodity Prices'!$D$7:$D$22,MATCH($B21,'Commodity Prices'!$B$7:$B$22,0))*DN15</f>
        <v>330348.95833333331</v>
      </c>
      <c r="DO21" s="124">
        <f>INDEX('Commodity Prices'!$D$7:$D$22,MATCH($B21,'Commodity Prices'!$B$7:$B$22,0))*DO15</f>
        <v>330348.95833333331</v>
      </c>
      <c r="DP21" s="124">
        <f>INDEX('Commodity Prices'!$D$7:$D$22,MATCH($B21,'Commodity Prices'!$B$7:$B$22,0))*DP15</f>
        <v>330348.95833333331</v>
      </c>
      <c r="DQ21" s="124">
        <f>INDEX('Commodity Prices'!$D$7:$D$22,MATCH($B21,'Commodity Prices'!$B$7:$B$22,0))*DQ15</f>
        <v>330348.95833333331</v>
      </c>
      <c r="DR21" s="124">
        <f>INDEX('Commodity Prices'!$D$7:$D$22,MATCH($B21,'Commodity Prices'!$B$7:$B$22,0))*DR15</f>
        <v>330348.95833333331</v>
      </c>
    </row>
    <row r="22" spans="2:122" x14ac:dyDescent="0.3"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</row>
    <row r="23" spans="2:122" x14ac:dyDescent="0.3">
      <c r="B23" s="64" t="s">
        <v>192</v>
      </c>
    </row>
    <row r="24" spans="2:122" x14ac:dyDescent="0.3">
      <c r="B24" s="119" t="s">
        <v>17</v>
      </c>
      <c r="C24" s="120">
        <f>EOMONTH(MIN(Assumptions!$C$8:$C$9),1)</f>
        <v>46387</v>
      </c>
      <c r="D24" s="120">
        <f>EOMONTH(C24,1)</f>
        <v>46418</v>
      </c>
      <c r="E24" s="120">
        <f t="shared" ref="E24:BP24" si="2">EOMONTH(D24,1)</f>
        <v>46446</v>
      </c>
      <c r="F24" s="120">
        <f t="shared" si="2"/>
        <v>46477</v>
      </c>
      <c r="G24" s="120">
        <f t="shared" si="2"/>
        <v>46507</v>
      </c>
      <c r="H24" s="120">
        <f t="shared" si="2"/>
        <v>46538</v>
      </c>
      <c r="I24" s="120">
        <f t="shared" si="2"/>
        <v>46568</v>
      </c>
      <c r="J24" s="120">
        <f t="shared" si="2"/>
        <v>46599</v>
      </c>
      <c r="K24" s="120">
        <f t="shared" si="2"/>
        <v>46630</v>
      </c>
      <c r="L24" s="120">
        <f t="shared" si="2"/>
        <v>46660</v>
      </c>
      <c r="M24" s="120">
        <f t="shared" si="2"/>
        <v>46691</v>
      </c>
      <c r="N24" s="120">
        <f t="shared" si="2"/>
        <v>46721</v>
      </c>
      <c r="O24" s="120">
        <f t="shared" si="2"/>
        <v>46752</v>
      </c>
      <c r="P24" s="120">
        <f t="shared" si="2"/>
        <v>46783</v>
      </c>
      <c r="Q24" s="120">
        <f t="shared" si="2"/>
        <v>46812</v>
      </c>
      <c r="R24" s="120">
        <f t="shared" si="2"/>
        <v>46843</v>
      </c>
      <c r="S24" s="120">
        <f t="shared" si="2"/>
        <v>46873</v>
      </c>
      <c r="T24" s="120">
        <f t="shared" si="2"/>
        <v>46904</v>
      </c>
      <c r="U24" s="120">
        <f t="shared" si="2"/>
        <v>46934</v>
      </c>
      <c r="V24" s="120">
        <f t="shared" si="2"/>
        <v>46965</v>
      </c>
      <c r="W24" s="120">
        <f t="shared" si="2"/>
        <v>46996</v>
      </c>
      <c r="X24" s="120">
        <f t="shared" si="2"/>
        <v>47026</v>
      </c>
      <c r="Y24" s="120">
        <f t="shared" si="2"/>
        <v>47057</v>
      </c>
      <c r="Z24" s="120">
        <f t="shared" si="2"/>
        <v>47087</v>
      </c>
      <c r="AA24" s="120">
        <f t="shared" si="2"/>
        <v>47118</v>
      </c>
      <c r="AB24" s="120">
        <f t="shared" si="2"/>
        <v>47149</v>
      </c>
      <c r="AC24" s="120">
        <f t="shared" si="2"/>
        <v>47177</v>
      </c>
      <c r="AD24" s="120">
        <f t="shared" si="2"/>
        <v>47208</v>
      </c>
      <c r="AE24" s="120">
        <f t="shared" si="2"/>
        <v>47238</v>
      </c>
      <c r="AF24" s="120">
        <f t="shared" si="2"/>
        <v>47269</v>
      </c>
      <c r="AG24" s="120">
        <f t="shared" si="2"/>
        <v>47299</v>
      </c>
      <c r="AH24" s="120">
        <f t="shared" si="2"/>
        <v>47330</v>
      </c>
      <c r="AI24" s="120">
        <f t="shared" si="2"/>
        <v>47361</v>
      </c>
      <c r="AJ24" s="120">
        <f t="shared" si="2"/>
        <v>47391</v>
      </c>
      <c r="AK24" s="120">
        <f t="shared" si="2"/>
        <v>47422</v>
      </c>
      <c r="AL24" s="120">
        <f t="shared" si="2"/>
        <v>47452</v>
      </c>
      <c r="AM24" s="120">
        <f t="shared" si="2"/>
        <v>47483</v>
      </c>
      <c r="AN24" s="120">
        <f t="shared" si="2"/>
        <v>47514</v>
      </c>
      <c r="AO24" s="120">
        <f t="shared" si="2"/>
        <v>47542</v>
      </c>
      <c r="AP24" s="120">
        <f t="shared" si="2"/>
        <v>47573</v>
      </c>
      <c r="AQ24" s="120">
        <f t="shared" si="2"/>
        <v>47603</v>
      </c>
      <c r="AR24" s="120">
        <f t="shared" si="2"/>
        <v>47634</v>
      </c>
      <c r="AS24" s="120">
        <f t="shared" si="2"/>
        <v>47664</v>
      </c>
      <c r="AT24" s="120">
        <f t="shared" si="2"/>
        <v>47695</v>
      </c>
      <c r="AU24" s="120">
        <f t="shared" si="2"/>
        <v>47726</v>
      </c>
      <c r="AV24" s="120">
        <f t="shared" si="2"/>
        <v>47756</v>
      </c>
      <c r="AW24" s="120">
        <f t="shared" si="2"/>
        <v>47787</v>
      </c>
      <c r="AX24" s="120">
        <f t="shared" si="2"/>
        <v>47817</v>
      </c>
      <c r="AY24" s="120">
        <f t="shared" si="2"/>
        <v>47848</v>
      </c>
      <c r="AZ24" s="120">
        <f t="shared" si="2"/>
        <v>47879</v>
      </c>
      <c r="BA24" s="120">
        <f t="shared" si="2"/>
        <v>47907</v>
      </c>
      <c r="BB24" s="120">
        <f t="shared" si="2"/>
        <v>47938</v>
      </c>
      <c r="BC24" s="120">
        <f t="shared" si="2"/>
        <v>47968</v>
      </c>
      <c r="BD24" s="120">
        <f t="shared" si="2"/>
        <v>47999</v>
      </c>
      <c r="BE24" s="120">
        <f t="shared" si="2"/>
        <v>48029</v>
      </c>
      <c r="BF24" s="120">
        <f t="shared" si="2"/>
        <v>48060</v>
      </c>
      <c r="BG24" s="120">
        <f t="shared" si="2"/>
        <v>48091</v>
      </c>
      <c r="BH24" s="120">
        <f t="shared" si="2"/>
        <v>48121</v>
      </c>
      <c r="BI24" s="120">
        <f t="shared" si="2"/>
        <v>48152</v>
      </c>
      <c r="BJ24" s="120">
        <f t="shared" si="2"/>
        <v>48182</v>
      </c>
      <c r="BK24" s="120">
        <f t="shared" si="2"/>
        <v>48213</v>
      </c>
      <c r="BL24" s="120">
        <f t="shared" si="2"/>
        <v>48244</v>
      </c>
      <c r="BM24" s="120">
        <f t="shared" si="2"/>
        <v>48273</v>
      </c>
      <c r="BN24" s="120">
        <f t="shared" si="2"/>
        <v>48304</v>
      </c>
      <c r="BO24" s="120">
        <f t="shared" si="2"/>
        <v>48334</v>
      </c>
      <c r="BP24" s="120">
        <f t="shared" si="2"/>
        <v>48365</v>
      </c>
      <c r="BQ24" s="120">
        <f t="shared" ref="BQ24:DR24" si="3">EOMONTH(BP24,1)</f>
        <v>48395</v>
      </c>
      <c r="BR24" s="120">
        <f t="shared" si="3"/>
        <v>48426</v>
      </c>
      <c r="BS24" s="120">
        <f t="shared" si="3"/>
        <v>48457</v>
      </c>
      <c r="BT24" s="120">
        <f t="shared" si="3"/>
        <v>48487</v>
      </c>
      <c r="BU24" s="120">
        <f t="shared" si="3"/>
        <v>48518</v>
      </c>
      <c r="BV24" s="120">
        <f t="shared" si="3"/>
        <v>48548</v>
      </c>
      <c r="BW24" s="120">
        <f t="shared" si="3"/>
        <v>48579</v>
      </c>
      <c r="BX24" s="120">
        <f t="shared" si="3"/>
        <v>48610</v>
      </c>
      <c r="BY24" s="120">
        <f t="shared" si="3"/>
        <v>48638</v>
      </c>
      <c r="BZ24" s="120">
        <f t="shared" si="3"/>
        <v>48669</v>
      </c>
      <c r="CA24" s="120">
        <f t="shared" si="3"/>
        <v>48699</v>
      </c>
      <c r="CB24" s="120">
        <f t="shared" si="3"/>
        <v>48730</v>
      </c>
      <c r="CC24" s="120">
        <f t="shared" si="3"/>
        <v>48760</v>
      </c>
      <c r="CD24" s="120">
        <f t="shared" si="3"/>
        <v>48791</v>
      </c>
      <c r="CE24" s="120">
        <f t="shared" si="3"/>
        <v>48822</v>
      </c>
      <c r="CF24" s="120">
        <f t="shared" si="3"/>
        <v>48852</v>
      </c>
      <c r="CG24" s="120">
        <f t="shared" si="3"/>
        <v>48883</v>
      </c>
      <c r="CH24" s="120">
        <f t="shared" si="3"/>
        <v>48913</v>
      </c>
      <c r="CI24" s="120">
        <f t="shared" si="3"/>
        <v>48944</v>
      </c>
      <c r="CJ24" s="120">
        <f t="shared" si="3"/>
        <v>48975</v>
      </c>
      <c r="CK24" s="120">
        <f t="shared" si="3"/>
        <v>49003</v>
      </c>
      <c r="CL24" s="120">
        <f t="shared" si="3"/>
        <v>49034</v>
      </c>
      <c r="CM24" s="120">
        <f t="shared" si="3"/>
        <v>49064</v>
      </c>
      <c r="CN24" s="120">
        <f t="shared" si="3"/>
        <v>49095</v>
      </c>
      <c r="CO24" s="120">
        <f t="shared" si="3"/>
        <v>49125</v>
      </c>
      <c r="CP24" s="120">
        <f t="shared" si="3"/>
        <v>49156</v>
      </c>
      <c r="CQ24" s="120">
        <f t="shared" si="3"/>
        <v>49187</v>
      </c>
      <c r="CR24" s="120">
        <f t="shared" si="3"/>
        <v>49217</v>
      </c>
      <c r="CS24" s="120">
        <f t="shared" si="3"/>
        <v>49248</v>
      </c>
      <c r="CT24" s="120">
        <f t="shared" si="3"/>
        <v>49278</v>
      </c>
      <c r="CU24" s="120">
        <f t="shared" si="3"/>
        <v>49309</v>
      </c>
      <c r="CV24" s="120">
        <f t="shared" si="3"/>
        <v>49340</v>
      </c>
      <c r="CW24" s="120">
        <f t="shared" si="3"/>
        <v>49368</v>
      </c>
      <c r="CX24" s="120">
        <f t="shared" si="3"/>
        <v>49399</v>
      </c>
      <c r="CY24" s="120">
        <f t="shared" si="3"/>
        <v>49429</v>
      </c>
      <c r="CZ24" s="120">
        <f t="shared" si="3"/>
        <v>49460</v>
      </c>
      <c r="DA24" s="120">
        <f t="shared" si="3"/>
        <v>49490</v>
      </c>
      <c r="DB24" s="120">
        <f t="shared" si="3"/>
        <v>49521</v>
      </c>
      <c r="DC24" s="120">
        <f t="shared" si="3"/>
        <v>49552</v>
      </c>
      <c r="DD24" s="120">
        <f t="shared" si="3"/>
        <v>49582</v>
      </c>
      <c r="DE24" s="120">
        <f t="shared" si="3"/>
        <v>49613</v>
      </c>
      <c r="DF24" s="120">
        <f t="shared" si="3"/>
        <v>49643</v>
      </c>
      <c r="DG24" s="120">
        <f t="shared" si="3"/>
        <v>49674</v>
      </c>
      <c r="DH24" s="120">
        <f t="shared" si="3"/>
        <v>49705</v>
      </c>
      <c r="DI24" s="120">
        <f t="shared" si="3"/>
        <v>49734</v>
      </c>
      <c r="DJ24" s="120">
        <f t="shared" si="3"/>
        <v>49765</v>
      </c>
      <c r="DK24" s="120">
        <f t="shared" si="3"/>
        <v>49795</v>
      </c>
      <c r="DL24" s="120">
        <f t="shared" si="3"/>
        <v>49826</v>
      </c>
      <c r="DM24" s="120">
        <f t="shared" si="3"/>
        <v>49856</v>
      </c>
      <c r="DN24" s="120">
        <f t="shared" si="3"/>
        <v>49887</v>
      </c>
      <c r="DO24" s="120">
        <f t="shared" si="3"/>
        <v>49918</v>
      </c>
      <c r="DP24" s="120">
        <f t="shared" si="3"/>
        <v>49948</v>
      </c>
      <c r="DQ24" s="120">
        <f t="shared" si="3"/>
        <v>49979</v>
      </c>
      <c r="DR24" s="120">
        <f t="shared" si="3"/>
        <v>50009</v>
      </c>
    </row>
    <row r="25" spans="2:122" x14ac:dyDescent="0.3">
      <c r="B25" s="52" t="s">
        <v>200</v>
      </c>
      <c r="C25" s="116">
        <f t="shared" ref="C25:AH25" si="4">SUM(C18:C21)</f>
        <v>0</v>
      </c>
      <c r="D25" s="116">
        <f t="shared" si="4"/>
        <v>0</v>
      </c>
      <c r="E25" s="116">
        <f t="shared" si="4"/>
        <v>0</v>
      </c>
      <c r="F25" s="116">
        <f t="shared" si="4"/>
        <v>0</v>
      </c>
      <c r="G25" s="116">
        <f t="shared" si="4"/>
        <v>1967231.7708333333</v>
      </c>
      <c r="H25" s="116">
        <f t="shared" si="4"/>
        <v>1967231.7708333333</v>
      </c>
      <c r="I25" s="116">
        <f t="shared" si="4"/>
        <v>1967231.7708333333</v>
      </c>
      <c r="J25" s="116">
        <f t="shared" si="4"/>
        <v>1967231.7708333333</v>
      </c>
      <c r="K25" s="116">
        <f t="shared" si="4"/>
        <v>1967231.7708333333</v>
      </c>
      <c r="L25" s="116">
        <f t="shared" si="4"/>
        <v>1967231.7708333333</v>
      </c>
      <c r="M25" s="116">
        <f t="shared" si="4"/>
        <v>3934463.5416666665</v>
      </c>
      <c r="N25" s="116">
        <f t="shared" si="4"/>
        <v>3934463.5416666665</v>
      </c>
      <c r="O25" s="116">
        <f t="shared" si="4"/>
        <v>3934463.5416666665</v>
      </c>
      <c r="P25" s="116">
        <f t="shared" si="4"/>
        <v>3934463.5416666665</v>
      </c>
      <c r="Q25" s="116">
        <f t="shared" si="4"/>
        <v>3934463.5416666665</v>
      </c>
      <c r="R25" s="116">
        <f t="shared" si="4"/>
        <v>3934463.5416666665</v>
      </c>
      <c r="S25" s="116">
        <f t="shared" si="4"/>
        <v>3934463.5416666665</v>
      </c>
      <c r="T25" s="116">
        <f t="shared" si="4"/>
        <v>3934463.5416666665</v>
      </c>
      <c r="U25" s="116">
        <f t="shared" si="4"/>
        <v>3934463.5416666665</v>
      </c>
      <c r="V25" s="116">
        <f t="shared" si="4"/>
        <v>3934463.5416666665</v>
      </c>
      <c r="W25" s="116">
        <f t="shared" si="4"/>
        <v>3934463.5416666665</v>
      </c>
      <c r="X25" s="116">
        <f t="shared" si="4"/>
        <v>3934463.5416666665</v>
      </c>
      <c r="Y25" s="116">
        <f t="shared" si="4"/>
        <v>3934463.5416666665</v>
      </c>
      <c r="Z25" s="116">
        <f t="shared" si="4"/>
        <v>3934463.5416666665</v>
      </c>
      <c r="AA25" s="116">
        <f t="shared" si="4"/>
        <v>3934463.5416666665</v>
      </c>
      <c r="AB25" s="116">
        <f t="shared" si="4"/>
        <v>3934463.5416666665</v>
      </c>
      <c r="AC25" s="116">
        <f t="shared" si="4"/>
        <v>3934463.5416666665</v>
      </c>
      <c r="AD25" s="116">
        <f t="shared" si="4"/>
        <v>3934463.5416666665</v>
      </c>
      <c r="AE25" s="116">
        <f t="shared" si="4"/>
        <v>3934463.5416666665</v>
      </c>
      <c r="AF25" s="116">
        <f t="shared" si="4"/>
        <v>3934463.5416666665</v>
      </c>
      <c r="AG25" s="116">
        <f t="shared" si="4"/>
        <v>3934463.5416666665</v>
      </c>
      <c r="AH25" s="116">
        <f t="shared" si="4"/>
        <v>3934463.5416666665</v>
      </c>
      <c r="AI25" s="116">
        <f t="shared" ref="AI25:BN25" si="5">SUM(AI18:AI21)</f>
        <v>3934463.5416666665</v>
      </c>
      <c r="AJ25" s="116">
        <f t="shared" si="5"/>
        <v>3934463.5416666665</v>
      </c>
      <c r="AK25" s="116">
        <f t="shared" si="5"/>
        <v>3934463.5416666665</v>
      </c>
      <c r="AL25" s="116">
        <f t="shared" si="5"/>
        <v>3934463.5416666665</v>
      </c>
      <c r="AM25" s="116">
        <f t="shared" si="5"/>
        <v>3934463.5416666665</v>
      </c>
      <c r="AN25" s="116">
        <f t="shared" si="5"/>
        <v>3934463.5416666665</v>
      </c>
      <c r="AO25" s="116">
        <f t="shared" si="5"/>
        <v>3934463.5416666665</v>
      </c>
      <c r="AP25" s="116">
        <f t="shared" si="5"/>
        <v>3934463.5416666665</v>
      </c>
      <c r="AQ25" s="116">
        <f t="shared" si="5"/>
        <v>3934463.5416666665</v>
      </c>
      <c r="AR25" s="116">
        <f t="shared" si="5"/>
        <v>3934463.5416666665</v>
      </c>
      <c r="AS25" s="116">
        <f t="shared" si="5"/>
        <v>3934463.5416666665</v>
      </c>
      <c r="AT25" s="116">
        <f t="shared" si="5"/>
        <v>3934463.5416666665</v>
      </c>
      <c r="AU25" s="116">
        <f t="shared" si="5"/>
        <v>3934463.5416666665</v>
      </c>
      <c r="AV25" s="116">
        <f t="shared" si="5"/>
        <v>3934463.5416666665</v>
      </c>
      <c r="AW25" s="116">
        <f t="shared" si="5"/>
        <v>3934463.5416666665</v>
      </c>
      <c r="AX25" s="116">
        <f t="shared" si="5"/>
        <v>3934463.5416666665</v>
      </c>
      <c r="AY25" s="116">
        <f t="shared" si="5"/>
        <v>3934463.5416666665</v>
      </c>
      <c r="AZ25" s="116">
        <f t="shared" si="5"/>
        <v>3934463.5416666665</v>
      </c>
      <c r="BA25" s="116">
        <f t="shared" si="5"/>
        <v>3934463.5416666665</v>
      </c>
      <c r="BB25" s="116">
        <f t="shared" si="5"/>
        <v>3934463.5416666665</v>
      </c>
      <c r="BC25" s="116">
        <f t="shared" si="5"/>
        <v>3934463.5416666665</v>
      </c>
      <c r="BD25" s="116">
        <f t="shared" si="5"/>
        <v>3934463.5416666665</v>
      </c>
      <c r="BE25" s="116">
        <f t="shared" si="5"/>
        <v>3934463.5416666665</v>
      </c>
      <c r="BF25" s="116">
        <f t="shared" si="5"/>
        <v>3934463.5416666665</v>
      </c>
      <c r="BG25" s="116">
        <f t="shared" si="5"/>
        <v>3934463.5416666665</v>
      </c>
      <c r="BH25" s="116">
        <f t="shared" si="5"/>
        <v>3934463.5416666665</v>
      </c>
      <c r="BI25" s="116">
        <f t="shared" si="5"/>
        <v>3934463.5416666665</v>
      </c>
      <c r="BJ25" s="116">
        <f t="shared" si="5"/>
        <v>3934463.5416666665</v>
      </c>
      <c r="BK25" s="116">
        <f t="shared" si="5"/>
        <v>3934463.5416666665</v>
      </c>
      <c r="BL25" s="116">
        <f t="shared" si="5"/>
        <v>3934463.5416666665</v>
      </c>
      <c r="BM25" s="116">
        <f t="shared" si="5"/>
        <v>3934463.5416666665</v>
      </c>
      <c r="BN25" s="116">
        <f t="shared" si="5"/>
        <v>3934463.5416666665</v>
      </c>
      <c r="BO25" s="116">
        <f t="shared" ref="BO25:CT25" si="6">SUM(BO18:BO21)</f>
        <v>3934463.5416666665</v>
      </c>
      <c r="BP25" s="116">
        <f t="shared" si="6"/>
        <v>3934463.5416666665</v>
      </c>
      <c r="BQ25" s="116">
        <f t="shared" si="6"/>
        <v>3934463.5416666665</v>
      </c>
      <c r="BR25" s="116">
        <f t="shared" si="6"/>
        <v>3934463.5416666665</v>
      </c>
      <c r="BS25" s="116">
        <f t="shared" si="6"/>
        <v>3934463.5416666665</v>
      </c>
      <c r="BT25" s="116">
        <f t="shared" si="6"/>
        <v>3934463.5416666665</v>
      </c>
      <c r="BU25" s="116">
        <f t="shared" si="6"/>
        <v>3934463.5416666665</v>
      </c>
      <c r="BV25" s="116">
        <f t="shared" si="6"/>
        <v>3934463.5416666665</v>
      </c>
      <c r="BW25" s="116">
        <f t="shared" si="6"/>
        <v>3934463.5416666665</v>
      </c>
      <c r="BX25" s="116">
        <f t="shared" si="6"/>
        <v>3934463.5416666665</v>
      </c>
      <c r="BY25" s="116">
        <f t="shared" si="6"/>
        <v>3934463.5416666665</v>
      </c>
      <c r="BZ25" s="116">
        <f t="shared" si="6"/>
        <v>3934463.5416666665</v>
      </c>
      <c r="CA25" s="116">
        <f t="shared" si="6"/>
        <v>3934463.5416666665</v>
      </c>
      <c r="CB25" s="116">
        <f t="shared" si="6"/>
        <v>3934463.5416666665</v>
      </c>
      <c r="CC25" s="116">
        <f t="shared" si="6"/>
        <v>3934463.5416666665</v>
      </c>
      <c r="CD25" s="116">
        <f t="shared" si="6"/>
        <v>3934463.5416666665</v>
      </c>
      <c r="CE25" s="116">
        <f t="shared" si="6"/>
        <v>3934463.5416666665</v>
      </c>
      <c r="CF25" s="116">
        <f t="shared" si="6"/>
        <v>3934463.5416666665</v>
      </c>
      <c r="CG25" s="116">
        <f t="shared" si="6"/>
        <v>3934463.5416666665</v>
      </c>
      <c r="CH25" s="116">
        <f t="shared" si="6"/>
        <v>3934463.5416666665</v>
      </c>
      <c r="CI25" s="116">
        <f t="shared" si="6"/>
        <v>3934463.5416666665</v>
      </c>
      <c r="CJ25" s="116">
        <f t="shared" si="6"/>
        <v>3934463.5416666665</v>
      </c>
      <c r="CK25" s="116">
        <f t="shared" si="6"/>
        <v>3934463.5416666665</v>
      </c>
      <c r="CL25" s="116">
        <f t="shared" si="6"/>
        <v>3934463.5416666665</v>
      </c>
      <c r="CM25" s="116">
        <f t="shared" si="6"/>
        <v>3934463.5416666665</v>
      </c>
      <c r="CN25" s="116">
        <f t="shared" si="6"/>
        <v>3934463.5416666665</v>
      </c>
      <c r="CO25" s="116">
        <f t="shared" si="6"/>
        <v>3934463.5416666665</v>
      </c>
      <c r="CP25" s="116">
        <f t="shared" si="6"/>
        <v>3934463.5416666665</v>
      </c>
      <c r="CQ25" s="116">
        <f t="shared" si="6"/>
        <v>3934463.5416666665</v>
      </c>
      <c r="CR25" s="116">
        <f t="shared" si="6"/>
        <v>3934463.5416666665</v>
      </c>
      <c r="CS25" s="116">
        <f t="shared" si="6"/>
        <v>3934463.5416666665</v>
      </c>
      <c r="CT25" s="116">
        <f t="shared" si="6"/>
        <v>3934463.5416666665</v>
      </c>
      <c r="CU25" s="116">
        <f t="shared" ref="CU25:DR25" si="7">SUM(CU18:CU21)</f>
        <v>3934463.5416666665</v>
      </c>
      <c r="CV25" s="116">
        <f t="shared" si="7"/>
        <v>3934463.5416666665</v>
      </c>
      <c r="CW25" s="116">
        <f t="shared" si="7"/>
        <v>3934463.5416666665</v>
      </c>
      <c r="CX25" s="116">
        <f t="shared" si="7"/>
        <v>3934463.5416666665</v>
      </c>
      <c r="CY25" s="116">
        <f t="shared" si="7"/>
        <v>3934463.5416666665</v>
      </c>
      <c r="CZ25" s="116">
        <f t="shared" si="7"/>
        <v>3934463.5416666665</v>
      </c>
      <c r="DA25" s="116">
        <f t="shared" si="7"/>
        <v>3934463.5416666665</v>
      </c>
      <c r="DB25" s="116">
        <f t="shared" si="7"/>
        <v>3934463.5416666665</v>
      </c>
      <c r="DC25" s="116">
        <f t="shared" si="7"/>
        <v>3934463.5416666665</v>
      </c>
      <c r="DD25" s="116">
        <f t="shared" si="7"/>
        <v>3934463.5416666665</v>
      </c>
      <c r="DE25" s="116">
        <f t="shared" si="7"/>
        <v>3934463.5416666665</v>
      </c>
      <c r="DF25" s="116">
        <f t="shared" si="7"/>
        <v>3934463.5416666665</v>
      </c>
      <c r="DG25" s="116">
        <f t="shared" si="7"/>
        <v>3934463.5416666665</v>
      </c>
      <c r="DH25" s="116">
        <f t="shared" si="7"/>
        <v>3934463.5416666665</v>
      </c>
      <c r="DI25" s="116">
        <f t="shared" si="7"/>
        <v>3934463.5416666665</v>
      </c>
      <c r="DJ25" s="116">
        <f t="shared" si="7"/>
        <v>3934463.5416666665</v>
      </c>
      <c r="DK25" s="116">
        <f t="shared" si="7"/>
        <v>3934463.5416666665</v>
      </c>
      <c r="DL25" s="116">
        <f t="shared" si="7"/>
        <v>3934463.5416666665</v>
      </c>
      <c r="DM25" s="116">
        <f t="shared" si="7"/>
        <v>3934463.5416666665</v>
      </c>
      <c r="DN25" s="116">
        <f t="shared" si="7"/>
        <v>3934463.5416666665</v>
      </c>
      <c r="DO25" s="116">
        <f t="shared" si="7"/>
        <v>3934463.5416666665</v>
      </c>
      <c r="DP25" s="116">
        <f t="shared" si="7"/>
        <v>3934463.5416666665</v>
      </c>
      <c r="DQ25" s="116">
        <f t="shared" si="7"/>
        <v>3934463.5416666665</v>
      </c>
      <c r="DR25" s="116">
        <f t="shared" si="7"/>
        <v>3934463.5416666665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C7ABF-5D3C-4007-A6DA-41ED08D74975}">
  <sheetPr>
    <tabColor theme="8"/>
  </sheetPr>
  <dimension ref="B1:DR29"/>
  <sheetViews>
    <sheetView showGridLines="0" workbookViewId="0">
      <selection activeCell="A20" sqref="A20"/>
    </sheetView>
  </sheetViews>
  <sheetFormatPr defaultRowHeight="15" x14ac:dyDescent="0.3"/>
  <cols>
    <col min="1" max="1" width="1.7109375" style="52" customWidth="1"/>
    <col min="2" max="2" width="29.5703125" style="52" bestFit="1" customWidth="1"/>
    <col min="3" max="11" width="12.42578125" style="52" bestFit="1" customWidth="1"/>
    <col min="12" max="122" width="13.5703125" style="52" bestFit="1" customWidth="1"/>
    <col min="123" max="16384" width="9.140625" style="52"/>
  </cols>
  <sheetData>
    <row r="1" spans="2:11" s="83" customFormat="1" x14ac:dyDescent="0.3">
      <c r="B1" s="178" t="s">
        <v>283</v>
      </c>
    </row>
    <row r="2" spans="2:11" s="83" customFormat="1" ht="18" x14ac:dyDescent="0.35">
      <c r="B2" s="90" t="s">
        <v>212</v>
      </c>
      <c r="C2" s="82"/>
      <c r="D2" s="82"/>
      <c r="E2" s="82"/>
      <c r="F2" s="82"/>
      <c r="G2" s="82"/>
      <c r="H2" s="89"/>
      <c r="I2" s="89"/>
      <c r="J2" s="89"/>
      <c r="K2" s="89"/>
    </row>
    <row r="4" spans="2:11" x14ac:dyDescent="0.3">
      <c r="B4" s="134" t="s">
        <v>8</v>
      </c>
      <c r="C4" s="134"/>
    </row>
    <row r="5" spans="2:11" x14ac:dyDescent="0.3">
      <c r="B5" s="52" t="s">
        <v>9</v>
      </c>
      <c r="C5" s="61">
        <v>0.125</v>
      </c>
    </row>
    <row r="6" spans="2:11" x14ac:dyDescent="0.3">
      <c r="B6" s="52" t="s">
        <v>219</v>
      </c>
      <c r="C6" s="63">
        <v>1000</v>
      </c>
    </row>
    <row r="8" spans="2:11" x14ac:dyDescent="0.3">
      <c r="B8" s="134" t="s">
        <v>10</v>
      </c>
      <c r="C8" s="134"/>
    </row>
    <row r="9" spans="2:11" x14ac:dyDescent="0.3">
      <c r="B9" s="52" t="s">
        <v>9</v>
      </c>
      <c r="C9" s="61">
        <v>0.35499999999999998</v>
      </c>
      <c r="D9" s="55"/>
    </row>
    <row r="10" spans="2:11" x14ac:dyDescent="0.3">
      <c r="B10" s="52" t="s">
        <v>214</v>
      </c>
      <c r="C10" s="52">
        <v>50</v>
      </c>
      <c r="F10" s="55"/>
    </row>
    <row r="11" spans="2:11" x14ac:dyDescent="0.3">
      <c r="B11" s="52" t="s">
        <v>218</v>
      </c>
      <c r="C11" s="52">
        <f>+C9*C10</f>
        <v>17.75</v>
      </c>
    </row>
    <row r="12" spans="2:11" x14ac:dyDescent="0.3">
      <c r="B12" s="52" t="s">
        <v>11</v>
      </c>
      <c r="C12" s="52">
        <v>100</v>
      </c>
    </row>
    <row r="14" spans="2:11" x14ac:dyDescent="0.3">
      <c r="B14" s="52" t="s">
        <v>423</v>
      </c>
      <c r="C14" s="68">
        <f>+Assumptions!E37</f>
        <v>0.11259661001924133</v>
      </c>
    </row>
    <row r="15" spans="2:11" x14ac:dyDescent="0.3">
      <c r="B15" s="52" t="s">
        <v>422</v>
      </c>
      <c r="C15" s="68">
        <f>+Assumptions!L37</f>
        <v>8.1497196261682239E-2</v>
      </c>
    </row>
    <row r="16" spans="2:11" x14ac:dyDescent="0.3">
      <c r="B16" s="52" t="s">
        <v>215</v>
      </c>
      <c r="C16" s="68">
        <f>+Assumptions!E28</f>
        <v>1.5525447504302925E-2</v>
      </c>
    </row>
    <row r="17" spans="2:122" x14ac:dyDescent="0.3">
      <c r="B17" s="52" t="s">
        <v>424</v>
      </c>
      <c r="C17" s="68">
        <f>Assumptions!C12/SUM(Assumptions!$C$12:$C$14)*'Zinc Agra'!C16+SUM(Assumptions!C13:C14)/SUM(Assumptions!$C$12:$C$14)*'Zinc Agra'!C14</f>
        <v>9.3182377516253648E-2</v>
      </c>
    </row>
    <row r="18" spans="2:122" x14ac:dyDescent="0.3">
      <c r="B18" s="52" t="s">
        <v>417</v>
      </c>
      <c r="C18" s="68">
        <f>+Assumptions!$C$12/(Assumptions!$C$12+Assumptions!$C$14)*'Zinc Agra'!C16+Assumptions!$C$14/(Assumptions!$C$12+Assumptions!$C$14)*'Zinc Agra'!C15</f>
        <v>5.5108496758730509E-2</v>
      </c>
    </row>
    <row r="20" spans="2:122" x14ac:dyDescent="0.3">
      <c r="B20" s="64" t="s">
        <v>199</v>
      </c>
      <c r="C20" s="330">
        <f>INT(((YEAR(C28)-YEAR($C$28))*12 + MONTH(C28)-MONTH($C$28))/12) + 1</f>
        <v>1</v>
      </c>
      <c r="D20" s="330">
        <f t="shared" ref="D20:BO20" si="0">INT(((YEAR(D28)-YEAR($C$28))*12 + MONTH(D28)-MONTH($C$28))/12) + 1</f>
        <v>1</v>
      </c>
      <c r="E20" s="330">
        <f t="shared" si="0"/>
        <v>1</v>
      </c>
      <c r="F20" s="330">
        <f t="shared" si="0"/>
        <v>1</v>
      </c>
      <c r="G20" s="330">
        <f t="shared" si="0"/>
        <v>1</v>
      </c>
      <c r="H20" s="330">
        <f t="shared" si="0"/>
        <v>1</v>
      </c>
      <c r="I20" s="330">
        <f t="shared" si="0"/>
        <v>1</v>
      </c>
      <c r="J20" s="330">
        <f t="shared" si="0"/>
        <v>1</v>
      </c>
      <c r="K20" s="330">
        <f t="shared" si="0"/>
        <v>1</v>
      </c>
      <c r="L20" s="330">
        <f t="shared" si="0"/>
        <v>1</v>
      </c>
      <c r="M20" s="330">
        <f t="shared" si="0"/>
        <v>1</v>
      </c>
      <c r="N20" s="330">
        <f t="shared" si="0"/>
        <v>1</v>
      </c>
      <c r="O20" s="330">
        <f t="shared" si="0"/>
        <v>2</v>
      </c>
      <c r="P20" s="330">
        <f t="shared" si="0"/>
        <v>2</v>
      </c>
      <c r="Q20" s="330">
        <f t="shared" si="0"/>
        <v>2</v>
      </c>
      <c r="R20" s="330">
        <f t="shared" si="0"/>
        <v>2</v>
      </c>
      <c r="S20" s="330">
        <f t="shared" si="0"/>
        <v>2</v>
      </c>
      <c r="T20" s="330">
        <f t="shared" si="0"/>
        <v>2</v>
      </c>
      <c r="U20" s="330">
        <f t="shared" si="0"/>
        <v>2</v>
      </c>
      <c r="V20" s="330">
        <f t="shared" si="0"/>
        <v>2</v>
      </c>
      <c r="W20" s="330">
        <f t="shared" si="0"/>
        <v>2</v>
      </c>
      <c r="X20" s="330">
        <f t="shared" si="0"/>
        <v>2</v>
      </c>
      <c r="Y20" s="330">
        <f t="shared" si="0"/>
        <v>2</v>
      </c>
      <c r="Z20" s="330">
        <f t="shared" si="0"/>
        <v>2</v>
      </c>
      <c r="AA20" s="330">
        <f t="shared" si="0"/>
        <v>3</v>
      </c>
      <c r="AB20" s="330">
        <f t="shared" si="0"/>
        <v>3</v>
      </c>
      <c r="AC20" s="330">
        <f t="shared" si="0"/>
        <v>3</v>
      </c>
      <c r="AD20" s="330">
        <f t="shared" si="0"/>
        <v>3</v>
      </c>
      <c r="AE20" s="330">
        <f t="shared" si="0"/>
        <v>3</v>
      </c>
      <c r="AF20" s="330">
        <f t="shared" si="0"/>
        <v>3</v>
      </c>
      <c r="AG20" s="330">
        <f t="shared" si="0"/>
        <v>3</v>
      </c>
      <c r="AH20" s="330">
        <f t="shared" si="0"/>
        <v>3</v>
      </c>
      <c r="AI20" s="330">
        <f t="shared" si="0"/>
        <v>3</v>
      </c>
      <c r="AJ20" s="330">
        <f t="shared" si="0"/>
        <v>3</v>
      </c>
      <c r="AK20" s="330">
        <f t="shared" si="0"/>
        <v>3</v>
      </c>
      <c r="AL20" s="330">
        <f t="shared" si="0"/>
        <v>3</v>
      </c>
      <c r="AM20" s="330">
        <f t="shared" si="0"/>
        <v>4</v>
      </c>
      <c r="AN20" s="330">
        <f t="shared" si="0"/>
        <v>4</v>
      </c>
      <c r="AO20" s="330">
        <f t="shared" si="0"/>
        <v>4</v>
      </c>
      <c r="AP20" s="330">
        <f t="shared" si="0"/>
        <v>4</v>
      </c>
      <c r="AQ20" s="330">
        <f t="shared" si="0"/>
        <v>4</v>
      </c>
      <c r="AR20" s="330">
        <f t="shared" si="0"/>
        <v>4</v>
      </c>
      <c r="AS20" s="330">
        <f t="shared" si="0"/>
        <v>4</v>
      </c>
      <c r="AT20" s="330">
        <f t="shared" si="0"/>
        <v>4</v>
      </c>
      <c r="AU20" s="330">
        <f t="shared" si="0"/>
        <v>4</v>
      </c>
      <c r="AV20" s="330">
        <f t="shared" si="0"/>
        <v>4</v>
      </c>
      <c r="AW20" s="330">
        <f t="shared" si="0"/>
        <v>4</v>
      </c>
      <c r="AX20" s="330">
        <f t="shared" si="0"/>
        <v>4</v>
      </c>
      <c r="AY20" s="330">
        <f t="shared" si="0"/>
        <v>5</v>
      </c>
      <c r="AZ20" s="330">
        <f t="shared" si="0"/>
        <v>5</v>
      </c>
      <c r="BA20" s="330">
        <f t="shared" si="0"/>
        <v>5</v>
      </c>
      <c r="BB20" s="330">
        <f t="shared" si="0"/>
        <v>5</v>
      </c>
      <c r="BC20" s="330">
        <f t="shared" si="0"/>
        <v>5</v>
      </c>
      <c r="BD20" s="330">
        <f t="shared" si="0"/>
        <v>5</v>
      </c>
      <c r="BE20" s="330">
        <f t="shared" si="0"/>
        <v>5</v>
      </c>
      <c r="BF20" s="330">
        <f t="shared" si="0"/>
        <v>5</v>
      </c>
      <c r="BG20" s="330">
        <f t="shared" si="0"/>
        <v>5</v>
      </c>
      <c r="BH20" s="330">
        <f t="shared" si="0"/>
        <v>5</v>
      </c>
      <c r="BI20" s="330">
        <f t="shared" si="0"/>
        <v>5</v>
      </c>
      <c r="BJ20" s="330">
        <f t="shared" si="0"/>
        <v>5</v>
      </c>
      <c r="BK20" s="330">
        <f t="shared" si="0"/>
        <v>6</v>
      </c>
      <c r="BL20" s="330">
        <f t="shared" si="0"/>
        <v>6</v>
      </c>
      <c r="BM20" s="330">
        <f t="shared" si="0"/>
        <v>6</v>
      </c>
      <c r="BN20" s="330">
        <f t="shared" si="0"/>
        <v>6</v>
      </c>
      <c r="BO20" s="330">
        <f t="shared" si="0"/>
        <v>6</v>
      </c>
      <c r="BP20" s="330">
        <f t="shared" ref="BP20:DR20" si="1">INT(((YEAR(BP28)-YEAR($C$28))*12 + MONTH(BP28)-MONTH($C$28))/12) + 1</f>
        <v>6</v>
      </c>
      <c r="BQ20" s="330">
        <f t="shared" si="1"/>
        <v>6</v>
      </c>
      <c r="BR20" s="330">
        <f t="shared" si="1"/>
        <v>6</v>
      </c>
      <c r="BS20" s="330">
        <f t="shared" si="1"/>
        <v>6</v>
      </c>
      <c r="BT20" s="330">
        <f t="shared" si="1"/>
        <v>6</v>
      </c>
      <c r="BU20" s="330">
        <f t="shared" si="1"/>
        <v>6</v>
      </c>
      <c r="BV20" s="330">
        <f t="shared" si="1"/>
        <v>6</v>
      </c>
      <c r="BW20" s="330">
        <f t="shared" si="1"/>
        <v>7</v>
      </c>
      <c r="BX20" s="330">
        <f t="shared" si="1"/>
        <v>7</v>
      </c>
      <c r="BY20" s="330">
        <f t="shared" si="1"/>
        <v>7</v>
      </c>
      <c r="BZ20" s="330">
        <f t="shared" si="1"/>
        <v>7</v>
      </c>
      <c r="CA20" s="330">
        <f t="shared" si="1"/>
        <v>7</v>
      </c>
      <c r="CB20" s="330">
        <f t="shared" si="1"/>
        <v>7</v>
      </c>
      <c r="CC20" s="330">
        <f t="shared" si="1"/>
        <v>7</v>
      </c>
      <c r="CD20" s="330">
        <f t="shared" si="1"/>
        <v>7</v>
      </c>
      <c r="CE20" s="330">
        <f t="shared" si="1"/>
        <v>7</v>
      </c>
      <c r="CF20" s="330">
        <f t="shared" si="1"/>
        <v>7</v>
      </c>
      <c r="CG20" s="330">
        <f t="shared" si="1"/>
        <v>7</v>
      </c>
      <c r="CH20" s="330">
        <f t="shared" si="1"/>
        <v>7</v>
      </c>
      <c r="CI20" s="330">
        <f t="shared" si="1"/>
        <v>8</v>
      </c>
      <c r="CJ20" s="330">
        <f t="shared" si="1"/>
        <v>8</v>
      </c>
      <c r="CK20" s="330">
        <f t="shared" si="1"/>
        <v>8</v>
      </c>
      <c r="CL20" s="330">
        <f t="shared" si="1"/>
        <v>8</v>
      </c>
      <c r="CM20" s="330">
        <f t="shared" si="1"/>
        <v>8</v>
      </c>
      <c r="CN20" s="330">
        <f t="shared" si="1"/>
        <v>8</v>
      </c>
      <c r="CO20" s="330">
        <f t="shared" si="1"/>
        <v>8</v>
      </c>
      <c r="CP20" s="330">
        <f t="shared" si="1"/>
        <v>8</v>
      </c>
      <c r="CQ20" s="330">
        <f t="shared" si="1"/>
        <v>8</v>
      </c>
      <c r="CR20" s="330">
        <f t="shared" si="1"/>
        <v>8</v>
      </c>
      <c r="CS20" s="330">
        <f t="shared" si="1"/>
        <v>8</v>
      </c>
      <c r="CT20" s="330">
        <f t="shared" si="1"/>
        <v>8</v>
      </c>
      <c r="CU20" s="330">
        <f t="shared" si="1"/>
        <v>9</v>
      </c>
      <c r="CV20" s="330">
        <f t="shared" si="1"/>
        <v>9</v>
      </c>
      <c r="CW20" s="330">
        <f t="shared" si="1"/>
        <v>9</v>
      </c>
      <c r="CX20" s="330">
        <f t="shared" si="1"/>
        <v>9</v>
      </c>
      <c r="CY20" s="330">
        <f t="shared" si="1"/>
        <v>9</v>
      </c>
      <c r="CZ20" s="330">
        <f t="shared" si="1"/>
        <v>9</v>
      </c>
      <c r="DA20" s="330">
        <f t="shared" si="1"/>
        <v>9</v>
      </c>
      <c r="DB20" s="330">
        <f t="shared" si="1"/>
        <v>9</v>
      </c>
      <c r="DC20" s="330">
        <f t="shared" si="1"/>
        <v>9</v>
      </c>
      <c r="DD20" s="330">
        <f t="shared" si="1"/>
        <v>9</v>
      </c>
      <c r="DE20" s="330">
        <f t="shared" si="1"/>
        <v>9</v>
      </c>
      <c r="DF20" s="330">
        <f t="shared" si="1"/>
        <v>9</v>
      </c>
      <c r="DG20" s="330">
        <f t="shared" si="1"/>
        <v>10</v>
      </c>
      <c r="DH20" s="330">
        <f t="shared" si="1"/>
        <v>10</v>
      </c>
      <c r="DI20" s="330">
        <f t="shared" si="1"/>
        <v>10</v>
      </c>
      <c r="DJ20" s="330">
        <f t="shared" si="1"/>
        <v>10</v>
      </c>
      <c r="DK20" s="330">
        <f t="shared" si="1"/>
        <v>10</v>
      </c>
      <c r="DL20" s="330">
        <f t="shared" si="1"/>
        <v>10</v>
      </c>
      <c r="DM20" s="330">
        <f t="shared" si="1"/>
        <v>10</v>
      </c>
      <c r="DN20" s="330">
        <f t="shared" si="1"/>
        <v>10</v>
      </c>
      <c r="DO20" s="330">
        <f t="shared" si="1"/>
        <v>10</v>
      </c>
      <c r="DP20" s="330">
        <f t="shared" si="1"/>
        <v>10</v>
      </c>
      <c r="DQ20" s="330">
        <f t="shared" si="1"/>
        <v>10</v>
      </c>
      <c r="DR20" s="330">
        <f t="shared" si="1"/>
        <v>10</v>
      </c>
    </row>
    <row r="21" spans="2:122" x14ac:dyDescent="0.3">
      <c r="B21" s="52" t="s">
        <v>166</v>
      </c>
      <c r="C21" s="52">
        <f>IF(C28&lt;=Assumptions!$F$17, Assumptions!$D$17, IF(C28&lt;=Assumptions!$F$18, Assumptions!$D$18, Assumptions!$D$19))</f>
        <v>40</v>
      </c>
      <c r="D21" s="52">
        <f>IF(D28&lt;=Assumptions!$F$17, Assumptions!$D$17, IF(D28&lt;=Assumptions!$F$18, Assumptions!$D$18, Assumptions!$D$19))</f>
        <v>40</v>
      </c>
      <c r="E21" s="52">
        <f>IF(E28&lt;=Assumptions!$F$17, Assumptions!$D$17, IF(E28&lt;=Assumptions!$F$18, Assumptions!$D$18, Assumptions!$D$19))</f>
        <v>40</v>
      </c>
      <c r="F21" s="52">
        <f>IF(F28&lt;=Assumptions!$F$17, Assumptions!$D$17, IF(F28&lt;=Assumptions!$F$18, Assumptions!$D$18, Assumptions!$D$19))</f>
        <v>40</v>
      </c>
      <c r="G21" s="52">
        <f>IF(G28&lt;=Assumptions!$F$17, Assumptions!$D$17, IF(G28&lt;=Assumptions!$F$18, Assumptions!$D$18, Assumptions!$D$19))</f>
        <v>250</v>
      </c>
      <c r="H21" s="52">
        <f>IF(H28&lt;=Assumptions!$F$17, Assumptions!$D$17, IF(H28&lt;=Assumptions!$F$18, Assumptions!$D$18, Assumptions!$D$19))</f>
        <v>250</v>
      </c>
      <c r="I21" s="52">
        <f>IF(I28&lt;=Assumptions!$F$17, Assumptions!$D$17, IF(I28&lt;=Assumptions!$F$18, Assumptions!$D$18, Assumptions!$D$19))</f>
        <v>250</v>
      </c>
      <c r="J21" s="52">
        <f>IF(J28&lt;=Assumptions!$F$17, Assumptions!$D$17, IF(J28&lt;=Assumptions!$F$18, Assumptions!$D$18, Assumptions!$D$19))</f>
        <v>250</v>
      </c>
      <c r="K21" s="52">
        <f>IF(K28&lt;=Assumptions!$F$17, Assumptions!$D$17, IF(K28&lt;=Assumptions!$F$18, Assumptions!$D$18, Assumptions!$D$19))</f>
        <v>250</v>
      </c>
      <c r="L21" s="52">
        <f>IF(L28&lt;=Assumptions!$F$17, Assumptions!$D$17, IF(L28&lt;=Assumptions!$F$18, Assumptions!$D$18, Assumptions!$D$19))</f>
        <v>250</v>
      </c>
      <c r="M21" s="52">
        <f>IF(M28&lt;=Assumptions!$F$17, Assumptions!$D$17, IF(M28&lt;=Assumptions!$F$18, Assumptions!$D$18, Assumptions!$D$19))</f>
        <v>500</v>
      </c>
      <c r="N21" s="52">
        <f>IF(N28&lt;=Assumptions!$F$17, Assumptions!$D$17, IF(N28&lt;=Assumptions!$F$18, Assumptions!$D$18, Assumptions!$D$19))</f>
        <v>500</v>
      </c>
      <c r="O21" s="52">
        <f>IF(O28&lt;=Assumptions!$F$17, Assumptions!$D$17, IF(O28&lt;=Assumptions!$F$18, Assumptions!$D$18, Assumptions!$D$19))</f>
        <v>500</v>
      </c>
      <c r="P21" s="52">
        <f>IF(P28&lt;=Assumptions!$F$17, Assumptions!$D$17, IF(P28&lt;=Assumptions!$F$18, Assumptions!$D$18, Assumptions!$D$19))</f>
        <v>500</v>
      </c>
      <c r="Q21" s="52">
        <f>IF(Q28&lt;=Assumptions!$F$17, Assumptions!$D$17, IF(Q28&lt;=Assumptions!$F$18, Assumptions!$D$18, Assumptions!$D$19))</f>
        <v>500</v>
      </c>
      <c r="R21" s="52">
        <f>IF(R28&lt;=Assumptions!$F$17, Assumptions!$D$17, IF(R28&lt;=Assumptions!$F$18, Assumptions!$D$18, Assumptions!$D$19))</f>
        <v>500</v>
      </c>
      <c r="S21" s="52">
        <f>IF(S28&lt;=Assumptions!$F$17, Assumptions!$D$17, IF(S28&lt;=Assumptions!$F$18, Assumptions!$D$18, Assumptions!$D$19))</f>
        <v>500</v>
      </c>
      <c r="T21" s="52">
        <f>IF(T28&lt;=Assumptions!$F$17, Assumptions!$D$17, IF(T28&lt;=Assumptions!$F$18, Assumptions!$D$18, Assumptions!$D$19))</f>
        <v>500</v>
      </c>
      <c r="U21" s="52">
        <f>IF(U28&lt;=Assumptions!$F$17, Assumptions!$D$17, IF(U28&lt;=Assumptions!$F$18, Assumptions!$D$18, Assumptions!$D$19))</f>
        <v>500</v>
      </c>
      <c r="V21" s="52">
        <f>IF(V28&lt;=Assumptions!$F$17, Assumptions!$D$17, IF(V28&lt;=Assumptions!$F$18, Assumptions!$D$18, Assumptions!$D$19))</f>
        <v>500</v>
      </c>
      <c r="W21" s="52">
        <f>IF(W28&lt;=Assumptions!$F$17, Assumptions!$D$17, IF(W28&lt;=Assumptions!$F$18, Assumptions!$D$18, Assumptions!$D$19))</f>
        <v>500</v>
      </c>
      <c r="X21" s="52">
        <f>IF(X28&lt;=Assumptions!$F$17, Assumptions!$D$17, IF(X28&lt;=Assumptions!$F$18, Assumptions!$D$18, Assumptions!$D$19))</f>
        <v>500</v>
      </c>
      <c r="Y21" s="52">
        <f>IF(Y28&lt;=Assumptions!$F$17, Assumptions!$D$17, IF(Y28&lt;=Assumptions!$F$18, Assumptions!$D$18, Assumptions!$D$19))</f>
        <v>500</v>
      </c>
      <c r="Z21" s="52">
        <f>IF(Z28&lt;=Assumptions!$F$17, Assumptions!$D$17, IF(Z28&lt;=Assumptions!$F$18, Assumptions!$D$18, Assumptions!$D$19))</f>
        <v>500</v>
      </c>
      <c r="AA21" s="52">
        <f>IF(AA28&lt;=Assumptions!$F$17, Assumptions!$D$17, IF(AA28&lt;=Assumptions!$F$18, Assumptions!$D$18, Assumptions!$D$19))</f>
        <v>500</v>
      </c>
      <c r="AB21" s="52">
        <f>IF(AB28&lt;=Assumptions!$F$17, Assumptions!$D$17, IF(AB28&lt;=Assumptions!$F$18, Assumptions!$D$18, Assumptions!$D$19))</f>
        <v>500</v>
      </c>
      <c r="AC21" s="52">
        <f>IF(AC28&lt;=Assumptions!$F$17, Assumptions!$D$17, IF(AC28&lt;=Assumptions!$F$18, Assumptions!$D$18, Assumptions!$D$19))</f>
        <v>500</v>
      </c>
      <c r="AD21" s="52">
        <f>IF(AD28&lt;=Assumptions!$F$17, Assumptions!$D$17, IF(AD28&lt;=Assumptions!$F$18, Assumptions!$D$18, Assumptions!$D$19))</f>
        <v>500</v>
      </c>
      <c r="AE21" s="52">
        <f>IF(AE28&lt;=Assumptions!$F$17, Assumptions!$D$17, IF(AE28&lt;=Assumptions!$F$18, Assumptions!$D$18, Assumptions!$D$19))</f>
        <v>500</v>
      </c>
      <c r="AF21" s="52">
        <f>IF(AF28&lt;=Assumptions!$F$17, Assumptions!$D$17, IF(AF28&lt;=Assumptions!$F$18, Assumptions!$D$18, Assumptions!$D$19))</f>
        <v>500</v>
      </c>
      <c r="AG21" s="52">
        <f>IF(AG28&lt;=Assumptions!$F$17, Assumptions!$D$17, IF(AG28&lt;=Assumptions!$F$18, Assumptions!$D$18, Assumptions!$D$19))</f>
        <v>500</v>
      </c>
      <c r="AH21" s="52">
        <f>IF(AH28&lt;=Assumptions!$F$17, Assumptions!$D$17, IF(AH28&lt;=Assumptions!$F$18, Assumptions!$D$18, Assumptions!$D$19))</f>
        <v>500</v>
      </c>
      <c r="AI21" s="52">
        <f>IF(AI28&lt;=Assumptions!$F$17, Assumptions!$D$17, IF(AI28&lt;=Assumptions!$F$18, Assumptions!$D$18, Assumptions!$D$19))</f>
        <v>500</v>
      </c>
      <c r="AJ21" s="52">
        <f>IF(AJ28&lt;=Assumptions!$F$17, Assumptions!$D$17, IF(AJ28&lt;=Assumptions!$F$18, Assumptions!$D$18, Assumptions!$D$19))</f>
        <v>500</v>
      </c>
      <c r="AK21" s="52">
        <f>IF(AK28&lt;=Assumptions!$F$17, Assumptions!$D$17, IF(AK28&lt;=Assumptions!$F$18, Assumptions!$D$18, Assumptions!$D$19))</f>
        <v>500</v>
      </c>
      <c r="AL21" s="52">
        <f>IF(AL28&lt;=Assumptions!$F$17, Assumptions!$D$17, IF(AL28&lt;=Assumptions!$F$18, Assumptions!$D$18, Assumptions!$D$19))</f>
        <v>500</v>
      </c>
      <c r="AM21" s="52">
        <f>IF(AM28&lt;=Assumptions!$F$17, Assumptions!$D$17, IF(AM28&lt;=Assumptions!$F$18, Assumptions!$D$18, Assumptions!$D$19))</f>
        <v>500</v>
      </c>
      <c r="AN21" s="52">
        <f>IF(AN28&lt;=Assumptions!$F$17, Assumptions!$D$17, IF(AN28&lt;=Assumptions!$F$18, Assumptions!$D$18, Assumptions!$D$19))</f>
        <v>500</v>
      </c>
      <c r="AO21" s="52">
        <f>IF(AO28&lt;=Assumptions!$F$17, Assumptions!$D$17, IF(AO28&lt;=Assumptions!$F$18, Assumptions!$D$18, Assumptions!$D$19))</f>
        <v>500</v>
      </c>
      <c r="AP21" s="52">
        <f>IF(AP28&lt;=Assumptions!$F$17, Assumptions!$D$17, IF(AP28&lt;=Assumptions!$F$18, Assumptions!$D$18, Assumptions!$D$19))</f>
        <v>500</v>
      </c>
      <c r="AQ21" s="52">
        <f>IF(AQ28&lt;=Assumptions!$F$17, Assumptions!$D$17, IF(AQ28&lt;=Assumptions!$F$18, Assumptions!$D$18, Assumptions!$D$19))</f>
        <v>500</v>
      </c>
      <c r="AR21" s="52">
        <f>IF(AR28&lt;=Assumptions!$F$17, Assumptions!$D$17, IF(AR28&lt;=Assumptions!$F$18, Assumptions!$D$18, Assumptions!$D$19))</f>
        <v>500</v>
      </c>
      <c r="AS21" s="52">
        <f>IF(AS28&lt;=Assumptions!$F$17, Assumptions!$D$17, IF(AS28&lt;=Assumptions!$F$18, Assumptions!$D$18, Assumptions!$D$19))</f>
        <v>500</v>
      </c>
      <c r="AT21" s="52">
        <f>IF(AT28&lt;=Assumptions!$F$17, Assumptions!$D$17, IF(AT28&lt;=Assumptions!$F$18, Assumptions!$D$18, Assumptions!$D$19))</f>
        <v>500</v>
      </c>
      <c r="AU21" s="52">
        <f>IF(AU28&lt;=Assumptions!$F$17, Assumptions!$D$17, IF(AU28&lt;=Assumptions!$F$18, Assumptions!$D$18, Assumptions!$D$19))</f>
        <v>500</v>
      </c>
      <c r="AV21" s="52">
        <f>IF(AV28&lt;=Assumptions!$F$17, Assumptions!$D$17, IF(AV28&lt;=Assumptions!$F$18, Assumptions!$D$18, Assumptions!$D$19))</f>
        <v>500</v>
      </c>
      <c r="AW21" s="52">
        <f>IF(AW28&lt;=Assumptions!$F$17, Assumptions!$D$17, IF(AW28&lt;=Assumptions!$F$18, Assumptions!$D$18, Assumptions!$D$19))</f>
        <v>500</v>
      </c>
      <c r="AX21" s="52">
        <f>IF(AX28&lt;=Assumptions!$F$17, Assumptions!$D$17, IF(AX28&lt;=Assumptions!$F$18, Assumptions!$D$18, Assumptions!$D$19))</f>
        <v>500</v>
      </c>
      <c r="AY21" s="52">
        <f>IF(AY28&lt;=Assumptions!$F$17, Assumptions!$D$17, IF(AY28&lt;=Assumptions!$F$18, Assumptions!$D$18, Assumptions!$D$19))</f>
        <v>500</v>
      </c>
      <c r="AZ21" s="52">
        <f>IF(AZ28&lt;=Assumptions!$F$17, Assumptions!$D$17, IF(AZ28&lt;=Assumptions!$F$18, Assumptions!$D$18, Assumptions!$D$19))</f>
        <v>500</v>
      </c>
      <c r="BA21" s="52">
        <f>IF(BA28&lt;=Assumptions!$F$17, Assumptions!$D$17, IF(BA28&lt;=Assumptions!$F$18, Assumptions!$D$18, Assumptions!$D$19))</f>
        <v>500</v>
      </c>
      <c r="BB21" s="52">
        <f>IF(BB28&lt;=Assumptions!$F$17, Assumptions!$D$17, IF(BB28&lt;=Assumptions!$F$18, Assumptions!$D$18, Assumptions!$D$19))</f>
        <v>500</v>
      </c>
      <c r="BC21" s="52">
        <f>IF(BC28&lt;=Assumptions!$F$17, Assumptions!$D$17, IF(BC28&lt;=Assumptions!$F$18, Assumptions!$D$18, Assumptions!$D$19))</f>
        <v>500</v>
      </c>
      <c r="BD21" s="52">
        <f>IF(BD28&lt;=Assumptions!$F$17, Assumptions!$D$17, IF(BD28&lt;=Assumptions!$F$18, Assumptions!$D$18, Assumptions!$D$19))</f>
        <v>500</v>
      </c>
      <c r="BE21" s="52">
        <f>IF(BE28&lt;=Assumptions!$F$17, Assumptions!$D$17, IF(BE28&lt;=Assumptions!$F$18, Assumptions!$D$18, Assumptions!$D$19))</f>
        <v>500</v>
      </c>
      <c r="BF21" s="52">
        <f>IF(BF28&lt;=Assumptions!$F$17, Assumptions!$D$17, IF(BF28&lt;=Assumptions!$F$18, Assumptions!$D$18, Assumptions!$D$19))</f>
        <v>500</v>
      </c>
      <c r="BG21" s="52">
        <f>IF(BG28&lt;=Assumptions!$F$17, Assumptions!$D$17, IF(BG28&lt;=Assumptions!$F$18, Assumptions!$D$18, Assumptions!$D$19))</f>
        <v>500</v>
      </c>
      <c r="BH21" s="52">
        <f>IF(BH28&lt;=Assumptions!$F$17, Assumptions!$D$17, IF(BH28&lt;=Assumptions!$F$18, Assumptions!$D$18, Assumptions!$D$19))</f>
        <v>500</v>
      </c>
      <c r="BI21" s="52">
        <f>IF(BI28&lt;=Assumptions!$F$17, Assumptions!$D$17, IF(BI28&lt;=Assumptions!$F$18, Assumptions!$D$18, Assumptions!$D$19))</f>
        <v>500</v>
      </c>
      <c r="BJ21" s="52">
        <f>IF(BJ28&lt;=Assumptions!$F$17, Assumptions!$D$17, IF(BJ28&lt;=Assumptions!$F$18, Assumptions!$D$18, Assumptions!$D$19))</f>
        <v>500</v>
      </c>
      <c r="BK21" s="52">
        <f>IF(BK28&lt;=Assumptions!$F$17, Assumptions!$D$17, IF(BK28&lt;=Assumptions!$F$18, Assumptions!$D$18, Assumptions!$D$19))</f>
        <v>500</v>
      </c>
      <c r="BL21" s="52">
        <f>IF(BL28&lt;=Assumptions!$F$17, Assumptions!$D$17, IF(BL28&lt;=Assumptions!$F$18, Assumptions!$D$18, Assumptions!$D$19))</f>
        <v>500</v>
      </c>
      <c r="BM21" s="52">
        <f>IF(BM28&lt;=Assumptions!$F$17, Assumptions!$D$17, IF(BM28&lt;=Assumptions!$F$18, Assumptions!$D$18, Assumptions!$D$19))</f>
        <v>500</v>
      </c>
      <c r="BN21" s="52">
        <f>IF(BN28&lt;=Assumptions!$F$17, Assumptions!$D$17, IF(BN28&lt;=Assumptions!$F$18, Assumptions!$D$18, Assumptions!$D$19))</f>
        <v>500</v>
      </c>
      <c r="BO21" s="52">
        <f>IF(BO28&lt;=Assumptions!$F$17, Assumptions!$D$17, IF(BO28&lt;=Assumptions!$F$18, Assumptions!$D$18, Assumptions!$D$19))</f>
        <v>500</v>
      </c>
      <c r="BP21" s="52">
        <f>IF(BP28&lt;=Assumptions!$F$17, Assumptions!$D$17, IF(BP28&lt;=Assumptions!$F$18, Assumptions!$D$18, Assumptions!$D$19))</f>
        <v>500</v>
      </c>
      <c r="BQ21" s="52">
        <f>IF(BQ28&lt;=Assumptions!$F$17, Assumptions!$D$17, IF(BQ28&lt;=Assumptions!$F$18, Assumptions!$D$18, Assumptions!$D$19))</f>
        <v>500</v>
      </c>
      <c r="BR21" s="52">
        <f>IF(BR28&lt;=Assumptions!$F$17, Assumptions!$D$17, IF(BR28&lt;=Assumptions!$F$18, Assumptions!$D$18, Assumptions!$D$19))</f>
        <v>500</v>
      </c>
      <c r="BS21" s="52">
        <f>IF(BS28&lt;=Assumptions!$F$17, Assumptions!$D$17, IF(BS28&lt;=Assumptions!$F$18, Assumptions!$D$18, Assumptions!$D$19))</f>
        <v>500</v>
      </c>
      <c r="BT21" s="52">
        <f>IF(BT28&lt;=Assumptions!$F$17, Assumptions!$D$17, IF(BT28&lt;=Assumptions!$F$18, Assumptions!$D$18, Assumptions!$D$19))</f>
        <v>500</v>
      </c>
      <c r="BU21" s="52">
        <f>IF(BU28&lt;=Assumptions!$F$17, Assumptions!$D$17, IF(BU28&lt;=Assumptions!$F$18, Assumptions!$D$18, Assumptions!$D$19))</f>
        <v>500</v>
      </c>
      <c r="BV21" s="52">
        <f>IF(BV28&lt;=Assumptions!$F$17, Assumptions!$D$17, IF(BV28&lt;=Assumptions!$F$18, Assumptions!$D$18, Assumptions!$D$19))</f>
        <v>500</v>
      </c>
      <c r="BW21" s="52">
        <f>IF(BW28&lt;=Assumptions!$F$17, Assumptions!$D$17, IF(BW28&lt;=Assumptions!$F$18, Assumptions!$D$18, Assumptions!$D$19))</f>
        <v>500</v>
      </c>
      <c r="BX21" s="52">
        <f>IF(BX28&lt;=Assumptions!$F$17, Assumptions!$D$17, IF(BX28&lt;=Assumptions!$F$18, Assumptions!$D$18, Assumptions!$D$19))</f>
        <v>500</v>
      </c>
      <c r="BY21" s="52">
        <f>IF(BY28&lt;=Assumptions!$F$17, Assumptions!$D$17, IF(BY28&lt;=Assumptions!$F$18, Assumptions!$D$18, Assumptions!$D$19))</f>
        <v>500</v>
      </c>
      <c r="BZ21" s="52">
        <f>IF(BZ28&lt;=Assumptions!$F$17, Assumptions!$D$17, IF(BZ28&lt;=Assumptions!$F$18, Assumptions!$D$18, Assumptions!$D$19))</f>
        <v>500</v>
      </c>
      <c r="CA21" s="52">
        <f>IF(CA28&lt;=Assumptions!$F$17, Assumptions!$D$17, IF(CA28&lt;=Assumptions!$F$18, Assumptions!$D$18, Assumptions!$D$19))</f>
        <v>500</v>
      </c>
      <c r="CB21" s="52">
        <f>IF(CB28&lt;=Assumptions!$F$17, Assumptions!$D$17, IF(CB28&lt;=Assumptions!$F$18, Assumptions!$D$18, Assumptions!$D$19))</f>
        <v>500</v>
      </c>
      <c r="CC21" s="52">
        <f>IF(CC28&lt;=Assumptions!$F$17, Assumptions!$D$17, IF(CC28&lt;=Assumptions!$F$18, Assumptions!$D$18, Assumptions!$D$19))</f>
        <v>500</v>
      </c>
      <c r="CD21" s="52">
        <f>IF(CD28&lt;=Assumptions!$F$17, Assumptions!$D$17, IF(CD28&lt;=Assumptions!$F$18, Assumptions!$D$18, Assumptions!$D$19))</f>
        <v>500</v>
      </c>
      <c r="CE21" s="52">
        <f>IF(CE28&lt;=Assumptions!$F$17, Assumptions!$D$17, IF(CE28&lt;=Assumptions!$F$18, Assumptions!$D$18, Assumptions!$D$19))</f>
        <v>500</v>
      </c>
      <c r="CF21" s="52">
        <f>IF(CF28&lt;=Assumptions!$F$17, Assumptions!$D$17, IF(CF28&lt;=Assumptions!$F$18, Assumptions!$D$18, Assumptions!$D$19))</f>
        <v>500</v>
      </c>
      <c r="CG21" s="52">
        <f>IF(CG28&lt;=Assumptions!$F$17, Assumptions!$D$17, IF(CG28&lt;=Assumptions!$F$18, Assumptions!$D$18, Assumptions!$D$19))</f>
        <v>500</v>
      </c>
      <c r="CH21" s="52">
        <f>IF(CH28&lt;=Assumptions!$F$17, Assumptions!$D$17, IF(CH28&lt;=Assumptions!$F$18, Assumptions!$D$18, Assumptions!$D$19))</f>
        <v>500</v>
      </c>
      <c r="CI21" s="52">
        <f>IF(CI28&lt;=Assumptions!$F$17, Assumptions!$D$17, IF(CI28&lt;=Assumptions!$F$18, Assumptions!$D$18, Assumptions!$D$19))</f>
        <v>500</v>
      </c>
      <c r="CJ21" s="52">
        <f>IF(CJ28&lt;=Assumptions!$F$17, Assumptions!$D$17, IF(CJ28&lt;=Assumptions!$F$18, Assumptions!$D$18, Assumptions!$D$19))</f>
        <v>500</v>
      </c>
      <c r="CK21" s="52">
        <f>IF(CK28&lt;=Assumptions!$F$17, Assumptions!$D$17, IF(CK28&lt;=Assumptions!$F$18, Assumptions!$D$18, Assumptions!$D$19))</f>
        <v>500</v>
      </c>
      <c r="CL21" s="52">
        <f>IF(CL28&lt;=Assumptions!$F$17, Assumptions!$D$17, IF(CL28&lt;=Assumptions!$F$18, Assumptions!$D$18, Assumptions!$D$19))</f>
        <v>500</v>
      </c>
      <c r="CM21" s="52">
        <f>IF(CM28&lt;=Assumptions!$F$17, Assumptions!$D$17, IF(CM28&lt;=Assumptions!$F$18, Assumptions!$D$18, Assumptions!$D$19))</f>
        <v>500</v>
      </c>
      <c r="CN21" s="52">
        <f>IF(CN28&lt;=Assumptions!$F$17, Assumptions!$D$17, IF(CN28&lt;=Assumptions!$F$18, Assumptions!$D$18, Assumptions!$D$19))</f>
        <v>500</v>
      </c>
      <c r="CO21" s="52">
        <f>IF(CO28&lt;=Assumptions!$F$17, Assumptions!$D$17, IF(CO28&lt;=Assumptions!$F$18, Assumptions!$D$18, Assumptions!$D$19))</f>
        <v>500</v>
      </c>
      <c r="CP21" s="52">
        <f>IF(CP28&lt;=Assumptions!$F$17, Assumptions!$D$17, IF(CP28&lt;=Assumptions!$F$18, Assumptions!$D$18, Assumptions!$D$19))</f>
        <v>500</v>
      </c>
      <c r="CQ21" s="52">
        <f>IF(CQ28&lt;=Assumptions!$F$17, Assumptions!$D$17, IF(CQ28&lt;=Assumptions!$F$18, Assumptions!$D$18, Assumptions!$D$19))</f>
        <v>500</v>
      </c>
      <c r="CR21" s="52">
        <f>IF(CR28&lt;=Assumptions!$F$17, Assumptions!$D$17, IF(CR28&lt;=Assumptions!$F$18, Assumptions!$D$18, Assumptions!$D$19))</f>
        <v>500</v>
      </c>
      <c r="CS21" s="52">
        <f>IF(CS28&lt;=Assumptions!$F$17, Assumptions!$D$17, IF(CS28&lt;=Assumptions!$F$18, Assumptions!$D$18, Assumptions!$D$19))</f>
        <v>500</v>
      </c>
      <c r="CT21" s="52">
        <f>IF(CT28&lt;=Assumptions!$F$17, Assumptions!$D$17, IF(CT28&lt;=Assumptions!$F$18, Assumptions!$D$18, Assumptions!$D$19))</f>
        <v>500</v>
      </c>
      <c r="CU21" s="52">
        <f>IF(CU28&lt;=Assumptions!$F$17, Assumptions!$D$17, IF(CU28&lt;=Assumptions!$F$18, Assumptions!$D$18, Assumptions!$D$19))</f>
        <v>500</v>
      </c>
      <c r="CV21" s="52">
        <f>IF(CV28&lt;=Assumptions!$F$17, Assumptions!$D$17, IF(CV28&lt;=Assumptions!$F$18, Assumptions!$D$18, Assumptions!$D$19))</f>
        <v>500</v>
      </c>
      <c r="CW21" s="52">
        <f>IF(CW28&lt;=Assumptions!$F$17, Assumptions!$D$17, IF(CW28&lt;=Assumptions!$F$18, Assumptions!$D$18, Assumptions!$D$19))</f>
        <v>500</v>
      </c>
      <c r="CX21" s="52">
        <f>IF(CX28&lt;=Assumptions!$F$17, Assumptions!$D$17, IF(CX28&lt;=Assumptions!$F$18, Assumptions!$D$18, Assumptions!$D$19))</f>
        <v>500</v>
      </c>
      <c r="CY21" s="52">
        <f>IF(CY28&lt;=Assumptions!$F$17, Assumptions!$D$17, IF(CY28&lt;=Assumptions!$F$18, Assumptions!$D$18, Assumptions!$D$19))</f>
        <v>500</v>
      </c>
      <c r="CZ21" s="52">
        <f>IF(CZ28&lt;=Assumptions!$F$17, Assumptions!$D$17, IF(CZ28&lt;=Assumptions!$F$18, Assumptions!$D$18, Assumptions!$D$19))</f>
        <v>500</v>
      </c>
      <c r="DA21" s="52">
        <f>IF(DA28&lt;=Assumptions!$F$17, Assumptions!$D$17, IF(DA28&lt;=Assumptions!$F$18, Assumptions!$D$18, Assumptions!$D$19))</f>
        <v>500</v>
      </c>
      <c r="DB21" s="52">
        <f>IF(DB28&lt;=Assumptions!$F$17, Assumptions!$D$17, IF(DB28&lt;=Assumptions!$F$18, Assumptions!$D$18, Assumptions!$D$19))</f>
        <v>500</v>
      </c>
      <c r="DC21" s="52">
        <f>IF(DC28&lt;=Assumptions!$F$17, Assumptions!$D$17, IF(DC28&lt;=Assumptions!$F$18, Assumptions!$D$18, Assumptions!$D$19))</f>
        <v>500</v>
      </c>
      <c r="DD21" s="52">
        <f>IF(DD28&lt;=Assumptions!$F$17, Assumptions!$D$17, IF(DD28&lt;=Assumptions!$F$18, Assumptions!$D$18, Assumptions!$D$19))</f>
        <v>500</v>
      </c>
      <c r="DE21" s="52">
        <f>IF(DE28&lt;=Assumptions!$F$17, Assumptions!$D$17, IF(DE28&lt;=Assumptions!$F$18, Assumptions!$D$18, Assumptions!$D$19))</f>
        <v>500</v>
      </c>
      <c r="DF21" s="52">
        <f>IF(DF28&lt;=Assumptions!$F$17, Assumptions!$D$17, IF(DF28&lt;=Assumptions!$F$18, Assumptions!$D$18, Assumptions!$D$19))</f>
        <v>500</v>
      </c>
      <c r="DG21" s="52">
        <f>IF(DG28&lt;=Assumptions!$F$17, Assumptions!$D$17, IF(DG28&lt;=Assumptions!$F$18, Assumptions!$D$18, Assumptions!$D$19))</f>
        <v>500</v>
      </c>
      <c r="DH21" s="52">
        <f>IF(DH28&lt;=Assumptions!$F$17, Assumptions!$D$17, IF(DH28&lt;=Assumptions!$F$18, Assumptions!$D$18, Assumptions!$D$19))</f>
        <v>500</v>
      </c>
      <c r="DI21" s="52">
        <f>IF(DI28&lt;=Assumptions!$F$17, Assumptions!$D$17, IF(DI28&lt;=Assumptions!$F$18, Assumptions!$D$18, Assumptions!$D$19))</f>
        <v>500</v>
      </c>
      <c r="DJ21" s="52">
        <f>IF(DJ28&lt;=Assumptions!$F$17, Assumptions!$D$17, IF(DJ28&lt;=Assumptions!$F$18, Assumptions!$D$18, Assumptions!$D$19))</f>
        <v>500</v>
      </c>
      <c r="DK21" s="52">
        <f>IF(DK28&lt;=Assumptions!$F$17, Assumptions!$D$17, IF(DK28&lt;=Assumptions!$F$18, Assumptions!$D$18, Assumptions!$D$19))</f>
        <v>500</v>
      </c>
      <c r="DL21" s="52">
        <f>IF(DL28&lt;=Assumptions!$F$17, Assumptions!$D$17, IF(DL28&lt;=Assumptions!$F$18, Assumptions!$D$18, Assumptions!$D$19))</f>
        <v>500</v>
      </c>
      <c r="DM21" s="52">
        <f>IF(DM28&lt;=Assumptions!$F$17, Assumptions!$D$17, IF(DM28&lt;=Assumptions!$F$18, Assumptions!$D$18, Assumptions!$D$19))</f>
        <v>500</v>
      </c>
      <c r="DN21" s="52">
        <f>IF(DN28&lt;=Assumptions!$F$17, Assumptions!$D$17, IF(DN28&lt;=Assumptions!$F$18, Assumptions!$D$18, Assumptions!$D$19))</f>
        <v>500</v>
      </c>
      <c r="DO21" s="52">
        <f>IF(DO28&lt;=Assumptions!$F$17, Assumptions!$D$17, IF(DO28&lt;=Assumptions!$F$18, Assumptions!$D$18, Assumptions!$D$19))</f>
        <v>500</v>
      </c>
      <c r="DP21" s="52">
        <f>IF(DP28&lt;=Assumptions!$F$17, Assumptions!$D$17, IF(DP28&lt;=Assumptions!$F$18, Assumptions!$D$18, Assumptions!$D$19))</f>
        <v>500</v>
      </c>
      <c r="DQ21" s="52">
        <f>IF(DQ28&lt;=Assumptions!$F$17, Assumptions!$D$17, IF(DQ28&lt;=Assumptions!$F$18, Assumptions!$D$18, Assumptions!$D$19))</f>
        <v>500</v>
      </c>
      <c r="DR21" s="52">
        <f>IF(DR28&lt;=Assumptions!$F$17, Assumptions!$D$17, IF(DR28&lt;=Assumptions!$F$18, Assumptions!$D$18, Assumptions!$D$19))</f>
        <v>500</v>
      </c>
    </row>
    <row r="22" spans="2:122" x14ac:dyDescent="0.3">
      <c r="B22" s="52" t="s">
        <v>174</v>
      </c>
      <c r="C22" s="114" t="str">
        <f>IF(C28&lt;=Assumptions!$C$8,"No","Yes")</f>
        <v>No</v>
      </c>
      <c r="D22" s="114" t="str">
        <f>IF(D28&lt;=Assumptions!$C$8,"No","Yes")</f>
        <v>No</v>
      </c>
      <c r="E22" s="114" t="str">
        <f>IF(E28&lt;=Assumptions!$C$8,"No","Yes")</f>
        <v>Yes</v>
      </c>
      <c r="F22" s="114" t="str">
        <f>IF(F28&lt;=Assumptions!$C$8,"No","Yes")</f>
        <v>Yes</v>
      </c>
      <c r="G22" s="114" t="str">
        <f>IF(G28&lt;=Assumptions!$C$8,"No","Yes")</f>
        <v>Yes</v>
      </c>
      <c r="H22" s="114" t="str">
        <f>IF(H28&lt;=Assumptions!$C$8,"No","Yes")</f>
        <v>Yes</v>
      </c>
      <c r="I22" s="114" t="str">
        <f>IF(I28&lt;=Assumptions!$C$8,"No","Yes")</f>
        <v>Yes</v>
      </c>
      <c r="J22" s="114" t="str">
        <f>IF(J28&lt;=Assumptions!$C$8,"No","Yes")</f>
        <v>Yes</v>
      </c>
      <c r="K22" s="114" t="str">
        <f>IF(K28&lt;=Assumptions!$C$8,"No","Yes")</f>
        <v>Yes</v>
      </c>
      <c r="L22" s="114" t="str">
        <f>IF(L28&lt;=Assumptions!$C$8,"No","Yes")</f>
        <v>Yes</v>
      </c>
      <c r="M22" s="114" t="str">
        <f>IF(M28&lt;=Assumptions!$C$8,"No","Yes")</f>
        <v>Yes</v>
      </c>
      <c r="N22" s="114" t="str">
        <f>IF(N28&lt;=Assumptions!$C$8,"No","Yes")</f>
        <v>Yes</v>
      </c>
      <c r="O22" s="114" t="str">
        <f>IF(O28&lt;=Assumptions!$C$8,"No","Yes")</f>
        <v>Yes</v>
      </c>
      <c r="P22" s="114" t="str">
        <f>IF(P28&lt;=Assumptions!$C$8,"No","Yes")</f>
        <v>Yes</v>
      </c>
      <c r="Q22" s="114" t="str">
        <f>IF(Q28&lt;=Assumptions!$C$8,"No","Yes")</f>
        <v>Yes</v>
      </c>
      <c r="R22" s="114" t="str">
        <f>IF(R28&lt;=Assumptions!$C$8,"No","Yes")</f>
        <v>Yes</v>
      </c>
      <c r="S22" s="114" t="str">
        <f>IF(S28&lt;=Assumptions!$C$8,"No","Yes")</f>
        <v>Yes</v>
      </c>
      <c r="T22" s="114" t="str">
        <f>IF(T28&lt;=Assumptions!$C$8,"No","Yes")</f>
        <v>Yes</v>
      </c>
      <c r="U22" s="114" t="str">
        <f>IF(U28&lt;=Assumptions!$C$8,"No","Yes")</f>
        <v>Yes</v>
      </c>
      <c r="V22" s="114" t="str">
        <f>IF(V28&lt;=Assumptions!$C$8,"No","Yes")</f>
        <v>Yes</v>
      </c>
      <c r="W22" s="114" t="str">
        <f>IF(W28&lt;=Assumptions!$C$8,"No","Yes")</f>
        <v>Yes</v>
      </c>
      <c r="X22" s="114" t="str">
        <f>IF(X28&lt;=Assumptions!$C$8,"No","Yes")</f>
        <v>Yes</v>
      </c>
      <c r="Y22" s="114" t="str">
        <f>IF(Y28&lt;=Assumptions!$C$8,"No","Yes")</f>
        <v>Yes</v>
      </c>
      <c r="Z22" s="114" t="str">
        <f>IF(Z28&lt;=Assumptions!$C$8,"No","Yes")</f>
        <v>Yes</v>
      </c>
      <c r="AA22" s="114" t="str">
        <f>IF(AA28&lt;=Assumptions!$C$8,"No","Yes")</f>
        <v>Yes</v>
      </c>
      <c r="AB22" s="114" t="str">
        <f>IF(AB28&lt;=Assumptions!$C$8,"No","Yes")</f>
        <v>Yes</v>
      </c>
      <c r="AC22" s="114" t="str">
        <f>IF(AC28&lt;=Assumptions!$C$8,"No","Yes")</f>
        <v>Yes</v>
      </c>
      <c r="AD22" s="114" t="str">
        <f>IF(AD28&lt;=Assumptions!$C$8,"No","Yes")</f>
        <v>Yes</v>
      </c>
      <c r="AE22" s="114" t="str">
        <f>IF(AE28&lt;=Assumptions!$C$8,"No","Yes")</f>
        <v>Yes</v>
      </c>
      <c r="AF22" s="114" t="str">
        <f>IF(AF28&lt;=Assumptions!$C$8,"No","Yes")</f>
        <v>Yes</v>
      </c>
      <c r="AG22" s="114" t="str">
        <f>IF(AG28&lt;=Assumptions!$C$8,"No","Yes")</f>
        <v>Yes</v>
      </c>
      <c r="AH22" s="114" t="str">
        <f>IF(AH28&lt;=Assumptions!$C$8,"No","Yes")</f>
        <v>Yes</v>
      </c>
      <c r="AI22" s="114" t="str">
        <f>IF(AI28&lt;=Assumptions!$C$8,"No","Yes")</f>
        <v>Yes</v>
      </c>
      <c r="AJ22" s="114" t="str">
        <f>IF(AJ28&lt;=Assumptions!$C$8,"No","Yes")</f>
        <v>Yes</v>
      </c>
      <c r="AK22" s="114" t="str">
        <f>IF(AK28&lt;=Assumptions!$C$8,"No","Yes")</f>
        <v>Yes</v>
      </c>
      <c r="AL22" s="114" t="str">
        <f>IF(AL28&lt;=Assumptions!$C$8,"No","Yes")</f>
        <v>Yes</v>
      </c>
      <c r="AM22" s="114" t="str">
        <f>IF(AM28&lt;=Assumptions!$C$8,"No","Yes")</f>
        <v>Yes</v>
      </c>
      <c r="AN22" s="114" t="str">
        <f>IF(AN28&lt;=Assumptions!$C$8,"No","Yes")</f>
        <v>Yes</v>
      </c>
      <c r="AO22" s="114" t="str">
        <f>IF(AO28&lt;=Assumptions!$C$8,"No","Yes")</f>
        <v>Yes</v>
      </c>
      <c r="AP22" s="114" t="str">
        <f>IF(AP28&lt;=Assumptions!$C$8,"No","Yes")</f>
        <v>Yes</v>
      </c>
      <c r="AQ22" s="114" t="str">
        <f>IF(AQ28&lt;=Assumptions!$C$8,"No","Yes")</f>
        <v>Yes</v>
      </c>
      <c r="AR22" s="114" t="str">
        <f>IF(AR28&lt;=Assumptions!$C$8,"No","Yes")</f>
        <v>Yes</v>
      </c>
      <c r="AS22" s="114" t="str">
        <f>IF(AS28&lt;=Assumptions!$C$8,"No","Yes")</f>
        <v>Yes</v>
      </c>
      <c r="AT22" s="114" t="str">
        <f>IF(AT28&lt;=Assumptions!$C$8,"No","Yes")</f>
        <v>Yes</v>
      </c>
      <c r="AU22" s="114" t="str">
        <f>IF(AU28&lt;=Assumptions!$C$8,"No","Yes")</f>
        <v>Yes</v>
      </c>
      <c r="AV22" s="114" t="str">
        <f>IF(AV28&lt;=Assumptions!$C$8,"No","Yes")</f>
        <v>Yes</v>
      </c>
      <c r="AW22" s="114" t="str">
        <f>IF(AW28&lt;=Assumptions!$C$8,"No","Yes")</f>
        <v>Yes</v>
      </c>
      <c r="AX22" s="114" t="str">
        <f>IF(AX28&lt;=Assumptions!$C$8,"No","Yes")</f>
        <v>Yes</v>
      </c>
      <c r="AY22" s="114" t="str">
        <f>IF(AY28&lt;=Assumptions!$C$8,"No","Yes")</f>
        <v>Yes</v>
      </c>
      <c r="AZ22" s="114" t="str">
        <f>IF(AZ28&lt;=Assumptions!$C$8,"No","Yes")</f>
        <v>Yes</v>
      </c>
      <c r="BA22" s="114" t="str">
        <f>IF(BA28&lt;=Assumptions!$C$8,"No","Yes")</f>
        <v>Yes</v>
      </c>
      <c r="BB22" s="114" t="str">
        <f>IF(BB28&lt;=Assumptions!$C$8,"No","Yes")</f>
        <v>Yes</v>
      </c>
      <c r="BC22" s="114" t="str">
        <f>IF(BC28&lt;=Assumptions!$C$8,"No","Yes")</f>
        <v>Yes</v>
      </c>
      <c r="BD22" s="114" t="str">
        <f>IF(BD28&lt;=Assumptions!$C$8,"No","Yes")</f>
        <v>Yes</v>
      </c>
      <c r="BE22" s="114" t="str">
        <f>IF(BE28&lt;=Assumptions!$C$8,"No","Yes")</f>
        <v>Yes</v>
      </c>
      <c r="BF22" s="114" t="str">
        <f>IF(BF28&lt;=Assumptions!$C$8,"No","Yes")</f>
        <v>Yes</v>
      </c>
      <c r="BG22" s="114" t="str">
        <f>IF(BG28&lt;=Assumptions!$C$8,"No","Yes")</f>
        <v>Yes</v>
      </c>
      <c r="BH22" s="114" t="str">
        <f>IF(BH28&lt;=Assumptions!$C$8,"No","Yes")</f>
        <v>Yes</v>
      </c>
      <c r="BI22" s="114" t="str">
        <f>IF(BI28&lt;=Assumptions!$C$8,"No","Yes")</f>
        <v>Yes</v>
      </c>
      <c r="BJ22" s="114" t="str">
        <f>IF(BJ28&lt;=Assumptions!$C$8,"No","Yes")</f>
        <v>Yes</v>
      </c>
      <c r="BK22" s="114" t="str">
        <f>IF(BK28&lt;=Assumptions!$C$8,"No","Yes")</f>
        <v>Yes</v>
      </c>
      <c r="BL22" s="114" t="str">
        <f>IF(BL28&lt;=Assumptions!$C$8,"No","Yes")</f>
        <v>Yes</v>
      </c>
      <c r="BM22" s="114" t="str">
        <f>IF(BM28&lt;=Assumptions!$C$8,"No","Yes")</f>
        <v>Yes</v>
      </c>
      <c r="BN22" s="114" t="str">
        <f>IF(BN28&lt;=Assumptions!$C$8,"No","Yes")</f>
        <v>Yes</v>
      </c>
      <c r="BO22" s="114" t="str">
        <f>IF(BO28&lt;=Assumptions!$C$8,"No","Yes")</f>
        <v>Yes</v>
      </c>
      <c r="BP22" s="114" t="str">
        <f>IF(BP28&lt;=Assumptions!$C$8,"No","Yes")</f>
        <v>Yes</v>
      </c>
      <c r="BQ22" s="114" t="str">
        <f>IF(BQ28&lt;=Assumptions!$C$8,"No","Yes")</f>
        <v>Yes</v>
      </c>
      <c r="BR22" s="114" t="str">
        <f>IF(BR28&lt;=Assumptions!$C$8,"No","Yes")</f>
        <v>Yes</v>
      </c>
      <c r="BS22" s="114" t="str">
        <f>IF(BS28&lt;=Assumptions!$C$8,"No","Yes")</f>
        <v>Yes</v>
      </c>
      <c r="BT22" s="114" t="str">
        <f>IF(BT28&lt;=Assumptions!$C$8,"No","Yes")</f>
        <v>Yes</v>
      </c>
      <c r="BU22" s="114" t="str">
        <f>IF(BU28&lt;=Assumptions!$C$8,"No","Yes")</f>
        <v>Yes</v>
      </c>
      <c r="BV22" s="114" t="str">
        <f>IF(BV28&lt;=Assumptions!$C$8,"No","Yes")</f>
        <v>Yes</v>
      </c>
      <c r="BW22" s="114" t="str">
        <f>IF(BW28&lt;=Assumptions!$C$8,"No","Yes")</f>
        <v>Yes</v>
      </c>
      <c r="BX22" s="114" t="str">
        <f>IF(BX28&lt;=Assumptions!$C$8,"No","Yes")</f>
        <v>Yes</v>
      </c>
      <c r="BY22" s="114" t="str">
        <f>IF(BY28&lt;=Assumptions!$C$8,"No","Yes")</f>
        <v>Yes</v>
      </c>
      <c r="BZ22" s="114" t="str">
        <f>IF(BZ28&lt;=Assumptions!$C$8,"No","Yes")</f>
        <v>Yes</v>
      </c>
      <c r="CA22" s="114" t="str">
        <f>IF(CA28&lt;=Assumptions!$C$8,"No","Yes")</f>
        <v>Yes</v>
      </c>
      <c r="CB22" s="114" t="str">
        <f>IF(CB28&lt;=Assumptions!$C$8,"No","Yes")</f>
        <v>Yes</v>
      </c>
      <c r="CC22" s="114" t="str">
        <f>IF(CC28&lt;=Assumptions!$C$8,"No","Yes")</f>
        <v>Yes</v>
      </c>
      <c r="CD22" s="114" t="str">
        <f>IF(CD28&lt;=Assumptions!$C$8,"No","Yes")</f>
        <v>Yes</v>
      </c>
      <c r="CE22" s="114" t="str">
        <f>IF(CE28&lt;=Assumptions!$C$8,"No","Yes")</f>
        <v>Yes</v>
      </c>
      <c r="CF22" s="114" t="str">
        <f>IF(CF28&lt;=Assumptions!$C$8,"No","Yes")</f>
        <v>Yes</v>
      </c>
      <c r="CG22" s="114" t="str">
        <f>IF(CG28&lt;=Assumptions!$C$8,"No","Yes")</f>
        <v>Yes</v>
      </c>
      <c r="CH22" s="114" t="str">
        <f>IF(CH28&lt;=Assumptions!$C$8,"No","Yes")</f>
        <v>Yes</v>
      </c>
      <c r="CI22" s="114" t="str">
        <f>IF(CI28&lt;=Assumptions!$C$8,"No","Yes")</f>
        <v>Yes</v>
      </c>
      <c r="CJ22" s="114" t="str">
        <f>IF(CJ28&lt;=Assumptions!$C$8,"No","Yes")</f>
        <v>Yes</v>
      </c>
      <c r="CK22" s="114" t="str">
        <f>IF(CK28&lt;=Assumptions!$C$8,"No","Yes")</f>
        <v>Yes</v>
      </c>
      <c r="CL22" s="114" t="str">
        <f>IF(CL28&lt;=Assumptions!$C$8,"No","Yes")</f>
        <v>Yes</v>
      </c>
      <c r="CM22" s="114" t="str">
        <f>IF(CM28&lt;=Assumptions!$C$8,"No","Yes")</f>
        <v>Yes</v>
      </c>
      <c r="CN22" s="114" t="str">
        <f>IF(CN28&lt;=Assumptions!$C$8,"No","Yes")</f>
        <v>Yes</v>
      </c>
      <c r="CO22" s="114" t="str">
        <f>IF(CO28&lt;=Assumptions!$C$8,"No","Yes")</f>
        <v>Yes</v>
      </c>
      <c r="CP22" s="114" t="str">
        <f>IF(CP28&lt;=Assumptions!$C$8,"No","Yes")</f>
        <v>Yes</v>
      </c>
      <c r="CQ22" s="114" t="str">
        <f>IF(CQ28&lt;=Assumptions!$C$8,"No","Yes")</f>
        <v>Yes</v>
      </c>
      <c r="CR22" s="114" t="str">
        <f>IF(CR28&lt;=Assumptions!$C$8,"No","Yes")</f>
        <v>Yes</v>
      </c>
      <c r="CS22" s="114" t="str">
        <f>IF(CS28&lt;=Assumptions!$C$8,"No","Yes")</f>
        <v>Yes</v>
      </c>
      <c r="CT22" s="114" t="str">
        <f>IF(CT28&lt;=Assumptions!$C$8,"No","Yes")</f>
        <v>Yes</v>
      </c>
      <c r="CU22" s="114" t="str">
        <f>IF(CU28&lt;=Assumptions!$C$8,"No","Yes")</f>
        <v>Yes</v>
      </c>
      <c r="CV22" s="114" t="str">
        <f>IF(CV28&lt;=Assumptions!$C$8,"No","Yes")</f>
        <v>Yes</v>
      </c>
      <c r="CW22" s="114" t="str">
        <f>IF(CW28&lt;=Assumptions!$C$8,"No","Yes")</f>
        <v>Yes</v>
      </c>
      <c r="CX22" s="114" t="str">
        <f>IF(CX28&lt;=Assumptions!$C$8,"No","Yes")</f>
        <v>Yes</v>
      </c>
      <c r="CY22" s="114" t="str">
        <f>IF(CY28&lt;=Assumptions!$C$8,"No","Yes")</f>
        <v>Yes</v>
      </c>
      <c r="CZ22" s="114" t="str">
        <f>IF(CZ28&lt;=Assumptions!$C$8,"No","Yes")</f>
        <v>Yes</v>
      </c>
      <c r="DA22" s="114" t="str">
        <f>IF(DA28&lt;=Assumptions!$C$8,"No","Yes")</f>
        <v>Yes</v>
      </c>
      <c r="DB22" s="114" t="str">
        <f>IF(DB28&lt;=Assumptions!$C$8,"No","Yes")</f>
        <v>Yes</v>
      </c>
      <c r="DC22" s="114" t="str">
        <f>IF(DC28&lt;=Assumptions!$C$8,"No","Yes")</f>
        <v>Yes</v>
      </c>
      <c r="DD22" s="114" t="str">
        <f>IF(DD28&lt;=Assumptions!$C$8,"No","Yes")</f>
        <v>Yes</v>
      </c>
      <c r="DE22" s="114" t="str">
        <f>IF(DE28&lt;=Assumptions!$C$8,"No","Yes")</f>
        <v>Yes</v>
      </c>
      <c r="DF22" s="114" t="str">
        <f>IF(DF28&lt;=Assumptions!$C$8,"No","Yes")</f>
        <v>Yes</v>
      </c>
      <c r="DG22" s="114" t="str">
        <f>IF(DG28&lt;=Assumptions!$C$8,"No","Yes")</f>
        <v>Yes</v>
      </c>
      <c r="DH22" s="114" t="str">
        <f>IF(DH28&lt;=Assumptions!$C$8,"No","Yes")</f>
        <v>Yes</v>
      </c>
      <c r="DI22" s="114" t="str">
        <f>IF(DI28&lt;=Assumptions!$C$8,"No","Yes")</f>
        <v>Yes</v>
      </c>
      <c r="DJ22" s="114" t="str">
        <f>IF(DJ28&lt;=Assumptions!$C$8,"No","Yes")</f>
        <v>Yes</v>
      </c>
      <c r="DK22" s="114" t="str">
        <f>IF(DK28&lt;=Assumptions!$C$8,"No","Yes")</f>
        <v>Yes</v>
      </c>
      <c r="DL22" s="114" t="str">
        <f>IF(DL28&lt;=Assumptions!$C$8,"No","Yes")</f>
        <v>Yes</v>
      </c>
      <c r="DM22" s="114" t="str">
        <f>IF(DM28&lt;=Assumptions!$C$8,"No","Yes")</f>
        <v>Yes</v>
      </c>
      <c r="DN22" s="114" t="str">
        <f>IF(DN28&lt;=Assumptions!$C$8,"No","Yes")</f>
        <v>Yes</v>
      </c>
      <c r="DO22" s="114" t="str">
        <f>IF(DO28&lt;=Assumptions!$C$8,"No","Yes")</f>
        <v>Yes</v>
      </c>
      <c r="DP22" s="114" t="str">
        <f>IF(DP28&lt;=Assumptions!$C$8,"No","Yes")</f>
        <v>Yes</v>
      </c>
      <c r="DQ22" s="114" t="str">
        <f>IF(DQ28&lt;=Assumptions!$C$8,"No","Yes")</f>
        <v>Yes</v>
      </c>
      <c r="DR22" s="114" t="str">
        <f>IF(DR28&lt;=Assumptions!$C$8,"No","Yes")</f>
        <v>Yes</v>
      </c>
    </row>
    <row r="23" spans="2:122" x14ac:dyDescent="0.3">
      <c r="B23" s="52" t="s">
        <v>421</v>
      </c>
      <c r="C23" s="114" t="str">
        <f>IF(C21&lt;500,"Yes","No")</f>
        <v>Yes</v>
      </c>
      <c r="D23" s="114" t="str">
        <f t="shared" ref="D23:BO23" si="2">IF(D21&lt;500,"Yes","No")</f>
        <v>Yes</v>
      </c>
      <c r="E23" s="114" t="str">
        <f t="shared" si="2"/>
        <v>Yes</v>
      </c>
      <c r="F23" s="114" t="str">
        <f t="shared" si="2"/>
        <v>Yes</v>
      </c>
      <c r="G23" s="114" t="str">
        <f t="shared" si="2"/>
        <v>Yes</v>
      </c>
      <c r="H23" s="114" t="str">
        <f t="shared" si="2"/>
        <v>Yes</v>
      </c>
      <c r="I23" s="114" t="str">
        <f t="shared" si="2"/>
        <v>Yes</v>
      </c>
      <c r="J23" s="114" t="str">
        <f t="shared" si="2"/>
        <v>Yes</v>
      </c>
      <c r="K23" s="114" t="str">
        <f t="shared" si="2"/>
        <v>Yes</v>
      </c>
      <c r="L23" s="114" t="str">
        <f t="shared" si="2"/>
        <v>Yes</v>
      </c>
      <c r="M23" s="114" t="str">
        <f t="shared" si="2"/>
        <v>No</v>
      </c>
      <c r="N23" s="114" t="str">
        <f t="shared" si="2"/>
        <v>No</v>
      </c>
      <c r="O23" s="114" t="str">
        <f t="shared" si="2"/>
        <v>No</v>
      </c>
      <c r="P23" s="114" t="str">
        <f t="shared" si="2"/>
        <v>No</v>
      </c>
      <c r="Q23" s="114" t="str">
        <f t="shared" si="2"/>
        <v>No</v>
      </c>
      <c r="R23" s="114" t="str">
        <f t="shared" si="2"/>
        <v>No</v>
      </c>
      <c r="S23" s="114" t="str">
        <f t="shared" si="2"/>
        <v>No</v>
      </c>
      <c r="T23" s="114" t="str">
        <f t="shared" si="2"/>
        <v>No</v>
      </c>
      <c r="U23" s="114" t="str">
        <f t="shared" si="2"/>
        <v>No</v>
      </c>
      <c r="V23" s="114" t="str">
        <f t="shared" si="2"/>
        <v>No</v>
      </c>
      <c r="W23" s="114" t="str">
        <f t="shared" si="2"/>
        <v>No</v>
      </c>
      <c r="X23" s="114" t="str">
        <f t="shared" si="2"/>
        <v>No</v>
      </c>
      <c r="Y23" s="114" t="str">
        <f t="shared" si="2"/>
        <v>No</v>
      </c>
      <c r="Z23" s="114" t="str">
        <f t="shared" si="2"/>
        <v>No</v>
      </c>
      <c r="AA23" s="114" t="str">
        <f t="shared" si="2"/>
        <v>No</v>
      </c>
      <c r="AB23" s="114" t="str">
        <f t="shared" si="2"/>
        <v>No</v>
      </c>
      <c r="AC23" s="114" t="str">
        <f t="shared" si="2"/>
        <v>No</v>
      </c>
      <c r="AD23" s="114" t="str">
        <f t="shared" si="2"/>
        <v>No</v>
      </c>
      <c r="AE23" s="114" t="str">
        <f t="shared" si="2"/>
        <v>No</v>
      </c>
      <c r="AF23" s="114" t="str">
        <f t="shared" si="2"/>
        <v>No</v>
      </c>
      <c r="AG23" s="114" t="str">
        <f t="shared" si="2"/>
        <v>No</v>
      </c>
      <c r="AH23" s="114" t="str">
        <f t="shared" si="2"/>
        <v>No</v>
      </c>
      <c r="AI23" s="114" t="str">
        <f t="shared" si="2"/>
        <v>No</v>
      </c>
      <c r="AJ23" s="114" t="str">
        <f t="shared" si="2"/>
        <v>No</v>
      </c>
      <c r="AK23" s="114" t="str">
        <f t="shared" si="2"/>
        <v>No</v>
      </c>
      <c r="AL23" s="114" t="str">
        <f t="shared" si="2"/>
        <v>No</v>
      </c>
      <c r="AM23" s="114" t="str">
        <f t="shared" si="2"/>
        <v>No</v>
      </c>
      <c r="AN23" s="114" t="str">
        <f t="shared" si="2"/>
        <v>No</v>
      </c>
      <c r="AO23" s="114" t="str">
        <f t="shared" si="2"/>
        <v>No</v>
      </c>
      <c r="AP23" s="114" t="str">
        <f t="shared" si="2"/>
        <v>No</v>
      </c>
      <c r="AQ23" s="114" t="str">
        <f t="shared" si="2"/>
        <v>No</v>
      </c>
      <c r="AR23" s="114" t="str">
        <f t="shared" si="2"/>
        <v>No</v>
      </c>
      <c r="AS23" s="114" t="str">
        <f t="shared" si="2"/>
        <v>No</v>
      </c>
      <c r="AT23" s="114" t="str">
        <f t="shared" si="2"/>
        <v>No</v>
      </c>
      <c r="AU23" s="114" t="str">
        <f t="shared" si="2"/>
        <v>No</v>
      </c>
      <c r="AV23" s="114" t="str">
        <f t="shared" si="2"/>
        <v>No</v>
      </c>
      <c r="AW23" s="114" t="str">
        <f t="shared" si="2"/>
        <v>No</v>
      </c>
      <c r="AX23" s="114" t="str">
        <f t="shared" si="2"/>
        <v>No</v>
      </c>
      <c r="AY23" s="114" t="str">
        <f t="shared" si="2"/>
        <v>No</v>
      </c>
      <c r="AZ23" s="114" t="str">
        <f t="shared" si="2"/>
        <v>No</v>
      </c>
      <c r="BA23" s="114" t="str">
        <f t="shared" si="2"/>
        <v>No</v>
      </c>
      <c r="BB23" s="114" t="str">
        <f t="shared" si="2"/>
        <v>No</v>
      </c>
      <c r="BC23" s="114" t="str">
        <f t="shared" si="2"/>
        <v>No</v>
      </c>
      <c r="BD23" s="114" t="str">
        <f t="shared" si="2"/>
        <v>No</v>
      </c>
      <c r="BE23" s="114" t="str">
        <f t="shared" si="2"/>
        <v>No</v>
      </c>
      <c r="BF23" s="114" t="str">
        <f t="shared" si="2"/>
        <v>No</v>
      </c>
      <c r="BG23" s="114" t="str">
        <f t="shared" si="2"/>
        <v>No</v>
      </c>
      <c r="BH23" s="114" t="str">
        <f t="shared" si="2"/>
        <v>No</v>
      </c>
      <c r="BI23" s="114" t="str">
        <f t="shared" si="2"/>
        <v>No</v>
      </c>
      <c r="BJ23" s="114" t="str">
        <f t="shared" si="2"/>
        <v>No</v>
      </c>
      <c r="BK23" s="114" t="str">
        <f t="shared" si="2"/>
        <v>No</v>
      </c>
      <c r="BL23" s="114" t="str">
        <f t="shared" si="2"/>
        <v>No</v>
      </c>
      <c r="BM23" s="114" t="str">
        <f t="shared" si="2"/>
        <v>No</v>
      </c>
      <c r="BN23" s="114" t="str">
        <f t="shared" si="2"/>
        <v>No</v>
      </c>
      <c r="BO23" s="114" t="str">
        <f t="shared" si="2"/>
        <v>No</v>
      </c>
      <c r="BP23" s="114" t="str">
        <f t="shared" ref="BP23:DR23" si="3">IF(BP21&lt;500,"Yes","No")</f>
        <v>No</v>
      </c>
      <c r="BQ23" s="114" t="str">
        <f t="shared" si="3"/>
        <v>No</v>
      </c>
      <c r="BR23" s="114" t="str">
        <f t="shared" si="3"/>
        <v>No</v>
      </c>
      <c r="BS23" s="114" t="str">
        <f t="shared" si="3"/>
        <v>No</v>
      </c>
      <c r="BT23" s="114" t="str">
        <f t="shared" si="3"/>
        <v>No</v>
      </c>
      <c r="BU23" s="114" t="str">
        <f t="shared" si="3"/>
        <v>No</v>
      </c>
      <c r="BV23" s="114" t="str">
        <f t="shared" si="3"/>
        <v>No</v>
      </c>
      <c r="BW23" s="114" t="str">
        <f t="shared" si="3"/>
        <v>No</v>
      </c>
      <c r="BX23" s="114" t="str">
        <f t="shared" si="3"/>
        <v>No</v>
      </c>
      <c r="BY23" s="114" t="str">
        <f t="shared" si="3"/>
        <v>No</v>
      </c>
      <c r="BZ23" s="114" t="str">
        <f t="shared" si="3"/>
        <v>No</v>
      </c>
      <c r="CA23" s="114" t="str">
        <f t="shared" si="3"/>
        <v>No</v>
      </c>
      <c r="CB23" s="114" t="str">
        <f t="shared" si="3"/>
        <v>No</v>
      </c>
      <c r="CC23" s="114" t="str">
        <f t="shared" si="3"/>
        <v>No</v>
      </c>
      <c r="CD23" s="114" t="str">
        <f t="shared" si="3"/>
        <v>No</v>
      </c>
      <c r="CE23" s="114" t="str">
        <f t="shared" si="3"/>
        <v>No</v>
      </c>
      <c r="CF23" s="114" t="str">
        <f t="shared" si="3"/>
        <v>No</v>
      </c>
      <c r="CG23" s="114" t="str">
        <f t="shared" si="3"/>
        <v>No</v>
      </c>
      <c r="CH23" s="114" t="str">
        <f t="shared" si="3"/>
        <v>No</v>
      </c>
      <c r="CI23" s="114" t="str">
        <f t="shared" si="3"/>
        <v>No</v>
      </c>
      <c r="CJ23" s="114" t="str">
        <f t="shared" si="3"/>
        <v>No</v>
      </c>
      <c r="CK23" s="114" t="str">
        <f t="shared" si="3"/>
        <v>No</v>
      </c>
      <c r="CL23" s="114" t="str">
        <f t="shared" si="3"/>
        <v>No</v>
      </c>
      <c r="CM23" s="114" t="str">
        <f t="shared" si="3"/>
        <v>No</v>
      </c>
      <c r="CN23" s="114" t="str">
        <f t="shared" si="3"/>
        <v>No</v>
      </c>
      <c r="CO23" s="114" t="str">
        <f t="shared" si="3"/>
        <v>No</v>
      </c>
      <c r="CP23" s="114" t="str">
        <f t="shared" si="3"/>
        <v>No</v>
      </c>
      <c r="CQ23" s="114" t="str">
        <f t="shared" si="3"/>
        <v>No</v>
      </c>
      <c r="CR23" s="114" t="str">
        <f t="shared" si="3"/>
        <v>No</v>
      </c>
      <c r="CS23" s="114" t="str">
        <f t="shared" si="3"/>
        <v>No</v>
      </c>
      <c r="CT23" s="114" t="str">
        <f t="shared" si="3"/>
        <v>No</v>
      </c>
      <c r="CU23" s="114" t="str">
        <f t="shared" si="3"/>
        <v>No</v>
      </c>
      <c r="CV23" s="114" t="str">
        <f t="shared" si="3"/>
        <v>No</v>
      </c>
      <c r="CW23" s="114" t="str">
        <f t="shared" si="3"/>
        <v>No</v>
      </c>
      <c r="CX23" s="114" t="str">
        <f t="shared" si="3"/>
        <v>No</v>
      </c>
      <c r="CY23" s="114" t="str">
        <f t="shared" si="3"/>
        <v>No</v>
      </c>
      <c r="CZ23" s="114" t="str">
        <f t="shared" si="3"/>
        <v>No</v>
      </c>
      <c r="DA23" s="114" t="str">
        <f t="shared" si="3"/>
        <v>No</v>
      </c>
      <c r="DB23" s="114" t="str">
        <f t="shared" si="3"/>
        <v>No</v>
      </c>
      <c r="DC23" s="114" t="str">
        <f t="shared" si="3"/>
        <v>No</v>
      </c>
      <c r="DD23" s="114" t="str">
        <f t="shared" si="3"/>
        <v>No</v>
      </c>
      <c r="DE23" s="114" t="str">
        <f t="shared" si="3"/>
        <v>No</v>
      </c>
      <c r="DF23" s="114" t="str">
        <f t="shared" si="3"/>
        <v>No</v>
      </c>
      <c r="DG23" s="114" t="str">
        <f t="shared" si="3"/>
        <v>No</v>
      </c>
      <c r="DH23" s="114" t="str">
        <f t="shared" si="3"/>
        <v>No</v>
      </c>
      <c r="DI23" s="114" t="str">
        <f t="shared" si="3"/>
        <v>No</v>
      </c>
      <c r="DJ23" s="114" t="str">
        <f t="shared" si="3"/>
        <v>No</v>
      </c>
      <c r="DK23" s="114" t="str">
        <f t="shared" si="3"/>
        <v>No</v>
      </c>
      <c r="DL23" s="114" t="str">
        <f t="shared" si="3"/>
        <v>No</v>
      </c>
      <c r="DM23" s="114" t="str">
        <f t="shared" si="3"/>
        <v>No</v>
      </c>
      <c r="DN23" s="114" t="str">
        <f t="shared" si="3"/>
        <v>No</v>
      </c>
      <c r="DO23" s="114" t="str">
        <f t="shared" si="3"/>
        <v>No</v>
      </c>
      <c r="DP23" s="114" t="str">
        <f t="shared" si="3"/>
        <v>No</v>
      </c>
      <c r="DQ23" s="114" t="str">
        <f t="shared" si="3"/>
        <v>No</v>
      </c>
      <c r="DR23" s="114" t="str">
        <f t="shared" si="3"/>
        <v>No</v>
      </c>
    </row>
    <row r="24" spans="2:122" x14ac:dyDescent="0.3">
      <c r="B24" s="52" t="s">
        <v>216</v>
      </c>
      <c r="C24" s="55">
        <f>IF(C$22&amp;C$23="Noyes",$C15,IF(C$22&amp;C$23="yesyes",$C18,$C17))*C21*Assumptions!$C$7/12</f>
        <v>88.288629283489101</v>
      </c>
      <c r="D24" s="55">
        <f>IF(D$22&amp;D$23="Noyes",$C15,IF(D$22&amp;D$23="yesyes",$C18,$C17))*D21*Assumptions!$C$7/12</f>
        <v>88.288629283489101</v>
      </c>
      <c r="E24" s="55">
        <f>IF(E$22&amp;E$23="Noyes",$C15,IF(E$22&amp;E$23="yesyes",$C18,$C17))*E21*Assumptions!$C$7/12</f>
        <v>59.70087148862472</v>
      </c>
      <c r="F24" s="55">
        <f>IF(F$22&amp;F$23="Noyes",$C15,IF(F$22&amp;F$23="yesyes",$C18,$C17))*F21*Assumptions!$C$7/12</f>
        <v>59.70087148862472</v>
      </c>
      <c r="G24" s="55">
        <f>IF(G$22&amp;G$23="Noyes",$C15,IF(G$22&amp;G$23="yesyes",$C18,$C17))*G21*Assumptions!$C$7/12</f>
        <v>373.13044680390453</v>
      </c>
      <c r="H24" s="55">
        <f>IF(H$22&amp;H$23="Noyes",$C15,IF(H$22&amp;H$23="yesyes",$C18,$C17))*H21*Assumptions!$C$7/12</f>
        <v>373.13044680390453</v>
      </c>
      <c r="I24" s="55">
        <f>IF(I$22&amp;I$23="Noyes",$C15,IF(I$22&amp;I$23="yesyes",$C18,$C17))*I21*Assumptions!$C$7/12</f>
        <v>373.13044680390453</v>
      </c>
      <c r="J24" s="55">
        <f>IF(J$22&amp;J$23="Noyes",$C15,IF(J$22&amp;J$23="yesyes",$C18,$C17))*J21*Assumptions!$C$7/12</f>
        <v>373.13044680390453</v>
      </c>
      <c r="K24" s="55">
        <f>IF(K$22&amp;K$23="Noyes",$C15,IF(K$22&amp;K$23="yesyes",$C18,$C17))*K21*Assumptions!$C$7/12</f>
        <v>373.13044680390453</v>
      </c>
      <c r="L24" s="55">
        <f>IF(L$22&amp;L$23="Noyes",$C15,IF(L$22&amp;L$23="yesyes",$C18,$C17))*L21*Assumptions!$C$7/12</f>
        <v>373.13044680390453</v>
      </c>
      <c r="M24" s="55">
        <f>IF(M$22&amp;M$23="Noyes",$C15,IF(M$22&amp;M$23="yesyes",$C18,$C17))*M21*Assumptions!$C$7/12</f>
        <v>1261.8446955326015</v>
      </c>
      <c r="N24" s="55">
        <f>IF(N$22&amp;N$23="Noyes",$C15,IF(N$22&amp;N$23="yesyes",$C18,$C17))*N21*Assumptions!$C$7/12</f>
        <v>1261.8446955326015</v>
      </c>
      <c r="O24" s="55">
        <f>IF(O$22&amp;O$23="Noyes",$C15,IF(O$22&amp;O$23="yesyes",$C18,$C17))*O21*Assumptions!$C$7/12</f>
        <v>1261.8446955326015</v>
      </c>
      <c r="P24" s="55">
        <f>IF(P$22&amp;P$23="Noyes",$C15,IF(P$22&amp;P$23="yesyes",$C18,$C17))*P21*Assumptions!$C$7/12</f>
        <v>1261.8446955326015</v>
      </c>
      <c r="Q24" s="55">
        <f>IF(Q$22&amp;Q$23="Noyes",$C15,IF(Q$22&amp;Q$23="yesyes",$C18,$C17))*Q21*Assumptions!$C$7/12</f>
        <v>1261.8446955326015</v>
      </c>
      <c r="R24" s="55">
        <f>IF(R$22&amp;R$23="Noyes",$C15,IF(R$22&amp;R$23="yesyes",$C18,$C17))*R21*Assumptions!$C$7/12</f>
        <v>1261.8446955326015</v>
      </c>
      <c r="S24" s="55">
        <f>IF(S$22&amp;S$23="Noyes",$C15,IF(S$22&amp;S$23="yesyes",$C18,$C17))*S21*Assumptions!$C$7/12</f>
        <v>1261.8446955326015</v>
      </c>
      <c r="T24" s="55">
        <f>IF(T$22&amp;T$23="Noyes",$C15,IF(T$22&amp;T$23="yesyes",$C18,$C17))*T21*Assumptions!$C$7/12</f>
        <v>1261.8446955326015</v>
      </c>
      <c r="U24" s="55">
        <f>IF(U$22&amp;U$23="Noyes",$C15,IF(U$22&amp;U$23="yesyes",$C18,$C17))*U21*Assumptions!$C$7/12</f>
        <v>1261.8446955326015</v>
      </c>
      <c r="V24" s="55">
        <f>IF(V$22&amp;V$23="Noyes",$C15,IF(V$22&amp;V$23="yesyes",$C18,$C17))*V21*Assumptions!$C$7/12</f>
        <v>1261.8446955326015</v>
      </c>
      <c r="W24" s="55">
        <f>IF(W$22&amp;W$23="Noyes",$C15,IF(W$22&amp;W$23="yesyes",$C18,$C17))*W21*Assumptions!$C$7/12</f>
        <v>1261.8446955326015</v>
      </c>
      <c r="X24" s="55">
        <f>IF(X$22&amp;X$23="Noyes",$C15,IF(X$22&amp;X$23="yesyes",$C18,$C17))*X21*Assumptions!$C$7/12</f>
        <v>1261.8446955326015</v>
      </c>
      <c r="Y24" s="55">
        <f>IF(Y$22&amp;Y$23="Noyes",$C15,IF(Y$22&amp;Y$23="yesyes",$C18,$C17))*Y21*Assumptions!$C$7/12</f>
        <v>1261.8446955326015</v>
      </c>
      <c r="Z24" s="55">
        <f>IF(Z$22&amp;Z$23="Noyes",$C15,IF(Z$22&amp;Z$23="yesyes",$C18,$C17))*Z21*Assumptions!$C$7/12</f>
        <v>1261.8446955326015</v>
      </c>
      <c r="AA24" s="55">
        <f>IF(AA$22&amp;AA$23="Noyes",$C15,IF(AA$22&amp;AA$23="yesyes",$C18,$C17))*AA21*Assumptions!$C$7/12</f>
        <v>1261.8446955326015</v>
      </c>
      <c r="AB24" s="55">
        <f>IF(AB$22&amp;AB$23="Noyes",$C15,IF(AB$22&amp;AB$23="yesyes",$C18,$C17))*AB21*Assumptions!$C$7/12</f>
        <v>1261.8446955326015</v>
      </c>
      <c r="AC24" s="55">
        <f>IF(AC$22&amp;AC$23="Noyes",$C15,IF(AC$22&amp;AC$23="yesyes",$C18,$C17))*AC21*Assumptions!$C$7/12</f>
        <v>1261.8446955326015</v>
      </c>
      <c r="AD24" s="55">
        <f>IF(AD$22&amp;AD$23="Noyes",$C15,IF(AD$22&amp;AD$23="yesyes",$C18,$C17))*AD21*Assumptions!$C$7/12</f>
        <v>1261.8446955326015</v>
      </c>
      <c r="AE24" s="55">
        <f>IF(AE$22&amp;AE$23="Noyes",$C15,IF(AE$22&amp;AE$23="yesyes",$C18,$C17))*AE21*Assumptions!$C$7/12</f>
        <v>1261.8446955326015</v>
      </c>
      <c r="AF24" s="55">
        <f>IF(AF$22&amp;AF$23="Noyes",$C15,IF(AF$22&amp;AF$23="yesyes",$C18,$C17))*AF21*Assumptions!$C$7/12</f>
        <v>1261.8446955326015</v>
      </c>
      <c r="AG24" s="55">
        <f>IF(AG$22&amp;AG$23="Noyes",$C15,IF(AG$22&amp;AG$23="yesyes",$C18,$C17))*AG21*Assumptions!$C$7/12</f>
        <v>1261.8446955326015</v>
      </c>
      <c r="AH24" s="55">
        <f>IF(AH$22&amp;AH$23="Noyes",$C15,IF(AH$22&amp;AH$23="yesyes",$C18,$C17))*AH21*Assumptions!$C$7/12</f>
        <v>1261.8446955326015</v>
      </c>
      <c r="AI24" s="55">
        <f>IF(AI$22&amp;AI$23="Noyes",$C15,IF(AI$22&amp;AI$23="yesyes",$C18,$C17))*AI21*Assumptions!$C$7/12</f>
        <v>1261.8446955326015</v>
      </c>
      <c r="AJ24" s="55">
        <f>IF(AJ$22&amp;AJ$23="Noyes",$C15,IF(AJ$22&amp;AJ$23="yesyes",$C18,$C17))*AJ21*Assumptions!$C$7/12</f>
        <v>1261.8446955326015</v>
      </c>
      <c r="AK24" s="55">
        <f>IF(AK$22&amp;AK$23="Noyes",$C15,IF(AK$22&amp;AK$23="yesyes",$C18,$C17))*AK21*Assumptions!$C$7/12</f>
        <v>1261.8446955326015</v>
      </c>
      <c r="AL24" s="55">
        <f>IF(AL$22&amp;AL$23="Noyes",$C15,IF(AL$22&amp;AL$23="yesyes",$C18,$C17))*AL21*Assumptions!$C$7/12</f>
        <v>1261.8446955326015</v>
      </c>
      <c r="AM24" s="55">
        <f>IF(AM$22&amp;AM$23="Noyes",$C15,IF(AM$22&amp;AM$23="yesyes",$C18,$C17))*AM21*Assumptions!$C$7/12</f>
        <v>1261.8446955326015</v>
      </c>
      <c r="AN24" s="55">
        <f>IF(AN$22&amp;AN$23="Noyes",$C15,IF(AN$22&amp;AN$23="yesyes",$C18,$C17))*AN21*Assumptions!$C$7/12</f>
        <v>1261.8446955326015</v>
      </c>
      <c r="AO24" s="55">
        <f>IF(AO$22&amp;AO$23="Noyes",$C15,IF(AO$22&amp;AO$23="yesyes",$C18,$C17))*AO21*Assumptions!$C$7/12</f>
        <v>1261.8446955326015</v>
      </c>
      <c r="AP24" s="55">
        <f>IF(AP$22&amp;AP$23="Noyes",$C15,IF(AP$22&amp;AP$23="yesyes",$C18,$C17))*AP21*Assumptions!$C$7/12</f>
        <v>1261.8446955326015</v>
      </c>
      <c r="AQ24" s="55">
        <f>IF(AQ$22&amp;AQ$23="Noyes",$C15,IF(AQ$22&amp;AQ$23="yesyes",$C18,$C17))*AQ21*Assumptions!$C$7/12</f>
        <v>1261.8446955326015</v>
      </c>
      <c r="AR24" s="55">
        <f>IF(AR$22&amp;AR$23="Noyes",$C15,IF(AR$22&amp;AR$23="yesyes",$C18,$C17))*AR21*Assumptions!$C$7/12</f>
        <v>1261.8446955326015</v>
      </c>
      <c r="AS24" s="55">
        <f>IF(AS$22&amp;AS$23="Noyes",$C15,IF(AS$22&amp;AS$23="yesyes",$C18,$C17))*AS21*Assumptions!$C$7/12</f>
        <v>1261.8446955326015</v>
      </c>
      <c r="AT24" s="55">
        <f>IF(AT$22&amp;AT$23="Noyes",$C15,IF(AT$22&amp;AT$23="yesyes",$C18,$C17))*AT21*Assumptions!$C$7/12</f>
        <v>1261.8446955326015</v>
      </c>
      <c r="AU24" s="55">
        <f>IF(AU$22&amp;AU$23="Noyes",$C15,IF(AU$22&amp;AU$23="yesyes",$C18,$C17))*AU21*Assumptions!$C$7/12</f>
        <v>1261.8446955326015</v>
      </c>
      <c r="AV24" s="55">
        <f>IF(AV$22&amp;AV$23="Noyes",$C15,IF(AV$22&amp;AV$23="yesyes",$C18,$C17))*AV21*Assumptions!$C$7/12</f>
        <v>1261.8446955326015</v>
      </c>
      <c r="AW24" s="55">
        <f>IF(AW$22&amp;AW$23="Noyes",$C15,IF(AW$22&amp;AW$23="yesyes",$C18,$C17))*AW21*Assumptions!$C$7/12</f>
        <v>1261.8446955326015</v>
      </c>
      <c r="AX24" s="55">
        <f>IF(AX$22&amp;AX$23="Noyes",$C15,IF(AX$22&amp;AX$23="yesyes",$C18,$C17))*AX21*Assumptions!$C$7/12</f>
        <v>1261.8446955326015</v>
      </c>
      <c r="AY24" s="55">
        <f>IF(AY$22&amp;AY$23="Noyes",$C15,IF(AY$22&amp;AY$23="yesyes",$C18,$C17))*AY21*Assumptions!$C$7/12</f>
        <v>1261.8446955326015</v>
      </c>
      <c r="AZ24" s="55">
        <f>IF(AZ$22&amp;AZ$23="Noyes",$C15,IF(AZ$22&amp;AZ$23="yesyes",$C18,$C17))*AZ21*Assumptions!$C$7/12</f>
        <v>1261.8446955326015</v>
      </c>
      <c r="BA24" s="55">
        <f>IF(BA$22&amp;BA$23="Noyes",$C15,IF(BA$22&amp;BA$23="yesyes",$C18,$C17))*BA21*Assumptions!$C$7/12</f>
        <v>1261.8446955326015</v>
      </c>
      <c r="BB24" s="55">
        <f>IF(BB$22&amp;BB$23="Noyes",$C15,IF(BB$22&amp;BB$23="yesyes",$C18,$C17))*BB21*Assumptions!$C$7/12</f>
        <v>1261.8446955326015</v>
      </c>
      <c r="BC24" s="55">
        <f>IF(BC$22&amp;BC$23="Noyes",$C15,IF(BC$22&amp;BC$23="yesyes",$C18,$C17))*BC21*Assumptions!$C$7/12</f>
        <v>1261.8446955326015</v>
      </c>
      <c r="BD24" s="55">
        <f>IF(BD$22&amp;BD$23="Noyes",$C15,IF(BD$22&amp;BD$23="yesyes",$C18,$C17))*BD21*Assumptions!$C$7/12</f>
        <v>1261.8446955326015</v>
      </c>
      <c r="BE24" s="55">
        <f>IF(BE$22&amp;BE$23="Noyes",$C15,IF(BE$22&amp;BE$23="yesyes",$C18,$C17))*BE21*Assumptions!$C$7/12</f>
        <v>1261.8446955326015</v>
      </c>
      <c r="BF24" s="55">
        <f>IF(BF$22&amp;BF$23="Noyes",$C15,IF(BF$22&amp;BF$23="yesyes",$C18,$C17))*BF21*Assumptions!$C$7/12</f>
        <v>1261.8446955326015</v>
      </c>
      <c r="BG24" s="55">
        <f>IF(BG$22&amp;BG$23="Noyes",$C15,IF(BG$22&amp;BG$23="yesyes",$C18,$C17))*BG21*Assumptions!$C$7/12</f>
        <v>1261.8446955326015</v>
      </c>
      <c r="BH24" s="55">
        <f>IF(BH$22&amp;BH$23="Noyes",$C15,IF(BH$22&amp;BH$23="yesyes",$C18,$C17))*BH21*Assumptions!$C$7/12</f>
        <v>1261.8446955326015</v>
      </c>
      <c r="BI24" s="55">
        <f>IF(BI$22&amp;BI$23="Noyes",$C15,IF(BI$22&amp;BI$23="yesyes",$C18,$C17))*BI21*Assumptions!$C$7/12</f>
        <v>1261.8446955326015</v>
      </c>
      <c r="BJ24" s="55">
        <f>IF(BJ$22&amp;BJ$23="Noyes",$C15,IF(BJ$22&amp;BJ$23="yesyes",$C18,$C17))*BJ21*Assumptions!$C$7/12</f>
        <v>1261.8446955326015</v>
      </c>
      <c r="BK24" s="55">
        <f>IF(BK$22&amp;BK$23="Noyes",$C15,IF(BK$22&amp;BK$23="yesyes",$C18,$C17))*BK21*Assumptions!$C$7/12</f>
        <v>1261.8446955326015</v>
      </c>
      <c r="BL24" s="55">
        <f>IF(BL$22&amp;BL$23="Noyes",$C15,IF(BL$22&amp;BL$23="yesyes",$C18,$C17))*BL21*Assumptions!$C$7/12</f>
        <v>1261.8446955326015</v>
      </c>
      <c r="BM24" s="55">
        <f>IF(BM$22&amp;BM$23="Noyes",$C15,IF(BM$22&amp;BM$23="yesyes",$C18,$C17))*BM21*Assumptions!$C$7/12</f>
        <v>1261.8446955326015</v>
      </c>
      <c r="BN24" s="55">
        <f>IF(BN$22&amp;BN$23="Noyes",$C15,IF(BN$22&amp;BN$23="yesyes",$C18,$C17))*BN21*Assumptions!$C$7/12</f>
        <v>1261.8446955326015</v>
      </c>
      <c r="BO24" s="55">
        <f>IF(BO$22&amp;BO$23="Noyes",$C15,IF(BO$22&amp;BO$23="yesyes",$C18,$C17))*BO21*Assumptions!$C$7/12</f>
        <v>1261.8446955326015</v>
      </c>
      <c r="BP24" s="55">
        <f>IF(BP$22&amp;BP$23="Noyes",$C15,IF(BP$22&amp;BP$23="yesyes",$C18,$C17))*BP21*Assumptions!$C$7/12</f>
        <v>1261.8446955326015</v>
      </c>
      <c r="BQ24" s="55">
        <f>IF(BQ$22&amp;BQ$23="Noyes",$C15,IF(BQ$22&amp;BQ$23="yesyes",$C18,$C17))*BQ21*Assumptions!$C$7/12</f>
        <v>1261.8446955326015</v>
      </c>
      <c r="BR24" s="55">
        <f>IF(BR$22&amp;BR$23="Noyes",$C15,IF(BR$22&amp;BR$23="yesyes",$C18,$C17))*BR21*Assumptions!$C$7/12</f>
        <v>1261.8446955326015</v>
      </c>
      <c r="BS24" s="55">
        <f>IF(BS$22&amp;BS$23="Noyes",$C15,IF(BS$22&amp;BS$23="yesyes",$C18,$C17))*BS21*Assumptions!$C$7/12</f>
        <v>1261.8446955326015</v>
      </c>
      <c r="BT24" s="55">
        <f>IF(BT$22&amp;BT$23="Noyes",$C15,IF(BT$22&amp;BT$23="yesyes",$C18,$C17))*BT21*Assumptions!$C$7/12</f>
        <v>1261.8446955326015</v>
      </c>
      <c r="BU24" s="55">
        <f>IF(BU$22&amp;BU$23="Noyes",$C15,IF(BU$22&amp;BU$23="yesyes",$C18,$C17))*BU21*Assumptions!$C$7/12</f>
        <v>1261.8446955326015</v>
      </c>
      <c r="BV24" s="55">
        <f>IF(BV$22&amp;BV$23="Noyes",$C15,IF(BV$22&amp;BV$23="yesyes",$C18,$C17))*BV21*Assumptions!$C$7/12</f>
        <v>1261.8446955326015</v>
      </c>
      <c r="BW24" s="55">
        <f>IF(BW$22&amp;BW$23="Noyes",$C15,IF(BW$22&amp;BW$23="yesyes",$C18,$C17))*BW21*Assumptions!$C$7/12</f>
        <v>1261.8446955326015</v>
      </c>
      <c r="BX24" s="55">
        <f>IF(BX$22&amp;BX$23="Noyes",$C15,IF(BX$22&amp;BX$23="yesyes",$C18,$C17))*BX21*Assumptions!$C$7/12</f>
        <v>1261.8446955326015</v>
      </c>
      <c r="BY24" s="55">
        <f>IF(BY$22&amp;BY$23="Noyes",$C15,IF(BY$22&amp;BY$23="yesyes",$C18,$C17))*BY21*Assumptions!$C$7/12</f>
        <v>1261.8446955326015</v>
      </c>
      <c r="BZ24" s="55">
        <f>IF(BZ$22&amp;BZ$23="Noyes",$C15,IF(BZ$22&amp;BZ$23="yesyes",$C18,$C17))*BZ21*Assumptions!$C$7/12</f>
        <v>1261.8446955326015</v>
      </c>
      <c r="CA24" s="55">
        <f>IF(CA$22&amp;CA$23="Noyes",$C15,IF(CA$22&amp;CA$23="yesyes",$C18,$C17))*CA21*Assumptions!$C$7/12</f>
        <v>1261.8446955326015</v>
      </c>
      <c r="CB24" s="55">
        <f>IF(CB$22&amp;CB$23="Noyes",$C15,IF(CB$22&amp;CB$23="yesyes",$C18,$C17))*CB21*Assumptions!$C$7/12</f>
        <v>1261.8446955326015</v>
      </c>
      <c r="CC24" s="55">
        <f>IF(CC$22&amp;CC$23="Noyes",$C15,IF(CC$22&amp;CC$23="yesyes",$C18,$C17))*CC21*Assumptions!$C$7/12</f>
        <v>1261.8446955326015</v>
      </c>
      <c r="CD24" s="55">
        <f>IF(CD$22&amp;CD$23="Noyes",$C15,IF(CD$22&amp;CD$23="yesyes",$C18,$C17))*CD21*Assumptions!$C$7/12</f>
        <v>1261.8446955326015</v>
      </c>
      <c r="CE24" s="55">
        <f>IF(CE$22&amp;CE$23="Noyes",$C15,IF(CE$22&amp;CE$23="yesyes",$C18,$C17))*CE21*Assumptions!$C$7/12</f>
        <v>1261.8446955326015</v>
      </c>
      <c r="CF24" s="55">
        <f>IF(CF$22&amp;CF$23="Noyes",$C15,IF(CF$22&amp;CF$23="yesyes",$C18,$C17))*CF21*Assumptions!$C$7/12</f>
        <v>1261.8446955326015</v>
      </c>
      <c r="CG24" s="55">
        <f>IF(CG$22&amp;CG$23="Noyes",$C15,IF(CG$22&amp;CG$23="yesyes",$C18,$C17))*CG21*Assumptions!$C$7/12</f>
        <v>1261.8446955326015</v>
      </c>
      <c r="CH24" s="55">
        <f>IF(CH$22&amp;CH$23="Noyes",$C15,IF(CH$22&amp;CH$23="yesyes",$C18,$C17))*CH21*Assumptions!$C$7/12</f>
        <v>1261.8446955326015</v>
      </c>
      <c r="CI24" s="55">
        <f>IF(CI$22&amp;CI$23="Noyes",$C15,IF(CI$22&amp;CI$23="yesyes",$C18,$C17))*CI21*Assumptions!$C$7/12</f>
        <v>1261.8446955326015</v>
      </c>
      <c r="CJ24" s="55">
        <f>IF(CJ$22&amp;CJ$23="Noyes",$C15,IF(CJ$22&amp;CJ$23="yesyes",$C18,$C17))*CJ21*Assumptions!$C$7/12</f>
        <v>1261.8446955326015</v>
      </c>
      <c r="CK24" s="55">
        <f>IF(CK$22&amp;CK$23="Noyes",$C15,IF(CK$22&amp;CK$23="yesyes",$C18,$C17))*CK21*Assumptions!$C$7/12</f>
        <v>1261.8446955326015</v>
      </c>
      <c r="CL24" s="55">
        <f>IF(CL$22&amp;CL$23="Noyes",$C15,IF(CL$22&amp;CL$23="yesyes",$C18,$C17))*CL21*Assumptions!$C$7/12</f>
        <v>1261.8446955326015</v>
      </c>
      <c r="CM24" s="55">
        <f>IF(CM$22&amp;CM$23="Noyes",$C15,IF(CM$22&amp;CM$23="yesyes",$C18,$C17))*CM21*Assumptions!$C$7/12</f>
        <v>1261.8446955326015</v>
      </c>
      <c r="CN24" s="55">
        <f>IF(CN$22&amp;CN$23="Noyes",$C15,IF(CN$22&amp;CN$23="yesyes",$C18,$C17))*CN21*Assumptions!$C$7/12</f>
        <v>1261.8446955326015</v>
      </c>
      <c r="CO24" s="55">
        <f>IF(CO$22&amp;CO$23="Noyes",$C15,IF(CO$22&amp;CO$23="yesyes",$C18,$C17))*CO21*Assumptions!$C$7/12</f>
        <v>1261.8446955326015</v>
      </c>
      <c r="CP24" s="55">
        <f>IF(CP$22&amp;CP$23="Noyes",$C15,IF(CP$22&amp;CP$23="yesyes",$C18,$C17))*CP21*Assumptions!$C$7/12</f>
        <v>1261.8446955326015</v>
      </c>
      <c r="CQ24" s="55">
        <f>IF(CQ$22&amp;CQ$23="Noyes",$C15,IF(CQ$22&amp;CQ$23="yesyes",$C18,$C17))*CQ21*Assumptions!$C$7/12</f>
        <v>1261.8446955326015</v>
      </c>
      <c r="CR24" s="55">
        <f>IF(CR$22&amp;CR$23="Noyes",$C15,IF(CR$22&amp;CR$23="yesyes",$C18,$C17))*CR21*Assumptions!$C$7/12</f>
        <v>1261.8446955326015</v>
      </c>
      <c r="CS24" s="55">
        <f>IF(CS$22&amp;CS$23="Noyes",$C15,IF(CS$22&amp;CS$23="yesyes",$C18,$C17))*CS21*Assumptions!$C$7/12</f>
        <v>1261.8446955326015</v>
      </c>
      <c r="CT24" s="55">
        <f>IF(CT$22&amp;CT$23="Noyes",$C15,IF(CT$22&amp;CT$23="yesyes",$C18,$C17))*CT21*Assumptions!$C$7/12</f>
        <v>1261.8446955326015</v>
      </c>
      <c r="CU24" s="55">
        <f>IF(CU$22&amp;CU$23="Noyes",$C15,IF(CU$22&amp;CU$23="yesyes",$C18,$C17))*CU21*Assumptions!$C$7/12</f>
        <v>1261.8446955326015</v>
      </c>
      <c r="CV24" s="55">
        <f>IF(CV$22&amp;CV$23="Noyes",$C15,IF(CV$22&amp;CV$23="yesyes",$C18,$C17))*CV21*Assumptions!$C$7/12</f>
        <v>1261.8446955326015</v>
      </c>
      <c r="CW24" s="55">
        <f>IF(CW$22&amp;CW$23="Noyes",$C15,IF(CW$22&amp;CW$23="yesyes",$C18,$C17))*CW21*Assumptions!$C$7/12</f>
        <v>1261.8446955326015</v>
      </c>
      <c r="CX24" s="55">
        <f>IF(CX$22&amp;CX$23="Noyes",$C15,IF(CX$22&amp;CX$23="yesyes",$C18,$C17))*CX21*Assumptions!$C$7/12</f>
        <v>1261.8446955326015</v>
      </c>
      <c r="CY24" s="55">
        <f>IF(CY$22&amp;CY$23="Noyes",$C15,IF(CY$22&amp;CY$23="yesyes",$C18,$C17))*CY21*Assumptions!$C$7/12</f>
        <v>1261.8446955326015</v>
      </c>
      <c r="CZ24" s="55">
        <f>IF(CZ$22&amp;CZ$23="Noyes",$C15,IF(CZ$22&amp;CZ$23="yesyes",$C18,$C17))*CZ21*Assumptions!$C$7/12</f>
        <v>1261.8446955326015</v>
      </c>
      <c r="DA24" s="55">
        <f>IF(DA$22&amp;DA$23="Noyes",$C15,IF(DA$22&amp;DA$23="yesyes",$C18,$C17))*DA21*Assumptions!$C$7/12</f>
        <v>1261.8446955326015</v>
      </c>
      <c r="DB24" s="55">
        <f>IF(DB$22&amp;DB$23="Noyes",$C15,IF(DB$22&amp;DB$23="yesyes",$C18,$C17))*DB21*Assumptions!$C$7/12</f>
        <v>1261.8446955326015</v>
      </c>
      <c r="DC24" s="55">
        <f>IF(DC$22&amp;DC$23="Noyes",$C15,IF(DC$22&amp;DC$23="yesyes",$C18,$C17))*DC21*Assumptions!$C$7/12</f>
        <v>1261.8446955326015</v>
      </c>
      <c r="DD24" s="55">
        <f>IF(DD$22&amp;DD$23="Noyes",$C15,IF(DD$22&amp;DD$23="yesyes",$C18,$C17))*DD21*Assumptions!$C$7/12</f>
        <v>1261.8446955326015</v>
      </c>
      <c r="DE24" s="55">
        <f>IF(DE$22&amp;DE$23="Noyes",$C15,IF(DE$22&amp;DE$23="yesyes",$C18,$C17))*DE21*Assumptions!$C$7/12</f>
        <v>1261.8446955326015</v>
      </c>
      <c r="DF24" s="55">
        <f>IF(DF$22&amp;DF$23="Noyes",$C15,IF(DF$22&amp;DF$23="yesyes",$C18,$C17))*DF21*Assumptions!$C$7/12</f>
        <v>1261.8446955326015</v>
      </c>
      <c r="DG24" s="55">
        <f>IF(DG$22&amp;DG$23="Noyes",$C15,IF(DG$22&amp;DG$23="yesyes",$C18,$C17))*DG21*Assumptions!$C$7/12</f>
        <v>1261.8446955326015</v>
      </c>
      <c r="DH24" s="55">
        <f>IF(DH$22&amp;DH$23="Noyes",$C15,IF(DH$22&amp;DH$23="yesyes",$C18,$C17))*DH21*Assumptions!$C$7/12</f>
        <v>1261.8446955326015</v>
      </c>
      <c r="DI24" s="55">
        <f>IF(DI$22&amp;DI$23="Noyes",$C15,IF(DI$22&amp;DI$23="yesyes",$C18,$C17))*DI21*Assumptions!$C$7/12</f>
        <v>1261.8446955326015</v>
      </c>
      <c r="DJ24" s="55">
        <f>IF(DJ$22&amp;DJ$23="Noyes",$C15,IF(DJ$22&amp;DJ$23="yesyes",$C18,$C17))*DJ21*Assumptions!$C$7/12</f>
        <v>1261.8446955326015</v>
      </c>
      <c r="DK24" s="55">
        <f>IF(DK$22&amp;DK$23="Noyes",$C15,IF(DK$22&amp;DK$23="yesyes",$C18,$C17))*DK21*Assumptions!$C$7/12</f>
        <v>1261.8446955326015</v>
      </c>
      <c r="DL24" s="55">
        <f>IF(DL$22&amp;DL$23="Noyes",$C15,IF(DL$22&amp;DL$23="yesyes",$C18,$C17))*DL21*Assumptions!$C$7/12</f>
        <v>1261.8446955326015</v>
      </c>
      <c r="DM24" s="55">
        <f>IF(DM$22&amp;DM$23="Noyes",$C15,IF(DM$22&amp;DM$23="yesyes",$C18,$C17))*DM21*Assumptions!$C$7/12</f>
        <v>1261.8446955326015</v>
      </c>
      <c r="DN24" s="55">
        <f>IF(DN$22&amp;DN$23="Noyes",$C15,IF(DN$22&amp;DN$23="yesyes",$C18,$C17))*DN21*Assumptions!$C$7/12</f>
        <v>1261.8446955326015</v>
      </c>
      <c r="DO24" s="55">
        <f>IF(DO$22&amp;DO$23="Noyes",$C15,IF(DO$22&amp;DO$23="yesyes",$C18,$C17))*DO21*Assumptions!$C$7/12</f>
        <v>1261.8446955326015</v>
      </c>
      <c r="DP24" s="55">
        <f>IF(DP$22&amp;DP$23="Noyes",$C15,IF(DP$22&amp;DP$23="yesyes",$C18,$C17))*DP21*Assumptions!$C$7/12</f>
        <v>1261.8446955326015</v>
      </c>
      <c r="DQ24" s="55">
        <f>IF(DQ$22&amp;DQ$23="Noyes",$C15,IF(DQ$22&amp;DQ$23="yesyes",$C18,$C17))*DQ21*Assumptions!$C$7/12</f>
        <v>1261.8446955326015</v>
      </c>
      <c r="DR24" s="55">
        <f>IF(DR$22&amp;DR$23="Noyes",$C15,IF(DR$22&amp;DR$23="yesyes",$C18,$C17))*DR21*Assumptions!$C$7/12</f>
        <v>1261.8446955326015</v>
      </c>
    </row>
    <row r="25" spans="2:122" x14ac:dyDescent="0.3">
      <c r="B25" s="52" t="s">
        <v>217</v>
      </c>
      <c r="C25" s="115">
        <f>+C24/$C$5*$C$6</f>
        <v>706309.03426791285</v>
      </c>
      <c r="D25" s="115">
        <f t="shared" ref="D25:BO25" si="4">+D24/$C$5*$C$6</f>
        <v>706309.03426791285</v>
      </c>
      <c r="E25" s="115">
        <f t="shared" si="4"/>
        <v>477606.97190899774</v>
      </c>
      <c r="F25" s="115">
        <f t="shared" si="4"/>
        <v>477606.97190899774</v>
      </c>
      <c r="G25" s="115">
        <f t="shared" si="4"/>
        <v>2985043.5744312364</v>
      </c>
      <c r="H25" s="115">
        <f t="shared" si="4"/>
        <v>2985043.5744312364</v>
      </c>
      <c r="I25" s="115">
        <f t="shared" si="4"/>
        <v>2985043.5744312364</v>
      </c>
      <c r="J25" s="115">
        <f t="shared" si="4"/>
        <v>2985043.5744312364</v>
      </c>
      <c r="K25" s="115">
        <f t="shared" si="4"/>
        <v>2985043.5744312364</v>
      </c>
      <c r="L25" s="115">
        <f t="shared" si="4"/>
        <v>2985043.5744312364</v>
      </c>
      <c r="M25" s="115">
        <f t="shared" si="4"/>
        <v>10094757.564260812</v>
      </c>
      <c r="N25" s="115">
        <f t="shared" si="4"/>
        <v>10094757.564260812</v>
      </c>
      <c r="O25" s="115">
        <f t="shared" si="4"/>
        <v>10094757.564260812</v>
      </c>
      <c r="P25" s="115">
        <f t="shared" si="4"/>
        <v>10094757.564260812</v>
      </c>
      <c r="Q25" s="115">
        <f t="shared" si="4"/>
        <v>10094757.564260812</v>
      </c>
      <c r="R25" s="115">
        <f t="shared" si="4"/>
        <v>10094757.564260812</v>
      </c>
      <c r="S25" s="115">
        <f t="shared" si="4"/>
        <v>10094757.564260812</v>
      </c>
      <c r="T25" s="115">
        <f t="shared" si="4"/>
        <v>10094757.564260812</v>
      </c>
      <c r="U25" s="115">
        <f t="shared" si="4"/>
        <v>10094757.564260812</v>
      </c>
      <c r="V25" s="115">
        <f t="shared" si="4"/>
        <v>10094757.564260812</v>
      </c>
      <c r="W25" s="115">
        <f t="shared" si="4"/>
        <v>10094757.564260812</v>
      </c>
      <c r="X25" s="115">
        <f t="shared" si="4"/>
        <v>10094757.564260812</v>
      </c>
      <c r="Y25" s="115">
        <f t="shared" si="4"/>
        <v>10094757.564260812</v>
      </c>
      <c r="Z25" s="115">
        <f t="shared" si="4"/>
        <v>10094757.564260812</v>
      </c>
      <c r="AA25" s="115">
        <f t="shared" si="4"/>
        <v>10094757.564260812</v>
      </c>
      <c r="AB25" s="115">
        <f t="shared" si="4"/>
        <v>10094757.564260812</v>
      </c>
      <c r="AC25" s="115">
        <f t="shared" si="4"/>
        <v>10094757.564260812</v>
      </c>
      <c r="AD25" s="115">
        <f t="shared" si="4"/>
        <v>10094757.564260812</v>
      </c>
      <c r="AE25" s="115">
        <f t="shared" si="4"/>
        <v>10094757.564260812</v>
      </c>
      <c r="AF25" s="115">
        <f t="shared" si="4"/>
        <v>10094757.564260812</v>
      </c>
      <c r="AG25" s="115">
        <f t="shared" si="4"/>
        <v>10094757.564260812</v>
      </c>
      <c r="AH25" s="115">
        <f t="shared" si="4"/>
        <v>10094757.564260812</v>
      </c>
      <c r="AI25" s="115">
        <f t="shared" si="4"/>
        <v>10094757.564260812</v>
      </c>
      <c r="AJ25" s="115">
        <f t="shared" si="4"/>
        <v>10094757.564260812</v>
      </c>
      <c r="AK25" s="115">
        <f t="shared" si="4"/>
        <v>10094757.564260812</v>
      </c>
      <c r="AL25" s="115">
        <f t="shared" si="4"/>
        <v>10094757.564260812</v>
      </c>
      <c r="AM25" s="115">
        <f t="shared" si="4"/>
        <v>10094757.564260812</v>
      </c>
      <c r="AN25" s="115">
        <f t="shared" si="4"/>
        <v>10094757.564260812</v>
      </c>
      <c r="AO25" s="115">
        <f t="shared" si="4"/>
        <v>10094757.564260812</v>
      </c>
      <c r="AP25" s="115">
        <f t="shared" si="4"/>
        <v>10094757.564260812</v>
      </c>
      <c r="AQ25" s="115">
        <f t="shared" si="4"/>
        <v>10094757.564260812</v>
      </c>
      <c r="AR25" s="115">
        <f t="shared" si="4"/>
        <v>10094757.564260812</v>
      </c>
      <c r="AS25" s="115">
        <f t="shared" si="4"/>
        <v>10094757.564260812</v>
      </c>
      <c r="AT25" s="115">
        <f t="shared" si="4"/>
        <v>10094757.564260812</v>
      </c>
      <c r="AU25" s="115">
        <f t="shared" si="4"/>
        <v>10094757.564260812</v>
      </c>
      <c r="AV25" s="115">
        <f t="shared" si="4"/>
        <v>10094757.564260812</v>
      </c>
      <c r="AW25" s="115">
        <f t="shared" si="4"/>
        <v>10094757.564260812</v>
      </c>
      <c r="AX25" s="115">
        <f t="shared" si="4"/>
        <v>10094757.564260812</v>
      </c>
      <c r="AY25" s="115">
        <f t="shared" si="4"/>
        <v>10094757.564260812</v>
      </c>
      <c r="AZ25" s="115">
        <f t="shared" si="4"/>
        <v>10094757.564260812</v>
      </c>
      <c r="BA25" s="115">
        <f t="shared" si="4"/>
        <v>10094757.564260812</v>
      </c>
      <c r="BB25" s="115">
        <f t="shared" si="4"/>
        <v>10094757.564260812</v>
      </c>
      <c r="BC25" s="115">
        <f t="shared" si="4"/>
        <v>10094757.564260812</v>
      </c>
      <c r="BD25" s="115">
        <f t="shared" si="4"/>
        <v>10094757.564260812</v>
      </c>
      <c r="BE25" s="115">
        <f t="shared" si="4"/>
        <v>10094757.564260812</v>
      </c>
      <c r="BF25" s="115">
        <f t="shared" si="4"/>
        <v>10094757.564260812</v>
      </c>
      <c r="BG25" s="115">
        <f t="shared" si="4"/>
        <v>10094757.564260812</v>
      </c>
      <c r="BH25" s="115">
        <f t="shared" si="4"/>
        <v>10094757.564260812</v>
      </c>
      <c r="BI25" s="115">
        <f t="shared" si="4"/>
        <v>10094757.564260812</v>
      </c>
      <c r="BJ25" s="115">
        <f t="shared" si="4"/>
        <v>10094757.564260812</v>
      </c>
      <c r="BK25" s="115">
        <f t="shared" si="4"/>
        <v>10094757.564260812</v>
      </c>
      <c r="BL25" s="115">
        <f t="shared" si="4"/>
        <v>10094757.564260812</v>
      </c>
      <c r="BM25" s="115">
        <f t="shared" si="4"/>
        <v>10094757.564260812</v>
      </c>
      <c r="BN25" s="115">
        <f t="shared" si="4"/>
        <v>10094757.564260812</v>
      </c>
      <c r="BO25" s="115">
        <f t="shared" si="4"/>
        <v>10094757.564260812</v>
      </c>
      <c r="BP25" s="115">
        <f t="shared" ref="BP25:DR25" si="5">+BP24/$C$5*$C$6</f>
        <v>10094757.564260812</v>
      </c>
      <c r="BQ25" s="115">
        <f t="shared" si="5"/>
        <v>10094757.564260812</v>
      </c>
      <c r="BR25" s="115">
        <f t="shared" si="5"/>
        <v>10094757.564260812</v>
      </c>
      <c r="BS25" s="115">
        <f t="shared" si="5"/>
        <v>10094757.564260812</v>
      </c>
      <c r="BT25" s="115">
        <f t="shared" si="5"/>
        <v>10094757.564260812</v>
      </c>
      <c r="BU25" s="115">
        <f t="shared" si="5"/>
        <v>10094757.564260812</v>
      </c>
      <c r="BV25" s="115">
        <f t="shared" si="5"/>
        <v>10094757.564260812</v>
      </c>
      <c r="BW25" s="115">
        <f t="shared" si="5"/>
        <v>10094757.564260812</v>
      </c>
      <c r="BX25" s="115">
        <f t="shared" si="5"/>
        <v>10094757.564260812</v>
      </c>
      <c r="BY25" s="115">
        <f t="shared" si="5"/>
        <v>10094757.564260812</v>
      </c>
      <c r="BZ25" s="115">
        <f t="shared" si="5"/>
        <v>10094757.564260812</v>
      </c>
      <c r="CA25" s="115">
        <f t="shared" si="5"/>
        <v>10094757.564260812</v>
      </c>
      <c r="CB25" s="115">
        <f t="shared" si="5"/>
        <v>10094757.564260812</v>
      </c>
      <c r="CC25" s="115">
        <f t="shared" si="5"/>
        <v>10094757.564260812</v>
      </c>
      <c r="CD25" s="115">
        <f t="shared" si="5"/>
        <v>10094757.564260812</v>
      </c>
      <c r="CE25" s="115">
        <f t="shared" si="5"/>
        <v>10094757.564260812</v>
      </c>
      <c r="CF25" s="115">
        <f t="shared" si="5"/>
        <v>10094757.564260812</v>
      </c>
      <c r="CG25" s="115">
        <f t="shared" si="5"/>
        <v>10094757.564260812</v>
      </c>
      <c r="CH25" s="115">
        <f t="shared" si="5"/>
        <v>10094757.564260812</v>
      </c>
      <c r="CI25" s="115">
        <f t="shared" si="5"/>
        <v>10094757.564260812</v>
      </c>
      <c r="CJ25" s="115">
        <f t="shared" si="5"/>
        <v>10094757.564260812</v>
      </c>
      <c r="CK25" s="115">
        <f t="shared" si="5"/>
        <v>10094757.564260812</v>
      </c>
      <c r="CL25" s="115">
        <f t="shared" si="5"/>
        <v>10094757.564260812</v>
      </c>
      <c r="CM25" s="115">
        <f t="shared" si="5"/>
        <v>10094757.564260812</v>
      </c>
      <c r="CN25" s="115">
        <f t="shared" si="5"/>
        <v>10094757.564260812</v>
      </c>
      <c r="CO25" s="115">
        <f t="shared" si="5"/>
        <v>10094757.564260812</v>
      </c>
      <c r="CP25" s="115">
        <f t="shared" si="5"/>
        <v>10094757.564260812</v>
      </c>
      <c r="CQ25" s="115">
        <f t="shared" si="5"/>
        <v>10094757.564260812</v>
      </c>
      <c r="CR25" s="115">
        <f t="shared" si="5"/>
        <v>10094757.564260812</v>
      </c>
      <c r="CS25" s="115">
        <f t="shared" si="5"/>
        <v>10094757.564260812</v>
      </c>
      <c r="CT25" s="115">
        <f t="shared" si="5"/>
        <v>10094757.564260812</v>
      </c>
      <c r="CU25" s="115">
        <f t="shared" si="5"/>
        <v>10094757.564260812</v>
      </c>
      <c r="CV25" s="115">
        <f t="shared" si="5"/>
        <v>10094757.564260812</v>
      </c>
      <c r="CW25" s="115">
        <f t="shared" si="5"/>
        <v>10094757.564260812</v>
      </c>
      <c r="CX25" s="115">
        <f t="shared" si="5"/>
        <v>10094757.564260812</v>
      </c>
      <c r="CY25" s="115">
        <f t="shared" si="5"/>
        <v>10094757.564260812</v>
      </c>
      <c r="CZ25" s="115">
        <f t="shared" si="5"/>
        <v>10094757.564260812</v>
      </c>
      <c r="DA25" s="115">
        <f t="shared" si="5"/>
        <v>10094757.564260812</v>
      </c>
      <c r="DB25" s="115">
        <f t="shared" si="5"/>
        <v>10094757.564260812</v>
      </c>
      <c r="DC25" s="115">
        <f t="shared" si="5"/>
        <v>10094757.564260812</v>
      </c>
      <c r="DD25" s="115">
        <f t="shared" si="5"/>
        <v>10094757.564260812</v>
      </c>
      <c r="DE25" s="115">
        <f t="shared" si="5"/>
        <v>10094757.564260812</v>
      </c>
      <c r="DF25" s="115">
        <f t="shared" si="5"/>
        <v>10094757.564260812</v>
      </c>
      <c r="DG25" s="115">
        <f t="shared" si="5"/>
        <v>10094757.564260812</v>
      </c>
      <c r="DH25" s="115">
        <f t="shared" si="5"/>
        <v>10094757.564260812</v>
      </c>
      <c r="DI25" s="115">
        <f t="shared" si="5"/>
        <v>10094757.564260812</v>
      </c>
      <c r="DJ25" s="115">
        <f t="shared" si="5"/>
        <v>10094757.564260812</v>
      </c>
      <c r="DK25" s="115">
        <f t="shared" si="5"/>
        <v>10094757.564260812</v>
      </c>
      <c r="DL25" s="115">
        <f t="shared" si="5"/>
        <v>10094757.564260812</v>
      </c>
      <c r="DM25" s="115">
        <f t="shared" si="5"/>
        <v>10094757.564260812</v>
      </c>
      <c r="DN25" s="115">
        <f t="shared" si="5"/>
        <v>10094757.564260812</v>
      </c>
      <c r="DO25" s="115">
        <f t="shared" si="5"/>
        <v>10094757.564260812</v>
      </c>
      <c r="DP25" s="115">
        <f t="shared" si="5"/>
        <v>10094757.564260812</v>
      </c>
      <c r="DQ25" s="115">
        <f t="shared" si="5"/>
        <v>10094757.564260812</v>
      </c>
      <c r="DR25" s="115">
        <f t="shared" si="5"/>
        <v>10094757.564260812</v>
      </c>
    </row>
    <row r="26" spans="2:122" x14ac:dyDescent="0.3">
      <c r="B26" s="52" t="s">
        <v>221</v>
      </c>
      <c r="C26" s="55">
        <f>+C24/$C$9/$C$10*$C$12*2000</f>
        <v>994801.4567153703</v>
      </c>
      <c r="D26" s="55">
        <f t="shared" ref="D26:BO26" si="6">+D24/$C$9/$C$10*$C$12*2000</f>
        <v>994801.4567153703</v>
      </c>
      <c r="E26" s="55">
        <f t="shared" si="6"/>
        <v>672685.87592816586</v>
      </c>
      <c r="F26" s="55">
        <f t="shared" si="6"/>
        <v>672685.87592816586</v>
      </c>
      <c r="G26" s="55">
        <f t="shared" si="6"/>
        <v>4204286.724551037</v>
      </c>
      <c r="H26" s="55">
        <f t="shared" si="6"/>
        <v>4204286.724551037</v>
      </c>
      <c r="I26" s="55">
        <f t="shared" si="6"/>
        <v>4204286.724551037</v>
      </c>
      <c r="J26" s="55">
        <f t="shared" si="6"/>
        <v>4204286.724551037</v>
      </c>
      <c r="K26" s="55">
        <f t="shared" si="6"/>
        <v>4204286.724551037</v>
      </c>
      <c r="L26" s="55">
        <f t="shared" si="6"/>
        <v>4204286.724551037</v>
      </c>
      <c r="M26" s="55">
        <f t="shared" si="6"/>
        <v>14217968.40036734</v>
      </c>
      <c r="N26" s="55">
        <f t="shared" si="6"/>
        <v>14217968.40036734</v>
      </c>
      <c r="O26" s="55">
        <f t="shared" si="6"/>
        <v>14217968.40036734</v>
      </c>
      <c r="P26" s="55">
        <f t="shared" si="6"/>
        <v>14217968.40036734</v>
      </c>
      <c r="Q26" s="55">
        <f t="shared" si="6"/>
        <v>14217968.40036734</v>
      </c>
      <c r="R26" s="55">
        <f t="shared" si="6"/>
        <v>14217968.40036734</v>
      </c>
      <c r="S26" s="55">
        <f t="shared" si="6"/>
        <v>14217968.40036734</v>
      </c>
      <c r="T26" s="55">
        <f t="shared" si="6"/>
        <v>14217968.40036734</v>
      </c>
      <c r="U26" s="55">
        <f t="shared" si="6"/>
        <v>14217968.40036734</v>
      </c>
      <c r="V26" s="55">
        <f t="shared" si="6"/>
        <v>14217968.40036734</v>
      </c>
      <c r="W26" s="55">
        <f t="shared" si="6"/>
        <v>14217968.40036734</v>
      </c>
      <c r="X26" s="55">
        <f t="shared" si="6"/>
        <v>14217968.40036734</v>
      </c>
      <c r="Y26" s="55">
        <f t="shared" si="6"/>
        <v>14217968.40036734</v>
      </c>
      <c r="Z26" s="55">
        <f t="shared" si="6"/>
        <v>14217968.40036734</v>
      </c>
      <c r="AA26" s="55">
        <f t="shared" si="6"/>
        <v>14217968.40036734</v>
      </c>
      <c r="AB26" s="55">
        <f t="shared" si="6"/>
        <v>14217968.40036734</v>
      </c>
      <c r="AC26" s="55">
        <f t="shared" si="6"/>
        <v>14217968.40036734</v>
      </c>
      <c r="AD26" s="55">
        <f t="shared" si="6"/>
        <v>14217968.40036734</v>
      </c>
      <c r="AE26" s="55">
        <f t="shared" si="6"/>
        <v>14217968.40036734</v>
      </c>
      <c r="AF26" s="55">
        <f t="shared" si="6"/>
        <v>14217968.40036734</v>
      </c>
      <c r="AG26" s="55">
        <f t="shared" si="6"/>
        <v>14217968.40036734</v>
      </c>
      <c r="AH26" s="55">
        <f t="shared" si="6"/>
        <v>14217968.40036734</v>
      </c>
      <c r="AI26" s="55">
        <f t="shared" si="6"/>
        <v>14217968.40036734</v>
      </c>
      <c r="AJ26" s="55">
        <f t="shared" si="6"/>
        <v>14217968.40036734</v>
      </c>
      <c r="AK26" s="55">
        <f t="shared" si="6"/>
        <v>14217968.40036734</v>
      </c>
      <c r="AL26" s="55">
        <f t="shared" si="6"/>
        <v>14217968.40036734</v>
      </c>
      <c r="AM26" s="55">
        <f t="shared" si="6"/>
        <v>14217968.40036734</v>
      </c>
      <c r="AN26" s="55">
        <f t="shared" si="6"/>
        <v>14217968.40036734</v>
      </c>
      <c r="AO26" s="55">
        <f t="shared" si="6"/>
        <v>14217968.40036734</v>
      </c>
      <c r="AP26" s="55">
        <f t="shared" si="6"/>
        <v>14217968.40036734</v>
      </c>
      <c r="AQ26" s="55">
        <f t="shared" si="6"/>
        <v>14217968.40036734</v>
      </c>
      <c r="AR26" s="55">
        <f t="shared" si="6"/>
        <v>14217968.40036734</v>
      </c>
      <c r="AS26" s="55">
        <f t="shared" si="6"/>
        <v>14217968.40036734</v>
      </c>
      <c r="AT26" s="55">
        <f t="shared" si="6"/>
        <v>14217968.40036734</v>
      </c>
      <c r="AU26" s="55">
        <f t="shared" si="6"/>
        <v>14217968.40036734</v>
      </c>
      <c r="AV26" s="55">
        <f t="shared" si="6"/>
        <v>14217968.40036734</v>
      </c>
      <c r="AW26" s="55">
        <f t="shared" si="6"/>
        <v>14217968.40036734</v>
      </c>
      <c r="AX26" s="55">
        <f t="shared" si="6"/>
        <v>14217968.40036734</v>
      </c>
      <c r="AY26" s="55">
        <f t="shared" si="6"/>
        <v>14217968.40036734</v>
      </c>
      <c r="AZ26" s="55">
        <f t="shared" si="6"/>
        <v>14217968.40036734</v>
      </c>
      <c r="BA26" s="55">
        <f t="shared" si="6"/>
        <v>14217968.40036734</v>
      </c>
      <c r="BB26" s="55">
        <f t="shared" si="6"/>
        <v>14217968.40036734</v>
      </c>
      <c r="BC26" s="55">
        <f t="shared" si="6"/>
        <v>14217968.40036734</v>
      </c>
      <c r="BD26" s="55">
        <f t="shared" si="6"/>
        <v>14217968.40036734</v>
      </c>
      <c r="BE26" s="55">
        <f t="shared" si="6"/>
        <v>14217968.40036734</v>
      </c>
      <c r="BF26" s="55">
        <f t="shared" si="6"/>
        <v>14217968.40036734</v>
      </c>
      <c r="BG26" s="55">
        <f t="shared" si="6"/>
        <v>14217968.40036734</v>
      </c>
      <c r="BH26" s="55">
        <f t="shared" si="6"/>
        <v>14217968.40036734</v>
      </c>
      <c r="BI26" s="55">
        <f t="shared" si="6"/>
        <v>14217968.40036734</v>
      </c>
      <c r="BJ26" s="55">
        <f t="shared" si="6"/>
        <v>14217968.40036734</v>
      </c>
      <c r="BK26" s="55">
        <f t="shared" si="6"/>
        <v>14217968.40036734</v>
      </c>
      <c r="BL26" s="55">
        <f t="shared" si="6"/>
        <v>14217968.40036734</v>
      </c>
      <c r="BM26" s="55">
        <f t="shared" si="6"/>
        <v>14217968.40036734</v>
      </c>
      <c r="BN26" s="55">
        <f t="shared" si="6"/>
        <v>14217968.40036734</v>
      </c>
      <c r="BO26" s="55">
        <f t="shared" si="6"/>
        <v>14217968.40036734</v>
      </c>
      <c r="BP26" s="55">
        <f t="shared" ref="BP26:DR26" si="7">+BP24/$C$9/$C$10*$C$12*2000</f>
        <v>14217968.40036734</v>
      </c>
      <c r="BQ26" s="55">
        <f t="shared" si="7"/>
        <v>14217968.40036734</v>
      </c>
      <c r="BR26" s="55">
        <f t="shared" si="7"/>
        <v>14217968.40036734</v>
      </c>
      <c r="BS26" s="55">
        <f t="shared" si="7"/>
        <v>14217968.40036734</v>
      </c>
      <c r="BT26" s="55">
        <f t="shared" si="7"/>
        <v>14217968.40036734</v>
      </c>
      <c r="BU26" s="55">
        <f t="shared" si="7"/>
        <v>14217968.40036734</v>
      </c>
      <c r="BV26" s="55">
        <f t="shared" si="7"/>
        <v>14217968.40036734</v>
      </c>
      <c r="BW26" s="55">
        <f t="shared" si="7"/>
        <v>14217968.40036734</v>
      </c>
      <c r="BX26" s="55">
        <f t="shared" si="7"/>
        <v>14217968.40036734</v>
      </c>
      <c r="BY26" s="55">
        <f t="shared" si="7"/>
        <v>14217968.40036734</v>
      </c>
      <c r="BZ26" s="55">
        <f t="shared" si="7"/>
        <v>14217968.40036734</v>
      </c>
      <c r="CA26" s="55">
        <f t="shared" si="7"/>
        <v>14217968.40036734</v>
      </c>
      <c r="CB26" s="55">
        <f t="shared" si="7"/>
        <v>14217968.40036734</v>
      </c>
      <c r="CC26" s="55">
        <f t="shared" si="7"/>
        <v>14217968.40036734</v>
      </c>
      <c r="CD26" s="55">
        <f t="shared" si="7"/>
        <v>14217968.40036734</v>
      </c>
      <c r="CE26" s="55">
        <f t="shared" si="7"/>
        <v>14217968.40036734</v>
      </c>
      <c r="CF26" s="55">
        <f t="shared" si="7"/>
        <v>14217968.40036734</v>
      </c>
      <c r="CG26" s="55">
        <f t="shared" si="7"/>
        <v>14217968.40036734</v>
      </c>
      <c r="CH26" s="55">
        <f t="shared" si="7"/>
        <v>14217968.40036734</v>
      </c>
      <c r="CI26" s="55">
        <f t="shared" si="7"/>
        <v>14217968.40036734</v>
      </c>
      <c r="CJ26" s="55">
        <f t="shared" si="7"/>
        <v>14217968.40036734</v>
      </c>
      <c r="CK26" s="55">
        <f t="shared" si="7"/>
        <v>14217968.40036734</v>
      </c>
      <c r="CL26" s="55">
        <f t="shared" si="7"/>
        <v>14217968.40036734</v>
      </c>
      <c r="CM26" s="55">
        <f t="shared" si="7"/>
        <v>14217968.40036734</v>
      </c>
      <c r="CN26" s="55">
        <f t="shared" si="7"/>
        <v>14217968.40036734</v>
      </c>
      <c r="CO26" s="55">
        <f t="shared" si="7"/>
        <v>14217968.40036734</v>
      </c>
      <c r="CP26" s="55">
        <f t="shared" si="7"/>
        <v>14217968.40036734</v>
      </c>
      <c r="CQ26" s="55">
        <f t="shared" si="7"/>
        <v>14217968.40036734</v>
      </c>
      <c r="CR26" s="55">
        <f t="shared" si="7"/>
        <v>14217968.40036734</v>
      </c>
      <c r="CS26" s="55">
        <f t="shared" si="7"/>
        <v>14217968.40036734</v>
      </c>
      <c r="CT26" s="55">
        <f t="shared" si="7"/>
        <v>14217968.40036734</v>
      </c>
      <c r="CU26" s="55">
        <f t="shared" si="7"/>
        <v>14217968.40036734</v>
      </c>
      <c r="CV26" s="55">
        <f t="shared" si="7"/>
        <v>14217968.40036734</v>
      </c>
      <c r="CW26" s="55">
        <f t="shared" si="7"/>
        <v>14217968.40036734</v>
      </c>
      <c r="CX26" s="55">
        <f t="shared" si="7"/>
        <v>14217968.40036734</v>
      </c>
      <c r="CY26" s="55">
        <f t="shared" si="7"/>
        <v>14217968.40036734</v>
      </c>
      <c r="CZ26" s="55">
        <f t="shared" si="7"/>
        <v>14217968.40036734</v>
      </c>
      <c r="DA26" s="55">
        <f t="shared" si="7"/>
        <v>14217968.40036734</v>
      </c>
      <c r="DB26" s="55">
        <f t="shared" si="7"/>
        <v>14217968.40036734</v>
      </c>
      <c r="DC26" s="55">
        <f t="shared" si="7"/>
        <v>14217968.40036734</v>
      </c>
      <c r="DD26" s="55">
        <f t="shared" si="7"/>
        <v>14217968.40036734</v>
      </c>
      <c r="DE26" s="55">
        <f t="shared" si="7"/>
        <v>14217968.40036734</v>
      </c>
      <c r="DF26" s="55">
        <f t="shared" si="7"/>
        <v>14217968.40036734</v>
      </c>
      <c r="DG26" s="55">
        <f t="shared" si="7"/>
        <v>14217968.40036734</v>
      </c>
      <c r="DH26" s="55">
        <f t="shared" si="7"/>
        <v>14217968.40036734</v>
      </c>
      <c r="DI26" s="55">
        <f t="shared" si="7"/>
        <v>14217968.40036734</v>
      </c>
      <c r="DJ26" s="55">
        <f t="shared" si="7"/>
        <v>14217968.40036734</v>
      </c>
      <c r="DK26" s="55">
        <f t="shared" si="7"/>
        <v>14217968.40036734</v>
      </c>
      <c r="DL26" s="55">
        <f t="shared" si="7"/>
        <v>14217968.40036734</v>
      </c>
      <c r="DM26" s="55">
        <f t="shared" si="7"/>
        <v>14217968.40036734</v>
      </c>
      <c r="DN26" s="55">
        <f t="shared" si="7"/>
        <v>14217968.40036734</v>
      </c>
      <c r="DO26" s="55">
        <f t="shared" si="7"/>
        <v>14217968.40036734</v>
      </c>
      <c r="DP26" s="55">
        <f t="shared" si="7"/>
        <v>14217968.40036734</v>
      </c>
      <c r="DQ26" s="55">
        <f t="shared" si="7"/>
        <v>14217968.40036734</v>
      </c>
      <c r="DR26" s="55">
        <f t="shared" si="7"/>
        <v>14217968.40036734</v>
      </c>
    </row>
    <row r="28" spans="2:122" x14ac:dyDescent="0.3">
      <c r="B28" s="119" t="s">
        <v>17</v>
      </c>
      <c r="C28" s="120">
        <f>EOMONTH(MIN(Assumptions!$C$8:$C$9),1)</f>
        <v>46387</v>
      </c>
      <c r="D28" s="120">
        <f>EOMONTH(C28,1)</f>
        <v>46418</v>
      </c>
      <c r="E28" s="120">
        <f t="shared" ref="E28:BP28" si="8">EOMONTH(D28,1)</f>
        <v>46446</v>
      </c>
      <c r="F28" s="120">
        <f t="shared" si="8"/>
        <v>46477</v>
      </c>
      <c r="G28" s="120">
        <f t="shared" si="8"/>
        <v>46507</v>
      </c>
      <c r="H28" s="120">
        <f t="shared" si="8"/>
        <v>46538</v>
      </c>
      <c r="I28" s="120">
        <f t="shared" si="8"/>
        <v>46568</v>
      </c>
      <c r="J28" s="120">
        <f t="shared" si="8"/>
        <v>46599</v>
      </c>
      <c r="K28" s="120">
        <f t="shared" si="8"/>
        <v>46630</v>
      </c>
      <c r="L28" s="120">
        <f t="shared" si="8"/>
        <v>46660</v>
      </c>
      <c r="M28" s="120">
        <f t="shared" si="8"/>
        <v>46691</v>
      </c>
      <c r="N28" s="120">
        <f t="shared" si="8"/>
        <v>46721</v>
      </c>
      <c r="O28" s="120">
        <f t="shared" si="8"/>
        <v>46752</v>
      </c>
      <c r="P28" s="120">
        <f t="shared" si="8"/>
        <v>46783</v>
      </c>
      <c r="Q28" s="120">
        <f t="shared" si="8"/>
        <v>46812</v>
      </c>
      <c r="R28" s="120">
        <f t="shared" si="8"/>
        <v>46843</v>
      </c>
      <c r="S28" s="120">
        <f t="shared" si="8"/>
        <v>46873</v>
      </c>
      <c r="T28" s="120">
        <f t="shared" si="8"/>
        <v>46904</v>
      </c>
      <c r="U28" s="120">
        <f t="shared" si="8"/>
        <v>46934</v>
      </c>
      <c r="V28" s="120">
        <f t="shared" si="8"/>
        <v>46965</v>
      </c>
      <c r="W28" s="120">
        <f t="shared" si="8"/>
        <v>46996</v>
      </c>
      <c r="X28" s="120">
        <f t="shared" si="8"/>
        <v>47026</v>
      </c>
      <c r="Y28" s="120">
        <f t="shared" si="8"/>
        <v>47057</v>
      </c>
      <c r="Z28" s="120">
        <f t="shared" si="8"/>
        <v>47087</v>
      </c>
      <c r="AA28" s="120">
        <f t="shared" si="8"/>
        <v>47118</v>
      </c>
      <c r="AB28" s="120">
        <f t="shared" si="8"/>
        <v>47149</v>
      </c>
      <c r="AC28" s="120">
        <f t="shared" si="8"/>
        <v>47177</v>
      </c>
      <c r="AD28" s="120">
        <f t="shared" si="8"/>
        <v>47208</v>
      </c>
      <c r="AE28" s="120">
        <f t="shared" si="8"/>
        <v>47238</v>
      </c>
      <c r="AF28" s="120">
        <f t="shared" si="8"/>
        <v>47269</v>
      </c>
      <c r="AG28" s="120">
        <f t="shared" si="8"/>
        <v>47299</v>
      </c>
      <c r="AH28" s="120">
        <f t="shared" si="8"/>
        <v>47330</v>
      </c>
      <c r="AI28" s="120">
        <f t="shared" si="8"/>
        <v>47361</v>
      </c>
      <c r="AJ28" s="120">
        <f t="shared" si="8"/>
        <v>47391</v>
      </c>
      <c r="AK28" s="120">
        <f t="shared" si="8"/>
        <v>47422</v>
      </c>
      <c r="AL28" s="120">
        <f t="shared" si="8"/>
        <v>47452</v>
      </c>
      <c r="AM28" s="120">
        <f t="shared" si="8"/>
        <v>47483</v>
      </c>
      <c r="AN28" s="120">
        <f t="shared" si="8"/>
        <v>47514</v>
      </c>
      <c r="AO28" s="120">
        <f t="shared" si="8"/>
        <v>47542</v>
      </c>
      <c r="AP28" s="120">
        <f t="shared" si="8"/>
        <v>47573</v>
      </c>
      <c r="AQ28" s="120">
        <f t="shared" si="8"/>
        <v>47603</v>
      </c>
      <c r="AR28" s="120">
        <f t="shared" si="8"/>
        <v>47634</v>
      </c>
      <c r="AS28" s="120">
        <f t="shared" si="8"/>
        <v>47664</v>
      </c>
      <c r="AT28" s="120">
        <f t="shared" si="8"/>
        <v>47695</v>
      </c>
      <c r="AU28" s="120">
        <f t="shared" si="8"/>
        <v>47726</v>
      </c>
      <c r="AV28" s="120">
        <f t="shared" si="8"/>
        <v>47756</v>
      </c>
      <c r="AW28" s="120">
        <f t="shared" si="8"/>
        <v>47787</v>
      </c>
      <c r="AX28" s="120">
        <f t="shared" si="8"/>
        <v>47817</v>
      </c>
      <c r="AY28" s="120">
        <f t="shared" si="8"/>
        <v>47848</v>
      </c>
      <c r="AZ28" s="120">
        <f t="shared" si="8"/>
        <v>47879</v>
      </c>
      <c r="BA28" s="120">
        <f t="shared" si="8"/>
        <v>47907</v>
      </c>
      <c r="BB28" s="120">
        <f t="shared" si="8"/>
        <v>47938</v>
      </c>
      <c r="BC28" s="120">
        <f t="shared" si="8"/>
        <v>47968</v>
      </c>
      <c r="BD28" s="120">
        <f t="shared" si="8"/>
        <v>47999</v>
      </c>
      <c r="BE28" s="120">
        <f t="shared" si="8"/>
        <v>48029</v>
      </c>
      <c r="BF28" s="120">
        <f t="shared" si="8"/>
        <v>48060</v>
      </c>
      <c r="BG28" s="120">
        <f t="shared" si="8"/>
        <v>48091</v>
      </c>
      <c r="BH28" s="120">
        <f t="shared" si="8"/>
        <v>48121</v>
      </c>
      <c r="BI28" s="120">
        <f t="shared" si="8"/>
        <v>48152</v>
      </c>
      <c r="BJ28" s="120">
        <f t="shared" si="8"/>
        <v>48182</v>
      </c>
      <c r="BK28" s="120">
        <f t="shared" si="8"/>
        <v>48213</v>
      </c>
      <c r="BL28" s="120">
        <f t="shared" si="8"/>
        <v>48244</v>
      </c>
      <c r="BM28" s="120">
        <f t="shared" si="8"/>
        <v>48273</v>
      </c>
      <c r="BN28" s="120">
        <f t="shared" si="8"/>
        <v>48304</v>
      </c>
      <c r="BO28" s="120">
        <f t="shared" si="8"/>
        <v>48334</v>
      </c>
      <c r="BP28" s="120">
        <f t="shared" si="8"/>
        <v>48365</v>
      </c>
      <c r="BQ28" s="120">
        <f t="shared" ref="BQ28:DR28" si="9">EOMONTH(BP28,1)</f>
        <v>48395</v>
      </c>
      <c r="BR28" s="120">
        <f t="shared" si="9"/>
        <v>48426</v>
      </c>
      <c r="BS28" s="120">
        <f t="shared" si="9"/>
        <v>48457</v>
      </c>
      <c r="BT28" s="120">
        <f t="shared" si="9"/>
        <v>48487</v>
      </c>
      <c r="BU28" s="120">
        <f t="shared" si="9"/>
        <v>48518</v>
      </c>
      <c r="BV28" s="120">
        <f t="shared" si="9"/>
        <v>48548</v>
      </c>
      <c r="BW28" s="120">
        <f t="shared" si="9"/>
        <v>48579</v>
      </c>
      <c r="BX28" s="120">
        <f t="shared" si="9"/>
        <v>48610</v>
      </c>
      <c r="BY28" s="120">
        <f t="shared" si="9"/>
        <v>48638</v>
      </c>
      <c r="BZ28" s="120">
        <f t="shared" si="9"/>
        <v>48669</v>
      </c>
      <c r="CA28" s="120">
        <f t="shared" si="9"/>
        <v>48699</v>
      </c>
      <c r="CB28" s="120">
        <f t="shared" si="9"/>
        <v>48730</v>
      </c>
      <c r="CC28" s="120">
        <f t="shared" si="9"/>
        <v>48760</v>
      </c>
      <c r="CD28" s="120">
        <f t="shared" si="9"/>
        <v>48791</v>
      </c>
      <c r="CE28" s="120">
        <f t="shared" si="9"/>
        <v>48822</v>
      </c>
      <c r="CF28" s="120">
        <f t="shared" si="9"/>
        <v>48852</v>
      </c>
      <c r="CG28" s="120">
        <f t="shared" si="9"/>
        <v>48883</v>
      </c>
      <c r="CH28" s="120">
        <f t="shared" si="9"/>
        <v>48913</v>
      </c>
      <c r="CI28" s="120">
        <f t="shared" si="9"/>
        <v>48944</v>
      </c>
      <c r="CJ28" s="120">
        <f t="shared" si="9"/>
        <v>48975</v>
      </c>
      <c r="CK28" s="120">
        <f t="shared" si="9"/>
        <v>49003</v>
      </c>
      <c r="CL28" s="120">
        <f t="shared" si="9"/>
        <v>49034</v>
      </c>
      <c r="CM28" s="120">
        <f t="shared" si="9"/>
        <v>49064</v>
      </c>
      <c r="CN28" s="120">
        <f t="shared" si="9"/>
        <v>49095</v>
      </c>
      <c r="CO28" s="120">
        <f t="shared" si="9"/>
        <v>49125</v>
      </c>
      <c r="CP28" s="120">
        <f t="shared" si="9"/>
        <v>49156</v>
      </c>
      <c r="CQ28" s="120">
        <f t="shared" si="9"/>
        <v>49187</v>
      </c>
      <c r="CR28" s="120">
        <f t="shared" si="9"/>
        <v>49217</v>
      </c>
      <c r="CS28" s="120">
        <f t="shared" si="9"/>
        <v>49248</v>
      </c>
      <c r="CT28" s="120">
        <f t="shared" si="9"/>
        <v>49278</v>
      </c>
      <c r="CU28" s="120">
        <f t="shared" si="9"/>
        <v>49309</v>
      </c>
      <c r="CV28" s="120">
        <f t="shared" si="9"/>
        <v>49340</v>
      </c>
      <c r="CW28" s="120">
        <f t="shared" si="9"/>
        <v>49368</v>
      </c>
      <c r="CX28" s="120">
        <f t="shared" si="9"/>
        <v>49399</v>
      </c>
      <c r="CY28" s="120">
        <f t="shared" si="9"/>
        <v>49429</v>
      </c>
      <c r="CZ28" s="120">
        <f t="shared" si="9"/>
        <v>49460</v>
      </c>
      <c r="DA28" s="120">
        <f t="shared" si="9"/>
        <v>49490</v>
      </c>
      <c r="DB28" s="120">
        <f t="shared" si="9"/>
        <v>49521</v>
      </c>
      <c r="DC28" s="120">
        <f t="shared" si="9"/>
        <v>49552</v>
      </c>
      <c r="DD28" s="120">
        <f t="shared" si="9"/>
        <v>49582</v>
      </c>
      <c r="DE28" s="120">
        <f t="shared" si="9"/>
        <v>49613</v>
      </c>
      <c r="DF28" s="120">
        <f t="shared" si="9"/>
        <v>49643</v>
      </c>
      <c r="DG28" s="120">
        <f t="shared" si="9"/>
        <v>49674</v>
      </c>
      <c r="DH28" s="120">
        <f t="shared" si="9"/>
        <v>49705</v>
      </c>
      <c r="DI28" s="120">
        <f t="shared" si="9"/>
        <v>49734</v>
      </c>
      <c r="DJ28" s="120">
        <f t="shared" si="9"/>
        <v>49765</v>
      </c>
      <c r="DK28" s="120">
        <f t="shared" si="9"/>
        <v>49795</v>
      </c>
      <c r="DL28" s="120">
        <f t="shared" si="9"/>
        <v>49826</v>
      </c>
      <c r="DM28" s="120">
        <f t="shared" si="9"/>
        <v>49856</v>
      </c>
      <c r="DN28" s="120">
        <f t="shared" si="9"/>
        <v>49887</v>
      </c>
      <c r="DO28" s="120">
        <f t="shared" si="9"/>
        <v>49918</v>
      </c>
      <c r="DP28" s="120">
        <f t="shared" si="9"/>
        <v>49948</v>
      </c>
      <c r="DQ28" s="120">
        <f t="shared" si="9"/>
        <v>49979</v>
      </c>
      <c r="DR28" s="120">
        <f t="shared" si="9"/>
        <v>50009</v>
      </c>
    </row>
    <row r="29" spans="2:122" x14ac:dyDescent="0.3">
      <c r="B29" s="52" t="s">
        <v>200</v>
      </c>
      <c r="C29" s="55">
        <f>IF(C21&lt;Assumptions!$D$18,'Zinc Agra'!C25,'Zinc Agra'!C26)</f>
        <v>706309.03426791285</v>
      </c>
      <c r="D29" s="55">
        <f>IF(D21&lt;Assumptions!$D$18,'Zinc Agra'!D25,'Zinc Agra'!D26)</f>
        <v>706309.03426791285</v>
      </c>
      <c r="E29" s="55">
        <f>IF(E21&lt;Assumptions!$D$18,'Zinc Agra'!E25,'Zinc Agra'!E26)</f>
        <v>477606.97190899774</v>
      </c>
      <c r="F29" s="55">
        <f>IF(F21&lt;Assumptions!$D$18,'Zinc Agra'!F25,'Zinc Agra'!F26)</f>
        <v>477606.97190899774</v>
      </c>
      <c r="G29" s="55">
        <f>IF(G21&lt;Assumptions!$D$18,'Zinc Agra'!G25,'Zinc Agra'!G26)</f>
        <v>4204286.724551037</v>
      </c>
      <c r="H29" s="55">
        <f>IF(H21&lt;Assumptions!$D$18,'Zinc Agra'!H25,'Zinc Agra'!H26)</f>
        <v>4204286.724551037</v>
      </c>
      <c r="I29" s="55">
        <f>IF(I21&lt;Assumptions!$D$18,'Zinc Agra'!I25,'Zinc Agra'!I26)</f>
        <v>4204286.724551037</v>
      </c>
      <c r="J29" s="55">
        <f>IF(J21&lt;Assumptions!$D$18,'Zinc Agra'!J25,'Zinc Agra'!J26)</f>
        <v>4204286.724551037</v>
      </c>
      <c r="K29" s="55">
        <f>IF(K21&lt;Assumptions!$D$18,'Zinc Agra'!K25,'Zinc Agra'!K26)</f>
        <v>4204286.724551037</v>
      </c>
      <c r="L29" s="55">
        <f>IF(L21&lt;Assumptions!$D$18,'Zinc Agra'!L25,'Zinc Agra'!L26)</f>
        <v>4204286.724551037</v>
      </c>
      <c r="M29" s="55">
        <f>IF(M21&lt;Assumptions!$D$18,'Zinc Agra'!M25,'Zinc Agra'!M26)</f>
        <v>14217968.40036734</v>
      </c>
      <c r="N29" s="55">
        <f>IF(N21&lt;Assumptions!$D$18,'Zinc Agra'!N25,'Zinc Agra'!N26)</f>
        <v>14217968.40036734</v>
      </c>
      <c r="O29" s="55">
        <f>IF(O21&lt;Assumptions!$D$18,'Zinc Agra'!O25,'Zinc Agra'!O26)</f>
        <v>14217968.40036734</v>
      </c>
      <c r="P29" s="55">
        <f>IF(P21&lt;Assumptions!$D$18,'Zinc Agra'!P25,'Zinc Agra'!P26)</f>
        <v>14217968.40036734</v>
      </c>
      <c r="Q29" s="55">
        <f>IF(Q21&lt;Assumptions!$D$18,'Zinc Agra'!Q25,'Zinc Agra'!Q26)</f>
        <v>14217968.40036734</v>
      </c>
      <c r="R29" s="55">
        <f>IF(R21&lt;Assumptions!$D$18,'Zinc Agra'!R25,'Zinc Agra'!R26)</f>
        <v>14217968.40036734</v>
      </c>
      <c r="S29" s="55">
        <f>IF(S21&lt;Assumptions!$D$18,'Zinc Agra'!S25,'Zinc Agra'!S26)</f>
        <v>14217968.40036734</v>
      </c>
      <c r="T29" s="55">
        <f>IF(T21&lt;Assumptions!$D$18,'Zinc Agra'!T25,'Zinc Agra'!T26)</f>
        <v>14217968.40036734</v>
      </c>
      <c r="U29" s="55">
        <f>IF(U21&lt;Assumptions!$D$18,'Zinc Agra'!U25,'Zinc Agra'!U26)</f>
        <v>14217968.40036734</v>
      </c>
      <c r="V29" s="55">
        <f>IF(V21&lt;Assumptions!$D$18,'Zinc Agra'!V25,'Zinc Agra'!V26)</f>
        <v>14217968.40036734</v>
      </c>
      <c r="W29" s="55">
        <f>IF(W21&lt;Assumptions!$D$18,'Zinc Agra'!W25,'Zinc Agra'!W26)</f>
        <v>14217968.40036734</v>
      </c>
      <c r="X29" s="55">
        <f>IF(X21&lt;Assumptions!$D$18,'Zinc Agra'!X25,'Zinc Agra'!X26)</f>
        <v>14217968.40036734</v>
      </c>
      <c r="Y29" s="55">
        <f>IF(Y21&lt;Assumptions!$D$18,'Zinc Agra'!Y25,'Zinc Agra'!Y26)</f>
        <v>14217968.40036734</v>
      </c>
      <c r="Z29" s="55">
        <f>IF(Z21&lt;Assumptions!$D$18,'Zinc Agra'!Z25,'Zinc Agra'!Z26)</f>
        <v>14217968.40036734</v>
      </c>
      <c r="AA29" s="55">
        <f>IF(AA21&lt;Assumptions!$D$18,'Zinc Agra'!AA25,'Zinc Agra'!AA26)</f>
        <v>14217968.40036734</v>
      </c>
      <c r="AB29" s="55">
        <f>IF(AB21&lt;Assumptions!$D$18,'Zinc Agra'!AB25,'Zinc Agra'!AB26)</f>
        <v>14217968.40036734</v>
      </c>
      <c r="AC29" s="55">
        <f>IF(AC21&lt;Assumptions!$D$18,'Zinc Agra'!AC25,'Zinc Agra'!AC26)</f>
        <v>14217968.40036734</v>
      </c>
      <c r="AD29" s="55">
        <f>IF(AD21&lt;Assumptions!$D$18,'Zinc Agra'!AD25,'Zinc Agra'!AD26)</f>
        <v>14217968.40036734</v>
      </c>
      <c r="AE29" s="55">
        <f>IF(AE21&lt;Assumptions!$D$18,'Zinc Agra'!AE25,'Zinc Agra'!AE26)</f>
        <v>14217968.40036734</v>
      </c>
      <c r="AF29" s="55">
        <f>IF(AF21&lt;Assumptions!$D$18,'Zinc Agra'!AF25,'Zinc Agra'!AF26)</f>
        <v>14217968.40036734</v>
      </c>
      <c r="AG29" s="55">
        <f>IF(AG21&lt;Assumptions!$D$18,'Zinc Agra'!AG25,'Zinc Agra'!AG26)</f>
        <v>14217968.40036734</v>
      </c>
      <c r="AH29" s="55">
        <f>IF(AH21&lt;Assumptions!$D$18,'Zinc Agra'!AH25,'Zinc Agra'!AH26)</f>
        <v>14217968.40036734</v>
      </c>
      <c r="AI29" s="55">
        <f>IF(AI21&lt;Assumptions!$D$18,'Zinc Agra'!AI25,'Zinc Agra'!AI26)</f>
        <v>14217968.40036734</v>
      </c>
      <c r="AJ29" s="55">
        <f>IF(AJ21&lt;Assumptions!$D$18,'Zinc Agra'!AJ25,'Zinc Agra'!AJ26)</f>
        <v>14217968.40036734</v>
      </c>
      <c r="AK29" s="55">
        <f>IF(AK21&lt;Assumptions!$D$18,'Zinc Agra'!AK25,'Zinc Agra'!AK26)</f>
        <v>14217968.40036734</v>
      </c>
      <c r="AL29" s="55">
        <f>IF(AL21&lt;Assumptions!$D$18,'Zinc Agra'!AL25,'Zinc Agra'!AL26)</f>
        <v>14217968.40036734</v>
      </c>
      <c r="AM29" s="55">
        <f>IF(AM21&lt;Assumptions!$D$18,'Zinc Agra'!AM25,'Zinc Agra'!AM26)</f>
        <v>14217968.40036734</v>
      </c>
      <c r="AN29" s="55">
        <f>IF(AN21&lt;Assumptions!$D$18,'Zinc Agra'!AN25,'Zinc Agra'!AN26)</f>
        <v>14217968.40036734</v>
      </c>
      <c r="AO29" s="55">
        <f>IF(AO21&lt;Assumptions!$D$18,'Zinc Agra'!AO25,'Zinc Agra'!AO26)</f>
        <v>14217968.40036734</v>
      </c>
      <c r="AP29" s="55">
        <f>IF(AP21&lt;Assumptions!$D$18,'Zinc Agra'!AP25,'Zinc Agra'!AP26)</f>
        <v>14217968.40036734</v>
      </c>
      <c r="AQ29" s="55">
        <f>IF(AQ21&lt;Assumptions!$D$18,'Zinc Agra'!AQ25,'Zinc Agra'!AQ26)</f>
        <v>14217968.40036734</v>
      </c>
      <c r="AR29" s="55">
        <f>IF(AR21&lt;Assumptions!$D$18,'Zinc Agra'!AR25,'Zinc Agra'!AR26)</f>
        <v>14217968.40036734</v>
      </c>
      <c r="AS29" s="55">
        <f>IF(AS21&lt;Assumptions!$D$18,'Zinc Agra'!AS25,'Zinc Agra'!AS26)</f>
        <v>14217968.40036734</v>
      </c>
      <c r="AT29" s="55">
        <f>IF(AT21&lt;Assumptions!$D$18,'Zinc Agra'!AT25,'Zinc Agra'!AT26)</f>
        <v>14217968.40036734</v>
      </c>
      <c r="AU29" s="55">
        <f>IF(AU21&lt;Assumptions!$D$18,'Zinc Agra'!AU25,'Zinc Agra'!AU26)</f>
        <v>14217968.40036734</v>
      </c>
      <c r="AV29" s="55">
        <f>IF(AV21&lt;Assumptions!$D$18,'Zinc Agra'!AV25,'Zinc Agra'!AV26)</f>
        <v>14217968.40036734</v>
      </c>
      <c r="AW29" s="55">
        <f>IF(AW21&lt;Assumptions!$D$18,'Zinc Agra'!AW25,'Zinc Agra'!AW26)</f>
        <v>14217968.40036734</v>
      </c>
      <c r="AX29" s="55">
        <f>IF(AX21&lt;Assumptions!$D$18,'Zinc Agra'!AX25,'Zinc Agra'!AX26)</f>
        <v>14217968.40036734</v>
      </c>
      <c r="AY29" s="55">
        <f>IF(AY21&lt;Assumptions!$D$18,'Zinc Agra'!AY25,'Zinc Agra'!AY26)</f>
        <v>14217968.40036734</v>
      </c>
      <c r="AZ29" s="55">
        <f>IF(AZ21&lt;Assumptions!$D$18,'Zinc Agra'!AZ25,'Zinc Agra'!AZ26)</f>
        <v>14217968.40036734</v>
      </c>
      <c r="BA29" s="55">
        <f>IF(BA21&lt;Assumptions!$D$18,'Zinc Agra'!BA25,'Zinc Agra'!BA26)</f>
        <v>14217968.40036734</v>
      </c>
      <c r="BB29" s="55">
        <f>IF(BB21&lt;Assumptions!$D$18,'Zinc Agra'!BB25,'Zinc Agra'!BB26)</f>
        <v>14217968.40036734</v>
      </c>
      <c r="BC29" s="55">
        <f>IF(BC21&lt;Assumptions!$D$18,'Zinc Agra'!BC25,'Zinc Agra'!BC26)</f>
        <v>14217968.40036734</v>
      </c>
      <c r="BD29" s="55">
        <f>IF(BD21&lt;Assumptions!$D$18,'Zinc Agra'!BD25,'Zinc Agra'!BD26)</f>
        <v>14217968.40036734</v>
      </c>
      <c r="BE29" s="55">
        <f>IF(BE21&lt;Assumptions!$D$18,'Zinc Agra'!BE25,'Zinc Agra'!BE26)</f>
        <v>14217968.40036734</v>
      </c>
      <c r="BF29" s="55">
        <f>IF(BF21&lt;Assumptions!$D$18,'Zinc Agra'!BF25,'Zinc Agra'!BF26)</f>
        <v>14217968.40036734</v>
      </c>
      <c r="BG29" s="55">
        <f>IF(BG21&lt;Assumptions!$D$18,'Zinc Agra'!BG25,'Zinc Agra'!BG26)</f>
        <v>14217968.40036734</v>
      </c>
      <c r="BH29" s="55">
        <f>IF(BH21&lt;Assumptions!$D$18,'Zinc Agra'!BH25,'Zinc Agra'!BH26)</f>
        <v>14217968.40036734</v>
      </c>
      <c r="BI29" s="55">
        <f>IF(BI21&lt;Assumptions!$D$18,'Zinc Agra'!BI25,'Zinc Agra'!BI26)</f>
        <v>14217968.40036734</v>
      </c>
      <c r="BJ29" s="55">
        <f>IF(BJ21&lt;Assumptions!$D$18,'Zinc Agra'!BJ25,'Zinc Agra'!BJ26)</f>
        <v>14217968.40036734</v>
      </c>
      <c r="BK29" s="55">
        <f>IF(BK21&lt;Assumptions!$D$18,'Zinc Agra'!BK25,'Zinc Agra'!BK26)</f>
        <v>14217968.40036734</v>
      </c>
      <c r="BL29" s="55">
        <f>IF(BL21&lt;Assumptions!$D$18,'Zinc Agra'!BL25,'Zinc Agra'!BL26)</f>
        <v>14217968.40036734</v>
      </c>
      <c r="BM29" s="55">
        <f>IF(BM21&lt;Assumptions!$D$18,'Zinc Agra'!BM25,'Zinc Agra'!BM26)</f>
        <v>14217968.40036734</v>
      </c>
      <c r="BN29" s="55">
        <f>IF(BN21&lt;Assumptions!$D$18,'Zinc Agra'!BN25,'Zinc Agra'!BN26)</f>
        <v>14217968.40036734</v>
      </c>
      <c r="BO29" s="55">
        <f>IF(BO21&lt;Assumptions!$D$18,'Zinc Agra'!BO25,'Zinc Agra'!BO26)</f>
        <v>14217968.40036734</v>
      </c>
      <c r="BP29" s="55">
        <f>IF(BP21&lt;Assumptions!$D$18,'Zinc Agra'!BP25,'Zinc Agra'!BP26)</f>
        <v>14217968.40036734</v>
      </c>
      <c r="BQ29" s="55">
        <f>IF(BQ21&lt;Assumptions!$D$18,'Zinc Agra'!BQ25,'Zinc Agra'!BQ26)</f>
        <v>14217968.40036734</v>
      </c>
      <c r="BR29" s="55">
        <f>IF(BR21&lt;Assumptions!$D$18,'Zinc Agra'!BR25,'Zinc Agra'!BR26)</f>
        <v>14217968.40036734</v>
      </c>
      <c r="BS29" s="55">
        <f>IF(BS21&lt;Assumptions!$D$18,'Zinc Agra'!BS25,'Zinc Agra'!BS26)</f>
        <v>14217968.40036734</v>
      </c>
      <c r="BT29" s="55">
        <f>IF(BT21&lt;Assumptions!$D$18,'Zinc Agra'!BT25,'Zinc Agra'!BT26)</f>
        <v>14217968.40036734</v>
      </c>
      <c r="BU29" s="55">
        <f>IF(BU21&lt;Assumptions!$D$18,'Zinc Agra'!BU25,'Zinc Agra'!BU26)</f>
        <v>14217968.40036734</v>
      </c>
      <c r="BV29" s="55">
        <f>IF(BV21&lt;Assumptions!$D$18,'Zinc Agra'!BV25,'Zinc Agra'!BV26)</f>
        <v>14217968.40036734</v>
      </c>
      <c r="BW29" s="55">
        <f>IF(BW21&lt;Assumptions!$D$18,'Zinc Agra'!BW25,'Zinc Agra'!BW26)</f>
        <v>14217968.40036734</v>
      </c>
      <c r="BX29" s="55">
        <f>IF(BX21&lt;Assumptions!$D$18,'Zinc Agra'!BX25,'Zinc Agra'!BX26)</f>
        <v>14217968.40036734</v>
      </c>
      <c r="BY29" s="55">
        <f>IF(BY21&lt;Assumptions!$D$18,'Zinc Agra'!BY25,'Zinc Agra'!BY26)</f>
        <v>14217968.40036734</v>
      </c>
      <c r="BZ29" s="55">
        <f>IF(BZ21&lt;Assumptions!$D$18,'Zinc Agra'!BZ25,'Zinc Agra'!BZ26)</f>
        <v>14217968.40036734</v>
      </c>
      <c r="CA29" s="55">
        <f>IF(CA21&lt;Assumptions!$D$18,'Zinc Agra'!CA25,'Zinc Agra'!CA26)</f>
        <v>14217968.40036734</v>
      </c>
      <c r="CB29" s="55">
        <f>IF(CB21&lt;Assumptions!$D$18,'Zinc Agra'!CB25,'Zinc Agra'!CB26)</f>
        <v>14217968.40036734</v>
      </c>
      <c r="CC29" s="55">
        <f>IF(CC21&lt;Assumptions!$D$18,'Zinc Agra'!CC25,'Zinc Agra'!CC26)</f>
        <v>14217968.40036734</v>
      </c>
      <c r="CD29" s="55">
        <f>IF(CD21&lt;Assumptions!$D$18,'Zinc Agra'!CD25,'Zinc Agra'!CD26)</f>
        <v>14217968.40036734</v>
      </c>
      <c r="CE29" s="55">
        <f>IF(CE21&lt;Assumptions!$D$18,'Zinc Agra'!CE25,'Zinc Agra'!CE26)</f>
        <v>14217968.40036734</v>
      </c>
      <c r="CF29" s="55">
        <f>IF(CF21&lt;Assumptions!$D$18,'Zinc Agra'!CF25,'Zinc Agra'!CF26)</f>
        <v>14217968.40036734</v>
      </c>
      <c r="CG29" s="55">
        <f>IF(CG21&lt;Assumptions!$D$18,'Zinc Agra'!CG25,'Zinc Agra'!CG26)</f>
        <v>14217968.40036734</v>
      </c>
      <c r="CH29" s="55">
        <f>IF(CH21&lt;Assumptions!$D$18,'Zinc Agra'!CH25,'Zinc Agra'!CH26)</f>
        <v>14217968.40036734</v>
      </c>
      <c r="CI29" s="55">
        <f>IF(CI21&lt;Assumptions!$D$18,'Zinc Agra'!CI25,'Zinc Agra'!CI26)</f>
        <v>14217968.40036734</v>
      </c>
      <c r="CJ29" s="55">
        <f>IF(CJ21&lt;Assumptions!$D$18,'Zinc Agra'!CJ25,'Zinc Agra'!CJ26)</f>
        <v>14217968.40036734</v>
      </c>
      <c r="CK29" s="55">
        <f>IF(CK21&lt;Assumptions!$D$18,'Zinc Agra'!CK25,'Zinc Agra'!CK26)</f>
        <v>14217968.40036734</v>
      </c>
      <c r="CL29" s="55">
        <f>IF(CL21&lt;Assumptions!$D$18,'Zinc Agra'!CL25,'Zinc Agra'!CL26)</f>
        <v>14217968.40036734</v>
      </c>
      <c r="CM29" s="55">
        <f>IF(CM21&lt;Assumptions!$D$18,'Zinc Agra'!CM25,'Zinc Agra'!CM26)</f>
        <v>14217968.40036734</v>
      </c>
      <c r="CN29" s="55">
        <f>IF(CN21&lt;Assumptions!$D$18,'Zinc Agra'!CN25,'Zinc Agra'!CN26)</f>
        <v>14217968.40036734</v>
      </c>
      <c r="CO29" s="55">
        <f>IF(CO21&lt;Assumptions!$D$18,'Zinc Agra'!CO25,'Zinc Agra'!CO26)</f>
        <v>14217968.40036734</v>
      </c>
      <c r="CP29" s="55">
        <f>IF(CP21&lt;Assumptions!$D$18,'Zinc Agra'!CP25,'Zinc Agra'!CP26)</f>
        <v>14217968.40036734</v>
      </c>
      <c r="CQ29" s="55">
        <f>IF(CQ21&lt;Assumptions!$D$18,'Zinc Agra'!CQ25,'Zinc Agra'!CQ26)</f>
        <v>14217968.40036734</v>
      </c>
      <c r="CR29" s="55">
        <f>IF(CR21&lt;Assumptions!$D$18,'Zinc Agra'!CR25,'Zinc Agra'!CR26)</f>
        <v>14217968.40036734</v>
      </c>
      <c r="CS29" s="55">
        <f>IF(CS21&lt;Assumptions!$D$18,'Zinc Agra'!CS25,'Zinc Agra'!CS26)</f>
        <v>14217968.40036734</v>
      </c>
      <c r="CT29" s="55">
        <f>IF(CT21&lt;Assumptions!$D$18,'Zinc Agra'!CT25,'Zinc Agra'!CT26)</f>
        <v>14217968.40036734</v>
      </c>
      <c r="CU29" s="55">
        <f>IF(CU21&lt;Assumptions!$D$18,'Zinc Agra'!CU25,'Zinc Agra'!CU26)</f>
        <v>14217968.40036734</v>
      </c>
      <c r="CV29" s="55">
        <f>IF(CV21&lt;Assumptions!$D$18,'Zinc Agra'!CV25,'Zinc Agra'!CV26)</f>
        <v>14217968.40036734</v>
      </c>
      <c r="CW29" s="55">
        <f>IF(CW21&lt;Assumptions!$D$18,'Zinc Agra'!CW25,'Zinc Agra'!CW26)</f>
        <v>14217968.40036734</v>
      </c>
      <c r="CX29" s="55">
        <f>IF(CX21&lt;Assumptions!$D$18,'Zinc Agra'!CX25,'Zinc Agra'!CX26)</f>
        <v>14217968.40036734</v>
      </c>
      <c r="CY29" s="55">
        <f>IF(CY21&lt;Assumptions!$D$18,'Zinc Agra'!CY25,'Zinc Agra'!CY26)</f>
        <v>14217968.40036734</v>
      </c>
      <c r="CZ29" s="55">
        <f>IF(CZ21&lt;Assumptions!$D$18,'Zinc Agra'!CZ25,'Zinc Agra'!CZ26)</f>
        <v>14217968.40036734</v>
      </c>
      <c r="DA29" s="55">
        <f>IF(DA21&lt;Assumptions!$D$18,'Zinc Agra'!DA25,'Zinc Agra'!DA26)</f>
        <v>14217968.40036734</v>
      </c>
      <c r="DB29" s="55">
        <f>IF(DB21&lt;Assumptions!$D$18,'Zinc Agra'!DB25,'Zinc Agra'!DB26)</f>
        <v>14217968.40036734</v>
      </c>
      <c r="DC29" s="55">
        <f>IF(DC21&lt;Assumptions!$D$18,'Zinc Agra'!DC25,'Zinc Agra'!DC26)</f>
        <v>14217968.40036734</v>
      </c>
      <c r="DD29" s="55">
        <f>IF(DD21&lt;Assumptions!$D$18,'Zinc Agra'!DD25,'Zinc Agra'!DD26)</f>
        <v>14217968.40036734</v>
      </c>
      <c r="DE29" s="55">
        <f>IF(DE21&lt;Assumptions!$D$18,'Zinc Agra'!DE25,'Zinc Agra'!DE26)</f>
        <v>14217968.40036734</v>
      </c>
      <c r="DF29" s="55">
        <f>IF(DF21&lt;Assumptions!$D$18,'Zinc Agra'!DF25,'Zinc Agra'!DF26)</f>
        <v>14217968.40036734</v>
      </c>
      <c r="DG29" s="55">
        <f>IF(DG21&lt;Assumptions!$D$18,'Zinc Agra'!DG25,'Zinc Agra'!DG26)</f>
        <v>14217968.40036734</v>
      </c>
      <c r="DH29" s="55">
        <f>IF(DH21&lt;Assumptions!$D$18,'Zinc Agra'!DH25,'Zinc Agra'!DH26)</f>
        <v>14217968.40036734</v>
      </c>
      <c r="DI29" s="55">
        <f>IF(DI21&lt;Assumptions!$D$18,'Zinc Agra'!DI25,'Zinc Agra'!DI26)</f>
        <v>14217968.40036734</v>
      </c>
      <c r="DJ29" s="55">
        <f>IF(DJ21&lt;Assumptions!$D$18,'Zinc Agra'!DJ25,'Zinc Agra'!DJ26)</f>
        <v>14217968.40036734</v>
      </c>
      <c r="DK29" s="55">
        <f>IF(DK21&lt;Assumptions!$D$18,'Zinc Agra'!DK25,'Zinc Agra'!DK26)</f>
        <v>14217968.40036734</v>
      </c>
      <c r="DL29" s="55">
        <f>IF(DL21&lt;Assumptions!$D$18,'Zinc Agra'!DL25,'Zinc Agra'!DL26)</f>
        <v>14217968.40036734</v>
      </c>
      <c r="DM29" s="55">
        <f>IF(DM21&lt;Assumptions!$D$18,'Zinc Agra'!DM25,'Zinc Agra'!DM26)</f>
        <v>14217968.40036734</v>
      </c>
      <c r="DN29" s="55">
        <f>IF(DN21&lt;Assumptions!$D$18,'Zinc Agra'!DN25,'Zinc Agra'!DN26)</f>
        <v>14217968.40036734</v>
      </c>
      <c r="DO29" s="55">
        <f>IF(DO21&lt;Assumptions!$D$18,'Zinc Agra'!DO25,'Zinc Agra'!DO26)</f>
        <v>14217968.40036734</v>
      </c>
      <c r="DP29" s="55">
        <f>IF(DP21&lt;Assumptions!$D$18,'Zinc Agra'!DP25,'Zinc Agra'!DP26)</f>
        <v>14217968.40036734</v>
      </c>
      <c r="DQ29" s="55">
        <f>IF(DQ21&lt;Assumptions!$D$18,'Zinc Agra'!DQ25,'Zinc Agra'!DQ26)</f>
        <v>14217968.40036734</v>
      </c>
      <c r="DR29" s="55">
        <f>IF(DR21&lt;Assumptions!$D$18,'Zinc Agra'!DR25,'Zinc Agra'!DR26)</f>
        <v>14217968.40036734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65086-1C6E-4E6C-9D2C-23E1DEDD7616}">
  <sheetPr>
    <tabColor theme="8"/>
  </sheetPr>
  <dimension ref="B1:N65"/>
  <sheetViews>
    <sheetView showGridLines="0" topLeftCell="A31" workbookViewId="0">
      <selection activeCell="B59" sqref="B59:N59"/>
    </sheetView>
  </sheetViews>
  <sheetFormatPr defaultColWidth="8.7109375" defaultRowHeight="15" x14ac:dyDescent="0.3"/>
  <cols>
    <col min="1" max="1" width="2.28515625" style="230" customWidth="1"/>
    <col min="2" max="2" width="38" style="232" customWidth="1"/>
    <col min="3" max="5" width="11" style="232" customWidth="1"/>
    <col min="6" max="6" width="12.85546875" style="232" customWidth="1"/>
    <col min="7" max="13" width="11" style="232" customWidth="1"/>
    <col min="14" max="14" width="13" style="232" customWidth="1"/>
    <col min="15" max="15" width="8.7109375" style="230"/>
    <col min="16" max="16" width="11" style="230" bestFit="1" customWidth="1"/>
    <col min="17" max="16384" width="8.7109375" style="230"/>
  </cols>
  <sheetData>
    <row r="1" spans="2:14" ht="25.5" customHeight="1" x14ac:dyDescent="0.3">
      <c r="B1" s="229" t="s">
        <v>337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2:14" ht="15" customHeight="1" x14ac:dyDescent="0.3">
      <c r="B2" s="345" t="s">
        <v>428</v>
      </c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</row>
    <row r="4" spans="2:14" ht="15.75" thickBot="1" x14ac:dyDescent="0.35">
      <c r="B4" s="231" t="s">
        <v>338</v>
      </c>
      <c r="C4" s="101"/>
      <c r="E4" s="231" t="s">
        <v>339</v>
      </c>
      <c r="F4" s="231"/>
      <c r="G4" s="231"/>
      <c r="I4" s="231" t="s">
        <v>340</v>
      </c>
      <c r="J4" s="231"/>
      <c r="K4" s="231"/>
    </row>
    <row r="5" spans="2:14" x14ac:dyDescent="0.3">
      <c r="B5" s="233" t="s">
        <v>341</v>
      </c>
      <c r="C5" s="234">
        <v>500</v>
      </c>
      <c r="E5" s="233" t="s">
        <v>342</v>
      </c>
      <c r="G5" s="235">
        <v>306500</v>
      </c>
      <c r="I5" s="233" t="s">
        <v>305</v>
      </c>
      <c r="K5" s="236">
        <v>0.9</v>
      </c>
    </row>
    <row r="6" spans="2:14" x14ac:dyDescent="0.3">
      <c r="B6" s="233" t="s">
        <v>343</v>
      </c>
      <c r="C6" s="234">
        <v>325</v>
      </c>
      <c r="E6" s="233" t="s">
        <v>344</v>
      </c>
      <c r="G6" s="235">
        <v>877650</v>
      </c>
      <c r="I6" s="233" t="s">
        <v>304</v>
      </c>
      <c r="K6" s="236">
        <v>0.85</v>
      </c>
    </row>
    <row r="7" spans="2:14" x14ac:dyDescent="0.3">
      <c r="B7" s="233" t="s">
        <v>345</v>
      </c>
      <c r="C7" s="237">
        <f>C5*C6</f>
        <v>162500</v>
      </c>
      <c r="E7" s="233" t="s">
        <v>346</v>
      </c>
      <c r="G7" s="235">
        <f>G5+G6</f>
        <v>1184150</v>
      </c>
      <c r="I7" s="233" t="s">
        <v>307</v>
      </c>
      <c r="K7" s="236">
        <v>0.85</v>
      </c>
    </row>
    <row r="8" spans="2:14" x14ac:dyDescent="0.3">
      <c r="B8" s="233" t="s">
        <v>347</v>
      </c>
      <c r="C8" s="238">
        <v>0.2</v>
      </c>
      <c r="E8" s="233" t="s">
        <v>348</v>
      </c>
      <c r="G8" s="235">
        <v>964000</v>
      </c>
      <c r="I8" s="233" t="s">
        <v>3</v>
      </c>
      <c r="K8" s="236">
        <v>0.85</v>
      </c>
    </row>
    <row r="9" spans="2:14" x14ac:dyDescent="0.3">
      <c r="B9" s="233" t="s">
        <v>368</v>
      </c>
      <c r="C9" s="238">
        <v>0.85</v>
      </c>
      <c r="E9" s="239"/>
      <c r="I9" s="233" t="s">
        <v>4</v>
      </c>
      <c r="K9" s="236">
        <v>0.98699999999999999</v>
      </c>
    </row>
    <row r="11" spans="2:14" ht="15.75" thickBot="1" x14ac:dyDescent="0.35">
      <c r="B11" s="231" t="s">
        <v>350</v>
      </c>
      <c r="C11" s="231"/>
      <c r="D11" s="331">
        <v>1</v>
      </c>
      <c r="E11" s="331">
        <f>+D11+1</f>
        <v>2</v>
      </c>
      <c r="F11" s="331">
        <f t="shared" ref="F11:M11" si="0">+E11+1</f>
        <v>3</v>
      </c>
      <c r="G11" s="331">
        <f t="shared" si="0"/>
        <v>4</v>
      </c>
      <c r="H11" s="331">
        <f t="shared" si="0"/>
        <v>5</v>
      </c>
      <c r="I11" s="331">
        <f t="shared" si="0"/>
        <v>6</v>
      </c>
      <c r="J11" s="331">
        <f t="shared" si="0"/>
        <v>7</v>
      </c>
      <c r="K11" s="331">
        <f t="shared" si="0"/>
        <v>8</v>
      </c>
      <c r="L11" s="331">
        <f t="shared" si="0"/>
        <v>9</v>
      </c>
      <c r="M11" s="331">
        <f t="shared" si="0"/>
        <v>10</v>
      </c>
      <c r="N11" s="231" t="s">
        <v>351</v>
      </c>
    </row>
    <row r="13" spans="2:14" x14ac:dyDescent="0.3">
      <c r="B13" s="346" t="s">
        <v>352</v>
      </c>
      <c r="C13" s="346"/>
      <c r="D13" s="346"/>
      <c r="E13" s="346"/>
      <c r="F13" s="346"/>
      <c r="G13" s="346"/>
      <c r="H13" s="346"/>
      <c r="I13" s="346"/>
      <c r="J13" s="346"/>
      <c r="K13" s="346"/>
      <c r="L13" s="346"/>
      <c r="M13" s="346"/>
      <c r="N13" s="346"/>
    </row>
    <row r="14" spans="2:14" x14ac:dyDescent="0.3">
      <c r="B14" s="240" t="s">
        <v>353</v>
      </c>
      <c r="C14" s="241" t="s">
        <v>354</v>
      </c>
      <c r="D14" s="252">
        <v>72042</v>
      </c>
      <c r="E14" s="242">
        <f t="shared" ref="E14:M14" si="1">$C$7</f>
        <v>162500</v>
      </c>
      <c r="F14" s="242">
        <f t="shared" si="1"/>
        <v>162500</v>
      </c>
      <c r="G14" s="242">
        <f t="shared" si="1"/>
        <v>162500</v>
      </c>
      <c r="H14" s="242">
        <f t="shared" si="1"/>
        <v>162500</v>
      </c>
      <c r="I14" s="242">
        <f t="shared" si="1"/>
        <v>162500</v>
      </c>
      <c r="J14" s="242">
        <f t="shared" si="1"/>
        <v>162500</v>
      </c>
      <c r="K14" s="242">
        <f t="shared" si="1"/>
        <v>162500</v>
      </c>
      <c r="L14" s="242">
        <f t="shared" si="1"/>
        <v>162500</v>
      </c>
      <c r="M14" s="242">
        <f t="shared" si="1"/>
        <v>162500</v>
      </c>
      <c r="N14" s="243">
        <f>SUM(D14:M14)</f>
        <v>1534542</v>
      </c>
    </row>
    <row r="15" spans="2:14" x14ac:dyDescent="0.3">
      <c r="B15" s="244" t="s">
        <v>355</v>
      </c>
      <c r="C15" s="241" t="s">
        <v>354</v>
      </c>
      <c r="D15" s="253">
        <f>+D14-D16</f>
        <v>49292</v>
      </c>
      <c r="E15" s="242">
        <f t="shared" ref="E15:M15" si="2">E14*(1-$C$8)</f>
        <v>130000</v>
      </c>
      <c r="F15" s="242">
        <f t="shared" si="2"/>
        <v>130000</v>
      </c>
      <c r="G15" s="242">
        <f t="shared" si="2"/>
        <v>130000</v>
      </c>
      <c r="H15" s="242">
        <f t="shared" si="2"/>
        <v>130000</v>
      </c>
      <c r="I15" s="242">
        <f t="shared" si="2"/>
        <v>130000</v>
      </c>
      <c r="J15" s="242">
        <f t="shared" si="2"/>
        <v>130000</v>
      </c>
      <c r="K15" s="242">
        <f t="shared" si="2"/>
        <v>130000</v>
      </c>
      <c r="L15" s="242">
        <f t="shared" si="2"/>
        <v>130000</v>
      </c>
      <c r="M15" s="242">
        <f t="shared" si="2"/>
        <v>130000</v>
      </c>
      <c r="N15" s="243">
        <f>SUM(D15:M15)</f>
        <v>1219292</v>
      </c>
    </row>
    <row r="16" spans="2:14" x14ac:dyDescent="0.3">
      <c r="B16" s="245" t="s">
        <v>356</v>
      </c>
      <c r="C16" s="241" t="s">
        <v>354</v>
      </c>
      <c r="D16" s="253">
        <v>22750</v>
      </c>
      <c r="E16" s="242">
        <f t="shared" ref="E16:M16" si="3">E14*$C$8</f>
        <v>32500</v>
      </c>
      <c r="F16" s="242">
        <f t="shared" si="3"/>
        <v>32500</v>
      </c>
      <c r="G16" s="242">
        <f t="shared" si="3"/>
        <v>32500</v>
      </c>
      <c r="H16" s="242">
        <f t="shared" si="3"/>
        <v>32500</v>
      </c>
      <c r="I16" s="242">
        <f t="shared" si="3"/>
        <v>32500</v>
      </c>
      <c r="J16" s="242">
        <f t="shared" si="3"/>
        <v>32500</v>
      </c>
      <c r="K16" s="242">
        <f t="shared" si="3"/>
        <v>32500</v>
      </c>
      <c r="L16" s="242">
        <f t="shared" si="3"/>
        <v>32500</v>
      </c>
      <c r="M16" s="242">
        <f t="shared" si="3"/>
        <v>32500</v>
      </c>
      <c r="N16" s="243">
        <f>SUM(D16:M16)</f>
        <v>315250</v>
      </c>
    </row>
    <row r="18" spans="2:14" x14ac:dyDescent="0.3">
      <c r="B18" s="246" t="s">
        <v>357</v>
      </c>
      <c r="C18" s="241" t="s">
        <v>354</v>
      </c>
      <c r="D18" s="247">
        <f>D15</f>
        <v>49292</v>
      </c>
      <c r="E18" s="247">
        <f t="shared" ref="E18:M18" si="4">D18+E15</f>
        <v>179292</v>
      </c>
      <c r="F18" s="247">
        <f t="shared" si="4"/>
        <v>309292</v>
      </c>
      <c r="G18" s="247">
        <f t="shared" si="4"/>
        <v>439292</v>
      </c>
      <c r="H18" s="247">
        <f t="shared" si="4"/>
        <v>569292</v>
      </c>
      <c r="I18" s="247">
        <f t="shared" si="4"/>
        <v>699292</v>
      </c>
      <c r="J18" s="247">
        <f t="shared" si="4"/>
        <v>829292</v>
      </c>
      <c r="K18" s="247">
        <f t="shared" si="4"/>
        <v>959292</v>
      </c>
      <c r="L18" s="247">
        <f t="shared" si="4"/>
        <v>1089292</v>
      </c>
      <c r="M18" s="247">
        <f t="shared" si="4"/>
        <v>1219292</v>
      </c>
    </row>
    <row r="19" spans="2:14" x14ac:dyDescent="0.3">
      <c r="B19" s="246" t="s">
        <v>358</v>
      </c>
      <c r="C19" s="241" t="s">
        <v>354</v>
      </c>
      <c r="D19" s="247">
        <f>D16</f>
        <v>22750</v>
      </c>
      <c r="E19" s="247">
        <f t="shared" ref="E19:M19" si="5">D19+E16</f>
        <v>55250</v>
      </c>
      <c r="F19" s="247">
        <f t="shared" si="5"/>
        <v>87750</v>
      </c>
      <c r="G19" s="247">
        <f t="shared" si="5"/>
        <v>120250</v>
      </c>
      <c r="H19" s="247">
        <f t="shared" si="5"/>
        <v>152750</v>
      </c>
      <c r="I19" s="247">
        <f t="shared" si="5"/>
        <v>185250</v>
      </c>
      <c r="J19" s="247">
        <f t="shared" si="5"/>
        <v>217750</v>
      </c>
      <c r="K19" s="247">
        <f t="shared" si="5"/>
        <v>250250</v>
      </c>
      <c r="L19" s="247">
        <f t="shared" si="5"/>
        <v>282750</v>
      </c>
      <c r="M19" s="247">
        <f t="shared" si="5"/>
        <v>315250</v>
      </c>
    </row>
    <row r="21" spans="2:14" x14ac:dyDescent="0.3">
      <c r="B21" s="346" t="s">
        <v>359</v>
      </c>
      <c r="C21" s="346"/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</row>
    <row r="22" spans="2:14" x14ac:dyDescent="0.3">
      <c r="B22" s="233" t="s">
        <v>305</v>
      </c>
      <c r="C22" s="241" t="s">
        <v>360</v>
      </c>
      <c r="D22" s="248">
        <f>+D36/D$15</f>
        <v>16.491701487894669</v>
      </c>
      <c r="E22" s="248">
        <f>+E36/E$15</f>
        <v>13.091802501374378</v>
      </c>
      <c r="F22" s="248">
        <f t="shared" ref="F22:M22" si="6">+F36/F15</f>
        <v>13.091802501374378</v>
      </c>
      <c r="G22" s="248">
        <f t="shared" si="6"/>
        <v>13.091802501374378</v>
      </c>
      <c r="H22" s="248">
        <f t="shared" si="6"/>
        <v>13.091802501374378</v>
      </c>
      <c r="I22" s="248">
        <f t="shared" si="6"/>
        <v>13.091802501374378</v>
      </c>
      <c r="J22" s="248">
        <f t="shared" si="6"/>
        <v>13.091802501374378</v>
      </c>
      <c r="K22" s="248">
        <f t="shared" si="6"/>
        <v>13.091802501374378</v>
      </c>
      <c r="L22" s="248">
        <f t="shared" si="6"/>
        <v>13.091802501374378</v>
      </c>
      <c r="M22" s="248">
        <f t="shared" si="6"/>
        <v>13.091802501374378</v>
      </c>
    </row>
    <row r="23" spans="2:14" x14ac:dyDescent="0.3">
      <c r="B23" s="233" t="s">
        <v>304</v>
      </c>
      <c r="C23" s="241" t="s">
        <v>65</v>
      </c>
      <c r="D23" s="301">
        <f>+D37/D$15/2000</f>
        <v>1.6268471324818571E-2</v>
      </c>
      <c r="E23" s="301">
        <f t="shared" ref="E23:M23" si="7">+E37/E$15/2000</f>
        <v>7.5092515522704965E-3</v>
      </c>
      <c r="F23" s="301">
        <f t="shared" si="7"/>
        <v>7.5092515522704965E-3</v>
      </c>
      <c r="G23" s="301">
        <f t="shared" si="7"/>
        <v>7.5092515522704965E-3</v>
      </c>
      <c r="H23" s="301">
        <f t="shared" si="7"/>
        <v>7.5092515522704965E-3</v>
      </c>
      <c r="I23" s="301">
        <f t="shared" si="7"/>
        <v>7.5092515522704965E-3</v>
      </c>
      <c r="J23" s="301">
        <f t="shared" si="7"/>
        <v>7.5092515522704965E-3</v>
      </c>
      <c r="K23" s="301">
        <f t="shared" si="7"/>
        <v>7.5092515522704965E-3</v>
      </c>
      <c r="L23" s="301">
        <f t="shared" si="7"/>
        <v>7.5092515522704965E-3</v>
      </c>
      <c r="M23" s="301">
        <f t="shared" si="7"/>
        <v>7.5092515522704965E-3</v>
      </c>
    </row>
    <row r="24" spans="2:14" x14ac:dyDescent="0.3">
      <c r="B24" s="233" t="s">
        <v>307</v>
      </c>
      <c r="C24" s="241" t="s">
        <v>65</v>
      </c>
      <c r="D24" s="301">
        <f>+D38/D$15/2000</f>
        <v>1.4008734474552182E-2</v>
      </c>
      <c r="E24" s="301">
        <f t="shared" ref="E24:M24" si="8">+E38/E$15/2000</f>
        <v>6.5218457943925258E-3</v>
      </c>
      <c r="F24" s="301">
        <f t="shared" si="8"/>
        <v>6.5218457943925258E-3</v>
      </c>
      <c r="G24" s="301">
        <f t="shared" si="8"/>
        <v>6.5218457943925258E-3</v>
      </c>
      <c r="H24" s="301">
        <f t="shared" si="8"/>
        <v>6.5218457943925258E-3</v>
      </c>
      <c r="I24" s="301">
        <f t="shared" si="8"/>
        <v>6.5218457943925258E-3</v>
      </c>
      <c r="J24" s="301">
        <f t="shared" si="8"/>
        <v>6.5218457943925258E-3</v>
      </c>
      <c r="K24" s="301">
        <f t="shared" si="8"/>
        <v>6.5218457943925258E-3</v>
      </c>
      <c r="L24" s="301">
        <f t="shared" si="8"/>
        <v>6.5218457943925258E-3</v>
      </c>
      <c r="M24" s="301">
        <f t="shared" si="8"/>
        <v>6.5218457943925258E-3</v>
      </c>
    </row>
    <row r="25" spans="2:14" x14ac:dyDescent="0.3">
      <c r="B25" s="233" t="s">
        <v>3</v>
      </c>
      <c r="C25" s="241" t="s">
        <v>65</v>
      </c>
      <c r="D25" s="301">
        <f>SUMIF('Tungsten Model'!$4:$4,D11,'Tungsten Model'!$16:$16)/SUMIF('Tungsten Model'!$4:$4,D11,'Tungsten Model'!$14:$14)</f>
        <v>5.1392558460228947E-3</v>
      </c>
      <c r="E25" s="301">
        <f>SUMIF('Tungsten Model'!$4:$4,E11,'Tungsten Model'!$16:$16)/SUMIF('Tungsten Model'!$4:$4,E11,'Tungsten Model'!$14:$14)</f>
        <v>3.1703049112487341E-3</v>
      </c>
      <c r="F25" s="301">
        <f>SUMIF('Tungsten Model'!$4:$4,F11,'Tungsten Model'!$16:$16)/SUMIF('Tungsten Model'!$4:$4,F11,'Tungsten Model'!$14:$14)</f>
        <v>3.1703049112487341E-3</v>
      </c>
      <c r="G25" s="301">
        <f>SUMIF('Tungsten Model'!$4:$4,G11,'Tungsten Model'!$16:$16)/SUMIF('Tungsten Model'!$4:$4,G11,'Tungsten Model'!$14:$14)</f>
        <v>3.1703049112487341E-3</v>
      </c>
      <c r="H25" s="301">
        <f>SUMIF('Tungsten Model'!$4:$4,H11,'Tungsten Model'!$16:$16)/SUMIF('Tungsten Model'!$4:$4,H11,'Tungsten Model'!$14:$14)</f>
        <v>3.1703049112487341E-3</v>
      </c>
      <c r="I25" s="301">
        <f>SUMIF('Tungsten Model'!$4:$4,I11,'Tungsten Model'!$16:$16)/SUMIF('Tungsten Model'!$4:$4,I11,'Tungsten Model'!$14:$14)</f>
        <v>3.1703049112487341E-3</v>
      </c>
      <c r="J25" s="301">
        <f>SUMIF('Tungsten Model'!$4:$4,J11,'Tungsten Model'!$16:$16)/SUMIF('Tungsten Model'!$4:$4,J11,'Tungsten Model'!$14:$14)</f>
        <v>3.1703049112487341E-3</v>
      </c>
      <c r="K25" s="301">
        <f>SUMIF('Tungsten Model'!$4:$4,K11,'Tungsten Model'!$16:$16)/SUMIF('Tungsten Model'!$4:$4,K11,'Tungsten Model'!$14:$14)</f>
        <v>3.1703049112487341E-3</v>
      </c>
      <c r="L25" s="301">
        <f>SUMIF('Tungsten Model'!$4:$4,L11,'Tungsten Model'!$16:$16)/SUMIF('Tungsten Model'!$4:$4,L11,'Tungsten Model'!$14:$14)</f>
        <v>3.1703049112487341E-3</v>
      </c>
      <c r="M25" s="301">
        <f>SUMIF('Tungsten Model'!$4:$4,M11,'Tungsten Model'!$16:$16)/SUMIF('Tungsten Model'!$4:$4,M11,'Tungsten Model'!$14:$14)</f>
        <v>3.1703049112487341E-3</v>
      </c>
    </row>
    <row r="26" spans="2:14" x14ac:dyDescent="0.3">
      <c r="B26" s="233" t="s">
        <v>4</v>
      </c>
      <c r="C26" s="241" t="s">
        <v>65</v>
      </c>
      <c r="D26" s="301">
        <f>SUMIF('Zinc Agra'!$20:$20,D11,'Zinc Agra'!$24:$24)/D15</f>
        <v>0.10262215112863868</v>
      </c>
      <c r="E26" s="301">
        <f>SUMIF('Zinc Agra'!$20:$20,E11,'Zinc Agra'!$24:$24)/E15</f>
        <v>0.11647797189531707</v>
      </c>
      <c r="F26" s="301">
        <f>SUMIF('Zinc Agra'!$20:$20,F11,'Zinc Agra'!$24:$24)/F15</f>
        <v>0.11647797189531707</v>
      </c>
      <c r="G26" s="301">
        <f>SUMIF('Zinc Agra'!$20:$20,G11,'Zinc Agra'!$24:$24)/G15</f>
        <v>0.11647797189531707</v>
      </c>
      <c r="H26" s="301">
        <f>SUMIF('Zinc Agra'!$20:$20,H11,'Zinc Agra'!$24:$24)/H15</f>
        <v>0.11647797189531707</v>
      </c>
      <c r="I26" s="301">
        <f>SUMIF('Zinc Agra'!$20:$20,I11,'Zinc Agra'!$24:$24)/I15</f>
        <v>0.11647797189531707</v>
      </c>
      <c r="J26" s="301">
        <f>SUMIF('Zinc Agra'!$20:$20,J11,'Zinc Agra'!$24:$24)/J15</f>
        <v>0.11647797189531707</v>
      </c>
      <c r="K26" s="301">
        <f>SUMIF('Zinc Agra'!$20:$20,K11,'Zinc Agra'!$24:$24)/K15</f>
        <v>0.11647797189531707</v>
      </c>
      <c r="L26" s="301">
        <f>SUMIF('Zinc Agra'!$20:$20,L11,'Zinc Agra'!$24:$24)/L15</f>
        <v>0.11647797189531707</v>
      </c>
      <c r="M26" s="301">
        <f>SUMIF('Zinc Agra'!$20:$20,M11,'Zinc Agra'!$24:$24)/M15</f>
        <v>0.11647797189531707</v>
      </c>
    </row>
    <row r="28" spans="2:14" x14ac:dyDescent="0.3">
      <c r="B28" s="346" t="s">
        <v>361</v>
      </c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6"/>
      <c r="N28" s="346"/>
    </row>
    <row r="29" spans="2:14" x14ac:dyDescent="0.3">
      <c r="B29" s="233" t="s">
        <v>305</v>
      </c>
      <c r="C29" s="241" t="s">
        <v>360</v>
      </c>
      <c r="D29" s="248">
        <f>+Assumptions!C24</f>
        <v>0.31425129087779691</v>
      </c>
      <c r="E29" s="248">
        <f t="shared" ref="E29:M29" si="9">$D$29</f>
        <v>0.31425129087779691</v>
      </c>
      <c r="F29" s="248">
        <f t="shared" si="9"/>
        <v>0.31425129087779691</v>
      </c>
      <c r="G29" s="248">
        <f t="shared" si="9"/>
        <v>0.31425129087779691</v>
      </c>
      <c r="H29" s="248">
        <f t="shared" si="9"/>
        <v>0.31425129087779691</v>
      </c>
      <c r="I29" s="248">
        <f t="shared" si="9"/>
        <v>0.31425129087779691</v>
      </c>
      <c r="J29" s="248">
        <f t="shared" si="9"/>
        <v>0.31425129087779691</v>
      </c>
      <c r="K29" s="248">
        <f t="shared" si="9"/>
        <v>0.31425129087779691</v>
      </c>
      <c r="L29" s="248">
        <f t="shared" si="9"/>
        <v>0.31425129087779691</v>
      </c>
      <c r="M29" s="248">
        <f t="shared" si="9"/>
        <v>0.31425129087779691</v>
      </c>
    </row>
    <row r="30" spans="2:14" x14ac:dyDescent="0.3">
      <c r="B30" s="233" t="s">
        <v>304</v>
      </c>
      <c r="C30" s="241" t="s">
        <v>65</v>
      </c>
      <c r="D30" s="301">
        <f>+Assumptions!C25</f>
        <v>3.9850258175559384E-3</v>
      </c>
      <c r="E30" s="301">
        <f>+D30</f>
        <v>3.9850258175559384E-3</v>
      </c>
      <c r="F30" s="301">
        <f t="shared" ref="F30:M30" si="10">+E30</f>
        <v>3.9850258175559384E-3</v>
      </c>
      <c r="G30" s="301">
        <f t="shared" si="10"/>
        <v>3.9850258175559384E-3</v>
      </c>
      <c r="H30" s="301">
        <f t="shared" si="10"/>
        <v>3.9850258175559384E-3</v>
      </c>
      <c r="I30" s="301">
        <f t="shared" si="10"/>
        <v>3.9850258175559384E-3</v>
      </c>
      <c r="J30" s="301">
        <f t="shared" si="10"/>
        <v>3.9850258175559384E-3</v>
      </c>
      <c r="K30" s="301">
        <f t="shared" si="10"/>
        <v>3.9850258175559384E-3</v>
      </c>
      <c r="L30" s="301">
        <f t="shared" si="10"/>
        <v>3.9850258175559384E-3</v>
      </c>
      <c r="M30" s="301">
        <f t="shared" si="10"/>
        <v>3.9850258175559384E-3</v>
      </c>
    </row>
    <row r="31" spans="2:14" x14ac:dyDescent="0.3">
      <c r="B31" s="233" t="s">
        <v>307</v>
      </c>
      <c r="C31" s="241" t="s">
        <v>65</v>
      </c>
      <c r="D31" s="301">
        <f>+Assumptions!C26</f>
        <v>0</v>
      </c>
      <c r="E31" s="301">
        <f t="shared" ref="E31:M33" si="11">+D31</f>
        <v>0</v>
      </c>
      <c r="F31" s="301">
        <f t="shared" si="11"/>
        <v>0</v>
      </c>
      <c r="G31" s="301">
        <f t="shared" si="11"/>
        <v>0</v>
      </c>
      <c r="H31" s="301">
        <f t="shared" si="11"/>
        <v>0</v>
      </c>
      <c r="I31" s="301">
        <f t="shared" si="11"/>
        <v>0</v>
      </c>
      <c r="J31" s="301">
        <f t="shared" si="11"/>
        <v>0</v>
      </c>
      <c r="K31" s="301">
        <f t="shared" si="11"/>
        <v>0</v>
      </c>
      <c r="L31" s="301">
        <f t="shared" si="11"/>
        <v>0</v>
      </c>
      <c r="M31" s="301">
        <f t="shared" si="11"/>
        <v>0</v>
      </c>
    </row>
    <row r="32" spans="2:14" x14ac:dyDescent="0.3">
      <c r="B32" s="233" t="s">
        <v>3</v>
      </c>
      <c r="C32" s="241" t="s">
        <v>65</v>
      </c>
      <c r="D32" s="301">
        <f>+Assumptions!C27</f>
        <v>8.8376936316695368E-3</v>
      </c>
      <c r="E32" s="301">
        <f t="shared" si="11"/>
        <v>8.8376936316695368E-3</v>
      </c>
      <c r="F32" s="301">
        <f t="shared" si="11"/>
        <v>8.8376936316695368E-3</v>
      </c>
      <c r="G32" s="301">
        <f t="shared" si="11"/>
        <v>8.8376936316695368E-3</v>
      </c>
      <c r="H32" s="301">
        <f t="shared" si="11"/>
        <v>8.8376936316695368E-3</v>
      </c>
      <c r="I32" s="301">
        <f t="shared" si="11"/>
        <v>8.8376936316695368E-3</v>
      </c>
      <c r="J32" s="301">
        <f t="shared" si="11"/>
        <v>8.8376936316695368E-3</v>
      </c>
      <c r="K32" s="301">
        <f t="shared" si="11"/>
        <v>8.8376936316695368E-3</v>
      </c>
      <c r="L32" s="301">
        <f t="shared" si="11"/>
        <v>8.8376936316695368E-3</v>
      </c>
      <c r="M32" s="301">
        <f t="shared" si="11"/>
        <v>8.8376936316695368E-3</v>
      </c>
    </row>
    <row r="33" spans="2:14" x14ac:dyDescent="0.3">
      <c r="B33" s="232" t="s">
        <v>4</v>
      </c>
      <c r="C33" s="241" t="s">
        <v>65</v>
      </c>
      <c r="D33" s="301">
        <f>+Assumptions!C28</f>
        <v>1.8265232358003442E-2</v>
      </c>
      <c r="E33" s="301">
        <f t="shared" si="11"/>
        <v>1.8265232358003442E-2</v>
      </c>
      <c r="F33" s="301">
        <f t="shared" si="11"/>
        <v>1.8265232358003442E-2</v>
      </c>
      <c r="G33" s="301">
        <f t="shared" si="11"/>
        <v>1.8265232358003442E-2</v>
      </c>
      <c r="H33" s="301">
        <f t="shared" si="11"/>
        <v>1.8265232358003442E-2</v>
      </c>
      <c r="I33" s="301">
        <f t="shared" si="11"/>
        <v>1.8265232358003442E-2</v>
      </c>
      <c r="J33" s="301">
        <f t="shared" si="11"/>
        <v>1.8265232358003442E-2</v>
      </c>
      <c r="K33" s="301">
        <f t="shared" si="11"/>
        <v>1.8265232358003442E-2</v>
      </c>
      <c r="L33" s="301">
        <f t="shared" si="11"/>
        <v>1.8265232358003442E-2</v>
      </c>
      <c r="M33" s="301">
        <f t="shared" si="11"/>
        <v>1.8265232358003442E-2</v>
      </c>
    </row>
    <row r="34" spans="2:14" x14ac:dyDescent="0.3">
      <c r="C34" s="241"/>
      <c r="D34" s="249"/>
    </row>
    <row r="35" spans="2:14" x14ac:dyDescent="0.3">
      <c r="B35" s="346" t="s">
        <v>362</v>
      </c>
      <c r="C35" s="346"/>
      <c r="D35" s="346"/>
      <c r="E35" s="346"/>
      <c r="F35" s="346"/>
      <c r="G35" s="346"/>
      <c r="H35" s="346"/>
      <c r="I35" s="346"/>
      <c r="J35" s="346"/>
      <c r="K35" s="346"/>
      <c r="L35" s="346"/>
      <c r="M35" s="346"/>
      <c r="N35" s="346"/>
    </row>
    <row r="36" spans="2:14" x14ac:dyDescent="0.3">
      <c r="B36" s="233" t="s">
        <v>305</v>
      </c>
      <c r="C36" s="241" t="s">
        <v>363</v>
      </c>
      <c r="D36" s="242">
        <f>+D50-D43</f>
        <v>812908.94974130404</v>
      </c>
      <c r="E36" s="242">
        <f t="shared" ref="E36" si="12">+E50-E43</f>
        <v>1701934.3251786691</v>
      </c>
      <c r="F36" s="242">
        <f t="shared" ref="F36:M36" si="13">+F50-F43</f>
        <v>1701934.3251786691</v>
      </c>
      <c r="G36" s="242">
        <f t="shared" si="13"/>
        <v>1701934.3251786691</v>
      </c>
      <c r="H36" s="242">
        <f t="shared" si="13"/>
        <v>1701934.3251786691</v>
      </c>
      <c r="I36" s="242">
        <f t="shared" si="13"/>
        <v>1701934.3251786691</v>
      </c>
      <c r="J36" s="242">
        <f t="shared" si="13"/>
        <v>1701934.3251786691</v>
      </c>
      <c r="K36" s="242">
        <f t="shared" si="13"/>
        <v>1701934.3251786691</v>
      </c>
      <c r="L36" s="242">
        <f t="shared" si="13"/>
        <v>1701934.3251786691</v>
      </c>
      <c r="M36" s="242">
        <f t="shared" si="13"/>
        <v>1701934.3251786691</v>
      </c>
      <c r="N36" s="243">
        <f>SUM(D36:M36)</f>
        <v>16130317.876349328</v>
      </c>
    </row>
    <row r="37" spans="2:14" x14ac:dyDescent="0.3">
      <c r="B37" s="233" t="s">
        <v>304</v>
      </c>
      <c r="C37" s="241" t="s">
        <v>364</v>
      </c>
      <c r="D37" s="242">
        <f t="shared" ref="D37:D38" si="14">+D51-D44</f>
        <v>1603810.9770859138</v>
      </c>
      <c r="E37" s="242">
        <f t="shared" ref="E37:M37" si="15">+E51-E44</f>
        <v>1952405.4035903292</v>
      </c>
      <c r="F37" s="242">
        <f t="shared" si="15"/>
        <v>1952405.4035903292</v>
      </c>
      <c r="G37" s="242">
        <f t="shared" si="15"/>
        <v>1952405.4035903292</v>
      </c>
      <c r="H37" s="242">
        <f t="shared" si="15"/>
        <v>1952405.4035903292</v>
      </c>
      <c r="I37" s="242">
        <f t="shared" si="15"/>
        <v>1952405.4035903292</v>
      </c>
      <c r="J37" s="242">
        <f t="shared" si="15"/>
        <v>1952405.4035903292</v>
      </c>
      <c r="K37" s="242">
        <f t="shared" si="15"/>
        <v>1952405.4035903292</v>
      </c>
      <c r="L37" s="242">
        <f t="shared" si="15"/>
        <v>1952405.4035903292</v>
      </c>
      <c r="M37" s="242">
        <f t="shared" si="15"/>
        <v>1952405.4035903292</v>
      </c>
      <c r="N37" s="243">
        <f>SUM(D37:M37)</f>
        <v>19175459.609398875</v>
      </c>
    </row>
    <row r="38" spans="2:14" x14ac:dyDescent="0.3">
      <c r="B38" s="233" t="s">
        <v>307</v>
      </c>
      <c r="C38" s="241" t="s">
        <v>364</v>
      </c>
      <c r="D38" s="242">
        <f t="shared" si="14"/>
        <v>1381037.0794392524</v>
      </c>
      <c r="E38" s="242">
        <f t="shared" ref="E38:M38" si="16">+E52-E45</f>
        <v>1695679.9065420567</v>
      </c>
      <c r="F38" s="242">
        <f t="shared" si="16"/>
        <v>1695679.9065420567</v>
      </c>
      <c r="G38" s="242">
        <f t="shared" si="16"/>
        <v>1695679.9065420567</v>
      </c>
      <c r="H38" s="242">
        <f t="shared" si="16"/>
        <v>1695679.9065420567</v>
      </c>
      <c r="I38" s="242">
        <f t="shared" si="16"/>
        <v>1695679.9065420567</v>
      </c>
      <c r="J38" s="242">
        <f t="shared" si="16"/>
        <v>1695679.9065420567</v>
      </c>
      <c r="K38" s="242">
        <f t="shared" si="16"/>
        <v>1695679.9065420567</v>
      </c>
      <c r="L38" s="242">
        <f t="shared" si="16"/>
        <v>1695679.9065420567</v>
      </c>
      <c r="M38" s="242">
        <f t="shared" si="16"/>
        <v>1695679.9065420567</v>
      </c>
      <c r="N38" s="243">
        <f>SUM(D38:M38)</f>
        <v>16642156.238317765</v>
      </c>
    </row>
    <row r="39" spans="2:14" x14ac:dyDescent="0.3">
      <c r="B39" s="233" t="s">
        <v>3</v>
      </c>
      <c r="C39" s="241" t="s">
        <v>364</v>
      </c>
      <c r="D39" s="242">
        <f t="shared" ref="D39" si="17">D$15*D25*2000*$K8</f>
        <v>430651.13857567287</v>
      </c>
      <c r="E39" s="242">
        <f t="shared" ref="E39:M39" si="18">E$15*E25*2000*$K8</f>
        <v>700637.38538597024</v>
      </c>
      <c r="F39" s="242">
        <f t="shared" si="18"/>
        <v>700637.38538597024</v>
      </c>
      <c r="G39" s="242">
        <f t="shared" si="18"/>
        <v>700637.38538597024</v>
      </c>
      <c r="H39" s="242">
        <f t="shared" si="18"/>
        <v>700637.38538597024</v>
      </c>
      <c r="I39" s="242">
        <f t="shared" si="18"/>
        <v>700637.38538597024</v>
      </c>
      <c r="J39" s="242">
        <f t="shared" si="18"/>
        <v>700637.38538597024</v>
      </c>
      <c r="K39" s="242">
        <f t="shared" si="18"/>
        <v>700637.38538597024</v>
      </c>
      <c r="L39" s="242">
        <f t="shared" si="18"/>
        <v>700637.38538597024</v>
      </c>
      <c r="M39" s="242">
        <f t="shared" si="18"/>
        <v>700637.38538597024</v>
      </c>
      <c r="N39" s="243">
        <f>SUM(D39:M39)</f>
        <v>6736387.6070494056</v>
      </c>
    </row>
    <row r="40" spans="2:14" x14ac:dyDescent="0.3">
      <c r="B40" s="233" t="s">
        <v>4</v>
      </c>
      <c r="C40" s="241" t="s">
        <v>364</v>
      </c>
      <c r="D40" s="242">
        <f t="shared" ref="D40" si="19">D$15*D26*2000*$K9</f>
        <v>9985382.4189564623</v>
      </c>
      <c r="E40" s="242">
        <f t="shared" ref="E40:M40" si="20">E$15*E26*2000*$K9</f>
        <v>29890577.147776265</v>
      </c>
      <c r="F40" s="242">
        <f t="shared" si="20"/>
        <v>29890577.147776265</v>
      </c>
      <c r="G40" s="242">
        <f t="shared" si="20"/>
        <v>29890577.147776265</v>
      </c>
      <c r="H40" s="242">
        <f t="shared" si="20"/>
        <v>29890577.147776265</v>
      </c>
      <c r="I40" s="242">
        <f t="shared" si="20"/>
        <v>29890577.147776265</v>
      </c>
      <c r="J40" s="242">
        <f t="shared" si="20"/>
        <v>29890577.147776265</v>
      </c>
      <c r="K40" s="242">
        <f t="shared" si="20"/>
        <v>29890577.147776265</v>
      </c>
      <c r="L40" s="242">
        <f t="shared" si="20"/>
        <v>29890577.147776265</v>
      </c>
      <c r="M40" s="242">
        <f t="shared" si="20"/>
        <v>29890577.147776265</v>
      </c>
      <c r="N40" s="243">
        <f>SUM(D40:M40)</f>
        <v>279000576.74894285</v>
      </c>
    </row>
    <row r="42" spans="2:14" x14ac:dyDescent="0.3">
      <c r="B42" s="346" t="s">
        <v>365</v>
      </c>
      <c r="C42" s="346"/>
      <c r="D42" s="346"/>
      <c r="E42" s="346"/>
      <c r="F42" s="346"/>
      <c r="G42" s="346"/>
      <c r="H42" s="346"/>
      <c r="I42" s="346"/>
      <c r="J42" s="346"/>
      <c r="K42" s="346"/>
      <c r="L42" s="346"/>
      <c r="M42" s="346"/>
      <c r="N42" s="346"/>
    </row>
    <row r="43" spans="2:14" x14ac:dyDescent="0.3">
      <c r="B43" s="233" t="s">
        <v>305</v>
      </c>
      <c r="C43" s="241" t="s">
        <v>363</v>
      </c>
      <c r="D43" s="242">
        <f>+D$16*D29*$C$9</f>
        <v>6076.8343373493972</v>
      </c>
      <c r="E43" s="242">
        <f t="shared" ref="E43:M43" si="21">+E$16*E29*$C$9</f>
        <v>8681.1919104991393</v>
      </c>
      <c r="F43" s="242">
        <f t="shared" si="21"/>
        <v>8681.1919104991393</v>
      </c>
      <c r="G43" s="242">
        <f t="shared" si="21"/>
        <v>8681.1919104991393</v>
      </c>
      <c r="H43" s="242">
        <f t="shared" si="21"/>
        <v>8681.1919104991393</v>
      </c>
      <c r="I43" s="242">
        <f t="shared" si="21"/>
        <v>8681.1919104991393</v>
      </c>
      <c r="J43" s="242">
        <f t="shared" si="21"/>
        <v>8681.1919104991393</v>
      </c>
      <c r="K43" s="242">
        <f t="shared" si="21"/>
        <v>8681.1919104991393</v>
      </c>
      <c r="L43" s="242">
        <f t="shared" si="21"/>
        <v>8681.1919104991393</v>
      </c>
      <c r="M43" s="242">
        <f t="shared" si="21"/>
        <v>8681.1919104991393</v>
      </c>
      <c r="N43" s="243">
        <f>SUM(D43:M43)</f>
        <v>84207.561531841653</v>
      </c>
    </row>
    <row r="44" spans="2:14" x14ac:dyDescent="0.3">
      <c r="B44" s="233" t="s">
        <v>304</v>
      </c>
      <c r="C44" s="241" t="s">
        <v>364</v>
      </c>
      <c r="D44" s="242">
        <f>+D$16*D30*$C$9*2000</f>
        <v>154120.87349397593</v>
      </c>
      <c r="E44" s="242">
        <f t="shared" ref="E44:M44" si="22">+E$16*E30*$C$9*2000</f>
        <v>220172.6764199656</v>
      </c>
      <c r="F44" s="242">
        <f t="shared" si="22"/>
        <v>220172.6764199656</v>
      </c>
      <c r="G44" s="242">
        <f t="shared" si="22"/>
        <v>220172.6764199656</v>
      </c>
      <c r="H44" s="242">
        <f t="shared" si="22"/>
        <v>220172.6764199656</v>
      </c>
      <c r="I44" s="242">
        <f t="shared" si="22"/>
        <v>220172.6764199656</v>
      </c>
      <c r="J44" s="242">
        <f t="shared" si="22"/>
        <v>220172.6764199656</v>
      </c>
      <c r="K44" s="242">
        <f t="shared" si="22"/>
        <v>220172.6764199656</v>
      </c>
      <c r="L44" s="242">
        <f t="shared" si="22"/>
        <v>220172.6764199656</v>
      </c>
      <c r="M44" s="242">
        <f t="shared" si="22"/>
        <v>220172.6764199656</v>
      </c>
      <c r="N44" s="243">
        <f>SUM(D44:M44)</f>
        <v>2135674.9612736665</v>
      </c>
    </row>
    <row r="45" spans="2:14" x14ac:dyDescent="0.3">
      <c r="B45" s="233" t="s">
        <v>307</v>
      </c>
      <c r="C45" s="241" t="s">
        <v>364</v>
      </c>
      <c r="D45" s="242">
        <f t="shared" ref="D45:M47" si="23">+D$16*D31*$C$9*2000</f>
        <v>0</v>
      </c>
      <c r="E45" s="242">
        <f t="shared" si="23"/>
        <v>0</v>
      </c>
      <c r="F45" s="242">
        <f t="shared" si="23"/>
        <v>0</v>
      </c>
      <c r="G45" s="242">
        <f t="shared" si="23"/>
        <v>0</v>
      </c>
      <c r="H45" s="242">
        <f t="shared" si="23"/>
        <v>0</v>
      </c>
      <c r="I45" s="242">
        <f t="shared" si="23"/>
        <v>0</v>
      </c>
      <c r="J45" s="242">
        <f t="shared" si="23"/>
        <v>0</v>
      </c>
      <c r="K45" s="242">
        <f t="shared" si="23"/>
        <v>0</v>
      </c>
      <c r="L45" s="242">
        <f t="shared" si="23"/>
        <v>0</v>
      </c>
      <c r="M45" s="242">
        <f t="shared" si="23"/>
        <v>0</v>
      </c>
      <c r="N45" s="243">
        <f>SUM(D45:M45)</f>
        <v>0</v>
      </c>
    </row>
    <row r="46" spans="2:14" x14ac:dyDescent="0.3">
      <c r="B46" s="233" t="s">
        <v>3</v>
      </c>
      <c r="C46" s="241" t="s">
        <v>364</v>
      </c>
      <c r="D46" s="242">
        <f t="shared" si="23"/>
        <v>341797.80120481935</v>
      </c>
      <c r="E46" s="242">
        <f t="shared" si="23"/>
        <v>488282.57314974192</v>
      </c>
      <c r="F46" s="242">
        <f t="shared" si="23"/>
        <v>488282.57314974192</v>
      </c>
      <c r="G46" s="242">
        <f t="shared" si="23"/>
        <v>488282.57314974192</v>
      </c>
      <c r="H46" s="242">
        <f t="shared" si="23"/>
        <v>488282.57314974192</v>
      </c>
      <c r="I46" s="242">
        <f t="shared" si="23"/>
        <v>488282.57314974192</v>
      </c>
      <c r="J46" s="242">
        <f t="shared" si="23"/>
        <v>488282.57314974192</v>
      </c>
      <c r="K46" s="242">
        <f t="shared" si="23"/>
        <v>488282.57314974192</v>
      </c>
      <c r="L46" s="242">
        <f t="shared" si="23"/>
        <v>488282.57314974192</v>
      </c>
      <c r="M46" s="242">
        <f t="shared" si="23"/>
        <v>488282.57314974192</v>
      </c>
      <c r="N46" s="243">
        <f>SUM(D46:M46)</f>
        <v>4736340.9595524967</v>
      </c>
    </row>
    <row r="47" spans="2:14" x14ac:dyDescent="0.3">
      <c r="B47" s="232" t="s">
        <v>4</v>
      </c>
      <c r="C47" s="241" t="s">
        <v>364</v>
      </c>
      <c r="D47" s="242">
        <f t="shared" si="23"/>
        <v>706407.86144578306</v>
      </c>
      <c r="E47" s="242">
        <f t="shared" si="23"/>
        <v>1009154.0877796902</v>
      </c>
      <c r="F47" s="242">
        <f t="shared" si="23"/>
        <v>1009154.0877796902</v>
      </c>
      <c r="G47" s="242">
        <f t="shared" si="23"/>
        <v>1009154.0877796902</v>
      </c>
      <c r="H47" s="242">
        <f t="shared" si="23"/>
        <v>1009154.0877796902</v>
      </c>
      <c r="I47" s="242">
        <f t="shared" si="23"/>
        <v>1009154.0877796902</v>
      </c>
      <c r="J47" s="242">
        <f t="shared" si="23"/>
        <v>1009154.0877796902</v>
      </c>
      <c r="K47" s="242">
        <f t="shared" si="23"/>
        <v>1009154.0877796902</v>
      </c>
      <c r="L47" s="242">
        <f t="shared" si="23"/>
        <v>1009154.0877796902</v>
      </c>
      <c r="M47" s="242">
        <f t="shared" si="23"/>
        <v>1009154.0877796902</v>
      </c>
      <c r="N47" s="243">
        <f>SUM(D47:M47)</f>
        <v>9788794.6514629945</v>
      </c>
    </row>
    <row r="49" spans="2:14" ht="15.75" thickBot="1" x14ac:dyDescent="0.35">
      <c r="B49" s="231" t="s">
        <v>366</v>
      </c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</row>
    <row r="50" spans="2:14" x14ac:dyDescent="0.3">
      <c r="B50" s="240" t="s">
        <v>305</v>
      </c>
      <c r="C50" s="241" t="s">
        <v>363</v>
      </c>
      <c r="D50" s="243">
        <f>SUMIF('Metals Model'!$10:$10,D$11,'Metals Model'!15:15)</f>
        <v>818985.78407865344</v>
      </c>
      <c r="E50" s="243">
        <f>SUMIF('Metals Model'!$10:$10,E11,'Metals Model'!$15:$15)</f>
        <v>1710615.5170891683</v>
      </c>
      <c r="F50" s="243">
        <f>SUMIF('Metals Model'!$10:$10,F11,'Metals Model'!$15:$15)</f>
        <v>1710615.5170891683</v>
      </c>
      <c r="G50" s="243">
        <f>SUMIF('Metals Model'!$10:$10,G11,'Metals Model'!$15:$15)</f>
        <v>1710615.5170891683</v>
      </c>
      <c r="H50" s="243">
        <f>SUMIF('Metals Model'!$10:$10,H11,'Metals Model'!$15:$15)</f>
        <v>1710615.5170891683</v>
      </c>
      <c r="I50" s="243">
        <f>SUMIF('Metals Model'!$10:$10,I11,'Metals Model'!$15:$15)</f>
        <v>1710615.5170891683</v>
      </c>
      <c r="J50" s="243">
        <f>SUMIF('Metals Model'!$10:$10,J11,'Metals Model'!$15:$15)</f>
        <v>1710615.5170891683</v>
      </c>
      <c r="K50" s="243">
        <f>SUMIF('Metals Model'!$10:$10,K11,'Metals Model'!$15:$15)</f>
        <v>1710615.5170891683</v>
      </c>
      <c r="L50" s="243">
        <f>SUMIF('Metals Model'!$10:$10,L11,'Metals Model'!$15:$15)</f>
        <v>1710615.5170891683</v>
      </c>
      <c r="M50" s="243">
        <f>SUMIF('Metals Model'!$10:$10,M11,'Metals Model'!$15:$15)</f>
        <v>1710615.5170891683</v>
      </c>
      <c r="N50" s="243">
        <f>SUM(D50:M50)</f>
        <v>16214525.437881166</v>
      </c>
    </row>
    <row r="51" spans="2:14" x14ac:dyDescent="0.3">
      <c r="B51" s="240" t="s">
        <v>304</v>
      </c>
      <c r="C51" s="241" t="s">
        <v>364</v>
      </c>
      <c r="D51" s="243">
        <f>SUMIF('Metals Model'!$10:$10,D$11,'Metals Model'!16:16)*2000</f>
        <v>1757931.8505798897</v>
      </c>
      <c r="E51" s="243">
        <f>SUMIF('Metals Model'!$10:$10,E$11,'Metals Model'!16:16)*2000</f>
        <v>2172578.0800102949</v>
      </c>
      <c r="F51" s="243">
        <f>SUMIF('Metals Model'!$10:$10,F$11,'Metals Model'!16:16)*2000</f>
        <v>2172578.0800102949</v>
      </c>
      <c r="G51" s="243">
        <f>SUMIF('Metals Model'!$10:$10,G$11,'Metals Model'!16:16)*2000</f>
        <v>2172578.0800102949</v>
      </c>
      <c r="H51" s="243">
        <f>SUMIF('Metals Model'!$10:$10,H$11,'Metals Model'!16:16)*2000</f>
        <v>2172578.0800102949</v>
      </c>
      <c r="I51" s="243">
        <f>SUMIF('Metals Model'!$10:$10,I$11,'Metals Model'!16:16)*2000</f>
        <v>2172578.0800102949</v>
      </c>
      <c r="J51" s="243">
        <f>SUMIF('Metals Model'!$10:$10,J$11,'Metals Model'!16:16)*2000</f>
        <v>2172578.0800102949</v>
      </c>
      <c r="K51" s="243">
        <f>SUMIF('Metals Model'!$10:$10,K$11,'Metals Model'!16:16)*2000</f>
        <v>2172578.0800102949</v>
      </c>
      <c r="L51" s="243">
        <f>SUMIF('Metals Model'!$10:$10,L$11,'Metals Model'!16:16)*2000</f>
        <v>2172578.0800102949</v>
      </c>
      <c r="M51" s="243">
        <f>SUMIF('Metals Model'!$10:$10,M$11,'Metals Model'!16:16)*2000</f>
        <v>2172578.0800102949</v>
      </c>
      <c r="N51" s="243">
        <f t="shared" ref="N51:N54" si="24">SUM(D51:M51)</f>
        <v>21311134.570672542</v>
      </c>
    </row>
    <row r="52" spans="2:14" x14ac:dyDescent="0.3">
      <c r="B52" s="240" t="s">
        <v>307</v>
      </c>
      <c r="C52" s="241" t="s">
        <v>364</v>
      </c>
      <c r="D52" s="243">
        <f>SUMIF('Metals Model'!$10:$10,D$11,'Metals Model'!17:17)*2000</f>
        <v>1381037.0794392524</v>
      </c>
      <c r="E52" s="243">
        <f>SUMIF('Metals Model'!$10:$10,E$11,'Metals Model'!17:17)*2000</f>
        <v>1695679.9065420567</v>
      </c>
      <c r="F52" s="243">
        <f>SUMIF('Metals Model'!$10:$10,F$11,'Metals Model'!17:17)*2000</f>
        <v>1695679.9065420567</v>
      </c>
      <c r="G52" s="243">
        <f>SUMIF('Metals Model'!$10:$10,G$11,'Metals Model'!17:17)*2000</f>
        <v>1695679.9065420567</v>
      </c>
      <c r="H52" s="243">
        <f>SUMIF('Metals Model'!$10:$10,H$11,'Metals Model'!17:17)*2000</f>
        <v>1695679.9065420567</v>
      </c>
      <c r="I52" s="243">
        <f>SUMIF('Metals Model'!$10:$10,I$11,'Metals Model'!17:17)*2000</f>
        <v>1695679.9065420567</v>
      </c>
      <c r="J52" s="243">
        <f>SUMIF('Metals Model'!$10:$10,J$11,'Metals Model'!17:17)*2000</f>
        <v>1695679.9065420567</v>
      </c>
      <c r="K52" s="243">
        <f>SUMIF('Metals Model'!$10:$10,K$11,'Metals Model'!17:17)*2000</f>
        <v>1695679.9065420567</v>
      </c>
      <c r="L52" s="243">
        <f>SUMIF('Metals Model'!$10:$10,L$11,'Metals Model'!17:17)*2000</f>
        <v>1695679.9065420567</v>
      </c>
      <c r="M52" s="243">
        <f>SUMIF('Metals Model'!$10:$10,M$11,'Metals Model'!17:17)*2000</f>
        <v>1695679.9065420567</v>
      </c>
      <c r="N52" s="243">
        <f t="shared" si="24"/>
        <v>16642156.238317765</v>
      </c>
    </row>
    <row r="53" spans="2:14" x14ac:dyDescent="0.3">
      <c r="B53" s="240" t="s">
        <v>3</v>
      </c>
      <c r="C53" s="241" t="s">
        <v>364</v>
      </c>
      <c r="D53" s="243">
        <f t="shared" ref="D53:M53" si="25">+D46+D39</f>
        <v>772448.93978049222</v>
      </c>
      <c r="E53" s="243">
        <f t="shared" si="25"/>
        <v>1188919.9585357122</v>
      </c>
      <c r="F53" s="243">
        <f t="shared" si="25"/>
        <v>1188919.9585357122</v>
      </c>
      <c r="G53" s="243">
        <f t="shared" si="25"/>
        <v>1188919.9585357122</v>
      </c>
      <c r="H53" s="243">
        <f t="shared" si="25"/>
        <v>1188919.9585357122</v>
      </c>
      <c r="I53" s="243">
        <f t="shared" si="25"/>
        <v>1188919.9585357122</v>
      </c>
      <c r="J53" s="243">
        <f t="shared" si="25"/>
        <v>1188919.9585357122</v>
      </c>
      <c r="K53" s="243">
        <f t="shared" si="25"/>
        <v>1188919.9585357122</v>
      </c>
      <c r="L53" s="243">
        <f t="shared" si="25"/>
        <v>1188919.9585357122</v>
      </c>
      <c r="M53" s="243">
        <f t="shared" si="25"/>
        <v>1188919.9585357122</v>
      </c>
      <c r="N53" s="243">
        <f t="shared" si="24"/>
        <v>11472728.566601902</v>
      </c>
    </row>
    <row r="54" spans="2:14" x14ac:dyDescent="0.3">
      <c r="B54" s="240" t="s">
        <v>4</v>
      </c>
      <c r="C54" s="241" t="s">
        <v>364</v>
      </c>
      <c r="D54" s="243">
        <f t="shared" ref="D54:M54" si="26">+D47+D40</f>
        <v>10691790.280402245</v>
      </c>
      <c r="E54" s="243">
        <f t="shared" si="26"/>
        <v>30899731.235555954</v>
      </c>
      <c r="F54" s="243">
        <f t="shared" si="26"/>
        <v>30899731.235555954</v>
      </c>
      <c r="G54" s="243">
        <f t="shared" si="26"/>
        <v>30899731.235555954</v>
      </c>
      <c r="H54" s="243">
        <f t="shared" si="26"/>
        <v>30899731.235555954</v>
      </c>
      <c r="I54" s="243">
        <f t="shared" si="26"/>
        <v>30899731.235555954</v>
      </c>
      <c r="J54" s="243">
        <f t="shared" si="26"/>
        <v>30899731.235555954</v>
      </c>
      <c r="K54" s="243">
        <f t="shared" si="26"/>
        <v>30899731.235555954</v>
      </c>
      <c r="L54" s="243">
        <f t="shared" si="26"/>
        <v>30899731.235555954</v>
      </c>
      <c r="M54" s="243">
        <f t="shared" si="26"/>
        <v>30899731.235555954</v>
      </c>
      <c r="N54" s="243">
        <f t="shared" si="24"/>
        <v>288789371.40040582</v>
      </c>
    </row>
    <row r="57" spans="2:14" x14ac:dyDescent="0.3">
      <c r="B57" s="250" t="s">
        <v>367</v>
      </c>
    </row>
    <row r="58" spans="2:14" ht="30" customHeight="1" x14ac:dyDescent="0.3">
      <c r="B58" s="344" t="s">
        <v>456</v>
      </c>
      <c r="C58" s="344"/>
      <c r="D58" s="344"/>
      <c r="E58" s="344"/>
      <c r="F58" s="344"/>
      <c r="G58" s="344"/>
      <c r="H58" s="344"/>
      <c r="I58" s="344"/>
      <c r="J58" s="344"/>
      <c r="K58" s="344"/>
      <c r="L58" s="344"/>
      <c r="M58" s="344"/>
      <c r="N58" s="344"/>
    </row>
    <row r="59" spans="2:14" ht="42" customHeight="1" x14ac:dyDescent="0.3">
      <c r="B59" s="344" t="s">
        <v>457</v>
      </c>
      <c r="C59" s="344"/>
      <c r="D59" s="344"/>
      <c r="E59" s="344"/>
      <c r="F59" s="344"/>
      <c r="G59" s="344"/>
      <c r="H59" s="344"/>
      <c r="I59" s="344"/>
      <c r="J59" s="344"/>
      <c r="K59" s="344"/>
      <c r="L59" s="344"/>
      <c r="M59" s="344"/>
      <c r="N59" s="344"/>
    </row>
    <row r="60" spans="2:14" x14ac:dyDescent="0.3">
      <c r="B60" s="344" t="s">
        <v>458</v>
      </c>
      <c r="C60" s="344"/>
      <c r="D60" s="344"/>
      <c r="E60" s="344"/>
      <c r="F60" s="344"/>
      <c r="G60" s="344"/>
      <c r="H60" s="344"/>
      <c r="I60" s="344"/>
      <c r="J60" s="344"/>
      <c r="K60" s="344"/>
      <c r="L60" s="344"/>
      <c r="M60" s="344"/>
      <c r="N60" s="344"/>
    </row>
    <row r="61" spans="2:14" x14ac:dyDescent="0.3">
      <c r="B61" s="344" t="s">
        <v>459</v>
      </c>
      <c r="C61" s="344"/>
      <c r="D61" s="344"/>
      <c r="E61" s="344"/>
      <c r="F61" s="344"/>
      <c r="G61" s="344"/>
      <c r="H61" s="344"/>
      <c r="I61" s="344"/>
      <c r="J61" s="344"/>
      <c r="K61" s="344"/>
      <c r="L61" s="344"/>
      <c r="M61" s="344"/>
      <c r="N61" s="344"/>
    </row>
    <row r="62" spans="2:14" x14ac:dyDescent="0.3">
      <c r="B62" s="344" t="s">
        <v>460</v>
      </c>
      <c r="C62" s="344"/>
      <c r="D62" s="344"/>
      <c r="E62" s="344"/>
      <c r="F62" s="344"/>
      <c r="G62" s="344"/>
      <c r="H62" s="344"/>
      <c r="I62" s="344"/>
      <c r="J62" s="344"/>
      <c r="K62" s="344"/>
      <c r="L62" s="344"/>
      <c r="M62" s="344"/>
      <c r="N62" s="344"/>
    </row>
    <row r="63" spans="2:14" x14ac:dyDescent="0.3">
      <c r="B63" s="344" t="s">
        <v>461</v>
      </c>
      <c r="C63" s="344"/>
      <c r="D63" s="344"/>
      <c r="E63" s="344"/>
      <c r="F63" s="344"/>
      <c r="G63" s="344"/>
      <c r="H63" s="344"/>
      <c r="I63" s="344"/>
      <c r="J63" s="344"/>
      <c r="K63" s="344"/>
      <c r="L63" s="344"/>
      <c r="M63" s="344"/>
      <c r="N63" s="344"/>
    </row>
    <row r="64" spans="2:14" x14ac:dyDescent="0.3">
      <c r="B64" s="344" t="s">
        <v>462</v>
      </c>
      <c r="C64" s="344"/>
      <c r="D64" s="344"/>
      <c r="E64" s="344"/>
      <c r="F64" s="344"/>
      <c r="G64" s="344"/>
      <c r="H64" s="344"/>
      <c r="I64" s="344"/>
      <c r="J64" s="344"/>
      <c r="K64" s="344"/>
      <c r="L64" s="344"/>
      <c r="M64" s="344"/>
      <c r="N64" s="344"/>
    </row>
    <row r="65" spans="2:14" x14ac:dyDescent="0.3">
      <c r="B65" s="344" t="s">
        <v>463</v>
      </c>
      <c r="C65" s="344"/>
      <c r="D65" s="344"/>
      <c r="E65" s="344"/>
      <c r="F65" s="344"/>
      <c r="G65" s="344"/>
      <c r="H65" s="344"/>
      <c r="I65" s="344"/>
      <c r="J65" s="344"/>
      <c r="K65" s="344"/>
      <c r="L65" s="344"/>
      <c r="M65" s="344"/>
      <c r="N65" s="344"/>
    </row>
  </sheetData>
  <mergeCells count="14">
    <mergeCell ref="B64:N64"/>
    <mergeCell ref="B65:N65"/>
    <mergeCell ref="B63:N63"/>
    <mergeCell ref="B2:N2"/>
    <mergeCell ref="B13:N13"/>
    <mergeCell ref="B21:N21"/>
    <mergeCell ref="B28:N28"/>
    <mergeCell ref="B35:N35"/>
    <mergeCell ref="B42:N42"/>
    <mergeCell ref="B58:N58"/>
    <mergeCell ref="B59:N59"/>
    <mergeCell ref="B60:N60"/>
    <mergeCell ref="B61:N61"/>
    <mergeCell ref="B62:N62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97A62-4453-4202-ABA8-1EFAA80B7300}">
  <sheetPr>
    <tabColor rgb="FFC00000"/>
  </sheetPr>
  <dimension ref="B1:DW11"/>
  <sheetViews>
    <sheetView showGridLines="0" workbookViewId="0">
      <selection activeCell="B1" sqref="B1"/>
    </sheetView>
  </sheetViews>
  <sheetFormatPr defaultRowHeight="15" x14ac:dyDescent="0.3"/>
  <cols>
    <col min="1" max="1" width="1.7109375" style="52" customWidth="1"/>
    <col min="2" max="2" width="29.7109375" style="52" customWidth="1"/>
    <col min="3" max="3" width="13.140625" style="52" bestFit="1" customWidth="1"/>
    <col min="4" max="4" width="10.42578125" style="52" bestFit="1" customWidth="1"/>
    <col min="5" max="5" width="9.5703125" style="52" bestFit="1" customWidth="1"/>
    <col min="6" max="11" width="11" style="52" bestFit="1" customWidth="1"/>
    <col min="12" max="23" width="12" style="52" bestFit="1" customWidth="1"/>
    <col min="24" max="127" width="12.42578125" style="52" bestFit="1" customWidth="1"/>
    <col min="128" max="16384" width="9.140625" style="52"/>
  </cols>
  <sheetData>
    <row r="1" spans="2:127" s="83" customFormat="1" x14ac:dyDescent="0.3">
      <c r="B1" s="178" t="s">
        <v>283</v>
      </c>
    </row>
    <row r="2" spans="2:127" s="83" customFormat="1" ht="18" x14ac:dyDescent="0.35">
      <c r="B2" s="90" t="s">
        <v>211</v>
      </c>
      <c r="C2" s="82"/>
      <c r="D2" s="82"/>
      <c r="E2" s="82"/>
      <c r="F2" s="82"/>
      <c r="G2" s="82"/>
      <c r="H2" s="89"/>
      <c r="I2" s="89"/>
      <c r="J2" s="89"/>
      <c r="K2" s="89"/>
    </row>
    <row r="4" spans="2:127" x14ac:dyDescent="0.3">
      <c r="B4" s="257" t="s">
        <v>374</v>
      </c>
      <c r="C4" s="257">
        <f>IF(C10&lt;=Assumptions!$F$17, Assumptions!$D$17, IF(C10&lt;=Assumptions!$F$18, Assumptions!$D$18, Assumptions!$D$19))</f>
        <v>40</v>
      </c>
      <c r="D4" s="257">
        <f>IF(D10&lt;=Assumptions!$F$17, Assumptions!$D$17, IF(D10&lt;=Assumptions!$F$18, Assumptions!$D$18, Assumptions!$D$19))</f>
        <v>40</v>
      </c>
      <c r="E4" s="257">
        <f>IF(E10&lt;=Assumptions!$F$17, Assumptions!$D$17, IF(E10&lt;=Assumptions!$F$18, Assumptions!$D$18, Assumptions!$D$19))</f>
        <v>40</v>
      </c>
      <c r="F4" s="257">
        <f>IF(F10&lt;=Assumptions!$F$17, Assumptions!$D$17, IF(F10&lt;=Assumptions!$F$18, Assumptions!$D$18, Assumptions!$D$19))</f>
        <v>40</v>
      </c>
      <c r="G4" s="257">
        <f>IF(G10&lt;=Assumptions!$F$17, Assumptions!$D$17, IF(G10&lt;=Assumptions!$F$18, Assumptions!$D$18, Assumptions!$D$19))</f>
        <v>250</v>
      </c>
      <c r="H4" s="257">
        <f>IF(H10&lt;=Assumptions!$F$17, Assumptions!$D$17, IF(H10&lt;=Assumptions!$F$18, Assumptions!$D$18, Assumptions!$D$19))</f>
        <v>250</v>
      </c>
      <c r="I4" s="257">
        <f>IF(I10&lt;=Assumptions!$F$17, Assumptions!$D$17, IF(I10&lt;=Assumptions!$F$18, Assumptions!$D$18, Assumptions!$D$19))</f>
        <v>250</v>
      </c>
      <c r="J4" s="257">
        <f>IF(J10&lt;=Assumptions!$F$17, Assumptions!$D$17, IF(J10&lt;=Assumptions!$F$18, Assumptions!$D$18, Assumptions!$D$19))</f>
        <v>250</v>
      </c>
      <c r="K4" s="257">
        <f>IF(K10&lt;=Assumptions!$F$17, Assumptions!$D$17, IF(K10&lt;=Assumptions!$F$18, Assumptions!$D$18, Assumptions!$D$19))</f>
        <v>250</v>
      </c>
      <c r="L4" s="257">
        <f>IF(L10&lt;=Assumptions!$F$17, Assumptions!$D$17, IF(L10&lt;=Assumptions!$F$18, Assumptions!$D$18, Assumptions!$D$19))</f>
        <v>250</v>
      </c>
      <c r="M4" s="257">
        <f>IF(M10&lt;=Assumptions!$F$17, Assumptions!$D$17, IF(M10&lt;=Assumptions!$F$18, Assumptions!$D$18, Assumptions!$D$19))</f>
        <v>500</v>
      </c>
      <c r="N4" s="257">
        <f>IF(N10&lt;=Assumptions!$F$17, Assumptions!$D$17, IF(N10&lt;=Assumptions!$F$18, Assumptions!$D$18, Assumptions!$D$19))</f>
        <v>500</v>
      </c>
      <c r="O4" s="257">
        <f>IF(O10&lt;=Assumptions!$F$17, Assumptions!$D$17, IF(O10&lt;=Assumptions!$F$18, Assumptions!$D$18, Assumptions!$D$19))</f>
        <v>500</v>
      </c>
      <c r="P4" s="257">
        <f>IF(P10&lt;=Assumptions!$F$17, Assumptions!$D$17, IF(P10&lt;=Assumptions!$F$18, Assumptions!$D$18, Assumptions!$D$19))</f>
        <v>500</v>
      </c>
      <c r="Q4" s="257">
        <f>IF(Q10&lt;=Assumptions!$F$17, Assumptions!$D$17, IF(Q10&lt;=Assumptions!$F$18, Assumptions!$D$18, Assumptions!$D$19))</f>
        <v>500</v>
      </c>
      <c r="R4" s="257">
        <f>IF(R10&lt;=Assumptions!$F$17, Assumptions!$D$17, IF(R10&lt;=Assumptions!$F$18, Assumptions!$D$18, Assumptions!$D$19))</f>
        <v>500</v>
      </c>
      <c r="S4" s="257">
        <f>IF(S10&lt;=Assumptions!$F$17, Assumptions!$D$17, IF(S10&lt;=Assumptions!$F$18, Assumptions!$D$18, Assumptions!$D$19))</f>
        <v>500</v>
      </c>
      <c r="T4" s="257">
        <f>IF(T10&lt;=Assumptions!$F$17, Assumptions!$D$17, IF(T10&lt;=Assumptions!$F$18, Assumptions!$D$18, Assumptions!$D$19))</f>
        <v>500</v>
      </c>
      <c r="U4" s="257">
        <f>IF(U10&lt;=Assumptions!$F$17, Assumptions!$D$17, IF(U10&lt;=Assumptions!$F$18, Assumptions!$D$18, Assumptions!$D$19))</f>
        <v>500</v>
      </c>
      <c r="V4" s="257">
        <f>IF(V10&lt;=Assumptions!$F$17, Assumptions!$D$17, IF(V10&lt;=Assumptions!$F$18, Assumptions!$D$18, Assumptions!$D$19))</f>
        <v>500</v>
      </c>
      <c r="W4" s="257">
        <f>IF(W10&lt;=Assumptions!$F$17, Assumptions!$D$17, IF(W10&lt;=Assumptions!$F$18, Assumptions!$D$18, Assumptions!$D$19))</f>
        <v>500</v>
      </c>
      <c r="X4" s="257">
        <f>IF(X10&lt;=Assumptions!$F$17, Assumptions!$D$17, IF(X10&lt;=Assumptions!$F$18, Assumptions!$D$18, Assumptions!$D$19))</f>
        <v>500</v>
      </c>
      <c r="Y4" s="257">
        <f>IF(Y10&lt;=Assumptions!$F$17, Assumptions!$D$17, IF(Y10&lt;=Assumptions!$F$18, Assumptions!$D$18, Assumptions!$D$19))</f>
        <v>500</v>
      </c>
      <c r="Z4" s="257">
        <f>IF(Z10&lt;=Assumptions!$F$17, Assumptions!$D$17, IF(Z10&lt;=Assumptions!$F$18, Assumptions!$D$18, Assumptions!$D$19))</f>
        <v>500</v>
      </c>
      <c r="AA4" s="257">
        <f>IF(AA10&lt;=Assumptions!$F$17, Assumptions!$D$17, IF(AA10&lt;=Assumptions!$F$18, Assumptions!$D$18, Assumptions!$D$19))</f>
        <v>500</v>
      </c>
      <c r="AB4" s="257">
        <f>IF(AB10&lt;=Assumptions!$F$17, Assumptions!$D$17, IF(AB10&lt;=Assumptions!$F$18, Assumptions!$D$18, Assumptions!$D$19))</f>
        <v>500</v>
      </c>
      <c r="AC4" s="257">
        <f>IF(AC10&lt;=Assumptions!$F$17, Assumptions!$D$17, IF(AC10&lt;=Assumptions!$F$18, Assumptions!$D$18, Assumptions!$D$19))</f>
        <v>500</v>
      </c>
      <c r="AD4" s="257">
        <f>IF(AD10&lt;=Assumptions!$F$17, Assumptions!$D$17, IF(AD10&lt;=Assumptions!$F$18, Assumptions!$D$18, Assumptions!$D$19))</f>
        <v>500</v>
      </c>
      <c r="AE4" s="257">
        <f>IF(AE10&lt;=Assumptions!$F$17, Assumptions!$D$17, IF(AE10&lt;=Assumptions!$F$18, Assumptions!$D$18, Assumptions!$D$19))</f>
        <v>500</v>
      </c>
      <c r="AF4" s="257">
        <f>IF(AF10&lt;=Assumptions!$F$17, Assumptions!$D$17, IF(AF10&lt;=Assumptions!$F$18, Assumptions!$D$18, Assumptions!$D$19))</f>
        <v>500</v>
      </c>
      <c r="AG4" s="257">
        <f>IF(AG10&lt;=Assumptions!$F$17, Assumptions!$D$17, IF(AG10&lt;=Assumptions!$F$18, Assumptions!$D$18, Assumptions!$D$19))</f>
        <v>500</v>
      </c>
      <c r="AH4" s="257">
        <f>IF(AH10&lt;=Assumptions!$F$17, Assumptions!$D$17, IF(AH10&lt;=Assumptions!$F$18, Assumptions!$D$18, Assumptions!$D$19))</f>
        <v>500</v>
      </c>
      <c r="AI4" s="257">
        <f>IF(AI10&lt;=Assumptions!$F$17, Assumptions!$D$17, IF(AI10&lt;=Assumptions!$F$18, Assumptions!$D$18, Assumptions!$D$19))</f>
        <v>500</v>
      </c>
      <c r="AJ4" s="257">
        <f>IF(AJ10&lt;=Assumptions!$F$17, Assumptions!$D$17, IF(AJ10&lt;=Assumptions!$F$18, Assumptions!$D$18, Assumptions!$D$19))</f>
        <v>500</v>
      </c>
      <c r="AK4" s="257">
        <f>IF(AK10&lt;=Assumptions!$F$17, Assumptions!$D$17, IF(AK10&lt;=Assumptions!$F$18, Assumptions!$D$18, Assumptions!$D$19))</f>
        <v>500</v>
      </c>
      <c r="AL4" s="257">
        <f>IF(AL10&lt;=Assumptions!$F$17, Assumptions!$D$17, IF(AL10&lt;=Assumptions!$F$18, Assumptions!$D$18, Assumptions!$D$19))</f>
        <v>500</v>
      </c>
      <c r="AM4" s="257">
        <f>IF(AM10&lt;=Assumptions!$F$17, Assumptions!$D$17, IF(AM10&lt;=Assumptions!$F$18, Assumptions!$D$18, Assumptions!$D$19))</f>
        <v>500</v>
      </c>
      <c r="AN4" s="257">
        <f>IF(AN10&lt;=Assumptions!$F$17, Assumptions!$D$17, IF(AN10&lt;=Assumptions!$F$18, Assumptions!$D$18, Assumptions!$D$19))</f>
        <v>500</v>
      </c>
      <c r="AO4" s="257">
        <f>IF(AO10&lt;=Assumptions!$F$17, Assumptions!$D$17, IF(AO10&lt;=Assumptions!$F$18, Assumptions!$D$18, Assumptions!$D$19))</f>
        <v>500</v>
      </c>
      <c r="AP4" s="257">
        <f>IF(AP10&lt;=Assumptions!$F$17, Assumptions!$D$17, IF(AP10&lt;=Assumptions!$F$18, Assumptions!$D$18, Assumptions!$D$19))</f>
        <v>500</v>
      </c>
      <c r="AQ4" s="257">
        <f>IF(AQ10&lt;=Assumptions!$F$17, Assumptions!$D$17, IF(AQ10&lt;=Assumptions!$F$18, Assumptions!$D$18, Assumptions!$D$19))</f>
        <v>500</v>
      </c>
      <c r="AR4" s="257">
        <f>IF(AR10&lt;=Assumptions!$F$17, Assumptions!$D$17, IF(AR10&lt;=Assumptions!$F$18, Assumptions!$D$18, Assumptions!$D$19))</f>
        <v>500</v>
      </c>
      <c r="AS4" s="257">
        <f>IF(AS10&lt;=Assumptions!$F$17, Assumptions!$D$17, IF(AS10&lt;=Assumptions!$F$18, Assumptions!$D$18, Assumptions!$D$19))</f>
        <v>500</v>
      </c>
      <c r="AT4" s="257">
        <f>IF(AT10&lt;=Assumptions!$F$17, Assumptions!$D$17, IF(AT10&lt;=Assumptions!$F$18, Assumptions!$D$18, Assumptions!$D$19))</f>
        <v>500</v>
      </c>
      <c r="AU4" s="257">
        <f>IF(AU10&lt;=Assumptions!$F$17, Assumptions!$D$17, IF(AU10&lt;=Assumptions!$F$18, Assumptions!$D$18, Assumptions!$D$19))</f>
        <v>500</v>
      </c>
      <c r="AV4" s="257">
        <f>IF(AV10&lt;=Assumptions!$F$17, Assumptions!$D$17, IF(AV10&lt;=Assumptions!$F$18, Assumptions!$D$18, Assumptions!$D$19))</f>
        <v>500</v>
      </c>
      <c r="AW4" s="257">
        <f>IF(AW10&lt;=Assumptions!$F$17, Assumptions!$D$17, IF(AW10&lt;=Assumptions!$F$18, Assumptions!$D$18, Assumptions!$D$19))</f>
        <v>500</v>
      </c>
      <c r="AX4" s="257">
        <f>IF(AX10&lt;=Assumptions!$F$17, Assumptions!$D$17, IF(AX10&lt;=Assumptions!$F$18, Assumptions!$D$18, Assumptions!$D$19))</f>
        <v>500</v>
      </c>
      <c r="AY4" s="257">
        <f>IF(AY10&lt;=Assumptions!$F$17, Assumptions!$D$17, IF(AY10&lt;=Assumptions!$F$18, Assumptions!$D$18, Assumptions!$D$19))</f>
        <v>500</v>
      </c>
      <c r="AZ4" s="257">
        <f>IF(AZ10&lt;=Assumptions!$F$17, Assumptions!$D$17, IF(AZ10&lt;=Assumptions!$F$18, Assumptions!$D$18, Assumptions!$D$19))</f>
        <v>500</v>
      </c>
      <c r="BA4" s="257">
        <f>IF(BA10&lt;=Assumptions!$F$17, Assumptions!$D$17, IF(BA10&lt;=Assumptions!$F$18, Assumptions!$D$18, Assumptions!$D$19))</f>
        <v>500</v>
      </c>
      <c r="BB4" s="257">
        <f>IF(BB10&lt;=Assumptions!$F$17, Assumptions!$D$17, IF(BB10&lt;=Assumptions!$F$18, Assumptions!$D$18, Assumptions!$D$19))</f>
        <v>500</v>
      </c>
      <c r="BC4" s="257">
        <f>IF(BC10&lt;=Assumptions!$F$17, Assumptions!$D$17, IF(BC10&lt;=Assumptions!$F$18, Assumptions!$D$18, Assumptions!$D$19))</f>
        <v>500</v>
      </c>
      <c r="BD4" s="257">
        <f>IF(BD10&lt;=Assumptions!$F$17, Assumptions!$D$17, IF(BD10&lt;=Assumptions!$F$18, Assumptions!$D$18, Assumptions!$D$19))</f>
        <v>500</v>
      </c>
      <c r="BE4" s="257">
        <f>IF(BE10&lt;=Assumptions!$F$17, Assumptions!$D$17, IF(BE10&lt;=Assumptions!$F$18, Assumptions!$D$18, Assumptions!$D$19))</f>
        <v>500</v>
      </c>
      <c r="BF4" s="257">
        <f>IF(BF10&lt;=Assumptions!$F$17, Assumptions!$D$17, IF(BF10&lt;=Assumptions!$F$18, Assumptions!$D$18, Assumptions!$D$19))</f>
        <v>500</v>
      </c>
      <c r="BG4" s="257">
        <f>IF(BG10&lt;=Assumptions!$F$17, Assumptions!$D$17, IF(BG10&lt;=Assumptions!$F$18, Assumptions!$D$18, Assumptions!$D$19))</f>
        <v>500</v>
      </c>
      <c r="BH4" s="257">
        <f>IF(BH10&lt;=Assumptions!$F$17, Assumptions!$D$17, IF(BH10&lt;=Assumptions!$F$18, Assumptions!$D$18, Assumptions!$D$19))</f>
        <v>500</v>
      </c>
      <c r="BI4" s="257">
        <f>IF(BI10&lt;=Assumptions!$F$17, Assumptions!$D$17, IF(BI10&lt;=Assumptions!$F$18, Assumptions!$D$18, Assumptions!$D$19))</f>
        <v>500</v>
      </c>
      <c r="BJ4" s="257">
        <f>IF(BJ10&lt;=Assumptions!$F$17, Assumptions!$D$17, IF(BJ10&lt;=Assumptions!$F$18, Assumptions!$D$18, Assumptions!$D$19))</f>
        <v>500</v>
      </c>
      <c r="BK4" s="257">
        <f>IF(BK10&lt;=Assumptions!$F$17, Assumptions!$D$17, IF(BK10&lt;=Assumptions!$F$18, Assumptions!$D$18, Assumptions!$D$19))</f>
        <v>500</v>
      </c>
      <c r="BL4" s="257">
        <f>IF(BL10&lt;=Assumptions!$F$17, Assumptions!$D$17, IF(BL10&lt;=Assumptions!$F$18, Assumptions!$D$18, Assumptions!$D$19))</f>
        <v>500</v>
      </c>
      <c r="BM4" s="257">
        <f>IF(BM10&lt;=Assumptions!$F$17, Assumptions!$D$17, IF(BM10&lt;=Assumptions!$F$18, Assumptions!$D$18, Assumptions!$D$19))</f>
        <v>500</v>
      </c>
      <c r="BN4" s="257">
        <f>IF(BN10&lt;=Assumptions!$F$17, Assumptions!$D$17, IF(BN10&lt;=Assumptions!$F$18, Assumptions!$D$18, Assumptions!$D$19))</f>
        <v>500</v>
      </c>
      <c r="BO4" s="257">
        <f>IF(BO10&lt;=Assumptions!$F$17, Assumptions!$D$17, IF(BO10&lt;=Assumptions!$F$18, Assumptions!$D$18, Assumptions!$D$19))</f>
        <v>500</v>
      </c>
      <c r="BP4" s="257">
        <f>IF(BP10&lt;=Assumptions!$F$17, Assumptions!$D$17, IF(BP10&lt;=Assumptions!$F$18, Assumptions!$D$18, Assumptions!$D$19))</f>
        <v>500</v>
      </c>
      <c r="BQ4" s="257">
        <f>IF(BQ10&lt;=Assumptions!$F$17, Assumptions!$D$17, IF(BQ10&lt;=Assumptions!$F$18, Assumptions!$D$18, Assumptions!$D$19))</f>
        <v>500</v>
      </c>
      <c r="BR4" s="257">
        <f>IF(BR10&lt;=Assumptions!$F$17, Assumptions!$D$17, IF(BR10&lt;=Assumptions!$F$18, Assumptions!$D$18, Assumptions!$D$19))</f>
        <v>500</v>
      </c>
      <c r="BS4" s="257">
        <f>IF(BS10&lt;=Assumptions!$F$17, Assumptions!$D$17, IF(BS10&lt;=Assumptions!$F$18, Assumptions!$D$18, Assumptions!$D$19))</f>
        <v>500</v>
      </c>
      <c r="BT4" s="257">
        <f>IF(BT10&lt;=Assumptions!$F$17, Assumptions!$D$17, IF(BT10&lt;=Assumptions!$F$18, Assumptions!$D$18, Assumptions!$D$19))</f>
        <v>500</v>
      </c>
      <c r="BU4" s="257">
        <f>IF(BU10&lt;=Assumptions!$F$17, Assumptions!$D$17, IF(BU10&lt;=Assumptions!$F$18, Assumptions!$D$18, Assumptions!$D$19))</f>
        <v>500</v>
      </c>
      <c r="BV4" s="257">
        <f>IF(BV10&lt;=Assumptions!$F$17, Assumptions!$D$17, IF(BV10&lt;=Assumptions!$F$18, Assumptions!$D$18, Assumptions!$D$19))</f>
        <v>500</v>
      </c>
      <c r="BW4" s="257">
        <f>IF(BW10&lt;=Assumptions!$F$17, Assumptions!$D$17, IF(BW10&lt;=Assumptions!$F$18, Assumptions!$D$18, Assumptions!$D$19))</f>
        <v>500</v>
      </c>
      <c r="BX4" s="257">
        <f>IF(BX10&lt;=Assumptions!$F$17, Assumptions!$D$17, IF(BX10&lt;=Assumptions!$F$18, Assumptions!$D$18, Assumptions!$D$19))</f>
        <v>500</v>
      </c>
      <c r="BY4" s="257">
        <f>IF(BY10&lt;=Assumptions!$F$17, Assumptions!$D$17, IF(BY10&lt;=Assumptions!$F$18, Assumptions!$D$18, Assumptions!$D$19))</f>
        <v>500</v>
      </c>
      <c r="BZ4" s="257">
        <f>IF(BZ10&lt;=Assumptions!$F$17, Assumptions!$D$17, IF(BZ10&lt;=Assumptions!$F$18, Assumptions!$D$18, Assumptions!$D$19))</f>
        <v>500</v>
      </c>
      <c r="CA4" s="257">
        <f>IF(CA10&lt;=Assumptions!$F$17, Assumptions!$D$17, IF(CA10&lt;=Assumptions!$F$18, Assumptions!$D$18, Assumptions!$D$19))</f>
        <v>500</v>
      </c>
      <c r="CB4" s="257">
        <f>IF(CB10&lt;=Assumptions!$F$17, Assumptions!$D$17, IF(CB10&lt;=Assumptions!$F$18, Assumptions!$D$18, Assumptions!$D$19))</f>
        <v>500</v>
      </c>
      <c r="CC4" s="257">
        <f>IF(CC10&lt;=Assumptions!$F$17, Assumptions!$D$17, IF(CC10&lt;=Assumptions!$F$18, Assumptions!$D$18, Assumptions!$D$19))</f>
        <v>500</v>
      </c>
      <c r="CD4" s="257">
        <f>IF(CD10&lt;=Assumptions!$F$17, Assumptions!$D$17, IF(CD10&lt;=Assumptions!$F$18, Assumptions!$D$18, Assumptions!$D$19))</f>
        <v>500</v>
      </c>
      <c r="CE4" s="257">
        <f>IF(CE10&lt;=Assumptions!$F$17, Assumptions!$D$17, IF(CE10&lt;=Assumptions!$F$18, Assumptions!$D$18, Assumptions!$D$19))</f>
        <v>500</v>
      </c>
      <c r="CF4" s="257">
        <f>IF(CF10&lt;=Assumptions!$F$17, Assumptions!$D$17, IF(CF10&lt;=Assumptions!$F$18, Assumptions!$D$18, Assumptions!$D$19))</f>
        <v>500</v>
      </c>
      <c r="CG4" s="257">
        <f>IF(CG10&lt;=Assumptions!$F$17, Assumptions!$D$17, IF(CG10&lt;=Assumptions!$F$18, Assumptions!$D$18, Assumptions!$D$19))</f>
        <v>500</v>
      </c>
      <c r="CH4" s="257">
        <f>IF(CH10&lt;=Assumptions!$F$17, Assumptions!$D$17, IF(CH10&lt;=Assumptions!$F$18, Assumptions!$D$18, Assumptions!$D$19))</f>
        <v>500</v>
      </c>
      <c r="CI4" s="257">
        <f>IF(CI10&lt;=Assumptions!$F$17, Assumptions!$D$17, IF(CI10&lt;=Assumptions!$F$18, Assumptions!$D$18, Assumptions!$D$19))</f>
        <v>500</v>
      </c>
      <c r="CJ4" s="257">
        <f>IF(CJ10&lt;=Assumptions!$F$17, Assumptions!$D$17, IF(CJ10&lt;=Assumptions!$F$18, Assumptions!$D$18, Assumptions!$D$19))</f>
        <v>500</v>
      </c>
      <c r="CK4" s="257">
        <f>IF(CK10&lt;=Assumptions!$F$17, Assumptions!$D$17, IF(CK10&lt;=Assumptions!$F$18, Assumptions!$D$18, Assumptions!$D$19))</f>
        <v>500</v>
      </c>
      <c r="CL4" s="257">
        <f>IF(CL10&lt;=Assumptions!$F$17, Assumptions!$D$17, IF(CL10&lt;=Assumptions!$F$18, Assumptions!$D$18, Assumptions!$D$19))</f>
        <v>500</v>
      </c>
      <c r="CM4" s="257">
        <f>IF(CM10&lt;=Assumptions!$F$17, Assumptions!$D$17, IF(CM10&lt;=Assumptions!$F$18, Assumptions!$D$18, Assumptions!$D$19))</f>
        <v>500</v>
      </c>
      <c r="CN4" s="257">
        <f>IF(CN10&lt;=Assumptions!$F$17, Assumptions!$D$17, IF(CN10&lt;=Assumptions!$F$18, Assumptions!$D$18, Assumptions!$D$19))</f>
        <v>500</v>
      </c>
      <c r="CO4" s="257">
        <f>IF(CO10&lt;=Assumptions!$F$17, Assumptions!$D$17, IF(CO10&lt;=Assumptions!$F$18, Assumptions!$D$18, Assumptions!$D$19))</f>
        <v>500</v>
      </c>
      <c r="CP4" s="257">
        <f>IF(CP10&lt;=Assumptions!$F$17, Assumptions!$D$17, IF(CP10&lt;=Assumptions!$F$18, Assumptions!$D$18, Assumptions!$D$19))</f>
        <v>500</v>
      </c>
      <c r="CQ4" s="257">
        <f>IF(CQ10&lt;=Assumptions!$F$17, Assumptions!$D$17, IF(CQ10&lt;=Assumptions!$F$18, Assumptions!$D$18, Assumptions!$D$19))</f>
        <v>500</v>
      </c>
      <c r="CR4" s="257">
        <f>IF(CR10&lt;=Assumptions!$F$17, Assumptions!$D$17, IF(CR10&lt;=Assumptions!$F$18, Assumptions!$D$18, Assumptions!$D$19))</f>
        <v>500</v>
      </c>
      <c r="CS4" s="257">
        <f>IF(CS10&lt;=Assumptions!$F$17, Assumptions!$D$17, IF(CS10&lt;=Assumptions!$F$18, Assumptions!$D$18, Assumptions!$D$19))</f>
        <v>500</v>
      </c>
      <c r="CT4" s="257">
        <f>IF(CT10&lt;=Assumptions!$F$17, Assumptions!$D$17, IF(CT10&lt;=Assumptions!$F$18, Assumptions!$D$18, Assumptions!$D$19))</f>
        <v>500</v>
      </c>
      <c r="CU4" s="257">
        <f>IF(CU10&lt;=Assumptions!$F$17, Assumptions!$D$17, IF(CU10&lt;=Assumptions!$F$18, Assumptions!$D$18, Assumptions!$D$19))</f>
        <v>500</v>
      </c>
      <c r="CV4" s="257">
        <f>IF(CV10&lt;=Assumptions!$F$17, Assumptions!$D$17, IF(CV10&lt;=Assumptions!$F$18, Assumptions!$D$18, Assumptions!$D$19))</f>
        <v>500</v>
      </c>
      <c r="CW4" s="257">
        <f>IF(CW10&lt;=Assumptions!$F$17, Assumptions!$D$17, IF(CW10&lt;=Assumptions!$F$18, Assumptions!$D$18, Assumptions!$D$19))</f>
        <v>500</v>
      </c>
      <c r="CX4" s="257">
        <f>IF(CX10&lt;=Assumptions!$F$17, Assumptions!$D$17, IF(CX10&lt;=Assumptions!$F$18, Assumptions!$D$18, Assumptions!$D$19))</f>
        <v>500</v>
      </c>
      <c r="CY4" s="257">
        <f>IF(CY10&lt;=Assumptions!$F$17, Assumptions!$D$17, IF(CY10&lt;=Assumptions!$F$18, Assumptions!$D$18, Assumptions!$D$19))</f>
        <v>500</v>
      </c>
      <c r="CZ4" s="257">
        <f>IF(CZ10&lt;=Assumptions!$F$17, Assumptions!$D$17, IF(CZ10&lt;=Assumptions!$F$18, Assumptions!$D$18, Assumptions!$D$19))</f>
        <v>500</v>
      </c>
      <c r="DA4" s="257">
        <f>IF(DA10&lt;=Assumptions!$F$17, Assumptions!$D$17, IF(DA10&lt;=Assumptions!$F$18, Assumptions!$D$18, Assumptions!$D$19))</f>
        <v>500</v>
      </c>
      <c r="DB4" s="257">
        <f>IF(DB10&lt;=Assumptions!$F$17, Assumptions!$D$17, IF(DB10&lt;=Assumptions!$F$18, Assumptions!$D$18, Assumptions!$D$19))</f>
        <v>500</v>
      </c>
      <c r="DC4" s="257">
        <f>IF(DC10&lt;=Assumptions!$F$17, Assumptions!$D$17, IF(DC10&lt;=Assumptions!$F$18, Assumptions!$D$18, Assumptions!$D$19))</f>
        <v>500</v>
      </c>
      <c r="DD4" s="257">
        <f>IF(DD10&lt;=Assumptions!$F$17, Assumptions!$D$17, IF(DD10&lt;=Assumptions!$F$18, Assumptions!$D$18, Assumptions!$D$19))</f>
        <v>500</v>
      </c>
      <c r="DE4" s="257">
        <f>IF(DE10&lt;=Assumptions!$F$17, Assumptions!$D$17, IF(DE10&lt;=Assumptions!$F$18, Assumptions!$D$18, Assumptions!$D$19))</f>
        <v>500</v>
      </c>
      <c r="DF4" s="257">
        <f>IF(DF10&lt;=Assumptions!$F$17, Assumptions!$D$17, IF(DF10&lt;=Assumptions!$F$18, Assumptions!$D$18, Assumptions!$D$19))</f>
        <v>500</v>
      </c>
      <c r="DG4" s="257">
        <f>IF(DG10&lt;=Assumptions!$F$17, Assumptions!$D$17, IF(DG10&lt;=Assumptions!$F$18, Assumptions!$D$18, Assumptions!$D$19))</f>
        <v>500</v>
      </c>
      <c r="DH4" s="257">
        <f>IF(DH10&lt;=Assumptions!$F$17, Assumptions!$D$17, IF(DH10&lt;=Assumptions!$F$18, Assumptions!$D$18, Assumptions!$D$19))</f>
        <v>500</v>
      </c>
      <c r="DI4" s="257">
        <f>IF(DI10&lt;=Assumptions!$F$17, Assumptions!$D$17, IF(DI10&lt;=Assumptions!$F$18, Assumptions!$D$18, Assumptions!$D$19))</f>
        <v>500</v>
      </c>
      <c r="DJ4" s="257">
        <f>IF(DJ10&lt;=Assumptions!$F$17, Assumptions!$D$17, IF(DJ10&lt;=Assumptions!$F$18, Assumptions!$D$18, Assumptions!$D$19))</f>
        <v>500</v>
      </c>
      <c r="DK4" s="257">
        <f>IF(DK10&lt;=Assumptions!$F$17, Assumptions!$D$17, IF(DK10&lt;=Assumptions!$F$18, Assumptions!$D$18, Assumptions!$D$19))</f>
        <v>500</v>
      </c>
      <c r="DL4" s="257">
        <f>IF(DL10&lt;=Assumptions!$F$17, Assumptions!$D$17, IF(DL10&lt;=Assumptions!$F$18, Assumptions!$D$18, Assumptions!$D$19))</f>
        <v>500</v>
      </c>
      <c r="DM4" s="257">
        <f>IF(DM10&lt;=Assumptions!$F$17, Assumptions!$D$17, IF(DM10&lt;=Assumptions!$F$18, Assumptions!$D$18, Assumptions!$D$19))</f>
        <v>500</v>
      </c>
      <c r="DN4" s="257">
        <f>IF(DN10&lt;=Assumptions!$F$17, Assumptions!$D$17, IF(DN10&lt;=Assumptions!$F$18, Assumptions!$D$18, Assumptions!$D$19))</f>
        <v>500</v>
      </c>
      <c r="DO4" s="257">
        <f>IF(DO10&lt;=Assumptions!$F$17, Assumptions!$D$17, IF(DO10&lt;=Assumptions!$F$18, Assumptions!$D$18, Assumptions!$D$19))</f>
        <v>500</v>
      </c>
      <c r="DP4" s="257">
        <f>IF(DP10&lt;=Assumptions!$F$17, Assumptions!$D$17, IF(DP10&lt;=Assumptions!$F$18, Assumptions!$D$18, Assumptions!$D$19))</f>
        <v>500</v>
      </c>
      <c r="DQ4" s="257">
        <f>IF(DQ10&lt;=Assumptions!$F$17, Assumptions!$D$17, IF(DQ10&lt;=Assumptions!$F$18, Assumptions!$D$18, Assumptions!$D$19))</f>
        <v>500</v>
      </c>
      <c r="DR4" s="257">
        <f>IF(DR10&lt;=Assumptions!$F$17, Assumptions!$D$17, IF(DR10&lt;=Assumptions!$F$18, Assumptions!$D$18, Assumptions!$D$19))</f>
        <v>500</v>
      </c>
      <c r="DS4" s="257">
        <f>IF(DS10&lt;=Assumptions!$F$17, Assumptions!$D$17, IF(DS10&lt;=Assumptions!$F$18, Assumptions!$D$18, Assumptions!$D$19))</f>
        <v>500</v>
      </c>
      <c r="DT4" s="257">
        <f>IF(DT10&lt;=Assumptions!$F$17, Assumptions!$D$17, IF(DT10&lt;=Assumptions!$F$18, Assumptions!$D$18, Assumptions!$D$19))</f>
        <v>500</v>
      </c>
      <c r="DU4" s="257">
        <f>IF(DU10&lt;=Assumptions!$F$17, Assumptions!$D$17, IF(DU10&lt;=Assumptions!$F$18, Assumptions!$D$18, Assumptions!$D$19))</f>
        <v>500</v>
      </c>
      <c r="DV4" s="257">
        <f>IF(DV10&lt;=Assumptions!$F$17, Assumptions!$D$17, IF(DV10&lt;=Assumptions!$F$18, Assumptions!$D$18, Assumptions!$D$19))</f>
        <v>500</v>
      </c>
      <c r="DW4" s="257">
        <f>IF(DW10&lt;=Assumptions!$F$17, Assumptions!$D$17, IF(DW10&lt;=Assumptions!$F$18, Assumptions!$D$18, Assumptions!$D$19))</f>
        <v>500</v>
      </c>
    </row>
    <row r="5" spans="2:127" x14ac:dyDescent="0.3">
      <c r="B5" s="52" t="s">
        <v>174</v>
      </c>
      <c r="C5" s="114" t="str">
        <f>IF(C10&lt;=Assumptions!$C$8,"No","Yes")</f>
        <v>No</v>
      </c>
      <c r="D5" s="114" t="str">
        <f>IF(D10&lt;=Assumptions!$C$8,"No","Yes")</f>
        <v>No</v>
      </c>
      <c r="E5" s="114" t="str">
        <f>IF(E10&lt;=Assumptions!$C$8,"No","Yes")</f>
        <v>Yes</v>
      </c>
      <c r="F5" s="114" t="str">
        <f>IF(F10&lt;=Assumptions!$C$8,"No","Yes")</f>
        <v>Yes</v>
      </c>
      <c r="G5" s="114" t="str">
        <f>IF(G10&lt;=Assumptions!$C$8,"No","Yes")</f>
        <v>Yes</v>
      </c>
      <c r="H5" s="114" t="str">
        <f>IF(H10&lt;=Assumptions!$C$8,"No","Yes")</f>
        <v>Yes</v>
      </c>
      <c r="I5" s="114" t="str">
        <f>IF(I10&lt;=Assumptions!$C$8,"No","Yes")</f>
        <v>Yes</v>
      </c>
      <c r="J5" s="114" t="str">
        <f>IF(J10&lt;=Assumptions!$C$8,"No","Yes")</f>
        <v>Yes</v>
      </c>
      <c r="K5" s="114" t="str">
        <f>IF(K10&lt;=Assumptions!$C$8,"No","Yes")</f>
        <v>Yes</v>
      </c>
      <c r="L5" s="114" t="str">
        <f>IF(L10&lt;=Assumptions!$C$8,"No","Yes")</f>
        <v>Yes</v>
      </c>
      <c r="M5" s="114" t="str">
        <f>IF(M10&lt;=Assumptions!$C$8,"No","Yes")</f>
        <v>Yes</v>
      </c>
      <c r="N5" s="114" t="str">
        <f>IF(N10&lt;=Assumptions!$C$8,"No","Yes")</f>
        <v>Yes</v>
      </c>
      <c r="O5" s="114" t="str">
        <f>IF(O10&lt;=Assumptions!$C$8,"No","Yes")</f>
        <v>Yes</v>
      </c>
      <c r="P5" s="114" t="str">
        <f>IF(P10&lt;=Assumptions!$C$8,"No","Yes")</f>
        <v>Yes</v>
      </c>
      <c r="Q5" s="114" t="str">
        <f>IF(Q10&lt;=Assumptions!$C$8,"No","Yes")</f>
        <v>Yes</v>
      </c>
      <c r="R5" s="114" t="str">
        <f>IF(R10&lt;=Assumptions!$C$8,"No","Yes")</f>
        <v>Yes</v>
      </c>
      <c r="S5" s="114" t="str">
        <f>IF(S10&lt;=Assumptions!$C$8,"No","Yes")</f>
        <v>Yes</v>
      </c>
      <c r="T5" s="114" t="str">
        <f>IF(T10&lt;=Assumptions!$C$8,"No","Yes")</f>
        <v>Yes</v>
      </c>
      <c r="U5" s="114" t="str">
        <f>IF(U10&lt;=Assumptions!$C$8,"No","Yes")</f>
        <v>Yes</v>
      </c>
      <c r="V5" s="114" t="str">
        <f>IF(V10&lt;=Assumptions!$C$8,"No","Yes")</f>
        <v>Yes</v>
      </c>
      <c r="W5" s="114" t="str">
        <f>IF(W10&lt;=Assumptions!$C$8,"No","Yes")</f>
        <v>Yes</v>
      </c>
      <c r="X5" s="114" t="str">
        <f>IF(X10&lt;=Assumptions!$C$8,"No","Yes")</f>
        <v>Yes</v>
      </c>
      <c r="Y5" s="114" t="str">
        <f>IF(Y10&lt;=Assumptions!$C$8,"No","Yes")</f>
        <v>Yes</v>
      </c>
      <c r="Z5" s="114" t="str">
        <f>IF(Z10&lt;=Assumptions!$C$8,"No","Yes")</f>
        <v>Yes</v>
      </c>
      <c r="AA5" s="114" t="str">
        <f>IF(AA10&lt;=Assumptions!$C$8,"No","Yes")</f>
        <v>Yes</v>
      </c>
      <c r="AB5" s="114" t="str">
        <f>IF(AB10&lt;=Assumptions!$C$8,"No","Yes")</f>
        <v>Yes</v>
      </c>
      <c r="AC5" s="114" t="str">
        <f>IF(AC10&lt;=Assumptions!$C$8,"No","Yes")</f>
        <v>Yes</v>
      </c>
      <c r="AD5" s="114" t="str">
        <f>IF(AD10&lt;=Assumptions!$C$8,"No","Yes")</f>
        <v>Yes</v>
      </c>
      <c r="AE5" s="114" t="str">
        <f>IF(AE10&lt;=Assumptions!$C$8,"No","Yes")</f>
        <v>Yes</v>
      </c>
      <c r="AF5" s="114" t="str">
        <f>IF(AF10&lt;=Assumptions!$C$8,"No","Yes")</f>
        <v>Yes</v>
      </c>
      <c r="AG5" s="114" t="str">
        <f>IF(AG10&lt;=Assumptions!$C$8,"No","Yes")</f>
        <v>Yes</v>
      </c>
      <c r="AH5" s="114" t="str">
        <f>IF(AH10&lt;=Assumptions!$C$8,"No","Yes")</f>
        <v>Yes</v>
      </c>
      <c r="AI5" s="114" t="str">
        <f>IF(AI10&lt;=Assumptions!$C$8,"No","Yes")</f>
        <v>Yes</v>
      </c>
      <c r="AJ5" s="114" t="str">
        <f>IF(AJ10&lt;=Assumptions!$C$8,"No","Yes")</f>
        <v>Yes</v>
      </c>
      <c r="AK5" s="114" t="str">
        <f>IF(AK10&lt;=Assumptions!$C$8,"No","Yes")</f>
        <v>Yes</v>
      </c>
      <c r="AL5" s="114" t="str">
        <f>IF(AL10&lt;=Assumptions!$C$8,"No","Yes")</f>
        <v>Yes</v>
      </c>
      <c r="AM5" s="114" t="str">
        <f>IF(AM10&lt;=Assumptions!$C$8,"No","Yes")</f>
        <v>Yes</v>
      </c>
      <c r="AN5" s="114" t="str">
        <f>IF(AN10&lt;=Assumptions!$C$8,"No","Yes")</f>
        <v>Yes</v>
      </c>
      <c r="AO5" s="114" t="str">
        <f>IF(AO10&lt;=Assumptions!$C$8,"No","Yes")</f>
        <v>Yes</v>
      </c>
      <c r="AP5" s="114" t="str">
        <f>IF(AP10&lt;=Assumptions!$C$8,"No","Yes")</f>
        <v>Yes</v>
      </c>
      <c r="AQ5" s="114" t="str">
        <f>IF(AQ10&lt;=Assumptions!$C$8,"No","Yes")</f>
        <v>Yes</v>
      </c>
      <c r="AR5" s="114" t="str">
        <f>IF(AR10&lt;=Assumptions!$C$8,"No","Yes")</f>
        <v>Yes</v>
      </c>
      <c r="AS5" s="114" t="str">
        <f>IF(AS10&lt;=Assumptions!$C$8,"No","Yes")</f>
        <v>Yes</v>
      </c>
      <c r="AT5" s="114" t="str">
        <f>IF(AT10&lt;=Assumptions!$C$8,"No","Yes")</f>
        <v>Yes</v>
      </c>
      <c r="AU5" s="114" t="str">
        <f>IF(AU10&lt;=Assumptions!$C$8,"No","Yes")</f>
        <v>Yes</v>
      </c>
      <c r="AV5" s="114" t="str">
        <f>IF(AV10&lt;=Assumptions!$C$8,"No","Yes")</f>
        <v>Yes</v>
      </c>
      <c r="AW5" s="114" t="str">
        <f>IF(AW10&lt;=Assumptions!$C$8,"No","Yes")</f>
        <v>Yes</v>
      </c>
      <c r="AX5" s="114" t="str">
        <f>IF(AX10&lt;=Assumptions!$C$8,"No","Yes")</f>
        <v>Yes</v>
      </c>
      <c r="AY5" s="114" t="str">
        <f>IF(AY10&lt;=Assumptions!$C$8,"No","Yes")</f>
        <v>Yes</v>
      </c>
      <c r="AZ5" s="114" t="str">
        <f>IF(AZ10&lt;=Assumptions!$C$8,"No","Yes")</f>
        <v>Yes</v>
      </c>
      <c r="BA5" s="114" t="str">
        <f>IF(BA10&lt;=Assumptions!$C$8,"No","Yes")</f>
        <v>Yes</v>
      </c>
      <c r="BB5" s="114" t="str">
        <f>IF(BB10&lt;=Assumptions!$C$8,"No","Yes")</f>
        <v>Yes</v>
      </c>
      <c r="BC5" s="114" t="str">
        <f>IF(BC10&lt;=Assumptions!$C$8,"No","Yes")</f>
        <v>Yes</v>
      </c>
      <c r="BD5" s="114" t="str">
        <f>IF(BD10&lt;=Assumptions!$C$8,"No","Yes")</f>
        <v>Yes</v>
      </c>
      <c r="BE5" s="114" t="str">
        <f>IF(BE10&lt;=Assumptions!$C$8,"No","Yes")</f>
        <v>Yes</v>
      </c>
      <c r="BF5" s="114" t="str">
        <f>IF(BF10&lt;=Assumptions!$C$8,"No","Yes")</f>
        <v>Yes</v>
      </c>
      <c r="BG5" s="114" t="str">
        <f>IF(BG10&lt;=Assumptions!$C$8,"No","Yes")</f>
        <v>Yes</v>
      </c>
      <c r="BH5" s="114" t="str">
        <f>IF(BH10&lt;=Assumptions!$C$8,"No","Yes")</f>
        <v>Yes</v>
      </c>
      <c r="BI5" s="114" t="str">
        <f>IF(BI10&lt;=Assumptions!$C$8,"No","Yes")</f>
        <v>Yes</v>
      </c>
      <c r="BJ5" s="114" t="str">
        <f>IF(BJ10&lt;=Assumptions!$C$8,"No","Yes")</f>
        <v>Yes</v>
      </c>
      <c r="BK5" s="114" t="str">
        <f>IF(BK10&lt;=Assumptions!$C$8,"No","Yes")</f>
        <v>Yes</v>
      </c>
      <c r="BL5" s="114" t="str">
        <f>IF(BL10&lt;=Assumptions!$C$8,"No","Yes")</f>
        <v>Yes</v>
      </c>
      <c r="BM5" s="114" t="str">
        <f>IF(BM10&lt;=Assumptions!$C$8,"No","Yes")</f>
        <v>Yes</v>
      </c>
      <c r="BN5" s="114" t="str">
        <f>IF(BN10&lt;=Assumptions!$C$8,"No","Yes")</f>
        <v>Yes</v>
      </c>
      <c r="BO5" s="114" t="str">
        <f>IF(BO10&lt;=Assumptions!$C$8,"No","Yes")</f>
        <v>Yes</v>
      </c>
      <c r="BP5" s="114" t="str">
        <f>IF(BP10&lt;=Assumptions!$C$8,"No","Yes")</f>
        <v>Yes</v>
      </c>
      <c r="BQ5" s="114" t="str">
        <f>IF(BQ10&lt;=Assumptions!$C$8,"No","Yes")</f>
        <v>Yes</v>
      </c>
      <c r="BR5" s="114" t="str">
        <f>IF(BR10&lt;=Assumptions!$C$8,"No","Yes")</f>
        <v>Yes</v>
      </c>
      <c r="BS5" s="114" t="str">
        <f>IF(BS10&lt;=Assumptions!$C$8,"No","Yes")</f>
        <v>Yes</v>
      </c>
      <c r="BT5" s="114" t="str">
        <f>IF(BT10&lt;=Assumptions!$C$8,"No","Yes")</f>
        <v>Yes</v>
      </c>
      <c r="BU5" s="114" t="str">
        <f>IF(BU10&lt;=Assumptions!$C$8,"No","Yes")</f>
        <v>Yes</v>
      </c>
      <c r="BV5" s="114" t="str">
        <f>IF(BV10&lt;=Assumptions!$C$8,"No","Yes")</f>
        <v>Yes</v>
      </c>
      <c r="BW5" s="114" t="str">
        <f>IF(BW10&lt;=Assumptions!$C$8,"No","Yes")</f>
        <v>Yes</v>
      </c>
      <c r="BX5" s="114" t="str">
        <f>IF(BX10&lt;=Assumptions!$C$8,"No","Yes")</f>
        <v>Yes</v>
      </c>
      <c r="BY5" s="114" t="str">
        <f>IF(BY10&lt;=Assumptions!$C$8,"No","Yes")</f>
        <v>Yes</v>
      </c>
      <c r="BZ5" s="114" t="str">
        <f>IF(BZ10&lt;=Assumptions!$C$8,"No","Yes")</f>
        <v>Yes</v>
      </c>
      <c r="CA5" s="114" t="str">
        <f>IF(CA10&lt;=Assumptions!$C$8,"No","Yes")</f>
        <v>Yes</v>
      </c>
      <c r="CB5" s="114" t="str">
        <f>IF(CB10&lt;=Assumptions!$C$8,"No","Yes")</f>
        <v>Yes</v>
      </c>
      <c r="CC5" s="114" t="str">
        <f>IF(CC10&lt;=Assumptions!$C$8,"No","Yes")</f>
        <v>Yes</v>
      </c>
      <c r="CD5" s="114" t="str">
        <f>IF(CD10&lt;=Assumptions!$C$8,"No","Yes")</f>
        <v>Yes</v>
      </c>
      <c r="CE5" s="114" t="str">
        <f>IF(CE10&lt;=Assumptions!$C$8,"No","Yes")</f>
        <v>Yes</v>
      </c>
      <c r="CF5" s="114" t="str">
        <f>IF(CF10&lt;=Assumptions!$C$8,"No","Yes")</f>
        <v>Yes</v>
      </c>
      <c r="CG5" s="114" t="str">
        <f>IF(CG10&lt;=Assumptions!$C$8,"No","Yes")</f>
        <v>Yes</v>
      </c>
      <c r="CH5" s="114" t="str">
        <f>IF(CH10&lt;=Assumptions!$C$8,"No","Yes")</f>
        <v>Yes</v>
      </c>
      <c r="CI5" s="114" t="str">
        <f>IF(CI10&lt;=Assumptions!$C$8,"No","Yes")</f>
        <v>Yes</v>
      </c>
      <c r="CJ5" s="114" t="str">
        <f>IF(CJ10&lt;=Assumptions!$C$8,"No","Yes")</f>
        <v>Yes</v>
      </c>
      <c r="CK5" s="114" t="str">
        <f>IF(CK10&lt;=Assumptions!$C$8,"No","Yes")</f>
        <v>Yes</v>
      </c>
      <c r="CL5" s="114" t="str">
        <f>IF(CL10&lt;=Assumptions!$C$8,"No","Yes")</f>
        <v>Yes</v>
      </c>
      <c r="CM5" s="114" t="str">
        <f>IF(CM10&lt;=Assumptions!$C$8,"No","Yes")</f>
        <v>Yes</v>
      </c>
      <c r="CN5" s="114" t="str">
        <f>IF(CN10&lt;=Assumptions!$C$8,"No","Yes")</f>
        <v>Yes</v>
      </c>
      <c r="CO5" s="114" t="str">
        <f>IF(CO10&lt;=Assumptions!$C$8,"No","Yes")</f>
        <v>Yes</v>
      </c>
      <c r="CP5" s="114" t="str">
        <f>IF(CP10&lt;=Assumptions!$C$8,"No","Yes")</f>
        <v>Yes</v>
      </c>
      <c r="CQ5" s="114" t="str">
        <f>IF(CQ10&lt;=Assumptions!$C$8,"No","Yes")</f>
        <v>Yes</v>
      </c>
      <c r="CR5" s="114" t="str">
        <f>IF(CR10&lt;=Assumptions!$C$8,"No","Yes")</f>
        <v>Yes</v>
      </c>
      <c r="CS5" s="114" t="str">
        <f>IF(CS10&lt;=Assumptions!$C$8,"No","Yes")</f>
        <v>Yes</v>
      </c>
      <c r="CT5" s="114" t="str">
        <f>IF(CT10&lt;=Assumptions!$C$8,"No","Yes")</f>
        <v>Yes</v>
      </c>
      <c r="CU5" s="114" t="str">
        <f>IF(CU10&lt;=Assumptions!$C$8,"No","Yes")</f>
        <v>Yes</v>
      </c>
      <c r="CV5" s="114" t="str">
        <f>IF(CV10&lt;=Assumptions!$C$8,"No","Yes")</f>
        <v>Yes</v>
      </c>
      <c r="CW5" s="114" t="str">
        <f>IF(CW10&lt;=Assumptions!$C$8,"No","Yes")</f>
        <v>Yes</v>
      </c>
      <c r="CX5" s="114" t="str">
        <f>IF(CX10&lt;=Assumptions!$C$8,"No","Yes")</f>
        <v>Yes</v>
      </c>
      <c r="CY5" s="114" t="str">
        <f>IF(CY10&lt;=Assumptions!$C$8,"No","Yes")</f>
        <v>Yes</v>
      </c>
      <c r="CZ5" s="114" t="str">
        <f>IF(CZ10&lt;=Assumptions!$C$8,"No","Yes")</f>
        <v>Yes</v>
      </c>
      <c r="DA5" s="114" t="str">
        <f>IF(DA10&lt;=Assumptions!$C$8,"No","Yes")</f>
        <v>Yes</v>
      </c>
      <c r="DB5" s="114" t="str">
        <f>IF(DB10&lt;=Assumptions!$C$8,"No","Yes")</f>
        <v>Yes</v>
      </c>
      <c r="DC5" s="114" t="str">
        <f>IF(DC10&lt;=Assumptions!$C$8,"No","Yes")</f>
        <v>Yes</v>
      </c>
      <c r="DD5" s="114" t="str">
        <f>IF(DD10&lt;=Assumptions!$C$8,"No","Yes")</f>
        <v>Yes</v>
      </c>
      <c r="DE5" s="114" t="str">
        <f>IF(DE10&lt;=Assumptions!$C$8,"No","Yes")</f>
        <v>Yes</v>
      </c>
      <c r="DF5" s="114" t="str">
        <f>IF(DF10&lt;=Assumptions!$C$8,"No","Yes")</f>
        <v>Yes</v>
      </c>
      <c r="DG5" s="114" t="str">
        <f>IF(DG10&lt;=Assumptions!$C$8,"No","Yes")</f>
        <v>Yes</v>
      </c>
      <c r="DH5" s="114" t="str">
        <f>IF(DH10&lt;=Assumptions!$C$8,"No","Yes")</f>
        <v>Yes</v>
      </c>
      <c r="DI5" s="114" t="str">
        <f>IF(DI10&lt;=Assumptions!$C$8,"No","Yes")</f>
        <v>Yes</v>
      </c>
      <c r="DJ5" s="114" t="str">
        <f>IF(DJ10&lt;=Assumptions!$C$8,"No","Yes")</f>
        <v>Yes</v>
      </c>
      <c r="DK5" s="114" t="str">
        <f>IF(DK10&lt;=Assumptions!$C$8,"No","Yes")</f>
        <v>Yes</v>
      </c>
      <c r="DL5" s="114" t="str">
        <f>IF(DL10&lt;=Assumptions!$C$8,"No","Yes")</f>
        <v>Yes</v>
      </c>
      <c r="DM5" s="114" t="str">
        <f>IF(DM10&lt;=Assumptions!$C$8,"No","Yes")</f>
        <v>Yes</v>
      </c>
      <c r="DN5" s="114" t="str">
        <f>IF(DN10&lt;=Assumptions!$C$8,"No","Yes")</f>
        <v>Yes</v>
      </c>
      <c r="DO5" s="114" t="str">
        <f>IF(DO10&lt;=Assumptions!$C$8,"No","Yes")</f>
        <v>Yes</v>
      </c>
      <c r="DP5" s="114" t="str">
        <f>IF(DP10&lt;=Assumptions!$C$8,"No","Yes")</f>
        <v>Yes</v>
      </c>
      <c r="DQ5" s="114" t="str">
        <f>IF(DQ10&lt;=Assumptions!$C$8,"No","Yes")</f>
        <v>Yes</v>
      </c>
      <c r="DR5" s="114" t="str">
        <f>IF(DR10&lt;=Assumptions!$C$8,"No","Yes")</f>
        <v>Yes</v>
      </c>
      <c r="DS5" s="114" t="str">
        <f>IF(DS10&lt;=Assumptions!$C$8,"No","Yes")</f>
        <v>Yes</v>
      </c>
      <c r="DT5" s="114" t="str">
        <f>IF(DT10&lt;=Assumptions!$C$8,"No","Yes")</f>
        <v>Yes</v>
      </c>
      <c r="DU5" s="114" t="str">
        <f>IF(DU10&lt;=Assumptions!$C$8,"No","Yes")</f>
        <v>Yes</v>
      </c>
      <c r="DV5" s="114" t="str">
        <f>IF(DV10&lt;=Assumptions!$C$8,"No","Yes")</f>
        <v>Yes</v>
      </c>
      <c r="DW5" s="114" t="str">
        <f>IF(DW10&lt;=Assumptions!$C$8,"No","Yes")</f>
        <v>Yes</v>
      </c>
    </row>
    <row r="6" spans="2:127" x14ac:dyDescent="0.3">
      <c r="B6" s="52" t="s">
        <v>375</v>
      </c>
      <c r="C6" s="131">
        <f>IF(C5="No",0,C4*0.5*Assumptions!$C$7/12*Assumptions!$F$6)</f>
        <v>0</v>
      </c>
      <c r="D6" s="131">
        <f>IF(D5="No",0,D4*0.5*Assumptions!$C$7/12*Assumptions!$F$6)</f>
        <v>0</v>
      </c>
      <c r="E6" s="131">
        <f>IF(E5="No",0,E4*0.5*Assumptions!$C$7/12*Assumptions!$F$6)</f>
        <v>118895.83333333333</v>
      </c>
      <c r="F6" s="131">
        <f>IF(F5="No",0,F4*0.5*Assumptions!$C$7/12*Assumptions!$F$6)</f>
        <v>118895.83333333333</v>
      </c>
      <c r="G6" s="131">
        <f>IF(G5="No",0,G4*0.5*Assumptions!$C$7/12*Assumptions!$F$6)</f>
        <v>743098.95833333326</v>
      </c>
      <c r="H6" s="131">
        <f>IF(H5="No",0,H4*0.5*Assumptions!$C$7/12*Assumptions!$F$6)</f>
        <v>743098.95833333326</v>
      </c>
      <c r="I6" s="131">
        <f>IF(I5="No",0,I4*0.5*Assumptions!$C$7/12*Assumptions!$F$6)</f>
        <v>743098.95833333326</v>
      </c>
      <c r="J6" s="131">
        <f>IF(J5="No",0,J4*0.5*Assumptions!$C$7/12*Assumptions!$F$6)</f>
        <v>743098.95833333326</v>
      </c>
      <c r="K6" s="131">
        <f>IF(K5="No",0,K4*0.5*Assumptions!$C$7/12*Assumptions!$F$6)</f>
        <v>743098.95833333326</v>
      </c>
      <c r="L6" s="131">
        <f>IF(L5="No",0,L4*0.5*Assumptions!$C$7/12*Assumptions!$F$6)</f>
        <v>743098.95833333326</v>
      </c>
      <c r="M6" s="131">
        <f>IF(M5="No",0,M4*0.5*Assumptions!$C$7/12*Assumptions!$F$6)</f>
        <v>1486197.9166666665</v>
      </c>
      <c r="N6" s="131">
        <f>IF(N5="No",0,N4*0.5*Assumptions!$C$7/12*Assumptions!$F$6)</f>
        <v>1486197.9166666665</v>
      </c>
      <c r="O6" s="131">
        <f>IF(O5="No",0,O4*0.5*Assumptions!$C$7/12*Assumptions!$F$6)</f>
        <v>1486197.9166666665</v>
      </c>
      <c r="P6" s="131">
        <f>IF(P5="No",0,P4*0.5*Assumptions!$C$7/12*Assumptions!$F$6)</f>
        <v>1486197.9166666665</v>
      </c>
      <c r="Q6" s="131">
        <f>IF(Q5="No",0,Q4*0.5*Assumptions!$C$7/12*Assumptions!$F$6)</f>
        <v>1486197.9166666665</v>
      </c>
      <c r="R6" s="131">
        <f>IF(R5="No",0,R4*0.5*Assumptions!$C$7/12*Assumptions!$F$6)</f>
        <v>1486197.9166666665</v>
      </c>
      <c r="S6" s="131">
        <f>IF(S5="No",0,S4*0.5*Assumptions!$C$7/12*Assumptions!$F$6)</f>
        <v>1486197.9166666665</v>
      </c>
      <c r="T6" s="131">
        <f>IF(T5="No",0,T4*0.5*Assumptions!$C$7/12*Assumptions!$F$6)</f>
        <v>1486197.9166666665</v>
      </c>
      <c r="U6" s="131">
        <f>IF(U5="No",0,U4*0.5*Assumptions!$C$7/12*Assumptions!$F$6)</f>
        <v>1486197.9166666665</v>
      </c>
      <c r="V6" s="131">
        <f>IF(V5="No",0,V4*0.5*Assumptions!$C$7/12*Assumptions!$F$6)</f>
        <v>1486197.9166666665</v>
      </c>
      <c r="W6" s="131">
        <f>IF(W5="No",0,W4*0.5*Assumptions!$C$7/12*Assumptions!$F$6)</f>
        <v>1486197.9166666665</v>
      </c>
      <c r="X6" s="131">
        <f>IF(X5="No",0,X4*0.5*Assumptions!$C$7/12*Assumptions!$F$6)</f>
        <v>1486197.9166666665</v>
      </c>
      <c r="Y6" s="131">
        <f>IF(Y5="No",0,Y4*0.5*Assumptions!$C$7/12*Assumptions!$F$6)</f>
        <v>1486197.9166666665</v>
      </c>
      <c r="Z6" s="131">
        <f>IF(Z5="No",0,Z4*0.5*Assumptions!$C$7/12*Assumptions!$F$6)</f>
        <v>1486197.9166666665</v>
      </c>
      <c r="AA6" s="131">
        <f>IF(AA5="No",0,AA4*0.5*Assumptions!$C$7/12*Assumptions!$F$6)</f>
        <v>1486197.9166666665</v>
      </c>
      <c r="AB6" s="131">
        <f>IF(AB5="No",0,AB4*0.5*Assumptions!$C$7/12*Assumptions!$F$6)</f>
        <v>1486197.9166666665</v>
      </c>
      <c r="AC6" s="131">
        <f>IF(AC5="No",0,AC4*0.5*Assumptions!$C$7/12*Assumptions!$F$6)</f>
        <v>1486197.9166666665</v>
      </c>
      <c r="AD6" s="131">
        <f>IF(AD5="No",0,AD4*0.5*Assumptions!$C$7/12*Assumptions!$F$6)</f>
        <v>1486197.9166666665</v>
      </c>
      <c r="AE6" s="131">
        <f>IF(AE5="No",0,AE4*0.5*Assumptions!$C$7/12*Assumptions!$F$6)</f>
        <v>1486197.9166666665</v>
      </c>
      <c r="AF6" s="131">
        <f>IF(AF5="No",0,AF4*0.5*Assumptions!$C$7/12*Assumptions!$F$6)</f>
        <v>1486197.9166666665</v>
      </c>
      <c r="AG6" s="131">
        <f>IF(AG5="No",0,AG4*0.5*Assumptions!$C$7/12*Assumptions!$F$6)</f>
        <v>1486197.9166666665</v>
      </c>
      <c r="AH6" s="131">
        <f>IF(AH5="No",0,AH4*0.5*Assumptions!$C$7/12*Assumptions!$F$6)</f>
        <v>1486197.9166666665</v>
      </c>
      <c r="AI6" s="131">
        <f>IF(AI5="No",0,AI4*0.5*Assumptions!$C$7/12*Assumptions!$F$6)</f>
        <v>1486197.9166666665</v>
      </c>
      <c r="AJ6" s="131">
        <f>IF(AJ5="No",0,AJ4*0.5*Assumptions!$C$7/12*Assumptions!$F$6)</f>
        <v>1486197.9166666665</v>
      </c>
      <c r="AK6" s="131">
        <f>IF(AK5="No",0,AK4*0.5*Assumptions!$C$7/12*Assumptions!$F$6)</f>
        <v>1486197.9166666665</v>
      </c>
      <c r="AL6" s="131">
        <f>IF(AL5="No",0,AL4*0.5*Assumptions!$C$7/12*Assumptions!$F$6)</f>
        <v>1486197.9166666665</v>
      </c>
      <c r="AM6" s="131">
        <f>IF(AM5="No",0,AM4*0.5*Assumptions!$C$7/12*Assumptions!$F$6)</f>
        <v>1486197.9166666665</v>
      </c>
      <c r="AN6" s="131">
        <f>IF(AN5="No",0,AN4*0.5*Assumptions!$C$7/12*Assumptions!$F$6)</f>
        <v>1486197.9166666665</v>
      </c>
      <c r="AO6" s="131">
        <f>IF(AO5="No",0,AO4*0.5*Assumptions!$C$7/12*Assumptions!$F$6)</f>
        <v>1486197.9166666665</v>
      </c>
      <c r="AP6" s="131">
        <f>IF(AP5="No",0,AP4*0.5*Assumptions!$C$7/12*Assumptions!$F$6)</f>
        <v>1486197.9166666665</v>
      </c>
      <c r="AQ6" s="131">
        <f>IF(AQ5="No",0,AQ4*0.5*Assumptions!$C$7/12*Assumptions!$F$6)</f>
        <v>1486197.9166666665</v>
      </c>
      <c r="AR6" s="131">
        <f>IF(AR5="No",0,AR4*0.5*Assumptions!$C$7/12*Assumptions!$F$6)</f>
        <v>1486197.9166666665</v>
      </c>
      <c r="AS6" s="131">
        <f>IF(AS5="No",0,AS4*0.5*Assumptions!$C$7/12*Assumptions!$F$6)</f>
        <v>1486197.9166666665</v>
      </c>
      <c r="AT6" s="131">
        <f>IF(AT5="No",0,AT4*0.5*Assumptions!$C$7/12*Assumptions!$F$6)</f>
        <v>1486197.9166666665</v>
      </c>
      <c r="AU6" s="131">
        <f>IF(AU5="No",0,AU4*0.5*Assumptions!$C$7/12*Assumptions!$F$6)</f>
        <v>1486197.9166666665</v>
      </c>
      <c r="AV6" s="131">
        <f>IF(AV5="No",0,AV4*0.5*Assumptions!$C$7/12*Assumptions!$F$6)</f>
        <v>1486197.9166666665</v>
      </c>
      <c r="AW6" s="131">
        <f>IF(AW5="No",0,AW4*0.5*Assumptions!$C$7/12*Assumptions!$F$6)</f>
        <v>1486197.9166666665</v>
      </c>
      <c r="AX6" s="131">
        <f>IF(AX5="No",0,AX4*0.5*Assumptions!$C$7/12*Assumptions!$F$6)</f>
        <v>1486197.9166666665</v>
      </c>
      <c r="AY6" s="131">
        <f>IF(AY5="No",0,AY4*0.5*Assumptions!$C$7/12*Assumptions!$F$6)</f>
        <v>1486197.9166666665</v>
      </c>
      <c r="AZ6" s="131">
        <f>IF(AZ5="No",0,AZ4*0.5*Assumptions!$C$7/12*Assumptions!$F$6)</f>
        <v>1486197.9166666665</v>
      </c>
      <c r="BA6" s="131">
        <f>IF(BA5="No",0,BA4*0.5*Assumptions!$C$7/12*Assumptions!$F$6)</f>
        <v>1486197.9166666665</v>
      </c>
      <c r="BB6" s="131">
        <f>IF(BB5="No",0,BB4*0.5*Assumptions!$C$7/12*Assumptions!$F$6)</f>
        <v>1486197.9166666665</v>
      </c>
      <c r="BC6" s="131">
        <f>IF(BC5="No",0,BC4*0.5*Assumptions!$C$7/12*Assumptions!$F$6)</f>
        <v>1486197.9166666665</v>
      </c>
      <c r="BD6" s="131">
        <f>IF(BD5="No",0,BD4*0.5*Assumptions!$C$7/12*Assumptions!$F$6)</f>
        <v>1486197.9166666665</v>
      </c>
      <c r="BE6" s="131">
        <f>IF(BE5="No",0,BE4*0.5*Assumptions!$C$7/12*Assumptions!$F$6)</f>
        <v>1486197.9166666665</v>
      </c>
      <c r="BF6" s="131">
        <f>IF(BF5="No",0,BF4*0.5*Assumptions!$C$7/12*Assumptions!$F$6)</f>
        <v>1486197.9166666665</v>
      </c>
      <c r="BG6" s="131">
        <f>IF(BG5="No",0,BG4*0.5*Assumptions!$C$7/12*Assumptions!$F$6)</f>
        <v>1486197.9166666665</v>
      </c>
      <c r="BH6" s="131">
        <f>IF(BH5="No",0,BH4*0.5*Assumptions!$C$7/12*Assumptions!$F$6)</f>
        <v>1486197.9166666665</v>
      </c>
      <c r="BI6" s="131">
        <f>IF(BI5="No",0,BI4*0.5*Assumptions!$C$7/12*Assumptions!$F$6)</f>
        <v>1486197.9166666665</v>
      </c>
      <c r="BJ6" s="131">
        <f>IF(BJ5="No",0,BJ4*0.5*Assumptions!$C$7/12*Assumptions!$F$6)</f>
        <v>1486197.9166666665</v>
      </c>
      <c r="BK6" s="131">
        <f>IF(BK5="No",0,BK4*0.5*Assumptions!$C$7/12*Assumptions!$F$6)</f>
        <v>1486197.9166666665</v>
      </c>
      <c r="BL6" s="131">
        <f>IF(BL5="No",0,BL4*0.5*Assumptions!$C$7/12*Assumptions!$F$6)</f>
        <v>1486197.9166666665</v>
      </c>
      <c r="BM6" s="131">
        <f>IF(BM5="No",0,BM4*0.5*Assumptions!$C$7/12*Assumptions!$F$6)</f>
        <v>1486197.9166666665</v>
      </c>
      <c r="BN6" s="131">
        <f>IF(BN5="No",0,BN4*0.5*Assumptions!$C$7/12*Assumptions!$F$6)</f>
        <v>1486197.9166666665</v>
      </c>
      <c r="BO6" s="131">
        <f>IF(BO5="No",0,BO4*0.5*Assumptions!$C$7/12*Assumptions!$F$6)</f>
        <v>1486197.9166666665</v>
      </c>
      <c r="BP6" s="131">
        <f>IF(BP5="No",0,BP4*0.5*Assumptions!$C$7/12*Assumptions!$F$6)</f>
        <v>1486197.9166666665</v>
      </c>
      <c r="BQ6" s="131">
        <f>IF(BQ5="No",0,BQ4*0.5*Assumptions!$C$7/12*Assumptions!$F$6)</f>
        <v>1486197.9166666665</v>
      </c>
      <c r="BR6" s="131">
        <f>IF(BR5="No",0,BR4*0.5*Assumptions!$C$7/12*Assumptions!$F$6)</f>
        <v>1486197.9166666665</v>
      </c>
      <c r="BS6" s="131">
        <f>IF(BS5="No",0,BS4*0.5*Assumptions!$C$7/12*Assumptions!$F$6)</f>
        <v>1486197.9166666665</v>
      </c>
      <c r="BT6" s="131">
        <f>IF(BT5="No",0,BT4*0.5*Assumptions!$C$7/12*Assumptions!$F$6)</f>
        <v>1486197.9166666665</v>
      </c>
      <c r="BU6" s="131">
        <f>IF(BU5="No",0,BU4*0.5*Assumptions!$C$7/12*Assumptions!$F$6)</f>
        <v>1486197.9166666665</v>
      </c>
      <c r="BV6" s="131">
        <f>IF(BV5="No",0,BV4*0.5*Assumptions!$C$7/12*Assumptions!$F$6)</f>
        <v>1486197.9166666665</v>
      </c>
      <c r="BW6" s="131">
        <f>IF(BW5="No",0,BW4*0.5*Assumptions!$C$7/12*Assumptions!$F$6)</f>
        <v>1486197.9166666665</v>
      </c>
      <c r="BX6" s="131">
        <f>IF(BX5="No",0,BX4*0.5*Assumptions!$C$7/12*Assumptions!$F$6)</f>
        <v>1486197.9166666665</v>
      </c>
      <c r="BY6" s="131">
        <f>IF(BY5="No",0,BY4*0.5*Assumptions!$C$7/12*Assumptions!$F$6)</f>
        <v>1486197.9166666665</v>
      </c>
      <c r="BZ6" s="131">
        <f>IF(BZ5="No",0,BZ4*0.5*Assumptions!$C$7/12*Assumptions!$F$6)</f>
        <v>1486197.9166666665</v>
      </c>
      <c r="CA6" s="131">
        <f>IF(CA5="No",0,CA4*0.5*Assumptions!$C$7/12*Assumptions!$F$6)</f>
        <v>1486197.9166666665</v>
      </c>
      <c r="CB6" s="131">
        <f>IF(CB5="No",0,CB4*0.5*Assumptions!$C$7/12*Assumptions!$F$6)</f>
        <v>1486197.9166666665</v>
      </c>
      <c r="CC6" s="131">
        <f>IF(CC5="No",0,CC4*0.5*Assumptions!$C$7/12*Assumptions!$F$6)</f>
        <v>1486197.9166666665</v>
      </c>
      <c r="CD6" s="131">
        <f>IF(CD5="No",0,CD4*0.5*Assumptions!$C$7/12*Assumptions!$F$6)</f>
        <v>1486197.9166666665</v>
      </c>
      <c r="CE6" s="131">
        <f>IF(CE5="No",0,CE4*0.5*Assumptions!$C$7/12*Assumptions!$F$6)</f>
        <v>1486197.9166666665</v>
      </c>
      <c r="CF6" s="131">
        <f>IF(CF5="No",0,CF4*0.5*Assumptions!$C$7/12*Assumptions!$F$6)</f>
        <v>1486197.9166666665</v>
      </c>
      <c r="CG6" s="131">
        <f>IF(CG5="No",0,CG4*0.5*Assumptions!$C$7/12*Assumptions!$F$6)</f>
        <v>1486197.9166666665</v>
      </c>
      <c r="CH6" s="131">
        <f>IF(CH5="No",0,CH4*0.5*Assumptions!$C$7/12*Assumptions!$F$6)</f>
        <v>1486197.9166666665</v>
      </c>
      <c r="CI6" s="131">
        <f>IF(CI5="No",0,CI4*0.5*Assumptions!$C$7/12*Assumptions!$F$6)</f>
        <v>1486197.9166666665</v>
      </c>
      <c r="CJ6" s="131">
        <f>IF(CJ5="No",0,CJ4*0.5*Assumptions!$C$7/12*Assumptions!$F$6)</f>
        <v>1486197.9166666665</v>
      </c>
      <c r="CK6" s="131">
        <f>IF(CK5="No",0,CK4*0.5*Assumptions!$C$7/12*Assumptions!$F$6)</f>
        <v>1486197.9166666665</v>
      </c>
      <c r="CL6" s="131">
        <f>IF(CL5="No",0,CL4*0.5*Assumptions!$C$7/12*Assumptions!$F$6)</f>
        <v>1486197.9166666665</v>
      </c>
      <c r="CM6" s="131">
        <f>IF(CM5="No",0,CM4*0.5*Assumptions!$C$7/12*Assumptions!$F$6)</f>
        <v>1486197.9166666665</v>
      </c>
      <c r="CN6" s="131">
        <f>IF(CN5="No",0,CN4*0.5*Assumptions!$C$7/12*Assumptions!$F$6)</f>
        <v>1486197.9166666665</v>
      </c>
      <c r="CO6" s="131">
        <f>IF(CO5="No",0,CO4*0.5*Assumptions!$C$7/12*Assumptions!$F$6)</f>
        <v>1486197.9166666665</v>
      </c>
      <c r="CP6" s="131">
        <f>IF(CP5="No",0,CP4*0.5*Assumptions!$C$7/12*Assumptions!$F$6)</f>
        <v>1486197.9166666665</v>
      </c>
      <c r="CQ6" s="131">
        <f>IF(CQ5="No",0,CQ4*0.5*Assumptions!$C$7/12*Assumptions!$F$6)</f>
        <v>1486197.9166666665</v>
      </c>
      <c r="CR6" s="131">
        <f>IF(CR5="No",0,CR4*0.5*Assumptions!$C$7/12*Assumptions!$F$6)</f>
        <v>1486197.9166666665</v>
      </c>
      <c r="CS6" s="131">
        <f>IF(CS5="No",0,CS4*0.5*Assumptions!$C$7/12*Assumptions!$F$6)</f>
        <v>1486197.9166666665</v>
      </c>
      <c r="CT6" s="131">
        <f>IF(CT5="No",0,CT4*0.5*Assumptions!$C$7/12*Assumptions!$F$6)</f>
        <v>1486197.9166666665</v>
      </c>
      <c r="CU6" s="131">
        <f>IF(CU5="No",0,CU4*0.5*Assumptions!$C$7/12*Assumptions!$F$6)</f>
        <v>1486197.9166666665</v>
      </c>
      <c r="CV6" s="131">
        <f>IF(CV5="No",0,CV4*0.5*Assumptions!$C$7/12*Assumptions!$F$6)</f>
        <v>1486197.9166666665</v>
      </c>
      <c r="CW6" s="131">
        <f>IF(CW5="No",0,CW4*0.5*Assumptions!$C$7/12*Assumptions!$F$6)</f>
        <v>1486197.9166666665</v>
      </c>
      <c r="CX6" s="131">
        <f>IF(CX5="No",0,CX4*0.5*Assumptions!$C$7/12*Assumptions!$F$6)</f>
        <v>1486197.9166666665</v>
      </c>
      <c r="CY6" s="131">
        <f>IF(CY5="No",0,CY4*0.5*Assumptions!$C$7/12*Assumptions!$F$6)</f>
        <v>1486197.9166666665</v>
      </c>
      <c r="CZ6" s="131">
        <f>IF(CZ5="No",0,CZ4*0.5*Assumptions!$C$7/12*Assumptions!$F$6)</f>
        <v>1486197.9166666665</v>
      </c>
      <c r="DA6" s="131">
        <f>IF(DA5="No",0,DA4*0.5*Assumptions!$C$7/12*Assumptions!$F$6)</f>
        <v>1486197.9166666665</v>
      </c>
      <c r="DB6" s="131">
        <f>IF(DB5="No",0,DB4*0.5*Assumptions!$C$7/12*Assumptions!$F$6)</f>
        <v>1486197.9166666665</v>
      </c>
      <c r="DC6" s="131">
        <f>IF(DC5="No",0,DC4*0.5*Assumptions!$C$7/12*Assumptions!$F$6)</f>
        <v>1486197.9166666665</v>
      </c>
      <c r="DD6" s="131">
        <f>IF(DD5="No",0,DD4*0.5*Assumptions!$C$7/12*Assumptions!$F$6)</f>
        <v>1486197.9166666665</v>
      </c>
      <c r="DE6" s="131">
        <f>IF(DE5="No",0,DE4*0.5*Assumptions!$C$7/12*Assumptions!$F$6)</f>
        <v>1486197.9166666665</v>
      </c>
      <c r="DF6" s="131">
        <f>IF(DF5="No",0,DF4*0.5*Assumptions!$C$7/12*Assumptions!$F$6)</f>
        <v>1486197.9166666665</v>
      </c>
      <c r="DG6" s="131">
        <f>IF(DG5="No",0,DG4*0.5*Assumptions!$C$7/12*Assumptions!$F$6)</f>
        <v>1486197.9166666665</v>
      </c>
      <c r="DH6" s="131">
        <f>IF(DH5="No",0,DH4*0.5*Assumptions!$C$7/12*Assumptions!$F$6)</f>
        <v>1486197.9166666665</v>
      </c>
      <c r="DI6" s="131">
        <f>IF(DI5="No",0,DI4*0.5*Assumptions!$C$7/12*Assumptions!$F$6)</f>
        <v>1486197.9166666665</v>
      </c>
      <c r="DJ6" s="131">
        <f>IF(DJ5="No",0,DJ4*0.5*Assumptions!$C$7/12*Assumptions!$F$6)</f>
        <v>1486197.9166666665</v>
      </c>
      <c r="DK6" s="131">
        <f>IF(DK5="No",0,DK4*0.5*Assumptions!$C$7/12*Assumptions!$F$6)</f>
        <v>1486197.9166666665</v>
      </c>
      <c r="DL6" s="131">
        <f>IF(DL5="No",0,DL4*0.5*Assumptions!$C$7/12*Assumptions!$F$6)</f>
        <v>1486197.9166666665</v>
      </c>
      <c r="DM6" s="131">
        <f>IF(DM5="No",0,DM4*0.5*Assumptions!$C$7/12*Assumptions!$F$6)</f>
        <v>1486197.9166666665</v>
      </c>
      <c r="DN6" s="131">
        <f>IF(DN5="No",0,DN4*0.5*Assumptions!$C$7/12*Assumptions!$F$6)</f>
        <v>1486197.9166666665</v>
      </c>
      <c r="DO6" s="131">
        <f>IF(DO5="No",0,DO4*0.5*Assumptions!$C$7/12*Assumptions!$F$6)</f>
        <v>1486197.9166666665</v>
      </c>
      <c r="DP6" s="131">
        <f>IF(DP5="No",0,DP4*0.5*Assumptions!$C$7/12*Assumptions!$F$6)</f>
        <v>1486197.9166666665</v>
      </c>
      <c r="DQ6" s="131">
        <f>IF(DQ5="No",0,DQ4*0.5*Assumptions!$C$7/12*Assumptions!$F$6)</f>
        <v>1486197.9166666665</v>
      </c>
      <c r="DR6" s="131">
        <f>IF(DR5="No",0,DR4*0.5*Assumptions!$C$7/12*Assumptions!$F$6)</f>
        <v>1486197.9166666665</v>
      </c>
      <c r="DS6" s="131">
        <f>IF(DS5="No",0,DS4*0.5*Assumptions!$C$7/12*Assumptions!$F$6)</f>
        <v>1486197.9166666665</v>
      </c>
      <c r="DT6" s="131">
        <f>IF(DT5="No",0,DT4*0.5*Assumptions!$C$7/12*Assumptions!$F$6)</f>
        <v>1486197.9166666665</v>
      </c>
      <c r="DU6" s="131">
        <f>IF(DU5="No",0,DU4*0.5*Assumptions!$C$7/12*Assumptions!$F$6)</f>
        <v>1486197.9166666665</v>
      </c>
      <c r="DV6" s="131">
        <f>IF(DV5="No",0,DV4*0.5*Assumptions!$C$7/12*Assumptions!$F$6)</f>
        <v>1486197.9166666665</v>
      </c>
      <c r="DW6" s="131">
        <f>IF(DW5="No",0,DW4*0.5*Assumptions!$C$7/12*Assumptions!$F$6)</f>
        <v>1486197.9166666665</v>
      </c>
    </row>
    <row r="7" spans="2:127" x14ac:dyDescent="0.3">
      <c r="B7" s="52" t="s">
        <v>208</v>
      </c>
      <c r="C7" s="131">
        <f>IF(C5="No",C4*Assumptions!$C$7/12*Assumptions!$F$7,C4*0.5*Assumptions!$C$7/12*Assumptions!$F$7)</f>
        <v>205291.66666666666</v>
      </c>
      <c r="D7" s="131">
        <f>IF(D5="No",D4*Assumptions!$C$7/12*Assumptions!$F$7,D4*0.5*Assumptions!$C$7/12*Assumptions!$F$7)</f>
        <v>205291.66666666666</v>
      </c>
      <c r="E7" s="131">
        <f>IF(E5="No",E4*Assumptions!$C$7/12*Assumptions!$F$7,E4*0.5*Assumptions!$C$7/12*Assumptions!$F$7)</f>
        <v>102645.83333333333</v>
      </c>
      <c r="F7" s="131">
        <f>IF(F5="No",F4*Assumptions!$C$7/12*Assumptions!$F$7,F4*0.5*Assumptions!$C$7/12*Assumptions!$F$7)</f>
        <v>102645.83333333333</v>
      </c>
      <c r="G7" s="131">
        <f>IF(G5="No",G4*Assumptions!$C$7/12*Assumptions!$F$7,G4*0.5*Assumptions!$C$7/12*Assumptions!$F$7)</f>
        <v>641536.45833333326</v>
      </c>
      <c r="H7" s="131">
        <f>IF(H5="No",H4*Assumptions!$C$7/12*Assumptions!$F$7,H4*0.5*Assumptions!$C$7/12*Assumptions!$F$7)</f>
        <v>641536.45833333326</v>
      </c>
      <c r="I7" s="131">
        <f>IF(I5="No",I4*Assumptions!$C$7/12*Assumptions!$F$7,I4*0.5*Assumptions!$C$7/12*Assumptions!$F$7)</f>
        <v>641536.45833333326</v>
      </c>
      <c r="J7" s="131">
        <f>IF(J5="No",J4*Assumptions!$C$7/12*Assumptions!$F$7,J4*0.5*Assumptions!$C$7/12*Assumptions!$F$7)</f>
        <v>641536.45833333326</v>
      </c>
      <c r="K7" s="131">
        <f>IF(K5="No",K4*Assumptions!$C$7/12*Assumptions!$F$7,K4*0.5*Assumptions!$C$7/12*Assumptions!$F$7)</f>
        <v>641536.45833333326</v>
      </c>
      <c r="L7" s="131">
        <f>IF(L5="No",L4*Assumptions!$C$7/12*Assumptions!$F$7,L4*0.5*Assumptions!$C$7/12*Assumptions!$F$7)</f>
        <v>641536.45833333326</v>
      </c>
      <c r="M7" s="131">
        <f>IF(M5="No",M4*Assumptions!$C$7/12*Assumptions!$F$7,M4*0.5*Assumptions!$C$7/12*Assumptions!$F$7)</f>
        <v>1283072.9166666665</v>
      </c>
      <c r="N7" s="131">
        <f>IF(N5="No",N4*Assumptions!$C$7/12*Assumptions!$F$7,N4*0.5*Assumptions!$C$7/12*Assumptions!$F$7)</f>
        <v>1283072.9166666665</v>
      </c>
      <c r="O7" s="131">
        <f>IF(O5="No",O4*Assumptions!$C$7/12*Assumptions!$F$7,O4*0.5*Assumptions!$C$7/12*Assumptions!$F$7)</f>
        <v>1283072.9166666665</v>
      </c>
      <c r="P7" s="131">
        <f>IF(P5="No",P4*Assumptions!$C$7/12*Assumptions!$F$7,P4*0.5*Assumptions!$C$7/12*Assumptions!$F$7)</f>
        <v>1283072.9166666665</v>
      </c>
      <c r="Q7" s="131">
        <f>IF(Q5="No",Q4*Assumptions!$C$7/12*Assumptions!$F$7,Q4*0.5*Assumptions!$C$7/12*Assumptions!$F$7)</f>
        <v>1283072.9166666665</v>
      </c>
      <c r="R7" s="131">
        <f>IF(R5="No",R4*Assumptions!$C$7/12*Assumptions!$F$7,R4*0.5*Assumptions!$C$7/12*Assumptions!$F$7)</f>
        <v>1283072.9166666665</v>
      </c>
      <c r="S7" s="131">
        <f>IF(S5="No",S4*Assumptions!$C$7/12*Assumptions!$F$7,S4*0.5*Assumptions!$C$7/12*Assumptions!$F$7)</f>
        <v>1283072.9166666665</v>
      </c>
      <c r="T7" s="131">
        <f>IF(T5="No",T4*Assumptions!$C$7/12*Assumptions!$F$7,T4*0.5*Assumptions!$C$7/12*Assumptions!$F$7)</f>
        <v>1283072.9166666665</v>
      </c>
      <c r="U7" s="131">
        <f>IF(U5="No",U4*Assumptions!$C$7/12*Assumptions!$F$7,U4*0.5*Assumptions!$C$7/12*Assumptions!$F$7)</f>
        <v>1283072.9166666665</v>
      </c>
      <c r="V7" s="131">
        <f>IF(V5="No",V4*Assumptions!$C$7/12*Assumptions!$F$7,V4*0.5*Assumptions!$C$7/12*Assumptions!$F$7)</f>
        <v>1283072.9166666665</v>
      </c>
      <c r="W7" s="131">
        <f>IF(W5="No",W4*Assumptions!$C$7/12*Assumptions!$F$7,W4*0.5*Assumptions!$C$7/12*Assumptions!$F$7)</f>
        <v>1283072.9166666665</v>
      </c>
      <c r="X7" s="131">
        <f>IF(X5="No",X4*Assumptions!$C$7/12*Assumptions!$F$7,X4*0.5*Assumptions!$C$7/12*Assumptions!$F$7)</f>
        <v>1283072.9166666665</v>
      </c>
      <c r="Y7" s="131">
        <f>IF(Y5="No",Y4*Assumptions!$C$7/12*Assumptions!$F$7,Y4*0.5*Assumptions!$C$7/12*Assumptions!$F$7)</f>
        <v>1283072.9166666665</v>
      </c>
      <c r="Z7" s="131">
        <f>IF(Z5="No",Z4*Assumptions!$C$7/12*Assumptions!$F$7,Z4*0.5*Assumptions!$C$7/12*Assumptions!$F$7)</f>
        <v>1283072.9166666665</v>
      </c>
      <c r="AA7" s="131">
        <f>IF(AA5="No",AA4*Assumptions!$C$7/12*Assumptions!$F$7,AA4*0.5*Assumptions!$C$7/12*Assumptions!$F$7)</f>
        <v>1283072.9166666665</v>
      </c>
      <c r="AB7" s="131">
        <f>IF(AB5="No",AB4*Assumptions!$C$7/12*Assumptions!$F$7,AB4*0.5*Assumptions!$C$7/12*Assumptions!$F$7)</f>
        <v>1283072.9166666665</v>
      </c>
      <c r="AC7" s="131">
        <f>IF(AC5="No",AC4*Assumptions!$C$7/12*Assumptions!$F$7,AC4*0.5*Assumptions!$C$7/12*Assumptions!$F$7)</f>
        <v>1283072.9166666665</v>
      </c>
      <c r="AD7" s="131">
        <f>IF(AD5="No",AD4*Assumptions!$C$7/12*Assumptions!$F$7,AD4*0.5*Assumptions!$C$7/12*Assumptions!$F$7)</f>
        <v>1283072.9166666665</v>
      </c>
      <c r="AE7" s="131">
        <f>IF(AE5="No",AE4*Assumptions!$C$7/12*Assumptions!$F$7,AE4*0.5*Assumptions!$C$7/12*Assumptions!$F$7)</f>
        <v>1283072.9166666665</v>
      </c>
      <c r="AF7" s="131">
        <f>IF(AF5="No",AF4*Assumptions!$C$7/12*Assumptions!$F$7,AF4*0.5*Assumptions!$C$7/12*Assumptions!$F$7)</f>
        <v>1283072.9166666665</v>
      </c>
      <c r="AG7" s="131">
        <f>IF(AG5="No",AG4*Assumptions!$C$7/12*Assumptions!$F$7,AG4*0.5*Assumptions!$C$7/12*Assumptions!$F$7)</f>
        <v>1283072.9166666665</v>
      </c>
      <c r="AH7" s="131">
        <f>IF(AH5="No",AH4*Assumptions!$C$7/12*Assumptions!$F$7,AH4*0.5*Assumptions!$C$7/12*Assumptions!$F$7)</f>
        <v>1283072.9166666665</v>
      </c>
      <c r="AI7" s="131">
        <f>IF(AI5="No",AI4*Assumptions!$C$7/12*Assumptions!$F$7,AI4*0.5*Assumptions!$C$7/12*Assumptions!$F$7)</f>
        <v>1283072.9166666665</v>
      </c>
      <c r="AJ7" s="131">
        <f>IF(AJ5="No",AJ4*Assumptions!$C$7/12*Assumptions!$F$7,AJ4*0.5*Assumptions!$C$7/12*Assumptions!$F$7)</f>
        <v>1283072.9166666665</v>
      </c>
      <c r="AK7" s="131">
        <f>IF(AK5="No",AK4*Assumptions!$C$7/12*Assumptions!$F$7,AK4*0.5*Assumptions!$C$7/12*Assumptions!$F$7)</f>
        <v>1283072.9166666665</v>
      </c>
      <c r="AL7" s="131">
        <f>IF(AL5="No",AL4*Assumptions!$C$7/12*Assumptions!$F$7,AL4*0.5*Assumptions!$C$7/12*Assumptions!$F$7)</f>
        <v>1283072.9166666665</v>
      </c>
      <c r="AM7" s="131">
        <f>IF(AM5="No",AM4*Assumptions!$C$7/12*Assumptions!$F$7,AM4*0.5*Assumptions!$C$7/12*Assumptions!$F$7)</f>
        <v>1283072.9166666665</v>
      </c>
      <c r="AN7" s="131">
        <f>IF(AN5="No",AN4*Assumptions!$C$7/12*Assumptions!$F$7,AN4*0.5*Assumptions!$C$7/12*Assumptions!$F$7)</f>
        <v>1283072.9166666665</v>
      </c>
      <c r="AO7" s="131">
        <f>IF(AO5="No",AO4*Assumptions!$C$7/12*Assumptions!$F$7,AO4*0.5*Assumptions!$C$7/12*Assumptions!$F$7)</f>
        <v>1283072.9166666665</v>
      </c>
      <c r="AP7" s="131">
        <f>IF(AP5="No",AP4*Assumptions!$C$7/12*Assumptions!$F$7,AP4*0.5*Assumptions!$C$7/12*Assumptions!$F$7)</f>
        <v>1283072.9166666665</v>
      </c>
      <c r="AQ7" s="131">
        <f>IF(AQ5="No",AQ4*Assumptions!$C$7/12*Assumptions!$F$7,AQ4*0.5*Assumptions!$C$7/12*Assumptions!$F$7)</f>
        <v>1283072.9166666665</v>
      </c>
      <c r="AR7" s="131">
        <f>IF(AR5="No",AR4*Assumptions!$C$7/12*Assumptions!$F$7,AR4*0.5*Assumptions!$C$7/12*Assumptions!$F$7)</f>
        <v>1283072.9166666665</v>
      </c>
      <c r="AS7" s="131">
        <f>IF(AS5="No",AS4*Assumptions!$C$7/12*Assumptions!$F$7,AS4*0.5*Assumptions!$C$7/12*Assumptions!$F$7)</f>
        <v>1283072.9166666665</v>
      </c>
      <c r="AT7" s="131">
        <f>IF(AT5="No",AT4*Assumptions!$C$7/12*Assumptions!$F$7,AT4*0.5*Assumptions!$C$7/12*Assumptions!$F$7)</f>
        <v>1283072.9166666665</v>
      </c>
      <c r="AU7" s="131">
        <f>IF(AU5="No",AU4*Assumptions!$C$7/12*Assumptions!$F$7,AU4*0.5*Assumptions!$C$7/12*Assumptions!$F$7)</f>
        <v>1283072.9166666665</v>
      </c>
      <c r="AV7" s="131">
        <f>IF(AV5="No",AV4*Assumptions!$C$7/12*Assumptions!$F$7,AV4*0.5*Assumptions!$C$7/12*Assumptions!$F$7)</f>
        <v>1283072.9166666665</v>
      </c>
      <c r="AW7" s="131">
        <f>IF(AW5="No",AW4*Assumptions!$C$7/12*Assumptions!$F$7,AW4*0.5*Assumptions!$C$7/12*Assumptions!$F$7)</f>
        <v>1283072.9166666665</v>
      </c>
      <c r="AX7" s="131">
        <f>IF(AX5="No",AX4*Assumptions!$C$7/12*Assumptions!$F$7,AX4*0.5*Assumptions!$C$7/12*Assumptions!$F$7)</f>
        <v>1283072.9166666665</v>
      </c>
      <c r="AY7" s="131">
        <f>IF(AY5="No",AY4*Assumptions!$C$7/12*Assumptions!$F$7,AY4*0.5*Assumptions!$C$7/12*Assumptions!$F$7)</f>
        <v>1283072.9166666665</v>
      </c>
      <c r="AZ7" s="131">
        <f>IF(AZ5="No",AZ4*Assumptions!$C$7/12*Assumptions!$F$7,AZ4*0.5*Assumptions!$C$7/12*Assumptions!$F$7)</f>
        <v>1283072.9166666665</v>
      </c>
      <c r="BA7" s="131">
        <f>IF(BA5="No",BA4*Assumptions!$C$7/12*Assumptions!$F$7,BA4*0.5*Assumptions!$C$7/12*Assumptions!$F$7)</f>
        <v>1283072.9166666665</v>
      </c>
      <c r="BB7" s="131">
        <f>IF(BB5="No",BB4*Assumptions!$C$7/12*Assumptions!$F$7,BB4*0.5*Assumptions!$C$7/12*Assumptions!$F$7)</f>
        <v>1283072.9166666665</v>
      </c>
      <c r="BC7" s="131">
        <f>IF(BC5="No",BC4*Assumptions!$C$7/12*Assumptions!$F$7,BC4*0.5*Assumptions!$C$7/12*Assumptions!$F$7)</f>
        <v>1283072.9166666665</v>
      </c>
      <c r="BD7" s="131">
        <f>IF(BD5="No",BD4*Assumptions!$C$7/12*Assumptions!$F$7,BD4*0.5*Assumptions!$C$7/12*Assumptions!$F$7)</f>
        <v>1283072.9166666665</v>
      </c>
      <c r="BE7" s="131">
        <f>IF(BE5="No",BE4*Assumptions!$C$7/12*Assumptions!$F$7,BE4*0.5*Assumptions!$C$7/12*Assumptions!$F$7)</f>
        <v>1283072.9166666665</v>
      </c>
      <c r="BF7" s="131">
        <f>IF(BF5="No",BF4*Assumptions!$C$7/12*Assumptions!$F$7,BF4*0.5*Assumptions!$C$7/12*Assumptions!$F$7)</f>
        <v>1283072.9166666665</v>
      </c>
      <c r="BG7" s="131">
        <f>IF(BG5="No",BG4*Assumptions!$C$7/12*Assumptions!$F$7,BG4*0.5*Assumptions!$C$7/12*Assumptions!$F$7)</f>
        <v>1283072.9166666665</v>
      </c>
      <c r="BH7" s="131">
        <f>IF(BH5="No",BH4*Assumptions!$C$7/12*Assumptions!$F$7,BH4*0.5*Assumptions!$C$7/12*Assumptions!$F$7)</f>
        <v>1283072.9166666665</v>
      </c>
      <c r="BI7" s="131">
        <f>IF(BI5="No",BI4*Assumptions!$C$7/12*Assumptions!$F$7,BI4*0.5*Assumptions!$C$7/12*Assumptions!$F$7)</f>
        <v>1283072.9166666665</v>
      </c>
      <c r="BJ7" s="131">
        <f>IF(BJ5="No",BJ4*Assumptions!$C$7/12*Assumptions!$F$7,BJ4*0.5*Assumptions!$C$7/12*Assumptions!$F$7)</f>
        <v>1283072.9166666665</v>
      </c>
      <c r="BK7" s="131">
        <f>IF(BK5="No",BK4*Assumptions!$C$7/12*Assumptions!$F$7,BK4*0.5*Assumptions!$C$7/12*Assumptions!$F$7)</f>
        <v>1283072.9166666665</v>
      </c>
      <c r="BL7" s="131">
        <f>IF(BL5="No",BL4*Assumptions!$C$7/12*Assumptions!$F$7,BL4*0.5*Assumptions!$C$7/12*Assumptions!$F$7)</f>
        <v>1283072.9166666665</v>
      </c>
      <c r="BM7" s="131">
        <f>IF(BM5="No",BM4*Assumptions!$C$7/12*Assumptions!$F$7,BM4*0.5*Assumptions!$C$7/12*Assumptions!$F$7)</f>
        <v>1283072.9166666665</v>
      </c>
      <c r="BN7" s="131">
        <f>IF(BN5="No",BN4*Assumptions!$C$7/12*Assumptions!$F$7,BN4*0.5*Assumptions!$C$7/12*Assumptions!$F$7)</f>
        <v>1283072.9166666665</v>
      </c>
      <c r="BO7" s="131">
        <f>IF(BO5="No",BO4*Assumptions!$C$7/12*Assumptions!$F$7,BO4*0.5*Assumptions!$C$7/12*Assumptions!$F$7)</f>
        <v>1283072.9166666665</v>
      </c>
      <c r="BP7" s="131">
        <f>IF(BP5="No",BP4*Assumptions!$C$7/12*Assumptions!$F$7,BP4*0.5*Assumptions!$C$7/12*Assumptions!$F$7)</f>
        <v>1283072.9166666665</v>
      </c>
      <c r="BQ7" s="131">
        <f>IF(BQ5="No",BQ4*Assumptions!$C$7/12*Assumptions!$F$7,BQ4*0.5*Assumptions!$C$7/12*Assumptions!$F$7)</f>
        <v>1283072.9166666665</v>
      </c>
      <c r="BR7" s="131">
        <f>IF(BR5="No",BR4*Assumptions!$C$7/12*Assumptions!$F$7,BR4*0.5*Assumptions!$C$7/12*Assumptions!$F$7)</f>
        <v>1283072.9166666665</v>
      </c>
      <c r="BS7" s="131">
        <f>IF(BS5="No",BS4*Assumptions!$C$7/12*Assumptions!$F$7,BS4*0.5*Assumptions!$C$7/12*Assumptions!$F$7)</f>
        <v>1283072.9166666665</v>
      </c>
      <c r="BT7" s="131">
        <f>IF(BT5="No",BT4*Assumptions!$C$7/12*Assumptions!$F$7,BT4*0.5*Assumptions!$C$7/12*Assumptions!$F$7)</f>
        <v>1283072.9166666665</v>
      </c>
      <c r="BU7" s="131">
        <f>IF(BU5="No",BU4*Assumptions!$C$7/12*Assumptions!$F$7,BU4*0.5*Assumptions!$C$7/12*Assumptions!$F$7)</f>
        <v>1283072.9166666665</v>
      </c>
      <c r="BV7" s="131">
        <f>IF(BV5="No",BV4*Assumptions!$C$7/12*Assumptions!$F$7,BV4*0.5*Assumptions!$C$7/12*Assumptions!$F$7)</f>
        <v>1283072.9166666665</v>
      </c>
      <c r="BW7" s="131">
        <f>IF(BW5="No",BW4*Assumptions!$C$7/12*Assumptions!$F$7,BW4*0.5*Assumptions!$C$7/12*Assumptions!$F$7)</f>
        <v>1283072.9166666665</v>
      </c>
      <c r="BX7" s="131">
        <f>IF(BX5="No",BX4*Assumptions!$C$7/12*Assumptions!$F$7,BX4*0.5*Assumptions!$C$7/12*Assumptions!$F$7)</f>
        <v>1283072.9166666665</v>
      </c>
      <c r="BY7" s="131">
        <f>IF(BY5="No",BY4*Assumptions!$C$7/12*Assumptions!$F$7,BY4*0.5*Assumptions!$C$7/12*Assumptions!$F$7)</f>
        <v>1283072.9166666665</v>
      </c>
      <c r="BZ7" s="131">
        <f>IF(BZ5="No",BZ4*Assumptions!$C$7/12*Assumptions!$F$7,BZ4*0.5*Assumptions!$C$7/12*Assumptions!$F$7)</f>
        <v>1283072.9166666665</v>
      </c>
      <c r="CA7" s="131">
        <f>IF(CA5="No",CA4*Assumptions!$C$7/12*Assumptions!$F$7,CA4*0.5*Assumptions!$C$7/12*Assumptions!$F$7)</f>
        <v>1283072.9166666665</v>
      </c>
      <c r="CB7" s="131">
        <f>IF(CB5="No",CB4*Assumptions!$C$7/12*Assumptions!$F$7,CB4*0.5*Assumptions!$C$7/12*Assumptions!$F$7)</f>
        <v>1283072.9166666665</v>
      </c>
      <c r="CC7" s="131">
        <f>IF(CC5="No",CC4*Assumptions!$C$7/12*Assumptions!$F$7,CC4*0.5*Assumptions!$C$7/12*Assumptions!$F$7)</f>
        <v>1283072.9166666665</v>
      </c>
      <c r="CD7" s="131">
        <f>IF(CD5="No",CD4*Assumptions!$C$7/12*Assumptions!$F$7,CD4*0.5*Assumptions!$C$7/12*Assumptions!$F$7)</f>
        <v>1283072.9166666665</v>
      </c>
      <c r="CE7" s="131">
        <f>IF(CE5="No",CE4*Assumptions!$C$7/12*Assumptions!$F$7,CE4*0.5*Assumptions!$C$7/12*Assumptions!$F$7)</f>
        <v>1283072.9166666665</v>
      </c>
      <c r="CF7" s="131">
        <f>IF(CF5="No",CF4*Assumptions!$C$7/12*Assumptions!$F$7,CF4*0.5*Assumptions!$C$7/12*Assumptions!$F$7)</f>
        <v>1283072.9166666665</v>
      </c>
      <c r="CG7" s="131">
        <f>IF(CG5="No",CG4*Assumptions!$C$7/12*Assumptions!$F$7,CG4*0.5*Assumptions!$C$7/12*Assumptions!$F$7)</f>
        <v>1283072.9166666665</v>
      </c>
      <c r="CH7" s="131">
        <f>IF(CH5="No",CH4*Assumptions!$C$7/12*Assumptions!$F$7,CH4*0.5*Assumptions!$C$7/12*Assumptions!$F$7)</f>
        <v>1283072.9166666665</v>
      </c>
      <c r="CI7" s="131">
        <f>IF(CI5="No",CI4*Assumptions!$C$7/12*Assumptions!$F$7,CI4*0.5*Assumptions!$C$7/12*Assumptions!$F$7)</f>
        <v>1283072.9166666665</v>
      </c>
      <c r="CJ7" s="131">
        <f>IF(CJ5="No",CJ4*Assumptions!$C$7/12*Assumptions!$F$7,CJ4*0.5*Assumptions!$C$7/12*Assumptions!$F$7)</f>
        <v>1283072.9166666665</v>
      </c>
      <c r="CK7" s="131">
        <f>IF(CK5="No",CK4*Assumptions!$C$7/12*Assumptions!$F$7,CK4*0.5*Assumptions!$C$7/12*Assumptions!$F$7)</f>
        <v>1283072.9166666665</v>
      </c>
      <c r="CL7" s="131">
        <f>IF(CL5="No",CL4*Assumptions!$C$7/12*Assumptions!$F$7,CL4*0.5*Assumptions!$C$7/12*Assumptions!$F$7)</f>
        <v>1283072.9166666665</v>
      </c>
      <c r="CM7" s="131">
        <f>IF(CM5="No",CM4*Assumptions!$C$7/12*Assumptions!$F$7,CM4*0.5*Assumptions!$C$7/12*Assumptions!$F$7)</f>
        <v>1283072.9166666665</v>
      </c>
      <c r="CN7" s="131">
        <f>IF(CN5="No",CN4*Assumptions!$C$7/12*Assumptions!$F$7,CN4*0.5*Assumptions!$C$7/12*Assumptions!$F$7)</f>
        <v>1283072.9166666665</v>
      </c>
      <c r="CO7" s="131">
        <f>IF(CO5="No",CO4*Assumptions!$C$7/12*Assumptions!$F$7,CO4*0.5*Assumptions!$C$7/12*Assumptions!$F$7)</f>
        <v>1283072.9166666665</v>
      </c>
      <c r="CP7" s="131">
        <f>IF(CP5="No",CP4*Assumptions!$C$7/12*Assumptions!$F$7,CP4*0.5*Assumptions!$C$7/12*Assumptions!$F$7)</f>
        <v>1283072.9166666665</v>
      </c>
      <c r="CQ7" s="131">
        <f>IF(CQ5="No",CQ4*Assumptions!$C$7/12*Assumptions!$F$7,CQ4*0.5*Assumptions!$C$7/12*Assumptions!$F$7)</f>
        <v>1283072.9166666665</v>
      </c>
      <c r="CR7" s="131">
        <f>IF(CR5="No",CR4*Assumptions!$C$7/12*Assumptions!$F$7,CR4*0.5*Assumptions!$C$7/12*Assumptions!$F$7)</f>
        <v>1283072.9166666665</v>
      </c>
      <c r="CS7" s="131">
        <f>IF(CS5="No",CS4*Assumptions!$C$7/12*Assumptions!$F$7,CS4*0.5*Assumptions!$C$7/12*Assumptions!$F$7)</f>
        <v>1283072.9166666665</v>
      </c>
      <c r="CT7" s="131">
        <f>IF(CT5="No",CT4*Assumptions!$C$7/12*Assumptions!$F$7,CT4*0.5*Assumptions!$C$7/12*Assumptions!$F$7)</f>
        <v>1283072.9166666665</v>
      </c>
      <c r="CU7" s="131">
        <f>IF(CU5="No",CU4*Assumptions!$C$7/12*Assumptions!$F$7,CU4*0.5*Assumptions!$C$7/12*Assumptions!$F$7)</f>
        <v>1283072.9166666665</v>
      </c>
      <c r="CV7" s="131">
        <f>IF(CV5="No",CV4*Assumptions!$C$7/12*Assumptions!$F$7,CV4*0.5*Assumptions!$C$7/12*Assumptions!$F$7)</f>
        <v>1283072.9166666665</v>
      </c>
      <c r="CW7" s="131">
        <f>IF(CW5="No",CW4*Assumptions!$C$7/12*Assumptions!$F$7,CW4*0.5*Assumptions!$C$7/12*Assumptions!$F$7)</f>
        <v>1283072.9166666665</v>
      </c>
      <c r="CX7" s="131">
        <f>IF(CX5="No",CX4*Assumptions!$C$7/12*Assumptions!$F$7,CX4*0.5*Assumptions!$C$7/12*Assumptions!$F$7)</f>
        <v>1283072.9166666665</v>
      </c>
      <c r="CY7" s="131">
        <f>IF(CY5="No",CY4*Assumptions!$C$7/12*Assumptions!$F$7,CY4*0.5*Assumptions!$C$7/12*Assumptions!$F$7)</f>
        <v>1283072.9166666665</v>
      </c>
      <c r="CZ7" s="131">
        <f>IF(CZ5="No",CZ4*Assumptions!$C$7/12*Assumptions!$F$7,CZ4*0.5*Assumptions!$C$7/12*Assumptions!$F$7)</f>
        <v>1283072.9166666665</v>
      </c>
      <c r="DA7" s="131">
        <f>IF(DA5="No",DA4*Assumptions!$C$7/12*Assumptions!$F$7,DA4*0.5*Assumptions!$C$7/12*Assumptions!$F$7)</f>
        <v>1283072.9166666665</v>
      </c>
      <c r="DB7" s="131">
        <f>IF(DB5="No",DB4*Assumptions!$C$7/12*Assumptions!$F$7,DB4*0.5*Assumptions!$C$7/12*Assumptions!$F$7)</f>
        <v>1283072.9166666665</v>
      </c>
      <c r="DC7" s="131">
        <f>IF(DC5="No",DC4*Assumptions!$C$7/12*Assumptions!$F$7,DC4*0.5*Assumptions!$C$7/12*Assumptions!$F$7)</f>
        <v>1283072.9166666665</v>
      </c>
      <c r="DD7" s="131">
        <f>IF(DD5="No",DD4*Assumptions!$C$7/12*Assumptions!$F$7,DD4*0.5*Assumptions!$C$7/12*Assumptions!$F$7)</f>
        <v>1283072.9166666665</v>
      </c>
      <c r="DE7" s="131">
        <f>IF(DE5="No",DE4*Assumptions!$C$7/12*Assumptions!$F$7,DE4*0.5*Assumptions!$C$7/12*Assumptions!$F$7)</f>
        <v>1283072.9166666665</v>
      </c>
      <c r="DF7" s="131">
        <f>IF(DF5="No",DF4*Assumptions!$C$7/12*Assumptions!$F$7,DF4*0.5*Assumptions!$C$7/12*Assumptions!$F$7)</f>
        <v>1283072.9166666665</v>
      </c>
      <c r="DG7" s="131">
        <f>IF(DG5="No",DG4*Assumptions!$C$7/12*Assumptions!$F$7,DG4*0.5*Assumptions!$C$7/12*Assumptions!$F$7)</f>
        <v>1283072.9166666665</v>
      </c>
      <c r="DH7" s="131">
        <f>IF(DH5="No",DH4*Assumptions!$C$7/12*Assumptions!$F$7,DH4*0.5*Assumptions!$C$7/12*Assumptions!$F$7)</f>
        <v>1283072.9166666665</v>
      </c>
      <c r="DI7" s="131">
        <f>IF(DI5="No",DI4*Assumptions!$C$7/12*Assumptions!$F$7,DI4*0.5*Assumptions!$C$7/12*Assumptions!$F$7)</f>
        <v>1283072.9166666665</v>
      </c>
      <c r="DJ7" s="131">
        <f>IF(DJ5="No",DJ4*Assumptions!$C$7/12*Assumptions!$F$7,DJ4*0.5*Assumptions!$C$7/12*Assumptions!$F$7)</f>
        <v>1283072.9166666665</v>
      </c>
      <c r="DK7" s="131">
        <f>IF(DK5="No",DK4*Assumptions!$C$7/12*Assumptions!$F$7,DK4*0.5*Assumptions!$C$7/12*Assumptions!$F$7)</f>
        <v>1283072.9166666665</v>
      </c>
      <c r="DL7" s="131">
        <f>IF(DL5="No",DL4*Assumptions!$C$7/12*Assumptions!$F$7,DL4*0.5*Assumptions!$C$7/12*Assumptions!$F$7)</f>
        <v>1283072.9166666665</v>
      </c>
      <c r="DM7" s="131">
        <f>IF(DM5="No",DM4*Assumptions!$C$7/12*Assumptions!$F$7,DM4*0.5*Assumptions!$C$7/12*Assumptions!$F$7)</f>
        <v>1283072.9166666665</v>
      </c>
      <c r="DN7" s="131">
        <f>IF(DN5="No",DN4*Assumptions!$C$7/12*Assumptions!$F$7,DN4*0.5*Assumptions!$C$7/12*Assumptions!$F$7)</f>
        <v>1283072.9166666665</v>
      </c>
      <c r="DO7" s="131">
        <f>IF(DO5="No",DO4*Assumptions!$C$7/12*Assumptions!$F$7,DO4*0.5*Assumptions!$C$7/12*Assumptions!$F$7)</f>
        <v>1283072.9166666665</v>
      </c>
      <c r="DP7" s="131">
        <f>IF(DP5="No",DP4*Assumptions!$C$7/12*Assumptions!$F$7,DP4*0.5*Assumptions!$C$7/12*Assumptions!$F$7)</f>
        <v>1283072.9166666665</v>
      </c>
      <c r="DQ7" s="131">
        <f>IF(DQ5="No",DQ4*Assumptions!$C$7/12*Assumptions!$F$7,DQ4*0.5*Assumptions!$C$7/12*Assumptions!$F$7)</f>
        <v>1283072.9166666665</v>
      </c>
      <c r="DR7" s="131">
        <f>IF(DR5="No",DR4*Assumptions!$C$7/12*Assumptions!$F$7,DR4*0.5*Assumptions!$C$7/12*Assumptions!$F$7)</f>
        <v>1283072.9166666665</v>
      </c>
      <c r="DS7" s="131">
        <f>IF(DS5="No",DS4*Assumptions!$C$7/12*Assumptions!$F$7,DS4*0.5*Assumptions!$C$7/12*Assumptions!$F$7)</f>
        <v>1283072.9166666665</v>
      </c>
      <c r="DT7" s="131">
        <f>IF(DT5="No",DT4*Assumptions!$C$7/12*Assumptions!$F$7,DT4*0.5*Assumptions!$C$7/12*Assumptions!$F$7)</f>
        <v>1283072.9166666665</v>
      </c>
      <c r="DU7" s="131">
        <f>IF(DU5="No",DU4*Assumptions!$C$7/12*Assumptions!$F$7,DU4*0.5*Assumptions!$C$7/12*Assumptions!$F$7)</f>
        <v>1283072.9166666665</v>
      </c>
      <c r="DV7" s="131">
        <f>IF(DV5="No",DV4*Assumptions!$C$7/12*Assumptions!$F$7,DV4*0.5*Assumptions!$C$7/12*Assumptions!$F$7)</f>
        <v>1283072.9166666665</v>
      </c>
      <c r="DW7" s="131">
        <f>IF(DW5="No",DW4*Assumptions!$C$7/12*Assumptions!$F$7,DW4*0.5*Assumptions!$C$7/12*Assumptions!$F$7)</f>
        <v>1283072.9166666665</v>
      </c>
    </row>
    <row r="8" spans="2:127" x14ac:dyDescent="0.3">
      <c r="C8" s="117"/>
    </row>
    <row r="9" spans="2:127" x14ac:dyDescent="0.3">
      <c r="B9" s="64" t="s">
        <v>222</v>
      </c>
    </row>
    <row r="10" spans="2:127" x14ac:dyDescent="0.3">
      <c r="B10" s="119" t="s">
        <v>17</v>
      </c>
      <c r="C10" s="120">
        <f>EOMONTH(MIN(Assumptions!$C$8:$C$9),1)</f>
        <v>46387</v>
      </c>
      <c r="D10" s="120">
        <f>EOMONTH(C10,1)</f>
        <v>46418</v>
      </c>
      <c r="E10" s="120">
        <f t="shared" ref="E10:BP10" si="0">EOMONTH(D10,1)</f>
        <v>46446</v>
      </c>
      <c r="F10" s="120">
        <f t="shared" si="0"/>
        <v>46477</v>
      </c>
      <c r="G10" s="120">
        <f t="shared" si="0"/>
        <v>46507</v>
      </c>
      <c r="H10" s="120">
        <f t="shared" si="0"/>
        <v>46538</v>
      </c>
      <c r="I10" s="120">
        <f t="shared" si="0"/>
        <v>46568</v>
      </c>
      <c r="J10" s="120">
        <f t="shared" si="0"/>
        <v>46599</v>
      </c>
      <c r="K10" s="120">
        <f t="shared" si="0"/>
        <v>46630</v>
      </c>
      <c r="L10" s="120">
        <f t="shared" si="0"/>
        <v>46660</v>
      </c>
      <c r="M10" s="120">
        <f t="shared" si="0"/>
        <v>46691</v>
      </c>
      <c r="N10" s="120">
        <f t="shared" si="0"/>
        <v>46721</v>
      </c>
      <c r="O10" s="120">
        <f t="shared" si="0"/>
        <v>46752</v>
      </c>
      <c r="P10" s="120">
        <f t="shared" si="0"/>
        <v>46783</v>
      </c>
      <c r="Q10" s="120">
        <f t="shared" si="0"/>
        <v>46812</v>
      </c>
      <c r="R10" s="120">
        <f t="shared" si="0"/>
        <v>46843</v>
      </c>
      <c r="S10" s="120">
        <f t="shared" si="0"/>
        <v>46873</v>
      </c>
      <c r="T10" s="120">
        <f t="shared" si="0"/>
        <v>46904</v>
      </c>
      <c r="U10" s="120">
        <f t="shared" si="0"/>
        <v>46934</v>
      </c>
      <c r="V10" s="120">
        <f t="shared" si="0"/>
        <v>46965</v>
      </c>
      <c r="W10" s="120">
        <f t="shared" si="0"/>
        <v>46996</v>
      </c>
      <c r="X10" s="120">
        <f t="shared" si="0"/>
        <v>47026</v>
      </c>
      <c r="Y10" s="120">
        <f t="shared" si="0"/>
        <v>47057</v>
      </c>
      <c r="Z10" s="120">
        <f t="shared" si="0"/>
        <v>47087</v>
      </c>
      <c r="AA10" s="120">
        <f t="shared" si="0"/>
        <v>47118</v>
      </c>
      <c r="AB10" s="120">
        <f t="shared" si="0"/>
        <v>47149</v>
      </c>
      <c r="AC10" s="120">
        <f t="shared" si="0"/>
        <v>47177</v>
      </c>
      <c r="AD10" s="120">
        <f t="shared" si="0"/>
        <v>47208</v>
      </c>
      <c r="AE10" s="120">
        <f t="shared" si="0"/>
        <v>47238</v>
      </c>
      <c r="AF10" s="120">
        <f t="shared" si="0"/>
        <v>47269</v>
      </c>
      <c r="AG10" s="120">
        <f t="shared" si="0"/>
        <v>47299</v>
      </c>
      <c r="AH10" s="120">
        <f t="shared" si="0"/>
        <v>47330</v>
      </c>
      <c r="AI10" s="120">
        <f t="shared" si="0"/>
        <v>47361</v>
      </c>
      <c r="AJ10" s="120">
        <f t="shared" si="0"/>
        <v>47391</v>
      </c>
      <c r="AK10" s="120">
        <f t="shared" si="0"/>
        <v>47422</v>
      </c>
      <c r="AL10" s="120">
        <f t="shared" si="0"/>
        <v>47452</v>
      </c>
      <c r="AM10" s="120">
        <f t="shared" si="0"/>
        <v>47483</v>
      </c>
      <c r="AN10" s="120">
        <f t="shared" si="0"/>
        <v>47514</v>
      </c>
      <c r="AO10" s="120">
        <f t="shared" si="0"/>
        <v>47542</v>
      </c>
      <c r="AP10" s="120">
        <f t="shared" si="0"/>
        <v>47573</v>
      </c>
      <c r="AQ10" s="120">
        <f t="shared" si="0"/>
        <v>47603</v>
      </c>
      <c r="AR10" s="120">
        <f t="shared" si="0"/>
        <v>47634</v>
      </c>
      <c r="AS10" s="120">
        <f t="shared" si="0"/>
        <v>47664</v>
      </c>
      <c r="AT10" s="120">
        <f t="shared" si="0"/>
        <v>47695</v>
      </c>
      <c r="AU10" s="120">
        <f t="shared" si="0"/>
        <v>47726</v>
      </c>
      <c r="AV10" s="120">
        <f t="shared" si="0"/>
        <v>47756</v>
      </c>
      <c r="AW10" s="120">
        <f t="shared" si="0"/>
        <v>47787</v>
      </c>
      <c r="AX10" s="120">
        <f t="shared" si="0"/>
        <v>47817</v>
      </c>
      <c r="AY10" s="120">
        <f t="shared" si="0"/>
        <v>47848</v>
      </c>
      <c r="AZ10" s="120">
        <f t="shared" si="0"/>
        <v>47879</v>
      </c>
      <c r="BA10" s="120">
        <f t="shared" si="0"/>
        <v>47907</v>
      </c>
      <c r="BB10" s="120">
        <f t="shared" si="0"/>
        <v>47938</v>
      </c>
      <c r="BC10" s="120">
        <f t="shared" si="0"/>
        <v>47968</v>
      </c>
      <c r="BD10" s="120">
        <f t="shared" si="0"/>
        <v>47999</v>
      </c>
      <c r="BE10" s="120">
        <f t="shared" si="0"/>
        <v>48029</v>
      </c>
      <c r="BF10" s="120">
        <f t="shared" si="0"/>
        <v>48060</v>
      </c>
      <c r="BG10" s="120">
        <f t="shared" si="0"/>
        <v>48091</v>
      </c>
      <c r="BH10" s="120">
        <f t="shared" si="0"/>
        <v>48121</v>
      </c>
      <c r="BI10" s="120">
        <f t="shared" si="0"/>
        <v>48152</v>
      </c>
      <c r="BJ10" s="120">
        <f t="shared" si="0"/>
        <v>48182</v>
      </c>
      <c r="BK10" s="120">
        <f t="shared" si="0"/>
        <v>48213</v>
      </c>
      <c r="BL10" s="120">
        <f t="shared" si="0"/>
        <v>48244</v>
      </c>
      <c r="BM10" s="120">
        <f t="shared" si="0"/>
        <v>48273</v>
      </c>
      <c r="BN10" s="120">
        <f t="shared" si="0"/>
        <v>48304</v>
      </c>
      <c r="BO10" s="120">
        <f t="shared" si="0"/>
        <v>48334</v>
      </c>
      <c r="BP10" s="120">
        <f t="shared" si="0"/>
        <v>48365</v>
      </c>
      <c r="BQ10" s="120">
        <f t="shared" ref="BQ10:DW10" si="1">EOMONTH(BP10,1)</f>
        <v>48395</v>
      </c>
      <c r="BR10" s="120">
        <f t="shared" si="1"/>
        <v>48426</v>
      </c>
      <c r="BS10" s="120">
        <f t="shared" si="1"/>
        <v>48457</v>
      </c>
      <c r="BT10" s="120">
        <f t="shared" si="1"/>
        <v>48487</v>
      </c>
      <c r="BU10" s="120">
        <f t="shared" si="1"/>
        <v>48518</v>
      </c>
      <c r="BV10" s="120">
        <f t="shared" si="1"/>
        <v>48548</v>
      </c>
      <c r="BW10" s="120">
        <f t="shared" si="1"/>
        <v>48579</v>
      </c>
      <c r="BX10" s="120">
        <f t="shared" si="1"/>
        <v>48610</v>
      </c>
      <c r="BY10" s="120">
        <f t="shared" si="1"/>
        <v>48638</v>
      </c>
      <c r="BZ10" s="120">
        <f t="shared" si="1"/>
        <v>48669</v>
      </c>
      <c r="CA10" s="120">
        <f t="shared" si="1"/>
        <v>48699</v>
      </c>
      <c r="CB10" s="120">
        <f t="shared" si="1"/>
        <v>48730</v>
      </c>
      <c r="CC10" s="120">
        <f t="shared" si="1"/>
        <v>48760</v>
      </c>
      <c r="CD10" s="120">
        <f t="shared" si="1"/>
        <v>48791</v>
      </c>
      <c r="CE10" s="120">
        <f t="shared" si="1"/>
        <v>48822</v>
      </c>
      <c r="CF10" s="120">
        <f t="shared" si="1"/>
        <v>48852</v>
      </c>
      <c r="CG10" s="120">
        <f t="shared" si="1"/>
        <v>48883</v>
      </c>
      <c r="CH10" s="120">
        <f t="shared" si="1"/>
        <v>48913</v>
      </c>
      <c r="CI10" s="120">
        <f t="shared" si="1"/>
        <v>48944</v>
      </c>
      <c r="CJ10" s="120">
        <f t="shared" si="1"/>
        <v>48975</v>
      </c>
      <c r="CK10" s="120">
        <f t="shared" si="1"/>
        <v>49003</v>
      </c>
      <c r="CL10" s="120">
        <f t="shared" si="1"/>
        <v>49034</v>
      </c>
      <c r="CM10" s="120">
        <f t="shared" si="1"/>
        <v>49064</v>
      </c>
      <c r="CN10" s="120">
        <f t="shared" si="1"/>
        <v>49095</v>
      </c>
      <c r="CO10" s="120">
        <f t="shared" si="1"/>
        <v>49125</v>
      </c>
      <c r="CP10" s="120">
        <f t="shared" si="1"/>
        <v>49156</v>
      </c>
      <c r="CQ10" s="120">
        <f t="shared" si="1"/>
        <v>49187</v>
      </c>
      <c r="CR10" s="120">
        <f t="shared" si="1"/>
        <v>49217</v>
      </c>
      <c r="CS10" s="120">
        <f t="shared" si="1"/>
        <v>49248</v>
      </c>
      <c r="CT10" s="120">
        <f t="shared" si="1"/>
        <v>49278</v>
      </c>
      <c r="CU10" s="120">
        <f t="shared" si="1"/>
        <v>49309</v>
      </c>
      <c r="CV10" s="120">
        <f t="shared" si="1"/>
        <v>49340</v>
      </c>
      <c r="CW10" s="120">
        <f t="shared" si="1"/>
        <v>49368</v>
      </c>
      <c r="CX10" s="120">
        <f t="shared" si="1"/>
        <v>49399</v>
      </c>
      <c r="CY10" s="120">
        <f t="shared" si="1"/>
        <v>49429</v>
      </c>
      <c r="CZ10" s="120">
        <f t="shared" si="1"/>
        <v>49460</v>
      </c>
      <c r="DA10" s="120">
        <f t="shared" si="1"/>
        <v>49490</v>
      </c>
      <c r="DB10" s="120">
        <f t="shared" si="1"/>
        <v>49521</v>
      </c>
      <c r="DC10" s="120">
        <f t="shared" si="1"/>
        <v>49552</v>
      </c>
      <c r="DD10" s="120">
        <f t="shared" si="1"/>
        <v>49582</v>
      </c>
      <c r="DE10" s="120">
        <f t="shared" si="1"/>
        <v>49613</v>
      </c>
      <c r="DF10" s="120">
        <f t="shared" si="1"/>
        <v>49643</v>
      </c>
      <c r="DG10" s="120">
        <f t="shared" si="1"/>
        <v>49674</v>
      </c>
      <c r="DH10" s="120">
        <f t="shared" si="1"/>
        <v>49705</v>
      </c>
      <c r="DI10" s="120">
        <f t="shared" si="1"/>
        <v>49734</v>
      </c>
      <c r="DJ10" s="120">
        <f t="shared" si="1"/>
        <v>49765</v>
      </c>
      <c r="DK10" s="120">
        <f t="shared" si="1"/>
        <v>49795</v>
      </c>
      <c r="DL10" s="120">
        <f t="shared" si="1"/>
        <v>49826</v>
      </c>
      <c r="DM10" s="120">
        <f t="shared" si="1"/>
        <v>49856</v>
      </c>
      <c r="DN10" s="120">
        <f t="shared" si="1"/>
        <v>49887</v>
      </c>
      <c r="DO10" s="120">
        <f t="shared" si="1"/>
        <v>49918</v>
      </c>
      <c r="DP10" s="120">
        <f t="shared" si="1"/>
        <v>49948</v>
      </c>
      <c r="DQ10" s="120">
        <f t="shared" si="1"/>
        <v>49979</v>
      </c>
      <c r="DR10" s="120">
        <f t="shared" si="1"/>
        <v>50009</v>
      </c>
      <c r="DS10" s="120">
        <f t="shared" si="1"/>
        <v>50040</v>
      </c>
      <c r="DT10" s="120">
        <f t="shared" si="1"/>
        <v>50071</v>
      </c>
      <c r="DU10" s="120">
        <f t="shared" si="1"/>
        <v>50099</v>
      </c>
      <c r="DV10" s="120">
        <f t="shared" si="1"/>
        <v>50130</v>
      </c>
      <c r="DW10" s="120">
        <f t="shared" si="1"/>
        <v>50160</v>
      </c>
    </row>
    <row r="11" spans="2:127" x14ac:dyDescent="0.3">
      <c r="B11" s="52" t="s">
        <v>223</v>
      </c>
      <c r="C11" s="116">
        <f>SUM(C6:C7)</f>
        <v>205291.66666666666</v>
      </c>
      <c r="D11" s="116">
        <f t="shared" ref="D11:BO11" si="2">SUM(D6:D7)</f>
        <v>205291.66666666666</v>
      </c>
      <c r="E11" s="116">
        <f t="shared" si="2"/>
        <v>221541.66666666666</v>
      </c>
      <c r="F11" s="116">
        <f t="shared" si="2"/>
        <v>221541.66666666666</v>
      </c>
      <c r="G11" s="116">
        <f t="shared" si="2"/>
        <v>1384635.4166666665</v>
      </c>
      <c r="H11" s="116">
        <f t="shared" si="2"/>
        <v>1384635.4166666665</v>
      </c>
      <c r="I11" s="116">
        <f t="shared" si="2"/>
        <v>1384635.4166666665</v>
      </c>
      <c r="J11" s="116">
        <f t="shared" si="2"/>
        <v>1384635.4166666665</v>
      </c>
      <c r="K11" s="116">
        <f t="shared" si="2"/>
        <v>1384635.4166666665</v>
      </c>
      <c r="L11" s="116">
        <f t="shared" si="2"/>
        <v>1384635.4166666665</v>
      </c>
      <c r="M11" s="116">
        <f t="shared" si="2"/>
        <v>2769270.833333333</v>
      </c>
      <c r="N11" s="116">
        <f t="shared" si="2"/>
        <v>2769270.833333333</v>
      </c>
      <c r="O11" s="116">
        <f t="shared" si="2"/>
        <v>2769270.833333333</v>
      </c>
      <c r="P11" s="116">
        <f t="shared" si="2"/>
        <v>2769270.833333333</v>
      </c>
      <c r="Q11" s="116">
        <f t="shared" si="2"/>
        <v>2769270.833333333</v>
      </c>
      <c r="R11" s="116">
        <f t="shared" si="2"/>
        <v>2769270.833333333</v>
      </c>
      <c r="S11" s="116">
        <f t="shared" si="2"/>
        <v>2769270.833333333</v>
      </c>
      <c r="T11" s="116">
        <f t="shared" si="2"/>
        <v>2769270.833333333</v>
      </c>
      <c r="U11" s="116">
        <f t="shared" si="2"/>
        <v>2769270.833333333</v>
      </c>
      <c r="V11" s="116">
        <f t="shared" si="2"/>
        <v>2769270.833333333</v>
      </c>
      <c r="W11" s="116">
        <f t="shared" si="2"/>
        <v>2769270.833333333</v>
      </c>
      <c r="X11" s="116">
        <f t="shared" si="2"/>
        <v>2769270.833333333</v>
      </c>
      <c r="Y11" s="116">
        <f t="shared" si="2"/>
        <v>2769270.833333333</v>
      </c>
      <c r="Z11" s="116">
        <f t="shared" si="2"/>
        <v>2769270.833333333</v>
      </c>
      <c r="AA11" s="116">
        <f t="shared" si="2"/>
        <v>2769270.833333333</v>
      </c>
      <c r="AB11" s="116">
        <f t="shared" si="2"/>
        <v>2769270.833333333</v>
      </c>
      <c r="AC11" s="116">
        <f t="shared" si="2"/>
        <v>2769270.833333333</v>
      </c>
      <c r="AD11" s="116">
        <f t="shared" si="2"/>
        <v>2769270.833333333</v>
      </c>
      <c r="AE11" s="116">
        <f t="shared" si="2"/>
        <v>2769270.833333333</v>
      </c>
      <c r="AF11" s="116">
        <f t="shared" si="2"/>
        <v>2769270.833333333</v>
      </c>
      <c r="AG11" s="116">
        <f t="shared" si="2"/>
        <v>2769270.833333333</v>
      </c>
      <c r="AH11" s="116">
        <f t="shared" si="2"/>
        <v>2769270.833333333</v>
      </c>
      <c r="AI11" s="116">
        <f t="shared" si="2"/>
        <v>2769270.833333333</v>
      </c>
      <c r="AJ11" s="116">
        <f t="shared" si="2"/>
        <v>2769270.833333333</v>
      </c>
      <c r="AK11" s="116">
        <f t="shared" si="2"/>
        <v>2769270.833333333</v>
      </c>
      <c r="AL11" s="116">
        <f t="shared" si="2"/>
        <v>2769270.833333333</v>
      </c>
      <c r="AM11" s="116">
        <f t="shared" si="2"/>
        <v>2769270.833333333</v>
      </c>
      <c r="AN11" s="116">
        <f t="shared" si="2"/>
        <v>2769270.833333333</v>
      </c>
      <c r="AO11" s="116">
        <f t="shared" si="2"/>
        <v>2769270.833333333</v>
      </c>
      <c r="AP11" s="116">
        <f t="shared" si="2"/>
        <v>2769270.833333333</v>
      </c>
      <c r="AQ11" s="116">
        <f t="shared" si="2"/>
        <v>2769270.833333333</v>
      </c>
      <c r="AR11" s="116">
        <f t="shared" si="2"/>
        <v>2769270.833333333</v>
      </c>
      <c r="AS11" s="116">
        <f t="shared" si="2"/>
        <v>2769270.833333333</v>
      </c>
      <c r="AT11" s="116">
        <f t="shared" si="2"/>
        <v>2769270.833333333</v>
      </c>
      <c r="AU11" s="116">
        <f t="shared" si="2"/>
        <v>2769270.833333333</v>
      </c>
      <c r="AV11" s="116">
        <f t="shared" si="2"/>
        <v>2769270.833333333</v>
      </c>
      <c r="AW11" s="116">
        <f t="shared" si="2"/>
        <v>2769270.833333333</v>
      </c>
      <c r="AX11" s="116">
        <f t="shared" si="2"/>
        <v>2769270.833333333</v>
      </c>
      <c r="AY11" s="116">
        <f t="shared" si="2"/>
        <v>2769270.833333333</v>
      </c>
      <c r="AZ11" s="116">
        <f t="shared" si="2"/>
        <v>2769270.833333333</v>
      </c>
      <c r="BA11" s="116">
        <f t="shared" si="2"/>
        <v>2769270.833333333</v>
      </c>
      <c r="BB11" s="116">
        <f t="shared" si="2"/>
        <v>2769270.833333333</v>
      </c>
      <c r="BC11" s="116">
        <f t="shared" si="2"/>
        <v>2769270.833333333</v>
      </c>
      <c r="BD11" s="116">
        <f t="shared" si="2"/>
        <v>2769270.833333333</v>
      </c>
      <c r="BE11" s="116">
        <f t="shared" si="2"/>
        <v>2769270.833333333</v>
      </c>
      <c r="BF11" s="116">
        <f t="shared" si="2"/>
        <v>2769270.833333333</v>
      </c>
      <c r="BG11" s="116">
        <f t="shared" si="2"/>
        <v>2769270.833333333</v>
      </c>
      <c r="BH11" s="116">
        <f t="shared" si="2"/>
        <v>2769270.833333333</v>
      </c>
      <c r="BI11" s="116">
        <f t="shared" si="2"/>
        <v>2769270.833333333</v>
      </c>
      <c r="BJ11" s="116">
        <f t="shared" si="2"/>
        <v>2769270.833333333</v>
      </c>
      <c r="BK11" s="116">
        <f t="shared" si="2"/>
        <v>2769270.833333333</v>
      </c>
      <c r="BL11" s="116">
        <f t="shared" si="2"/>
        <v>2769270.833333333</v>
      </c>
      <c r="BM11" s="116">
        <f t="shared" si="2"/>
        <v>2769270.833333333</v>
      </c>
      <c r="BN11" s="116">
        <f t="shared" si="2"/>
        <v>2769270.833333333</v>
      </c>
      <c r="BO11" s="116">
        <f t="shared" si="2"/>
        <v>2769270.833333333</v>
      </c>
      <c r="BP11" s="116">
        <f t="shared" ref="BP11:DW11" si="3">SUM(BP6:BP7)</f>
        <v>2769270.833333333</v>
      </c>
      <c r="BQ11" s="116">
        <f t="shared" si="3"/>
        <v>2769270.833333333</v>
      </c>
      <c r="BR11" s="116">
        <f t="shared" si="3"/>
        <v>2769270.833333333</v>
      </c>
      <c r="BS11" s="116">
        <f t="shared" si="3"/>
        <v>2769270.833333333</v>
      </c>
      <c r="BT11" s="116">
        <f t="shared" si="3"/>
        <v>2769270.833333333</v>
      </c>
      <c r="BU11" s="116">
        <f t="shared" si="3"/>
        <v>2769270.833333333</v>
      </c>
      <c r="BV11" s="116">
        <f t="shared" si="3"/>
        <v>2769270.833333333</v>
      </c>
      <c r="BW11" s="116">
        <f t="shared" si="3"/>
        <v>2769270.833333333</v>
      </c>
      <c r="BX11" s="116">
        <f t="shared" si="3"/>
        <v>2769270.833333333</v>
      </c>
      <c r="BY11" s="116">
        <f t="shared" si="3"/>
        <v>2769270.833333333</v>
      </c>
      <c r="BZ11" s="116">
        <f t="shared" si="3"/>
        <v>2769270.833333333</v>
      </c>
      <c r="CA11" s="116">
        <f t="shared" si="3"/>
        <v>2769270.833333333</v>
      </c>
      <c r="CB11" s="116">
        <f t="shared" si="3"/>
        <v>2769270.833333333</v>
      </c>
      <c r="CC11" s="116">
        <f t="shared" si="3"/>
        <v>2769270.833333333</v>
      </c>
      <c r="CD11" s="116">
        <f t="shared" si="3"/>
        <v>2769270.833333333</v>
      </c>
      <c r="CE11" s="116">
        <f t="shared" si="3"/>
        <v>2769270.833333333</v>
      </c>
      <c r="CF11" s="116">
        <f t="shared" si="3"/>
        <v>2769270.833333333</v>
      </c>
      <c r="CG11" s="116">
        <f t="shared" si="3"/>
        <v>2769270.833333333</v>
      </c>
      <c r="CH11" s="116">
        <f t="shared" si="3"/>
        <v>2769270.833333333</v>
      </c>
      <c r="CI11" s="116">
        <f t="shared" si="3"/>
        <v>2769270.833333333</v>
      </c>
      <c r="CJ11" s="116">
        <f t="shared" si="3"/>
        <v>2769270.833333333</v>
      </c>
      <c r="CK11" s="116">
        <f t="shared" si="3"/>
        <v>2769270.833333333</v>
      </c>
      <c r="CL11" s="116">
        <f t="shared" si="3"/>
        <v>2769270.833333333</v>
      </c>
      <c r="CM11" s="116">
        <f t="shared" si="3"/>
        <v>2769270.833333333</v>
      </c>
      <c r="CN11" s="116">
        <f t="shared" si="3"/>
        <v>2769270.833333333</v>
      </c>
      <c r="CO11" s="116">
        <f t="shared" si="3"/>
        <v>2769270.833333333</v>
      </c>
      <c r="CP11" s="116">
        <f t="shared" si="3"/>
        <v>2769270.833333333</v>
      </c>
      <c r="CQ11" s="116">
        <f t="shared" si="3"/>
        <v>2769270.833333333</v>
      </c>
      <c r="CR11" s="116">
        <f t="shared" si="3"/>
        <v>2769270.833333333</v>
      </c>
      <c r="CS11" s="116">
        <f t="shared" si="3"/>
        <v>2769270.833333333</v>
      </c>
      <c r="CT11" s="116">
        <f t="shared" si="3"/>
        <v>2769270.833333333</v>
      </c>
      <c r="CU11" s="116">
        <f t="shared" si="3"/>
        <v>2769270.833333333</v>
      </c>
      <c r="CV11" s="116">
        <f t="shared" si="3"/>
        <v>2769270.833333333</v>
      </c>
      <c r="CW11" s="116">
        <f t="shared" si="3"/>
        <v>2769270.833333333</v>
      </c>
      <c r="CX11" s="116">
        <f t="shared" si="3"/>
        <v>2769270.833333333</v>
      </c>
      <c r="CY11" s="116">
        <f t="shared" si="3"/>
        <v>2769270.833333333</v>
      </c>
      <c r="CZ11" s="116">
        <f t="shared" si="3"/>
        <v>2769270.833333333</v>
      </c>
      <c r="DA11" s="116">
        <f t="shared" si="3"/>
        <v>2769270.833333333</v>
      </c>
      <c r="DB11" s="116">
        <f t="shared" si="3"/>
        <v>2769270.833333333</v>
      </c>
      <c r="DC11" s="116">
        <f t="shared" si="3"/>
        <v>2769270.833333333</v>
      </c>
      <c r="DD11" s="116">
        <f t="shared" si="3"/>
        <v>2769270.833333333</v>
      </c>
      <c r="DE11" s="116">
        <f t="shared" si="3"/>
        <v>2769270.833333333</v>
      </c>
      <c r="DF11" s="116">
        <f t="shared" si="3"/>
        <v>2769270.833333333</v>
      </c>
      <c r="DG11" s="116">
        <f t="shared" si="3"/>
        <v>2769270.833333333</v>
      </c>
      <c r="DH11" s="116">
        <f t="shared" si="3"/>
        <v>2769270.833333333</v>
      </c>
      <c r="DI11" s="116">
        <f t="shared" si="3"/>
        <v>2769270.833333333</v>
      </c>
      <c r="DJ11" s="116">
        <f t="shared" si="3"/>
        <v>2769270.833333333</v>
      </c>
      <c r="DK11" s="116">
        <f t="shared" si="3"/>
        <v>2769270.833333333</v>
      </c>
      <c r="DL11" s="116">
        <f t="shared" si="3"/>
        <v>2769270.833333333</v>
      </c>
      <c r="DM11" s="116">
        <f t="shared" si="3"/>
        <v>2769270.833333333</v>
      </c>
      <c r="DN11" s="116">
        <f t="shared" si="3"/>
        <v>2769270.833333333</v>
      </c>
      <c r="DO11" s="116">
        <f t="shared" si="3"/>
        <v>2769270.833333333</v>
      </c>
      <c r="DP11" s="116">
        <f t="shared" si="3"/>
        <v>2769270.833333333</v>
      </c>
      <c r="DQ11" s="116">
        <f t="shared" si="3"/>
        <v>2769270.833333333</v>
      </c>
      <c r="DR11" s="116">
        <f t="shared" si="3"/>
        <v>2769270.833333333</v>
      </c>
      <c r="DS11" s="116">
        <f t="shared" si="3"/>
        <v>2769270.833333333</v>
      </c>
      <c r="DT11" s="116">
        <f t="shared" si="3"/>
        <v>2769270.833333333</v>
      </c>
      <c r="DU11" s="116">
        <f t="shared" si="3"/>
        <v>2769270.833333333</v>
      </c>
      <c r="DV11" s="116">
        <f t="shared" si="3"/>
        <v>2769270.833333333</v>
      </c>
      <c r="DW11" s="116">
        <f t="shared" si="3"/>
        <v>2769270.833333333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05D1E-8343-4298-99F4-C136E4C2E90D}">
  <sheetPr>
    <tabColor rgb="FFC00000"/>
  </sheetPr>
  <dimension ref="B1:M120"/>
  <sheetViews>
    <sheetView showGridLines="0" workbookViewId="0">
      <selection activeCell="B1" sqref="B1"/>
    </sheetView>
  </sheetViews>
  <sheetFormatPr defaultRowHeight="15" x14ac:dyDescent="0.3"/>
  <cols>
    <col min="1" max="1" width="1.7109375" style="52" customWidth="1"/>
    <col min="2" max="2" width="17.85546875" style="52" customWidth="1"/>
    <col min="3" max="3" width="14.42578125" style="55" bestFit="1" customWidth="1"/>
    <col min="4" max="4" width="19.140625" style="55" bestFit="1" customWidth="1"/>
    <col min="5" max="5" width="19.140625" style="55" customWidth="1"/>
    <col min="6" max="6" width="13.5703125" style="55" bestFit="1" customWidth="1"/>
    <col min="7" max="7" width="18.42578125" style="55" bestFit="1" customWidth="1"/>
    <col min="8" max="8" width="18.42578125" style="55" customWidth="1"/>
    <col min="9" max="9" width="17.42578125" style="55" bestFit="1" customWidth="1"/>
    <col min="10" max="14" width="12" style="52" bestFit="1" customWidth="1"/>
    <col min="15" max="16" width="10.42578125" style="52" bestFit="1" customWidth="1"/>
    <col min="17" max="16384" width="9.140625" style="52"/>
  </cols>
  <sheetData>
    <row r="1" spans="2:13" s="83" customFormat="1" x14ac:dyDescent="0.3">
      <c r="B1" s="178" t="s">
        <v>283</v>
      </c>
      <c r="C1" s="156"/>
      <c r="D1" s="156"/>
      <c r="E1" s="156"/>
      <c r="F1" s="156"/>
      <c r="G1" s="156"/>
      <c r="H1" s="156"/>
      <c r="I1" s="156"/>
    </row>
    <row r="2" spans="2:13" s="83" customFormat="1" ht="18" x14ac:dyDescent="0.35">
      <c r="B2" s="90" t="s">
        <v>230</v>
      </c>
      <c r="C2" s="157"/>
      <c r="D2" s="157"/>
      <c r="E2" s="157"/>
      <c r="F2" s="157"/>
      <c r="G2" s="157"/>
      <c r="H2" s="157"/>
      <c r="I2" s="157"/>
      <c r="J2" s="89"/>
      <c r="K2" s="89"/>
      <c r="L2" s="89"/>
      <c r="M2" s="89"/>
    </row>
    <row r="4" spans="2:13" x14ac:dyDescent="0.3">
      <c r="B4" s="66" t="s">
        <v>257</v>
      </c>
      <c r="C4" s="155">
        <f>+Assumptions!I6</f>
        <v>45000000</v>
      </c>
    </row>
    <row r="5" spans="2:13" x14ac:dyDescent="0.3">
      <c r="B5" s="109" t="s">
        <v>259</v>
      </c>
      <c r="C5" s="161" t="str">
        <f>+Assumptions!L4</f>
        <v>IO</v>
      </c>
    </row>
    <row r="6" spans="2:13" x14ac:dyDescent="0.3">
      <c r="B6" s="52" t="s">
        <v>260</v>
      </c>
      <c r="C6" s="67">
        <f>+Assumptions!L5</f>
        <v>0.11</v>
      </c>
    </row>
    <row r="7" spans="2:13" x14ac:dyDescent="0.3">
      <c r="B7" s="109" t="s">
        <v>261</v>
      </c>
      <c r="C7" s="162">
        <f>+Assumptions!L6</f>
        <v>36</v>
      </c>
    </row>
    <row r="8" spans="2:13" x14ac:dyDescent="0.3">
      <c r="B8" s="52" t="s">
        <v>262</v>
      </c>
      <c r="C8" s="164">
        <f>+Assumptions!L7</f>
        <v>47299</v>
      </c>
    </row>
    <row r="10" spans="2:13" x14ac:dyDescent="0.3">
      <c r="B10" s="73" t="s">
        <v>17</v>
      </c>
      <c r="C10" s="165" t="s">
        <v>62</v>
      </c>
      <c r="D10" s="165" t="s">
        <v>268</v>
      </c>
      <c r="E10" s="165" t="s">
        <v>53</v>
      </c>
      <c r="F10" s="165" t="s">
        <v>263</v>
      </c>
      <c r="G10" s="165" t="s">
        <v>266</v>
      </c>
      <c r="H10" s="165" t="s">
        <v>270</v>
      </c>
      <c r="I10" s="165" t="s">
        <v>264</v>
      </c>
    </row>
    <row r="11" spans="2:13" x14ac:dyDescent="0.3">
      <c r="B11" s="65">
        <f>EOMONTH(Assumptions!C4,1)</f>
        <v>46234</v>
      </c>
      <c r="C11" s="163">
        <f>IF(B11="","",$C$4)</f>
        <v>45000000</v>
      </c>
      <c r="D11" s="163">
        <f>IF(B11="","",IF($C$5="IO",C11*$C$6/12,-PMT($C$6/12,$C$7,$C$4)))</f>
        <v>412500</v>
      </c>
      <c r="E11" s="163">
        <f>IF(B11="","",C11*$C$6/12)</f>
        <v>412500</v>
      </c>
      <c r="F11" s="163">
        <f>IF(B11="","",+D11-E11)</f>
        <v>0</v>
      </c>
      <c r="G11" s="163">
        <f>IF(B11="","",IF(AND($C$5="io",$C$8=B11),$C$4,0))</f>
        <v>0</v>
      </c>
      <c r="H11" s="163">
        <f>IF(B11="","",G11+F11)</f>
        <v>0</v>
      </c>
      <c r="I11" s="163">
        <f>IF(B11="","",C11-H11)</f>
        <v>45000000</v>
      </c>
    </row>
    <row r="12" spans="2:13" x14ac:dyDescent="0.3">
      <c r="B12" s="65">
        <f>IF(B11="","",IF(B11=$C$8,"",EOMONTH(B11,1)))</f>
        <v>46265</v>
      </c>
      <c r="C12" s="163">
        <f>IF(B12="","",I11)</f>
        <v>45000000</v>
      </c>
      <c r="D12" s="163">
        <f t="shared" ref="D12:D48" si="0">IF(B12="","",IF($C$5="IO",C12*$C$6/12,-PMT($C$6/12,$C$7,$C$4)))</f>
        <v>412500</v>
      </c>
      <c r="E12" s="163">
        <f t="shared" ref="E12:E48" si="1">IF(B12="","",C12*$C$6/12)</f>
        <v>412500</v>
      </c>
      <c r="F12" s="163">
        <f t="shared" ref="F12:F48" si="2">IF(B12="","",+D12-E12)</f>
        <v>0</v>
      </c>
      <c r="G12" s="163">
        <f t="shared" ref="G12:G48" si="3">IF(B12="","",IF(AND($C$5="io",$C$8=B12),$C$4,0))</f>
        <v>0</v>
      </c>
      <c r="H12" s="163">
        <f t="shared" ref="H12:H48" si="4">IF(B12="","",G12+F12)</f>
        <v>0</v>
      </c>
      <c r="I12" s="163">
        <f t="shared" ref="I12:I48" si="5">IF(B12="","",C12-H12)</f>
        <v>45000000</v>
      </c>
    </row>
    <row r="13" spans="2:13" x14ac:dyDescent="0.3">
      <c r="B13" s="65">
        <f t="shared" ref="B13:B48" si="6">IF(B12="","",IF(B12=$C$8,"",EOMONTH(B12,1)))</f>
        <v>46295</v>
      </c>
      <c r="C13" s="163">
        <f t="shared" ref="C13:C48" si="7">IF(B13="","",I12)</f>
        <v>45000000</v>
      </c>
      <c r="D13" s="163">
        <f t="shared" si="0"/>
        <v>412500</v>
      </c>
      <c r="E13" s="163">
        <f t="shared" si="1"/>
        <v>412500</v>
      </c>
      <c r="F13" s="163">
        <f t="shared" si="2"/>
        <v>0</v>
      </c>
      <c r="G13" s="163">
        <f t="shared" si="3"/>
        <v>0</v>
      </c>
      <c r="H13" s="163">
        <f t="shared" si="4"/>
        <v>0</v>
      </c>
      <c r="I13" s="163">
        <f t="shared" si="5"/>
        <v>45000000</v>
      </c>
    </row>
    <row r="14" spans="2:13" x14ac:dyDescent="0.3">
      <c r="B14" s="65">
        <f t="shared" si="6"/>
        <v>46326</v>
      </c>
      <c r="C14" s="163">
        <f t="shared" si="7"/>
        <v>45000000</v>
      </c>
      <c r="D14" s="163">
        <f t="shared" si="0"/>
        <v>412500</v>
      </c>
      <c r="E14" s="163">
        <f t="shared" si="1"/>
        <v>412500</v>
      </c>
      <c r="F14" s="163">
        <f t="shared" si="2"/>
        <v>0</v>
      </c>
      <c r="G14" s="163">
        <f t="shared" si="3"/>
        <v>0</v>
      </c>
      <c r="H14" s="163">
        <f t="shared" si="4"/>
        <v>0</v>
      </c>
      <c r="I14" s="163">
        <f t="shared" si="5"/>
        <v>45000000</v>
      </c>
    </row>
    <row r="15" spans="2:13" x14ac:dyDescent="0.3">
      <c r="B15" s="65">
        <f t="shared" si="6"/>
        <v>46356</v>
      </c>
      <c r="C15" s="163">
        <f t="shared" si="7"/>
        <v>45000000</v>
      </c>
      <c r="D15" s="163">
        <f t="shared" si="0"/>
        <v>412500</v>
      </c>
      <c r="E15" s="163">
        <f t="shared" si="1"/>
        <v>412500</v>
      </c>
      <c r="F15" s="163">
        <f t="shared" si="2"/>
        <v>0</v>
      </c>
      <c r="G15" s="163">
        <f t="shared" si="3"/>
        <v>0</v>
      </c>
      <c r="H15" s="163">
        <f t="shared" si="4"/>
        <v>0</v>
      </c>
      <c r="I15" s="163">
        <f t="shared" si="5"/>
        <v>45000000</v>
      </c>
    </row>
    <row r="16" spans="2:13" x14ac:dyDescent="0.3">
      <c r="B16" s="65">
        <f t="shared" si="6"/>
        <v>46387</v>
      </c>
      <c r="C16" s="163">
        <f t="shared" si="7"/>
        <v>45000000</v>
      </c>
      <c r="D16" s="163">
        <f t="shared" si="0"/>
        <v>412500</v>
      </c>
      <c r="E16" s="163">
        <f t="shared" si="1"/>
        <v>412500</v>
      </c>
      <c r="F16" s="163">
        <f t="shared" si="2"/>
        <v>0</v>
      </c>
      <c r="G16" s="163">
        <f t="shared" si="3"/>
        <v>0</v>
      </c>
      <c r="H16" s="163">
        <f t="shared" si="4"/>
        <v>0</v>
      </c>
      <c r="I16" s="163">
        <f t="shared" si="5"/>
        <v>45000000</v>
      </c>
    </row>
    <row r="17" spans="2:9" x14ac:dyDescent="0.3">
      <c r="B17" s="65">
        <f t="shared" si="6"/>
        <v>46418</v>
      </c>
      <c r="C17" s="163">
        <f t="shared" si="7"/>
        <v>45000000</v>
      </c>
      <c r="D17" s="163">
        <f t="shared" si="0"/>
        <v>412500</v>
      </c>
      <c r="E17" s="163">
        <f t="shared" si="1"/>
        <v>412500</v>
      </c>
      <c r="F17" s="163">
        <f t="shared" si="2"/>
        <v>0</v>
      </c>
      <c r="G17" s="163">
        <f t="shared" si="3"/>
        <v>0</v>
      </c>
      <c r="H17" s="163">
        <f t="shared" si="4"/>
        <v>0</v>
      </c>
      <c r="I17" s="163">
        <f t="shared" si="5"/>
        <v>45000000</v>
      </c>
    </row>
    <row r="18" spans="2:9" x14ac:dyDescent="0.3">
      <c r="B18" s="65">
        <f t="shared" si="6"/>
        <v>46446</v>
      </c>
      <c r="C18" s="163">
        <f t="shared" si="7"/>
        <v>45000000</v>
      </c>
      <c r="D18" s="163">
        <f t="shared" si="0"/>
        <v>412500</v>
      </c>
      <c r="E18" s="163">
        <f t="shared" si="1"/>
        <v>412500</v>
      </c>
      <c r="F18" s="163">
        <f t="shared" si="2"/>
        <v>0</v>
      </c>
      <c r="G18" s="163">
        <f t="shared" si="3"/>
        <v>0</v>
      </c>
      <c r="H18" s="163">
        <f t="shared" si="4"/>
        <v>0</v>
      </c>
      <c r="I18" s="163">
        <f t="shared" si="5"/>
        <v>45000000</v>
      </c>
    </row>
    <row r="19" spans="2:9" x14ac:dyDescent="0.3">
      <c r="B19" s="65">
        <f t="shared" si="6"/>
        <v>46477</v>
      </c>
      <c r="C19" s="163">
        <f t="shared" si="7"/>
        <v>45000000</v>
      </c>
      <c r="D19" s="163">
        <f t="shared" si="0"/>
        <v>412500</v>
      </c>
      <c r="E19" s="163">
        <f t="shared" si="1"/>
        <v>412500</v>
      </c>
      <c r="F19" s="163">
        <f t="shared" si="2"/>
        <v>0</v>
      </c>
      <c r="G19" s="163">
        <f t="shared" si="3"/>
        <v>0</v>
      </c>
      <c r="H19" s="163">
        <f t="shared" si="4"/>
        <v>0</v>
      </c>
      <c r="I19" s="163">
        <f t="shared" si="5"/>
        <v>45000000</v>
      </c>
    </row>
    <row r="20" spans="2:9" x14ac:dyDescent="0.3">
      <c r="B20" s="65">
        <f t="shared" si="6"/>
        <v>46507</v>
      </c>
      <c r="C20" s="163">
        <f t="shared" si="7"/>
        <v>45000000</v>
      </c>
      <c r="D20" s="163">
        <f t="shared" si="0"/>
        <v>412500</v>
      </c>
      <c r="E20" s="163">
        <f t="shared" si="1"/>
        <v>412500</v>
      </c>
      <c r="F20" s="163">
        <f t="shared" si="2"/>
        <v>0</v>
      </c>
      <c r="G20" s="163">
        <f t="shared" si="3"/>
        <v>0</v>
      </c>
      <c r="H20" s="163">
        <f t="shared" si="4"/>
        <v>0</v>
      </c>
      <c r="I20" s="163">
        <f t="shared" si="5"/>
        <v>45000000</v>
      </c>
    </row>
    <row r="21" spans="2:9" x14ac:dyDescent="0.3">
      <c r="B21" s="65">
        <f t="shared" si="6"/>
        <v>46538</v>
      </c>
      <c r="C21" s="163">
        <f t="shared" si="7"/>
        <v>45000000</v>
      </c>
      <c r="D21" s="163">
        <f t="shared" si="0"/>
        <v>412500</v>
      </c>
      <c r="E21" s="163">
        <f t="shared" si="1"/>
        <v>412500</v>
      </c>
      <c r="F21" s="163">
        <f t="shared" si="2"/>
        <v>0</v>
      </c>
      <c r="G21" s="163">
        <f t="shared" si="3"/>
        <v>0</v>
      </c>
      <c r="H21" s="163">
        <f t="shared" si="4"/>
        <v>0</v>
      </c>
      <c r="I21" s="163">
        <f t="shared" si="5"/>
        <v>45000000</v>
      </c>
    </row>
    <row r="22" spans="2:9" x14ac:dyDescent="0.3">
      <c r="B22" s="65">
        <f t="shared" si="6"/>
        <v>46568</v>
      </c>
      <c r="C22" s="163">
        <f t="shared" si="7"/>
        <v>45000000</v>
      </c>
      <c r="D22" s="163">
        <f t="shared" si="0"/>
        <v>412500</v>
      </c>
      <c r="E22" s="163">
        <f t="shared" si="1"/>
        <v>412500</v>
      </c>
      <c r="F22" s="163">
        <f t="shared" si="2"/>
        <v>0</v>
      </c>
      <c r="G22" s="163">
        <f t="shared" si="3"/>
        <v>0</v>
      </c>
      <c r="H22" s="163">
        <f t="shared" si="4"/>
        <v>0</v>
      </c>
      <c r="I22" s="163">
        <f t="shared" si="5"/>
        <v>45000000</v>
      </c>
    </row>
    <row r="23" spans="2:9" x14ac:dyDescent="0.3">
      <c r="B23" s="65">
        <f t="shared" si="6"/>
        <v>46599</v>
      </c>
      <c r="C23" s="163">
        <f t="shared" si="7"/>
        <v>45000000</v>
      </c>
      <c r="D23" s="163">
        <f t="shared" si="0"/>
        <v>412500</v>
      </c>
      <c r="E23" s="163">
        <f t="shared" si="1"/>
        <v>412500</v>
      </c>
      <c r="F23" s="163">
        <f t="shared" si="2"/>
        <v>0</v>
      </c>
      <c r="G23" s="163">
        <f t="shared" si="3"/>
        <v>0</v>
      </c>
      <c r="H23" s="163">
        <f t="shared" si="4"/>
        <v>0</v>
      </c>
      <c r="I23" s="163">
        <f t="shared" si="5"/>
        <v>45000000</v>
      </c>
    </row>
    <row r="24" spans="2:9" x14ac:dyDescent="0.3">
      <c r="B24" s="65">
        <f t="shared" si="6"/>
        <v>46630</v>
      </c>
      <c r="C24" s="163">
        <f t="shared" si="7"/>
        <v>45000000</v>
      </c>
      <c r="D24" s="163">
        <f t="shared" si="0"/>
        <v>412500</v>
      </c>
      <c r="E24" s="163">
        <f t="shared" si="1"/>
        <v>412500</v>
      </c>
      <c r="F24" s="163">
        <f t="shared" si="2"/>
        <v>0</v>
      </c>
      <c r="G24" s="163">
        <f t="shared" si="3"/>
        <v>0</v>
      </c>
      <c r="H24" s="163">
        <f t="shared" si="4"/>
        <v>0</v>
      </c>
      <c r="I24" s="163">
        <f t="shared" si="5"/>
        <v>45000000</v>
      </c>
    </row>
    <row r="25" spans="2:9" x14ac:dyDescent="0.3">
      <c r="B25" s="65">
        <f t="shared" si="6"/>
        <v>46660</v>
      </c>
      <c r="C25" s="163">
        <f t="shared" si="7"/>
        <v>45000000</v>
      </c>
      <c r="D25" s="163">
        <f t="shared" si="0"/>
        <v>412500</v>
      </c>
      <c r="E25" s="163">
        <f t="shared" si="1"/>
        <v>412500</v>
      </c>
      <c r="F25" s="163">
        <f t="shared" si="2"/>
        <v>0</v>
      </c>
      <c r="G25" s="163">
        <f t="shared" si="3"/>
        <v>0</v>
      </c>
      <c r="H25" s="163">
        <f t="shared" si="4"/>
        <v>0</v>
      </c>
      <c r="I25" s="163">
        <f t="shared" si="5"/>
        <v>45000000</v>
      </c>
    </row>
    <row r="26" spans="2:9" x14ac:dyDescent="0.3">
      <c r="B26" s="65">
        <f t="shared" si="6"/>
        <v>46691</v>
      </c>
      <c r="C26" s="163">
        <f t="shared" si="7"/>
        <v>45000000</v>
      </c>
      <c r="D26" s="163">
        <f t="shared" si="0"/>
        <v>412500</v>
      </c>
      <c r="E26" s="163">
        <f t="shared" si="1"/>
        <v>412500</v>
      </c>
      <c r="F26" s="163">
        <f t="shared" si="2"/>
        <v>0</v>
      </c>
      <c r="G26" s="163">
        <f t="shared" si="3"/>
        <v>0</v>
      </c>
      <c r="H26" s="163">
        <f t="shared" si="4"/>
        <v>0</v>
      </c>
      <c r="I26" s="163">
        <f t="shared" si="5"/>
        <v>45000000</v>
      </c>
    </row>
    <row r="27" spans="2:9" x14ac:dyDescent="0.3">
      <c r="B27" s="65">
        <f t="shared" si="6"/>
        <v>46721</v>
      </c>
      <c r="C27" s="163">
        <f t="shared" si="7"/>
        <v>45000000</v>
      </c>
      <c r="D27" s="163">
        <f t="shared" si="0"/>
        <v>412500</v>
      </c>
      <c r="E27" s="163">
        <f t="shared" si="1"/>
        <v>412500</v>
      </c>
      <c r="F27" s="163">
        <f t="shared" si="2"/>
        <v>0</v>
      </c>
      <c r="G27" s="163">
        <f t="shared" si="3"/>
        <v>0</v>
      </c>
      <c r="H27" s="163">
        <f t="shared" si="4"/>
        <v>0</v>
      </c>
      <c r="I27" s="163">
        <f t="shared" si="5"/>
        <v>45000000</v>
      </c>
    </row>
    <row r="28" spans="2:9" x14ac:dyDescent="0.3">
      <c r="B28" s="65">
        <f t="shared" si="6"/>
        <v>46752</v>
      </c>
      <c r="C28" s="163">
        <f t="shared" si="7"/>
        <v>45000000</v>
      </c>
      <c r="D28" s="163">
        <f t="shared" si="0"/>
        <v>412500</v>
      </c>
      <c r="E28" s="163">
        <f t="shared" si="1"/>
        <v>412500</v>
      </c>
      <c r="F28" s="163">
        <f t="shared" si="2"/>
        <v>0</v>
      </c>
      <c r="G28" s="163">
        <f t="shared" si="3"/>
        <v>0</v>
      </c>
      <c r="H28" s="163">
        <f t="shared" si="4"/>
        <v>0</v>
      </c>
      <c r="I28" s="163">
        <f t="shared" si="5"/>
        <v>45000000</v>
      </c>
    </row>
    <row r="29" spans="2:9" x14ac:dyDescent="0.3">
      <c r="B29" s="65">
        <f t="shared" si="6"/>
        <v>46783</v>
      </c>
      <c r="C29" s="163">
        <f t="shared" si="7"/>
        <v>45000000</v>
      </c>
      <c r="D29" s="163">
        <f t="shared" si="0"/>
        <v>412500</v>
      </c>
      <c r="E29" s="163">
        <f t="shared" si="1"/>
        <v>412500</v>
      </c>
      <c r="F29" s="163">
        <f t="shared" si="2"/>
        <v>0</v>
      </c>
      <c r="G29" s="163">
        <f t="shared" si="3"/>
        <v>0</v>
      </c>
      <c r="H29" s="163">
        <f t="shared" si="4"/>
        <v>0</v>
      </c>
      <c r="I29" s="163">
        <f t="shared" si="5"/>
        <v>45000000</v>
      </c>
    </row>
    <row r="30" spans="2:9" x14ac:dyDescent="0.3">
      <c r="B30" s="65">
        <f t="shared" si="6"/>
        <v>46812</v>
      </c>
      <c r="C30" s="163">
        <f t="shared" si="7"/>
        <v>45000000</v>
      </c>
      <c r="D30" s="163">
        <f t="shared" si="0"/>
        <v>412500</v>
      </c>
      <c r="E30" s="163">
        <f t="shared" si="1"/>
        <v>412500</v>
      </c>
      <c r="F30" s="163">
        <f t="shared" si="2"/>
        <v>0</v>
      </c>
      <c r="G30" s="163">
        <f t="shared" si="3"/>
        <v>0</v>
      </c>
      <c r="H30" s="163">
        <f t="shared" si="4"/>
        <v>0</v>
      </c>
      <c r="I30" s="163">
        <f t="shared" si="5"/>
        <v>45000000</v>
      </c>
    </row>
    <row r="31" spans="2:9" x14ac:dyDescent="0.3">
      <c r="B31" s="65">
        <f t="shared" si="6"/>
        <v>46843</v>
      </c>
      <c r="C31" s="163">
        <f t="shared" si="7"/>
        <v>45000000</v>
      </c>
      <c r="D31" s="163">
        <f t="shared" si="0"/>
        <v>412500</v>
      </c>
      <c r="E31" s="163">
        <f t="shared" si="1"/>
        <v>412500</v>
      </c>
      <c r="F31" s="163">
        <f t="shared" si="2"/>
        <v>0</v>
      </c>
      <c r="G31" s="163">
        <f t="shared" si="3"/>
        <v>0</v>
      </c>
      <c r="H31" s="163">
        <f t="shared" si="4"/>
        <v>0</v>
      </c>
      <c r="I31" s="163">
        <f t="shared" si="5"/>
        <v>45000000</v>
      </c>
    </row>
    <row r="32" spans="2:9" x14ac:dyDescent="0.3">
      <c r="B32" s="65">
        <f t="shared" si="6"/>
        <v>46873</v>
      </c>
      <c r="C32" s="163">
        <f t="shared" si="7"/>
        <v>45000000</v>
      </c>
      <c r="D32" s="163">
        <f t="shared" si="0"/>
        <v>412500</v>
      </c>
      <c r="E32" s="163">
        <f t="shared" si="1"/>
        <v>412500</v>
      </c>
      <c r="F32" s="163">
        <f t="shared" si="2"/>
        <v>0</v>
      </c>
      <c r="G32" s="163">
        <f t="shared" si="3"/>
        <v>0</v>
      </c>
      <c r="H32" s="163">
        <f t="shared" si="4"/>
        <v>0</v>
      </c>
      <c r="I32" s="163">
        <f t="shared" si="5"/>
        <v>45000000</v>
      </c>
    </row>
    <row r="33" spans="2:9" x14ac:dyDescent="0.3">
      <c r="B33" s="65">
        <f t="shared" si="6"/>
        <v>46904</v>
      </c>
      <c r="C33" s="163">
        <f t="shared" si="7"/>
        <v>45000000</v>
      </c>
      <c r="D33" s="163">
        <f t="shared" si="0"/>
        <v>412500</v>
      </c>
      <c r="E33" s="163">
        <f t="shared" si="1"/>
        <v>412500</v>
      </c>
      <c r="F33" s="163">
        <f t="shared" si="2"/>
        <v>0</v>
      </c>
      <c r="G33" s="163">
        <f t="shared" si="3"/>
        <v>0</v>
      </c>
      <c r="H33" s="163">
        <f t="shared" si="4"/>
        <v>0</v>
      </c>
      <c r="I33" s="163">
        <f t="shared" si="5"/>
        <v>45000000</v>
      </c>
    </row>
    <row r="34" spans="2:9" x14ac:dyDescent="0.3">
      <c r="B34" s="65">
        <f t="shared" si="6"/>
        <v>46934</v>
      </c>
      <c r="C34" s="163">
        <f t="shared" si="7"/>
        <v>45000000</v>
      </c>
      <c r="D34" s="163">
        <f t="shared" si="0"/>
        <v>412500</v>
      </c>
      <c r="E34" s="163">
        <f t="shared" si="1"/>
        <v>412500</v>
      </c>
      <c r="F34" s="163">
        <f t="shared" si="2"/>
        <v>0</v>
      </c>
      <c r="G34" s="163">
        <f t="shared" si="3"/>
        <v>0</v>
      </c>
      <c r="H34" s="163">
        <f t="shared" si="4"/>
        <v>0</v>
      </c>
      <c r="I34" s="163">
        <f t="shared" si="5"/>
        <v>45000000</v>
      </c>
    </row>
    <row r="35" spans="2:9" x14ac:dyDescent="0.3">
      <c r="B35" s="65">
        <f t="shared" si="6"/>
        <v>46965</v>
      </c>
      <c r="C35" s="163">
        <f t="shared" si="7"/>
        <v>45000000</v>
      </c>
      <c r="D35" s="163">
        <f t="shared" si="0"/>
        <v>412500</v>
      </c>
      <c r="E35" s="163">
        <f t="shared" si="1"/>
        <v>412500</v>
      </c>
      <c r="F35" s="163">
        <f t="shared" si="2"/>
        <v>0</v>
      </c>
      <c r="G35" s="163">
        <f t="shared" si="3"/>
        <v>0</v>
      </c>
      <c r="H35" s="163">
        <f t="shared" si="4"/>
        <v>0</v>
      </c>
      <c r="I35" s="163">
        <f t="shared" si="5"/>
        <v>45000000</v>
      </c>
    </row>
    <row r="36" spans="2:9" x14ac:dyDescent="0.3">
      <c r="B36" s="65">
        <f t="shared" si="6"/>
        <v>46996</v>
      </c>
      <c r="C36" s="163">
        <f t="shared" si="7"/>
        <v>45000000</v>
      </c>
      <c r="D36" s="163">
        <f t="shared" si="0"/>
        <v>412500</v>
      </c>
      <c r="E36" s="163">
        <f t="shared" si="1"/>
        <v>412500</v>
      </c>
      <c r="F36" s="163">
        <f t="shared" si="2"/>
        <v>0</v>
      </c>
      <c r="G36" s="163">
        <f t="shared" si="3"/>
        <v>0</v>
      </c>
      <c r="H36" s="163">
        <f t="shared" si="4"/>
        <v>0</v>
      </c>
      <c r="I36" s="163">
        <f t="shared" si="5"/>
        <v>45000000</v>
      </c>
    </row>
    <row r="37" spans="2:9" x14ac:dyDescent="0.3">
      <c r="B37" s="65">
        <f t="shared" si="6"/>
        <v>47026</v>
      </c>
      <c r="C37" s="163">
        <f t="shared" si="7"/>
        <v>45000000</v>
      </c>
      <c r="D37" s="163">
        <f t="shared" si="0"/>
        <v>412500</v>
      </c>
      <c r="E37" s="163">
        <f t="shared" si="1"/>
        <v>412500</v>
      </c>
      <c r="F37" s="163">
        <f t="shared" si="2"/>
        <v>0</v>
      </c>
      <c r="G37" s="163">
        <f t="shared" si="3"/>
        <v>0</v>
      </c>
      <c r="H37" s="163">
        <f t="shared" si="4"/>
        <v>0</v>
      </c>
      <c r="I37" s="163">
        <f t="shared" si="5"/>
        <v>45000000</v>
      </c>
    </row>
    <row r="38" spans="2:9" x14ac:dyDescent="0.3">
      <c r="B38" s="65">
        <f t="shared" si="6"/>
        <v>47057</v>
      </c>
      <c r="C38" s="163">
        <f t="shared" si="7"/>
        <v>45000000</v>
      </c>
      <c r="D38" s="163">
        <f t="shared" si="0"/>
        <v>412500</v>
      </c>
      <c r="E38" s="163">
        <f t="shared" si="1"/>
        <v>412500</v>
      </c>
      <c r="F38" s="163">
        <f t="shared" si="2"/>
        <v>0</v>
      </c>
      <c r="G38" s="163">
        <f t="shared" si="3"/>
        <v>0</v>
      </c>
      <c r="H38" s="163">
        <f t="shared" si="4"/>
        <v>0</v>
      </c>
      <c r="I38" s="163">
        <f t="shared" si="5"/>
        <v>45000000</v>
      </c>
    </row>
    <row r="39" spans="2:9" x14ac:dyDescent="0.3">
      <c r="B39" s="65">
        <f t="shared" si="6"/>
        <v>47087</v>
      </c>
      <c r="C39" s="163">
        <f t="shared" si="7"/>
        <v>45000000</v>
      </c>
      <c r="D39" s="163">
        <f t="shared" si="0"/>
        <v>412500</v>
      </c>
      <c r="E39" s="163">
        <f t="shared" si="1"/>
        <v>412500</v>
      </c>
      <c r="F39" s="163">
        <f t="shared" si="2"/>
        <v>0</v>
      </c>
      <c r="G39" s="163">
        <f t="shared" si="3"/>
        <v>0</v>
      </c>
      <c r="H39" s="163">
        <f t="shared" si="4"/>
        <v>0</v>
      </c>
      <c r="I39" s="163">
        <f t="shared" si="5"/>
        <v>45000000</v>
      </c>
    </row>
    <row r="40" spans="2:9" x14ac:dyDescent="0.3">
      <c r="B40" s="65">
        <f t="shared" si="6"/>
        <v>47118</v>
      </c>
      <c r="C40" s="163">
        <f t="shared" si="7"/>
        <v>45000000</v>
      </c>
      <c r="D40" s="163">
        <f t="shared" si="0"/>
        <v>412500</v>
      </c>
      <c r="E40" s="163">
        <f t="shared" si="1"/>
        <v>412500</v>
      </c>
      <c r="F40" s="163">
        <f t="shared" si="2"/>
        <v>0</v>
      </c>
      <c r="G40" s="163">
        <f t="shared" si="3"/>
        <v>0</v>
      </c>
      <c r="H40" s="163">
        <f t="shared" si="4"/>
        <v>0</v>
      </c>
      <c r="I40" s="163">
        <f t="shared" si="5"/>
        <v>45000000</v>
      </c>
    </row>
    <row r="41" spans="2:9" x14ac:dyDescent="0.3">
      <c r="B41" s="65">
        <f t="shared" si="6"/>
        <v>47149</v>
      </c>
      <c r="C41" s="163">
        <f t="shared" si="7"/>
        <v>45000000</v>
      </c>
      <c r="D41" s="163">
        <f t="shared" si="0"/>
        <v>412500</v>
      </c>
      <c r="E41" s="163">
        <f t="shared" si="1"/>
        <v>412500</v>
      </c>
      <c r="F41" s="163">
        <f t="shared" si="2"/>
        <v>0</v>
      </c>
      <c r="G41" s="163">
        <f t="shared" si="3"/>
        <v>0</v>
      </c>
      <c r="H41" s="163">
        <f t="shared" si="4"/>
        <v>0</v>
      </c>
      <c r="I41" s="163">
        <f t="shared" si="5"/>
        <v>45000000</v>
      </c>
    </row>
    <row r="42" spans="2:9" x14ac:dyDescent="0.3">
      <c r="B42" s="65">
        <f t="shared" si="6"/>
        <v>47177</v>
      </c>
      <c r="C42" s="163">
        <f t="shared" si="7"/>
        <v>45000000</v>
      </c>
      <c r="D42" s="163">
        <f t="shared" si="0"/>
        <v>412500</v>
      </c>
      <c r="E42" s="163">
        <f t="shared" si="1"/>
        <v>412500</v>
      </c>
      <c r="F42" s="163">
        <f t="shared" si="2"/>
        <v>0</v>
      </c>
      <c r="G42" s="163">
        <f t="shared" si="3"/>
        <v>0</v>
      </c>
      <c r="H42" s="163">
        <f t="shared" si="4"/>
        <v>0</v>
      </c>
      <c r="I42" s="163">
        <f t="shared" si="5"/>
        <v>45000000</v>
      </c>
    </row>
    <row r="43" spans="2:9" x14ac:dyDescent="0.3">
      <c r="B43" s="65">
        <f t="shared" si="6"/>
        <v>47208</v>
      </c>
      <c r="C43" s="163">
        <f t="shared" si="7"/>
        <v>45000000</v>
      </c>
      <c r="D43" s="163">
        <f t="shared" si="0"/>
        <v>412500</v>
      </c>
      <c r="E43" s="163">
        <f t="shared" si="1"/>
        <v>412500</v>
      </c>
      <c r="F43" s="163">
        <f t="shared" si="2"/>
        <v>0</v>
      </c>
      <c r="G43" s="163">
        <f t="shared" si="3"/>
        <v>0</v>
      </c>
      <c r="H43" s="163">
        <f t="shared" si="4"/>
        <v>0</v>
      </c>
      <c r="I43" s="163">
        <f t="shared" si="5"/>
        <v>45000000</v>
      </c>
    </row>
    <row r="44" spans="2:9" x14ac:dyDescent="0.3">
      <c r="B44" s="65">
        <f t="shared" si="6"/>
        <v>47238</v>
      </c>
      <c r="C44" s="163">
        <f t="shared" si="7"/>
        <v>45000000</v>
      </c>
      <c r="D44" s="163">
        <f t="shared" si="0"/>
        <v>412500</v>
      </c>
      <c r="E44" s="163">
        <f t="shared" si="1"/>
        <v>412500</v>
      </c>
      <c r="F44" s="163">
        <f t="shared" si="2"/>
        <v>0</v>
      </c>
      <c r="G44" s="163">
        <f t="shared" si="3"/>
        <v>0</v>
      </c>
      <c r="H44" s="163">
        <f t="shared" si="4"/>
        <v>0</v>
      </c>
      <c r="I44" s="163">
        <f t="shared" si="5"/>
        <v>45000000</v>
      </c>
    </row>
    <row r="45" spans="2:9" x14ac:dyDescent="0.3">
      <c r="B45" s="65">
        <f t="shared" si="6"/>
        <v>47269</v>
      </c>
      <c r="C45" s="163">
        <f t="shared" si="7"/>
        <v>45000000</v>
      </c>
      <c r="D45" s="163">
        <f t="shared" si="0"/>
        <v>412500</v>
      </c>
      <c r="E45" s="163">
        <f t="shared" si="1"/>
        <v>412500</v>
      </c>
      <c r="F45" s="163">
        <f t="shared" si="2"/>
        <v>0</v>
      </c>
      <c r="G45" s="163">
        <f t="shared" si="3"/>
        <v>0</v>
      </c>
      <c r="H45" s="163">
        <f t="shared" si="4"/>
        <v>0</v>
      </c>
      <c r="I45" s="163">
        <f t="shared" si="5"/>
        <v>45000000</v>
      </c>
    </row>
    <row r="46" spans="2:9" x14ac:dyDescent="0.3">
      <c r="B46" s="65">
        <f t="shared" si="6"/>
        <v>47299</v>
      </c>
      <c r="C46" s="163">
        <f t="shared" si="7"/>
        <v>45000000</v>
      </c>
      <c r="D46" s="163">
        <f t="shared" si="0"/>
        <v>412500</v>
      </c>
      <c r="E46" s="163">
        <f t="shared" si="1"/>
        <v>412500</v>
      </c>
      <c r="F46" s="163">
        <f t="shared" si="2"/>
        <v>0</v>
      </c>
      <c r="G46" s="163">
        <f t="shared" si="3"/>
        <v>45000000</v>
      </c>
      <c r="H46" s="163">
        <f t="shared" si="4"/>
        <v>45000000</v>
      </c>
      <c r="I46" s="163">
        <f t="shared" si="5"/>
        <v>0</v>
      </c>
    </row>
    <row r="47" spans="2:9" x14ac:dyDescent="0.3">
      <c r="B47" s="65" t="str">
        <f t="shared" si="6"/>
        <v/>
      </c>
      <c r="C47" s="163" t="str">
        <f t="shared" si="7"/>
        <v/>
      </c>
      <c r="D47" s="163" t="str">
        <f t="shared" si="0"/>
        <v/>
      </c>
      <c r="E47" s="163" t="str">
        <f t="shared" si="1"/>
        <v/>
      </c>
      <c r="F47" s="163" t="str">
        <f t="shared" si="2"/>
        <v/>
      </c>
      <c r="G47" s="163" t="str">
        <f t="shared" si="3"/>
        <v/>
      </c>
      <c r="H47" s="163" t="str">
        <f t="shared" si="4"/>
        <v/>
      </c>
      <c r="I47" s="163" t="str">
        <f t="shared" si="5"/>
        <v/>
      </c>
    </row>
    <row r="48" spans="2:9" x14ac:dyDescent="0.3">
      <c r="B48" s="65" t="str">
        <f t="shared" si="6"/>
        <v/>
      </c>
      <c r="C48" s="163" t="str">
        <f t="shared" si="7"/>
        <v/>
      </c>
      <c r="D48" s="163" t="str">
        <f t="shared" si="0"/>
        <v/>
      </c>
      <c r="E48" s="163" t="str">
        <f t="shared" si="1"/>
        <v/>
      </c>
      <c r="F48" s="163" t="str">
        <f t="shared" si="2"/>
        <v/>
      </c>
      <c r="G48" s="163" t="str">
        <f t="shared" si="3"/>
        <v/>
      </c>
      <c r="H48" s="163" t="str">
        <f t="shared" si="4"/>
        <v/>
      </c>
      <c r="I48" s="163" t="str">
        <f t="shared" si="5"/>
        <v/>
      </c>
    </row>
    <row r="49" spans="2:9" x14ac:dyDescent="0.3">
      <c r="B49" s="65" t="str">
        <f t="shared" ref="B49:B112" si="8">IF(B48="","",IF(B48=$C$8,"",EOMONTH(B48,1)))</f>
        <v/>
      </c>
      <c r="C49" s="163" t="str">
        <f t="shared" ref="C49:C112" si="9">IF(B49="","",I48)</f>
        <v/>
      </c>
      <c r="D49" s="163" t="str">
        <f t="shared" ref="D49:D112" si="10">IF(B49="","",IF($C$5="IO",C49*$C$6/12,-PMT($C$6/12,$C$7,$C$4)))</f>
        <v/>
      </c>
      <c r="E49" s="163" t="str">
        <f t="shared" ref="E49:E112" si="11">IF(B49="","",C49*$C$6/12)</f>
        <v/>
      </c>
      <c r="F49" s="163" t="str">
        <f t="shared" ref="F49:F112" si="12">IF(B49="","",+D49-E49)</f>
        <v/>
      </c>
      <c r="G49" s="163" t="str">
        <f t="shared" ref="G49:G112" si="13">IF(B49="","",IF(AND($C$5="io",$C$8=B49),$C$4,0))</f>
        <v/>
      </c>
      <c r="H49" s="163" t="str">
        <f t="shared" ref="H49:H112" si="14">IF(B49="","",G49+F49)</f>
        <v/>
      </c>
      <c r="I49" s="163" t="str">
        <f t="shared" ref="I49:I112" si="15">IF(B49="","",C49-H49)</f>
        <v/>
      </c>
    </row>
    <row r="50" spans="2:9" x14ac:dyDescent="0.3">
      <c r="B50" s="65" t="str">
        <f t="shared" si="8"/>
        <v/>
      </c>
      <c r="C50" s="163" t="str">
        <f t="shared" si="9"/>
        <v/>
      </c>
      <c r="D50" s="163" t="str">
        <f t="shared" si="10"/>
        <v/>
      </c>
      <c r="E50" s="163" t="str">
        <f t="shared" si="11"/>
        <v/>
      </c>
      <c r="F50" s="163" t="str">
        <f t="shared" si="12"/>
        <v/>
      </c>
      <c r="G50" s="163" t="str">
        <f t="shared" si="13"/>
        <v/>
      </c>
      <c r="H50" s="163" t="str">
        <f t="shared" si="14"/>
        <v/>
      </c>
      <c r="I50" s="163" t="str">
        <f t="shared" si="15"/>
        <v/>
      </c>
    </row>
    <row r="51" spans="2:9" x14ac:dyDescent="0.3">
      <c r="B51" s="65" t="str">
        <f t="shared" si="8"/>
        <v/>
      </c>
      <c r="C51" s="163" t="str">
        <f t="shared" si="9"/>
        <v/>
      </c>
      <c r="D51" s="163" t="str">
        <f t="shared" si="10"/>
        <v/>
      </c>
      <c r="E51" s="163" t="str">
        <f t="shared" si="11"/>
        <v/>
      </c>
      <c r="F51" s="163" t="str">
        <f t="shared" si="12"/>
        <v/>
      </c>
      <c r="G51" s="163" t="str">
        <f t="shared" si="13"/>
        <v/>
      </c>
      <c r="H51" s="163" t="str">
        <f t="shared" si="14"/>
        <v/>
      </c>
      <c r="I51" s="163" t="str">
        <f t="shared" si="15"/>
        <v/>
      </c>
    </row>
    <row r="52" spans="2:9" x14ac:dyDescent="0.3">
      <c r="B52" s="65" t="str">
        <f t="shared" si="8"/>
        <v/>
      </c>
      <c r="C52" s="163" t="str">
        <f t="shared" si="9"/>
        <v/>
      </c>
      <c r="D52" s="163" t="str">
        <f t="shared" si="10"/>
        <v/>
      </c>
      <c r="E52" s="163" t="str">
        <f t="shared" si="11"/>
        <v/>
      </c>
      <c r="F52" s="163" t="str">
        <f t="shared" si="12"/>
        <v/>
      </c>
      <c r="G52" s="163" t="str">
        <f t="shared" si="13"/>
        <v/>
      </c>
      <c r="H52" s="163" t="str">
        <f t="shared" si="14"/>
        <v/>
      </c>
      <c r="I52" s="163" t="str">
        <f t="shared" si="15"/>
        <v/>
      </c>
    </row>
    <row r="53" spans="2:9" x14ac:dyDescent="0.3">
      <c r="B53" s="65" t="str">
        <f t="shared" si="8"/>
        <v/>
      </c>
      <c r="C53" s="163" t="str">
        <f t="shared" si="9"/>
        <v/>
      </c>
      <c r="D53" s="163" t="str">
        <f t="shared" si="10"/>
        <v/>
      </c>
      <c r="E53" s="163" t="str">
        <f t="shared" si="11"/>
        <v/>
      </c>
      <c r="F53" s="163" t="str">
        <f t="shared" si="12"/>
        <v/>
      </c>
      <c r="G53" s="163" t="str">
        <f t="shared" si="13"/>
        <v/>
      </c>
      <c r="H53" s="163" t="str">
        <f t="shared" si="14"/>
        <v/>
      </c>
      <c r="I53" s="163" t="str">
        <f t="shared" si="15"/>
        <v/>
      </c>
    </row>
    <row r="54" spans="2:9" x14ac:dyDescent="0.3">
      <c r="B54" s="65" t="str">
        <f t="shared" si="8"/>
        <v/>
      </c>
      <c r="C54" s="163" t="str">
        <f t="shared" si="9"/>
        <v/>
      </c>
      <c r="D54" s="163" t="str">
        <f t="shared" si="10"/>
        <v/>
      </c>
      <c r="E54" s="163" t="str">
        <f t="shared" si="11"/>
        <v/>
      </c>
      <c r="F54" s="163" t="str">
        <f t="shared" si="12"/>
        <v/>
      </c>
      <c r="G54" s="163" t="str">
        <f t="shared" si="13"/>
        <v/>
      </c>
      <c r="H54" s="163" t="str">
        <f t="shared" si="14"/>
        <v/>
      </c>
      <c r="I54" s="163" t="str">
        <f t="shared" si="15"/>
        <v/>
      </c>
    </row>
    <row r="55" spans="2:9" x14ac:dyDescent="0.3">
      <c r="B55" s="65" t="str">
        <f t="shared" si="8"/>
        <v/>
      </c>
      <c r="C55" s="163" t="str">
        <f t="shared" si="9"/>
        <v/>
      </c>
      <c r="D55" s="163" t="str">
        <f t="shared" si="10"/>
        <v/>
      </c>
      <c r="E55" s="163" t="str">
        <f t="shared" si="11"/>
        <v/>
      </c>
      <c r="F55" s="163" t="str">
        <f t="shared" si="12"/>
        <v/>
      </c>
      <c r="G55" s="163" t="str">
        <f t="shared" si="13"/>
        <v/>
      </c>
      <c r="H55" s="163" t="str">
        <f t="shared" si="14"/>
        <v/>
      </c>
      <c r="I55" s="163" t="str">
        <f t="shared" si="15"/>
        <v/>
      </c>
    </row>
    <row r="56" spans="2:9" x14ac:dyDescent="0.3">
      <c r="B56" s="65" t="str">
        <f t="shared" si="8"/>
        <v/>
      </c>
      <c r="C56" s="163" t="str">
        <f t="shared" si="9"/>
        <v/>
      </c>
      <c r="D56" s="163" t="str">
        <f t="shared" si="10"/>
        <v/>
      </c>
      <c r="E56" s="163" t="str">
        <f t="shared" si="11"/>
        <v/>
      </c>
      <c r="F56" s="163" t="str">
        <f t="shared" si="12"/>
        <v/>
      </c>
      <c r="G56" s="163" t="str">
        <f t="shared" si="13"/>
        <v/>
      </c>
      <c r="H56" s="163" t="str">
        <f t="shared" si="14"/>
        <v/>
      </c>
      <c r="I56" s="163" t="str">
        <f t="shared" si="15"/>
        <v/>
      </c>
    </row>
    <row r="57" spans="2:9" x14ac:dyDescent="0.3">
      <c r="B57" s="65" t="str">
        <f t="shared" si="8"/>
        <v/>
      </c>
      <c r="C57" s="163" t="str">
        <f t="shared" si="9"/>
        <v/>
      </c>
      <c r="D57" s="163" t="str">
        <f t="shared" si="10"/>
        <v/>
      </c>
      <c r="E57" s="163" t="str">
        <f t="shared" si="11"/>
        <v/>
      </c>
      <c r="F57" s="163" t="str">
        <f t="shared" si="12"/>
        <v/>
      </c>
      <c r="G57" s="163" t="str">
        <f t="shared" si="13"/>
        <v/>
      </c>
      <c r="H57" s="163" t="str">
        <f t="shared" si="14"/>
        <v/>
      </c>
      <c r="I57" s="163" t="str">
        <f t="shared" si="15"/>
        <v/>
      </c>
    </row>
    <row r="58" spans="2:9" x14ac:dyDescent="0.3">
      <c r="B58" s="65" t="str">
        <f t="shared" si="8"/>
        <v/>
      </c>
      <c r="C58" s="163" t="str">
        <f t="shared" si="9"/>
        <v/>
      </c>
      <c r="D58" s="163" t="str">
        <f t="shared" si="10"/>
        <v/>
      </c>
      <c r="E58" s="163" t="str">
        <f t="shared" si="11"/>
        <v/>
      </c>
      <c r="F58" s="163" t="str">
        <f t="shared" si="12"/>
        <v/>
      </c>
      <c r="G58" s="163" t="str">
        <f t="shared" si="13"/>
        <v/>
      </c>
      <c r="H58" s="163" t="str">
        <f t="shared" si="14"/>
        <v/>
      </c>
      <c r="I58" s="163" t="str">
        <f t="shared" si="15"/>
        <v/>
      </c>
    </row>
    <row r="59" spans="2:9" x14ac:dyDescent="0.3">
      <c r="B59" s="65" t="str">
        <f t="shared" si="8"/>
        <v/>
      </c>
      <c r="C59" s="163" t="str">
        <f t="shared" si="9"/>
        <v/>
      </c>
      <c r="D59" s="163" t="str">
        <f t="shared" si="10"/>
        <v/>
      </c>
      <c r="E59" s="163" t="str">
        <f t="shared" si="11"/>
        <v/>
      </c>
      <c r="F59" s="163" t="str">
        <f t="shared" si="12"/>
        <v/>
      </c>
      <c r="G59" s="163" t="str">
        <f t="shared" si="13"/>
        <v/>
      </c>
      <c r="H59" s="163" t="str">
        <f t="shared" si="14"/>
        <v/>
      </c>
      <c r="I59" s="163" t="str">
        <f t="shared" si="15"/>
        <v/>
      </c>
    </row>
    <row r="60" spans="2:9" x14ac:dyDescent="0.3">
      <c r="B60" s="65" t="str">
        <f t="shared" si="8"/>
        <v/>
      </c>
      <c r="C60" s="163" t="str">
        <f t="shared" si="9"/>
        <v/>
      </c>
      <c r="D60" s="163" t="str">
        <f t="shared" si="10"/>
        <v/>
      </c>
      <c r="E60" s="163" t="str">
        <f t="shared" si="11"/>
        <v/>
      </c>
      <c r="F60" s="163" t="str">
        <f t="shared" si="12"/>
        <v/>
      </c>
      <c r="G60" s="163" t="str">
        <f t="shared" si="13"/>
        <v/>
      </c>
      <c r="H60" s="163" t="str">
        <f t="shared" si="14"/>
        <v/>
      </c>
      <c r="I60" s="163" t="str">
        <f t="shared" si="15"/>
        <v/>
      </c>
    </row>
    <row r="61" spans="2:9" x14ac:dyDescent="0.3">
      <c r="B61" s="65" t="str">
        <f t="shared" si="8"/>
        <v/>
      </c>
      <c r="C61" s="163" t="str">
        <f t="shared" si="9"/>
        <v/>
      </c>
      <c r="D61" s="163" t="str">
        <f t="shared" si="10"/>
        <v/>
      </c>
      <c r="E61" s="163" t="str">
        <f t="shared" si="11"/>
        <v/>
      </c>
      <c r="F61" s="163" t="str">
        <f t="shared" si="12"/>
        <v/>
      </c>
      <c r="G61" s="163" t="str">
        <f t="shared" si="13"/>
        <v/>
      </c>
      <c r="H61" s="163" t="str">
        <f t="shared" si="14"/>
        <v/>
      </c>
      <c r="I61" s="163" t="str">
        <f t="shared" si="15"/>
        <v/>
      </c>
    </row>
    <row r="62" spans="2:9" x14ac:dyDescent="0.3">
      <c r="B62" s="65" t="str">
        <f t="shared" si="8"/>
        <v/>
      </c>
      <c r="C62" s="163" t="str">
        <f t="shared" si="9"/>
        <v/>
      </c>
      <c r="D62" s="163" t="str">
        <f t="shared" si="10"/>
        <v/>
      </c>
      <c r="E62" s="163" t="str">
        <f t="shared" si="11"/>
        <v/>
      </c>
      <c r="F62" s="163" t="str">
        <f t="shared" si="12"/>
        <v/>
      </c>
      <c r="G62" s="163" t="str">
        <f t="shared" si="13"/>
        <v/>
      </c>
      <c r="H62" s="163" t="str">
        <f t="shared" si="14"/>
        <v/>
      </c>
      <c r="I62" s="163" t="str">
        <f t="shared" si="15"/>
        <v/>
      </c>
    </row>
    <row r="63" spans="2:9" x14ac:dyDescent="0.3">
      <c r="B63" s="65" t="str">
        <f t="shared" si="8"/>
        <v/>
      </c>
      <c r="C63" s="163" t="str">
        <f t="shared" si="9"/>
        <v/>
      </c>
      <c r="D63" s="163" t="str">
        <f t="shared" si="10"/>
        <v/>
      </c>
      <c r="E63" s="163" t="str">
        <f t="shared" si="11"/>
        <v/>
      </c>
      <c r="F63" s="163" t="str">
        <f t="shared" si="12"/>
        <v/>
      </c>
      <c r="G63" s="163" t="str">
        <f t="shared" si="13"/>
        <v/>
      </c>
      <c r="H63" s="163" t="str">
        <f t="shared" si="14"/>
        <v/>
      </c>
      <c r="I63" s="163" t="str">
        <f t="shared" si="15"/>
        <v/>
      </c>
    </row>
    <row r="64" spans="2:9" x14ac:dyDescent="0.3">
      <c r="B64" s="65" t="str">
        <f t="shared" si="8"/>
        <v/>
      </c>
      <c r="C64" s="163" t="str">
        <f t="shared" si="9"/>
        <v/>
      </c>
      <c r="D64" s="163" t="str">
        <f t="shared" si="10"/>
        <v/>
      </c>
      <c r="E64" s="163" t="str">
        <f t="shared" si="11"/>
        <v/>
      </c>
      <c r="F64" s="163" t="str">
        <f t="shared" si="12"/>
        <v/>
      </c>
      <c r="G64" s="163" t="str">
        <f t="shared" si="13"/>
        <v/>
      </c>
      <c r="H64" s="163" t="str">
        <f t="shared" si="14"/>
        <v/>
      </c>
      <c r="I64" s="163" t="str">
        <f t="shared" si="15"/>
        <v/>
      </c>
    </row>
    <row r="65" spans="2:9" x14ac:dyDescent="0.3">
      <c r="B65" s="65" t="str">
        <f t="shared" si="8"/>
        <v/>
      </c>
      <c r="C65" s="163" t="str">
        <f t="shared" si="9"/>
        <v/>
      </c>
      <c r="D65" s="163" t="str">
        <f t="shared" si="10"/>
        <v/>
      </c>
      <c r="E65" s="163" t="str">
        <f t="shared" si="11"/>
        <v/>
      </c>
      <c r="F65" s="163" t="str">
        <f t="shared" si="12"/>
        <v/>
      </c>
      <c r="G65" s="163" t="str">
        <f t="shared" si="13"/>
        <v/>
      </c>
      <c r="H65" s="163" t="str">
        <f t="shared" si="14"/>
        <v/>
      </c>
      <c r="I65" s="163" t="str">
        <f t="shared" si="15"/>
        <v/>
      </c>
    </row>
    <row r="66" spans="2:9" x14ac:dyDescent="0.3">
      <c r="B66" s="65" t="str">
        <f t="shared" si="8"/>
        <v/>
      </c>
      <c r="C66" s="163" t="str">
        <f t="shared" si="9"/>
        <v/>
      </c>
      <c r="D66" s="163" t="str">
        <f t="shared" si="10"/>
        <v/>
      </c>
      <c r="E66" s="163" t="str">
        <f t="shared" si="11"/>
        <v/>
      </c>
      <c r="F66" s="163" t="str">
        <f t="shared" si="12"/>
        <v/>
      </c>
      <c r="G66" s="163" t="str">
        <f t="shared" si="13"/>
        <v/>
      </c>
      <c r="H66" s="163" t="str">
        <f t="shared" si="14"/>
        <v/>
      </c>
      <c r="I66" s="163" t="str">
        <f t="shared" si="15"/>
        <v/>
      </c>
    </row>
    <row r="67" spans="2:9" x14ac:dyDescent="0.3">
      <c r="B67" s="65" t="str">
        <f t="shared" si="8"/>
        <v/>
      </c>
      <c r="C67" s="163" t="str">
        <f t="shared" si="9"/>
        <v/>
      </c>
      <c r="D67" s="163" t="str">
        <f t="shared" si="10"/>
        <v/>
      </c>
      <c r="E67" s="163" t="str">
        <f t="shared" si="11"/>
        <v/>
      </c>
      <c r="F67" s="163" t="str">
        <f t="shared" si="12"/>
        <v/>
      </c>
      <c r="G67" s="163" t="str">
        <f t="shared" si="13"/>
        <v/>
      </c>
      <c r="H67" s="163" t="str">
        <f t="shared" si="14"/>
        <v/>
      </c>
      <c r="I67" s="163" t="str">
        <f t="shared" si="15"/>
        <v/>
      </c>
    </row>
    <row r="68" spans="2:9" x14ac:dyDescent="0.3">
      <c r="B68" s="65" t="str">
        <f t="shared" si="8"/>
        <v/>
      </c>
      <c r="C68" s="163" t="str">
        <f t="shared" si="9"/>
        <v/>
      </c>
      <c r="D68" s="163" t="str">
        <f t="shared" si="10"/>
        <v/>
      </c>
      <c r="E68" s="163" t="str">
        <f t="shared" si="11"/>
        <v/>
      </c>
      <c r="F68" s="163" t="str">
        <f t="shared" si="12"/>
        <v/>
      </c>
      <c r="G68" s="163" t="str">
        <f t="shared" si="13"/>
        <v/>
      </c>
      <c r="H68" s="163" t="str">
        <f t="shared" si="14"/>
        <v/>
      </c>
      <c r="I68" s="163" t="str">
        <f t="shared" si="15"/>
        <v/>
      </c>
    </row>
    <row r="69" spans="2:9" x14ac:dyDescent="0.3">
      <c r="B69" s="65" t="str">
        <f t="shared" si="8"/>
        <v/>
      </c>
      <c r="C69" s="163" t="str">
        <f t="shared" si="9"/>
        <v/>
      </c>
      <c r="D69" s="163" t="str">
        <f t="shared" si="10"/>
        <v/>
      </c>
      <c r="E69" s="163" t="str">
        <f t="shared" si="11"/>
        <v/>
      </c>
      <c r="F69" s="163" t="str">
        <f t="shared" si="12"/>
        <v/>
      </c>
      <c r="G69" s="163" t="str">
        <f t="shared" si="13"/>
        <v/>
      </c>
      <c r="H69" s="163" t="str">
        <f t="shared" si="14"/>
        <v/>
      </c>
      <c r="I69" s="163" t="str">
        <f t="shared" si="15"/>
        <v/>
      </c>
    </row>
    <row r="70" spans="2:9" x14ac:dyDescent="0.3">
      <c r="B70" s="65" t="str">
        <f t="shared" si="8"/>
        <v/>
      </c>
      <c r="C70" s="163" t="str">
        <f t="shared" si="9"/>
        <v/>
      </c>
      <c r="D70" s="163" t="str">
        <f t="shared" si="10"/>
        <v/>
      </c>
      <c r="E70" s="163" t="str">
        <f t="shared" si="11"/>
        <v/>
      </c>
      <c r="F70" s="163" t="str">
        <f t="shared" si="12"/>
        <v/>
      </c>
      <c r="G70" s="163" t="str">
        <f t="shared" si="13"/>
        <v/>
      </c>
      <c r="H70" s="163" t="str">
        <f t="shared" si="14"/>
        <v/>
      </c>
      <c r="I70" s="163" t="str">
        <f t="shared" si="15"/>
        <v/>
      </c>
    </row>
    <row r="71" spans="2:9" x14ac:dyDescent="0.3">
      <c r="B71" s="65" t="str">
        <f t="shared" si="8"/>
        <v/>
      </c>
      <c r="C71" s="163" t="str">
        <f t="shared" si="9"/>
        <v/>
      </c>
      <c r="D71" s="163" t="str">
        <f t="shared" si="10"/>
        <v/>
      </c>
      <c r="E71" s="163" t="str">
        <f t="shared" si="11"/>
        <v/>
      </c>
      <c r="F71" s="163" t="str">
        <f t="shared" si="12"/>
        <v/>
      </c>
      <c r="G71" s="163" t="str">
        <f t="shared" si="13"/>
        <v/>
      </c>
      <c r="H71" s="163" t="str">
        <f t="shared" si="14"/>
        <v/>
      </c>
      <c r="I71" s="163" t="str">
        <f t="shared" si="15"/>
        <v/>
      </c>
    </row>
    <row r="72" spans="2:9" x14ac:dyDescent="0.3">
      <c r="B72" s="65" t="str">
        <f t="shared" si="8"/>
        <v/>
      </c>
      <c r="C72" s="163" t="str">
        <f t="shared" si="9"/>
        <v/>
      </c>
      <c r="D72" s="163" t="str">
        <f t="shared" si="10"/>
        <v/>
      </c>
      <c r="E72" s="163" t="str">
        <f t="shared" si="11"/>
        <v/>
      </c>
      <c r="F72" s="163" t="str">
        <f t="shared" si="12"/>
        <v/>
      </c>
      <c r="G72" s="163" t="str">
        <f t="shared" si="13"/>
        <v/>
      </c>
      <c r="H72" s="163" t="str">
        <f t="shared" si="14"/>
        <v/>
      </c>
      <c r="I72" s="163" t="str">
        <f t="shared" si="15"/>
        <v/>
      </c>
    </row>
    <row r="73" spans="2:9" x14ac:dyDescent="0.3">
      <c r="B73" s="65" t="str">
        <f t="shared" si="8"/>
        <v/>
      </c>
      <c r="C73" s="163" t="str">
        <f t="shared" si="9"/>
        <v/>
      </c>
      <c r="D73" s="163" t="str">
        <f t="shared" si="10"/>
        <v/>
      </c>
      <c r="E73" s="163" t="str">
        <f t="shared" si="11"/>
        <v/>
      </c>
      <c r="F73" s="163" t="str">
        <f t="shared" si="12"/>
        <v/>
      </c>
      <c r="G73" s="163" t="str">
        <f t="shared" si="13"/>
        <v/>
      </c>
      <c r="H73" s="163" t="str">
        <f t="shared" si="14"/>
        <v/>
      </c>
      <c r="I73" s="163" t="str">
        <f t="shared" si="15"/>
        <v/>
      </c>
    </row>
    <row r="74" spans="2:9" x14ac:dyDescent="0.3">
      <c r="B74" s="65" t="str">
        <f t="shared" si="8"/>
        <v/>
      </c>
      <c r="C74" s="163" t="str">
        <f t="shared" si="9"/>
        <v/>
      </c>
      <c r="D74" s="163" t="str">
        <f t="shared" si="10"/>
        <v/>
      </c>
      <c r="E74" s="163" t="str">
        <f t="shared" si="11"/>
        <v/>
      </c>
      <c r="F74" s="163" t="str">
        <f t="shared" si="12"/>
        <v/>
      </c>
      <c r="G74" s="163" t="str">
        <f t="shared" si="13"/>
        <v/>
      </c>
      <c r="H74" s="163" t="str">
        <f t="shared" si="14"/>
        <v/>
      </c>
      <c r="I74" s="163" t="str">
        <f t="shared" si="15"/>
        <v/>
      </c>
    </row>
    <row r="75" spans="2:9" x14ac:dyDescent="0.3">
      <c r="B75" s="65" t="str">
        <f t="shared" si="8"/>
        <v/>
      </c>
      <c r="C75" s="163" t="str">
        <f t="shared" si="9"/>
        <v/>
      </c>
      <c r="D75" s="163" t="str">
        <f t="shared" si="10"/>
        <v/>
      </c>
      <c r="E75" s="163" t="str">
        <f t="shared" si="11"/>
        <v/>
      </c>
      <c r="F75" s="163" t="str">
        <f t="shared" si="12"/>
        <v/>
      </c>
      <c r="G75" s="163" t="str">
        <f t="shared" si="13"/>
        <v/>
      </c>
      <c r="H75" s="163" t="str">
        <f t="shared" si="14"/>
        <v/>
      </c>
      <c r="I75" s="163" t="str">
        <f t="shared" si="15"/>
        <v/>
      </c>
    </row>
    <row r="76" spans="2:9" x14ac:dyDescent="0.3">
      <c r="B76" s="65" t="str">
        <f t="shared" si="8"/>
        <v/>
      </c>
      <c r="C76" s="163" t="str">
        <f t="shared" si="9"/>
        <v/>
      </c>
      <c r="D76" s="163" t="str">
        <f t="shared" si="10"/>
        <v/>
      </c>
      <c r="E76" s="163" t="str">
        <f t="shared" si="11"/>
        <v/>
      </c>
      <c r="F76" s="163" t="str">
        <f t="shared" si="12"/>
        <v/>
      </c>
      <c r="G76" s="163" t="str">
        <f t="shared" si="13"/>
        <v/>
      </c>
      <c r="H76" s="163" t="str">
        <f t="shared" si="14"/>
        <v/>
      </c>
      <c r="I76" s="163" t="str">
        <f t="shared" si="15"/>
        <v/>
      </c>
    </row>
    <row r="77" spans="2:9" x14ac:dyDescent="0.3">
      <c r="B77" s="65" t="str">
        <f t="shared" si="8"/>
        <v/>
      </c>
      <c r="C77" s="163" t="str">
        <f t="shared" si="9"/>
        <v/>
      </c>
      <c r="D77" s="163" t="str">
        <f t="shared" si="10"/>
        <v/>
      </c>
      <c r="E77" s="163" t="str">
        <f t="shared" si="11"/>
        <v/>
      </c>
      <c r="F77" s="163" t="str">
        <f t="shared" si="12"/>
        <v/>
      </c>
      <c r="G77" s="163" t="str">
        <f t="shared" si="13"/>
        <v/>
      </c>
      <c r="H77" s="163" t="str">
        <f t="shared" si="14"/>
        <v/>
      </c>
      <c r="I77" s="163" t="str">
        <f t="shared" si="15"/>
        <v/>
      </c>
    </row>
    <row r="78" spans="2:9" x14ac:dyDescent="0.3">
      <c r="B78" s="65" t="str">
        <f t="shared" si="8"/>
        <v/>
      </c>
      <c r="C78" s="163" t="str">
        <f t="shared" si="9"/>
        <v/>
      </c>
      <c r="D78" s="163" t="str">
        <f t="shared" si="10"/>
        <v/>
      </c>
      <c r="E78" s="163" t="str">
        <f t="shared" si="11"/>
        <v/>
      </c>
      <c r="F78" s="163" t="str">
        <f t="shared" si="12"/>
        <v/>
      </c>
      <c r="G78" s="163" t="str">
        <f t="shared" si="13"/>
        <v/>
      </c>
      <c r="H78" s="163" t="str">
        <f t="shared" si="14"/>
        <v/>
      </c>
      <c r="I78" s="163" t="str">
        <f t="shared" si="15"/>
        <v/>
      </c>
    </row>
    <row r="79" spans="2:9" x14ac:dyDescent="0.3">
      <c r="B79" s="65" t="str">
        <f t="shared" si="8"/>
        <v/>
      </c>
      <c r="C79" s="163" t="str">
        <f t="shared" si="9"/>
        <v/>
      </c>
      <c r="D79" s="163" t="str">
        <f t="shared" si="10"/>
        <v/>
      </c>
      <c r="E79" s="163" t="str">
        <f t="shared" si="11"/>
        <v/>
      </c>
      <c r="F79" s="163" t="str">
        <f t="shared" si="12"/>
        <v/>
      </c>
      <c r="G79" s="163" t="str">
        <f t="shared" si="13"/>
        <v/>
      </c>
      <c r="H79" s="163" t="str">
        <f t="shared" si="14"/>
        <v/>
      </c>
      <c r="I79" s="163" t="str">
        <f t="shared" si="15"/>
        <v/>
      </c>
    </row>
    <row r="80" spans="2:9" x14ac:dyDescent="0.3">
      <c r="B80" s="65" t="str">
        <f t="shared" si="8"/>
        <v/>
      </c>
      <c r="C80" s="163" t="str">
        <f t="shared" si="9"/>
        <v/>
      </c>
      <c r="D80" s="163" t="str">
        <f t="shared" si="10"/>
        <v/>
      </c>
      <c r="E80" s="163" t="str">
        <f t="shared" si="11"/>
        <v/>
      </c>
      <c r="F80" s="163" t="str">
        <f t="shared" si="12"/>
        <v/>
      </c>
      <c r="G80" s="163" t="str">
        <f t="shared" si="13"/>
        <v/>
      </c>
      <c r="H80" s="163" t="str">
        <f t="shared" si="14"/>
        <v/>
      </c>
      <c r="I80" s="163" t="str">
        <f t="shared" si="15"/>
        <v/>
      </c>
    </row>
    <row r="81" spans="2:9" x14ac:dyDescent="0.3">
      <c r="B81" s="65" t="str">
        <f t="shared" si="8"/>
        <v/>
      </c>
      <c r="C81" s="163" t="str">
        <f t="shared" si="9"/>
        <v/>
      </c>
      <c r="D81" s="163" t="str">
        <f t="shared" si="10"/>
        <v/>
      </c>
      <c r="E81" s="163" t="str">
        <f t="shared" si="11"/>
        <v/>
      </c>
      <c r="F81" s="163" t="str">
        <f t="shared" si="12"/>
        <v/>
      </c>
      <c r="G81" s="163" t="str">
        <f t="shared" si="13"/>
        <v/>
      </c>
      <c r="H81" s="163" t="str">
        <f t="shared" si="14"/>
        <v/>
      </c>
      <c r="I81" s="163" t="str">
        <f t="shared" si="15"/>
        <v/>
      </c>
    </row>
    <row r="82" spans="2:9" x14ac:dyDescent="0.3">
      <c r="B82" s="65" t="str">
        <f t="shared" si="8"/>
        <v/>
      </c>
      <c r="C82" s="163" t="str">
        <f t="shared" si="9"/>
        <v/>
      </c>
      <c r="D82" s="163" t="str">
        <f t="shared" si="10"/>
        <v/>
      </c>
      <c r="E82" s="163" t="str">
        <f t="shared" si="11"/>
        <v/>
      </c>
      <c r="F82" s="163" t="str">
        <f t="shared" si="12"/>
        <v/>
      </c>
      <c r="G82" s="163" t="str">
        <f t="shared" si="13"/>
        <v/>
      </c>
      <c r="H82" s="163" t="str">
        <f t="shared" si="14"/>
        <v/>
      </c>
      <c r="I82" s="163" t="str">
        <f t="shared" si="15"/>
        <v/>
      </c>
    </row>
    <row r="83" spans="2:9" x14ac:dyDescent="0.3">
      <c r="B83" s="65" t="str">
        <f t="shared" si="8"/>
        <v/>
      </c>
      <c r="C83" s="163" t="str">
        <f t="shared" si="9"/>
        <v/>
      </c>
      <c r="D83" s="163" t="str">
        <f t="shared" si="10"/>
        <v/>
      </c>
      <c r="E83" s="163" t="str">
        <f t="shared" si="11"/>
        <v/>
      </c>
      <c r="F83" s="163" t="str">
        <f t="shared" si="12"/>
        <v/>
      </c>
      <c r="G83" s="163" t="str">
        <f t="shared" si="13"/>
        <v/>
      </c>
      <c r="H83" s="163" t="str">
        <f t="shared" si="14"/>
        <v/>
      </c>
      <c r="I83" s="163" t="str">
        <f t="shared" si="15"/>
        <v/>
      </c>
    </row>
    <row r="84" spans="2:9" x14ac:dyDescent="0.3">
      <c r="B84" s="65" t="str">
        <f t="shared" si="8"/>
        <v/>
      </c>
      <c r="C84" s="163" t="str">
        <f t="shared" si="9"/>
        <v/>
      </c>
      <c r="D84" s="163" t="str">
        <f t="shared" si="10"/>
        <v/>
      </c>
      <c r="E84" s="163" t="str">
        <f t="shared" si="11"/>
        <v/>
      </c>
      <c r="F84" s="163" t="str">
        <f t="shared" si="12"/>
        <v/>
      </c>
      <c r="G84" s="163" t="str">
        <f t="shared" si="13"/>
        <v/>
      </c>
      <c r="H84" s="163" t="str">
        <f t="shared" si="14"/>
        <v/>
      </c>
      <c r="I84" s="163" t="str">
        <f t="shared" si="15"/>
        <v/>
      </c>
    </row>
    <row r="85" spans="2:9" x14ac:dyDescent="0.3">
      <c r="B85" s="65" t="str">
        <f t="shared" si="8"/>
        <v/>
      </c>
      <c r="C85" s="163" t="str">
        <f t="shared" si="9"/>
        <v/>
      </c>
      <c r="D85" s="163" t="str">
        <f t="shared" si="10"/>
        <v/>
      </c>
      <c r="E85" s="163" t="str">
        <f t="shared" si="11"/>
        <v/>
      </c>
      <c r="F85" s="163" t="str">
        <f t="shared" si="12"/>
        <v/>
      </c>
      <c r="G85" s="163" t="str">
        <f t="shared" si="13"/>
        <v/>
      </c>
      <c r="H85" s="163" t="str">
        <f t="shared" si="14"/>
        <v/>
      </c>
      <c r="I85" s="163" t="str">
        <f t="shared" si="15"/>
        <v/>
      </c>
    </row>
    <row r="86" spans="2:9" x14ac:dyDescent="0.3">
      <c r="B86" s="65" t="str">
        <f t="shared" si="8"/>
        <v/>
      </c>
      <c r="C86" s="163" t="str">
        <f t="shared" si="9"/>
        <v/>
      </c>
      <c r="D86" s="163" t="str">
        <f t="shared" si="10"/>
        <v/>
      </c>
      <c r="E86" s="163" t="str">
        <f t="shared" si="11"/>
        <v/>
      </c>
      <c r="F86" s="163" t="str">
        <f t="shared" si="12"/>
        <v/>
      </c>
      <c r="G86" s="163" t="str">
        <f t="shared" si="13"/>
        <v/>
      </c>
      <c r="H86" s="163" t="str">
        <f t="shared" si="14"/>
        <v/>
      </c>
      <c r="I86" s="163" t="str">
        <f t="shared" si="15"/>
        <v/>
      </c>
    </row>
    <row r="87" spans="2:9" x14ac:dyDescent="0.3">
      <c r="B87" s="65" t="str">
        <f t="shared" si="8"/>
        <v/>
      </c>
      <c r="C87" s="163" t="str">
        <f t="shared" si="9"/>
        <v/>
      </c>
      <c r="D87" s="163" t="str">
        <f t="shared" si="10"/>
        <v/>
      </c>
      <c r="E87" s="163" t="str">
        <f t="shared" si="11"/>
        <v/>
      </c>
      <c r="F87" s="163" t="str">
        <f t="shared" si="12"/>
        <v/>
      </c>
      <c r="G87" s="163" t="str">
        <f t="shared" si="13"/>
        <v/>
      </c>
      <c r="H87" s="163" t="str">
        <f t="shared" si="14"/>
        <v/>
      </c>
      <c r="I87" s="163" t="str">
        <f t="shared" si="15"/>
        <v/>
      </c>
    </row>
    <row r="88" spans="2:9" x14ac:dyDescent="0.3">
      <c r="B88" s="65" t="str">
        <f t="shared" si="8"/>
        <v/>
      </c>
      <c r="C88" s="163" t="str">
        <f t="shared" si="9"/>
        <v/>
      </c>
      <c r="D88" s="163" t="str">
        <f t="shared" si="10"/>
        <v/>
      </c>
      <c r="E88" s="163" t="str">
        <f t="shared" si="11"/>
        <v/>
      </c>
      <c r="F88" s="163" t="str">
        <f t="shared" si="12"/>
        <v/>
      </c>
      <c r="G88" s="163" t="str">
        <f t="shared" si="13"/>
        <v/>
      </c>
      <c r="H88" s="163" t="str">
        <f t="shared" si="14"/>
        <v/>
      </c>
      <c r="I88" s="163" t="str">
        <f t="shared" si="15"/>
        <v/>
      </c>
    </row>
    <row r="89" spans="2:9" x14ac:dyDescent="0.3">
      <c r="B89" s="65" t="str">
        <f t="shared" si="8"/>
        <v/>
      </c>
      <c r="C89" s="163" t="str">
        <f t="shared" si="9"/>
        <v/>
      </c>
      <c r="D89" s="163" t="str">
        <f t="shared" si="10"/>
        <v/>
      </c>
      <c r="E89" s="163" t="str">
        <f t="shared" si="11"/>
        <v/>
      </c>
      <c r="F89" s="163" t="str">
        <f t="shared" si="12"/>
        <v/>
      </c>
      <c r="G89" s="163" t="str">
        <f t="shared" si="13"/>
        <v/>
      </c>
      <c r="H89" s="163" t="str">
        <f t="shared" si="14"/>
        <v/>
      </c>
      <c r="I89" s="163" t="str">
        <f t="shared" si="15"/>
        <v/>
      </c>
    </row>
    <row r="90" spans="2:9" x14ac:dyDescent="0.3">
      <c r="B90" s="65" t="str">
        <f t="shared" si="8"/>
        <v/>
      </c>
      <c r="C90" s="163" t="str">
        <f t="shared" si="9"/>
        <v/>
      </c>
      <c r="D90" s="163" t="str">
        <f t="shared" si="10"/>
        <v/>
      </c>
      <c r="E90" s="163" t="str">
        <f t="shared" si="11"/>
        <v/>
      </c>
      <c r="F90" s="163" t="str">
        <f t="shared" si="12"/>
        <v/>
      </c>
      <c r="G90" s="163" t="str">
        <f t="shared" si="13"/>
        <v/>
      </c>
      <c r="H90" s="163" t="str">
        <f t="shared" si="14"/>
        <v/>
      </c>
      <c r="I90" s="163" t="str">
        <f t="shared" si="15"/>
        <v/>
      </c>
    </row>
    <row r="91" spans="2:9" x14ac:dyDescent="0.3">
      <c r="B91" s="65" t="str">
        <f t="shared" si="8"/>
        <v/>
      </c>
      <c r="C91" s="163" t="str">
        <f t="shared" si="9"/>
        <v/>
      </c>
      <c r="D91" s="163" t="str">
        <f t="shared" si="10"/>
        <v/>
      </c>
      <c r="E91" s="163" t="str">
        <f t="shared" si="11"/>
        <v/>
      </c>
      <c r="F91" s="163" t="str">
        <f t="shared" si="12"/>
        <v/>
      </c>
      <c r="G91" s="163" t="str">
        <f t="shared" si="13"/>
        <v/>
      </c>
      <c r="H91" s="163" t="str">
        <f t="shared" si="14"/>
        <v/>
      </c>
      <c r="I91" s="163" t="str">
        <f t="shared" si="15"/>
        <v/>
      </c>
    </row>
    <row r="92" spans="2:9" x14ac:dyDescent="0.3">
      <c r="B92" s="65" t="str">
        <f t="shared" si="8"/>
        <v/>
      </c>
      <c r="C92" s="163" t="str">
        <f t="shared" si="9"/>
        <v/>
      </c>
      <c r="D92" s="163" t="str">
        <f t="shared" si="10"/>
        <v/>
      </c>
      <c r="E92" s="163" t="str">
        <f t="shared" si="11"/>
        <v/>
      </c>
      <c r="F92" s="163" t="str">
        <f t="shared" si="12"/>
        <v/>
      </c>
      <c r="G92" s="163" t="str">
        <f t="shared" si="13"/>
        <v/>
      </c>
      <c r="H92" s="163" t="str">
        <f t="shared" si="14"/>
        <v/>
      </c>
      <c r="I92" s="163" t="str">
        <f t="shared" si="15"/>
        <v/>
      </c>
    </row>
    <row r="93" spans="2:9" x14ac:dyDescent="0.3">
      <c r="B93" s="65" t="str">
        <f t="shared" si="8"/>
        <v/>
      </c>
      <c r="C93" s="163" t="str">
        <f t="shared" si="9"/>
        <v/>
      </c>
      <c r="D93" s="163" t="str">
        <f t="shared" si="10"/>
        <v/>
      </c>
      <c r="E93" s="163" t="str">
        <f t="shared" si="11"/>
        <v/>
      </c>
      <c r="F93" s="163" t="str">
        <f t="shared" si="12"/>
        <v/>
      </c>
      <c r="G93" s="163" t="str">
        <f t="shared" si="13"/>
        <v/>
      </c>
      <c r="H93" s="163" t="str">
        <f t="shared" si="14"/>
        <v/>
      </c>
      <c r="I93" s="163" t="str">
        <f t="shared" si="15"/>
        <v/>
      </c>
    </row>
    <row r="94" spans="2:9" x14ac:dyDescent="0.3">
      <c r="B94" s="65" t="str">
        <f t="shared" si="8"/>
        <v/>
      </c>
      <c r="C94" s="163" t="str">
        <f t="shared" si="9"/>
        <v/>
      </c>
      <c r="D94" s="163" t="str">
        <f t="shared" si="10"/>
        <v/>
      </c>
      <c r="E94" s="163" t="str">
        <f t="shared" si="11"/>
        <v/>
      </c>
      <c r="F94" s="163" t="str">
        <f t="shared" si="12"/>
        <v/>
      </c>
      <c r="G94" s="163" t="str">
        <f t="shared" si="13"/>
        <v/>
      </c>
      <c r="H94" s="163" t="str">
        <f t="shared" si="14"/>
        <v/>
      </c>
      <c r="I94" s="163" t="str">
        <f t="shared" si="15"/>
        <v/>
      </c>
    </row>
    <row r="95" spans="2:9" x14ac:dyDescent="0.3">
      <c r="B95" s="65" t="str">
        <f t="shared" si="8"/>
        <v/>
      </c>
      <c r="C95" s="163" t="str">
        <f t="shared" si="9"/>
        <v/>
      </c>
      <c r="D95" s="163" t="str">
        <f t="shared" si="10"/>
        <v/>
      </c>
      <c r="E95" s="163" t="str">
        <f t="shared" si="11"/>
        <v/>
      </c>
      <c r="F95" s="163" t="str">
        <f t="shared" si="12"/>
        <v/>
      </c>
      <c r="G95" s="163" t="str">
        <f t="shared" si="13"/>
        <v/>
      </c>
      <c r="H95" s="163" t="str">
        <f t="shared" si="14"/>
        <v/>
      </c>
      <c r="I95" s="163" t="str">
        <f t="shared" si="15"/>
        <v/>
      </c>
    </row>
    <row r="96" spans="2:9" x14ac:dyDescent="0.3">
      <c r="B96" s="65" t="str">
        <f t="shared" si="8"/>
        <v/>
      </c>
      <c r="C96" s="163" t="str">
        <f t="shared" si="9"/>
        <v/>
      </c>
      <c r="D96" s="163" t="str">
        <f t="shared" si="10"/>
        <v/>
      </c>
      <c r="E96" s="163" t="str">
        <f t="shared" si="11"/>
        <v/>
      </c>
      <c r="F96" s="163" t="str">
        <f t="shared" si="12"/>
        <v/>
      </c>
      <c r="G96" s="163" t="str">
        <f t="shared" si="13"/>
        <v/>
      </c>
      <c r="H96" s="163" t="str">
        <f t="shared" si="14"/>
        <v/>
      </c>
      <c r="I96" s="163" t="str">
        <f t="shared" si="15"/>
        <v/>
      </c>
    </row>
    <row r="97" spans="2:9" x14ac:dyDescent="0.3">
      <c r="B97" s="65" t="str">
        <f t="shared" si="8"/>
        <v/>
      </c>
      <c r="C97" s="163" t="str">
        <f t="shared" si="9"/>
        <v/>
      </c>
      <c r="D97" s="163" t="str">
        <f t="shared" si="10"/>
        <v/>
      </c>
      <c r="E97" s="163" t="str">
        <f t="shared" si="11"/>
        <v/>
      </c>
      <c r="F97" s="163" t="str">
        <f t="shared" si="12"/>
        <v/>
      </c>
      <c r="G97" s="163" t="str">
        <f t="shared" si="13"/>
        <v/>
      </c>
      <c r="H97" s="163" t="str">
        <f t="shared" si="14"/>
        <v/>
      </c>
      <c r="I97" s="163" t="str">
        <f t="shared" si="15"/>
        <v/>
      </c>
    </row>
    <row r="98" spans="2:9" x14ac:dyDescent="0.3">
      <c r="B98" s="65" t="str">
        <f t="shared" si="8"/>
        <v/>
      </c>
      <c r="C98" s="163" t="str">
        <f t="shared" si="9"/>
        <v/>
      </c>
      <c r="D98" s="163" t="str">
        <f t="shared" si="10"/>
        <v/>
      </c>
      <c r="E98" s="163" t="str">
        <f t="shared" si="11"/>
        <v/>
      </c>
      <c r="F98" s="163" t="str">
        <f t="shared" si="12"/>
        <v/>
      </c>
      <c r="G98" s="163" t="str">
        <f t="shared" si="13"/>
        <v/>
      </c>
      <c r="H98" s="163" t="str">
        <f t="shared" si="14"/>
        <v/>
      </c>
      <c r="I98" s="163" t="str">
        <f t="shared" si="15"/>
        <v/>
      </c>
    </row>
    <row r="99" spans="2:9" x14ac:dyDescent="0.3">
      <c r="B99" s="65" t="str">
        <f t="shared" si="8"/>
        <v/>
      </c>
      <c r="C99" s="163" t="str">
        <f t="shared" si="9"/>
        <v/>
      </c>
      <c r="D99" s="163" t="str">
        <f t="shared" si="10"/>
        <v/>
      </c>
      <c r="E99" s="163" t="str">
        <f t="shared" si="11"/>
        <v/>
      </c>
      <c r="F99" s="163" t="str">
        <f t="shared" si="12"/>
        <v/>
      </c>
      <c r="G99" s="163" t="str">
        <f t="shared" si="13"/>
        <v/>
      </c>
      <c r="H99" s="163" t="str">
        <f t="shared" si="14"/>
        <v/>
      </c>
      <c r="I99" s="163" t="str">
        <f t="shared" si="15"/>
        <v/>
      </c>
    </row>
    <row r="100" spans="2:9" x14ac:dyDescent="0.3">
      <c r="B100" s="65" t="str">
        <f t="shared" si="8"/>
        <v/>
      </c>
      <c r="C100" s="163" t="str">
        <f t="shared" si="9"/>
        <v/>
      </c>
      <c r="D100" s="163" t="str">
        <f t="shared" si="10"/>
        <v/>
      </c>
      <c r="E100" s="163" t="str">
        <f t="shared" si="11"/>
        <v/>
      </c>
      <c r="F100" s="163" t="str">
        <f t="shared" si="12"/>
        <v/>
      </c>
      <c r="G100" s="163" t="str">
        <f t="shared" si="13"/>
        <v/>
      </c>
      <c r="H100" s="163" t="str">
        <f t="shared" si="14"/>
        <v/>
      </c>
      <c r="I100" s="163" t="str">
        <f t="shared" si="15"/>
        <v/>
      </c>
    </row>
    <row r="101" spans="2:9" x14ac:dyDescent="0.3">
      <c r="B101" s="65" t="str">
        <f t="shared" si="8"/>
        <v/>
      </c>
      <c r="C101" s="163" t="str">
        <f t="shared" si="9"/>
        <v/>
      </c>
      <c r="D101" s="163" t="str">
        <f t="shared" si="10"/>
        <v/>
      </c>
      <c r="E101" s="163" t="str">
        <f t="shared" si="11"/>
        <v/>
      </c>
      <c r="F101" s="163" t="str">
        <f t="shared" si="12"/>
        <v/>
      </c>
      <c r="G101" s="163" t="str">
        <f t="shared" si="13"/>
        <v/>
      </c>
      <c r="H101" s="163" t="str">
        <f t="shared" si="14"/>
        <v/>
      </c>
      <c r="I101" s="163" t="str">
        <f t="shared" si="15"/>
        <v/>
      </c>
    </row>
    <row r="102" spans="2:9" x14ac:dyDescent="0.3">
      <c r="B102" s="65" t="str">
        <f t="shared" si="8"/>
        <v/>
      </c>
      <c r="C102" s="163" t="str">
        <f t="shared" si="9"/>
        <v/>
      </c>
      <c r="D102" s="163" t="str">
        <f t="shared" si="10"/>
        <v/>
      </c>
      <c r="E102" s="163" t="str">
        <f t="shared" si="11"/>
        <v/>
      </c>
      <c r="F102" s="163" t="str">
        <f t="shared" si="12"/>
        <v/>
      </c>
      <c r="G102" s="163" t="str">
        <f t="shared" si="13"/>
        <v/>
      </c>
      <c r="H102" s="163" t="str">
        <f t="shared" si="14"/>
        <v/>
      </c>
      <c r="I102" s="163" t="str">
        <f t="shared" si="15"/>
        <v/>
      </c>
    </row>
    <row r="103" spans="2:9" x14ac:dyDescent="0.3">
      <c r="B103" s="65" t="str">
        <f t="shared" si="8"/>
        <v/>
      </c>
      <c r="C103" s="163" t="str">
        <f t="shared" si="9"/>
        <v/>
      </c>
      <c r="D103" s="163" t="str">
        <f t="shared" si="10"/>
        <v/>
      </c>
      <c r="E103" s="163" t="str">
        <f t="shared" si="11"/>
        <v/>
      </c>
      <c r="F103" s="163" t="str">
        <f t="shared" si="12"/>
        <v/>
      </c>
      <c r="G103" s="163" t="str">
        <f t="shared" si="13"/>
        <v/>
      </c>
      <c r="H103" s="163" t="str">
        <f t="shared" si="14"/>
        <v/>
      </c>
      <c r="I103" s="163" t="str">
        <f t="shared" si="15"/>
        <v/>
      </c>
    </row>
    <row r="104" spans="2:9" x14ac:dyDescent="0.3">
      <c r="B104" s="65" t="str">
        <f t="shared" si="8"/>
        <v/>
      </c>
      <c r="C104" s="163" t="str">
        <f t="shared" si="9"/>
        <v/>
      </c>
      <c r="D104" s="163" t="str">
        <f t="shared" si="10"/>
        <v/>
      </c>
      <c r="E104" s="163" t="str">
        <f t="shared" si="11"/>
        <v/>
      </c>
      <c r="F104" s="163" t="str">
        <f t="shared" si="12"/>
        <v/>
      </c>
      <c r="G104" s="163" t="str">
        <f t="shared" si="13"/>
        <v/>
      </c>
      <c r="H104" s="163" t="str">
        <f t="shared" si="14"/>
        <v/>
      </c>
      <c r="I104" s="163" t="str">
        <f t="shared" si="15"/>
        <v/>
      </c>
    </row>
    <row r="105" spans="2:9" x14ac:dyDescent="0.3">
      <c r="B105" s="65" t="str">
        <f t="shared" si="8"/>
        <v/>
      </c>
      <c r="C105" s="163" t="str">
        <f t="shared" si="9"/>
        <v/>
      </c>
      <c r="D105" s="163" t="str">
        <f t="shared" si="10"/>
        <v/>
      </c>
      <c r="E105" s="163" t="str">
        <f t="shared" si="11"/>
        <v/>
      </c>
      <c r="F105" s="163" t="str">
        <f t="shared" si="12"/>
        <v/>
      </c>
      <c r="G105" s="163" t="str">
        <f t="shared" si="13"/>
        <v/>
      </c>
      <c r="H105" s="163" t="str">
        <f t="shared" si="14"/>
        <v/>
      </c>
      <c r="I105" s="163" t="str">
        <f t="shared" si="15"/>
        <v/>
      </c>
    </row>
    <row r="106" spans="2:9" x14ac:dyDescent="0.3">
      <c r="B106" s="65" t="str">
        <f t="shared" si="8"/>
        <v/>
      </c>
      <c r="C106" s="163" t="str">
        <f t="shared" si="9"/>
        <v/>
      </c>
      <c r="D106" s="163" t="str">
        <f t="shared" si="10"/>
        <v/>
      </c>
      <c r="E106" s="163" t="str">
        <f t="shared" si="11"/>
        <v/>
      </c>
      <c r="F106" s="163" t="str">
        <f t="shared" si="12"/>
        <v/>
      </c>
      <c r="G106" s="163" t="str">
        <f t="shared" si="13"/>
        <v/>
      </c>
      <c r="H106" s="163" t="str">
        <f t="shared" si="14"/>
        <v/>
      </c>
      <c r="I106" s="163" t="str">
        <f t="shared" si="15"/>
        <v/>
      </c>
    </row>
    <row r="107" spans="2:9" x14ac:dyDescent="0.3">
      <c r="B107" s="65" t="str">
        <f t="shared" si="8"/>
        <v/>
      </c>
      <c r="C107" s="163" t="str">
        <f t="shared" si="9"/>
        <v/>
      </c>
      <c r="D107" s="163" t="str">
        <f t="shared" si="10"/>
        <v/>
      </c>
      <c r="E107" s="163" t="str">
        <f t="shared" si="11"/>
        <v/>
      </c>
      <c r="F107" s="163" t="str">
        <f t="shared" si="12"/>
        <v/>
      </c>
      <c r="G107" s="163" t="str">
        <f t="shared" si="13"/>
        <v/>
      </c>
      <c r="H107" s="163" t="str">
        <f t="shared" si="14"/>
        <v/>
      </c>
      <c r="I107" s="163" t="str">
        <f t="shared" si="15"/>
        <v/>
      </c>
    </row>
    <row r="108" spans="2:9" x14ac:dyDescent="0.3">
      <c r="B108" s="65" t="str">
        <f t="shared" si="8"/>
        <v/>
      </c>
      <c r="C108" s="163" t="str">
        <f t="shared" si="9"/>
        <v/>
      </c>
      <c r="D108" s="163" t="str">
        <f t="shared" si="10"/>
        <v/>
      </c>
      <c r="E108" s="163" t="str">
        <f t="shared" si="11"/>
        <v/>
      </c>
      <c r="F108" s="163" t="str">
        <f t="shared" si="12"/>
        <v/>
      </c>
      <c r="G108" s="163" t="str">
        <f t="shared" si="13"/>
        <v/>
      </c>
      <c r="H108" s="163" t="str">
        <f t="shared" si="14"/>
        <v/>
      </c>
      <c r="I108" s="163" t="str">
        <f t="shared" si="15"/>
        <v/>
      </c>
    </row>
    <row r="109" spans="2:9" x14ac:dyDescent="0.3">
      <c r="B109" s="65" t="str">
        <f t="shared" si="8"/>
        <v/>
      </c>
      <c r="C109" s="163" t="str">
        <f t="shared" si="9"/>
        <v/>
      </c>
      <c r="D109" s="163" t="str">
        <f t="shared" si="10"/>
        <v/>
      </c>
      <c r="E109" s="163" t="str">
        <f t="shared" si="11"/>
        <v/>
      </c>
      <c r="F109" s="163" t="str">
        <f t="shared" si="12"/>
        <v/>
      </c>
      <c r="G109" s="163" t="str">
        <f t="shared" si="13"/>
        <v/>
      </c>
      <c r="H109" s="163" t="str">
        <f t="shared" si="14"/>
        <v/>
      </c>
      <c r="I109" s="163" t="str">
        <f t="shared" si="15"/>
        <v/>
      </c>
    </row>
    <row r="110" spans="2:9" x14ac:dyDescent="0.3">
      <c r="B110" s="65" t="str">
        <f t="shared" si="8"/>
        <v/>
      </c>
      <c r="C110" s="163" t="str">
        <f t="shared" si="9"/>
        <v/>
      </c>
      <c r="D110" s="163" t="str">
        <f t="shared" si="10"/>
        <v/>
      </c>
      <c r="E110" s="163" t="str">
        <f t="shared" si="11"/>
        <v/>
      </c>
      <c r="F110" s="163" t="str">
        <f t="shared" si="12"/>
        <v/>
      </c>
      <c r="G110" s="163" t="str">
        <f t="shared" si="13"/>
        <v/>
      </c>
      <c r="H110" s="163" t="str">
        <f t="shared" si="14"/>
        <v/>
      </c>
      <c r="I110" s="163" t="str">
        <f t="shared" si="15"/>
        <v/>
      </c>
    </row>
    <row r="111" spans="2:9" x14ac:dyDescent="0.3">
      <c r="B111" s="65" t="str">
        <f t="shared" si="8"/>
        <v/>
      </c>
      <c r="C111" s="163" t="str">
        <f t="shared" si="9"/>
        <v/>
      </c>
      <c r="D111" s="163" t="str">
        <f t="shared" si="10"/>
        <v/>
      </c>
      <c r="E111" s="163" t="str">
        <f t="shared" si="11"/>
        <v/>
      </c>
      <c r="F111" s="163" t="str">
        <f t="shared" si="12"/>
        <v/>
      </c>
      <c r="G111" s="163" t="str">
        <f t="shared" si="13"/>
        <v/>
      </c>
      <c r="H111" s="163" t="str">
        <f t="shared" si="14"/>
        <v/>
      </c>
      <c r="I111" s="163" t="str">
        <f t="shared" si="15"/>
        <v/>
      </c>
    </row>
    <row r="112" spans="2:9" x14ac:dyDescent="0.3">
      <c r="B112" s="65" t="str">
        <f t="shared" si="8"/>
        <v/>
      </c>
      <c r="C112" s="163" t="str">
        <f t="shared" si="9"/>
        <v/>
      </c>
      <c r="D112" s="163" t="str">
        <f t="shared" si="10"/>
        <v/>
      </c>
      <c r="E112" s="163" t="str">
        <f t="shared" si="11"/>
        <v/>
      </c>
      <c r="F112" s="163" t="str">
        <f t="shared" si="12"/>
        <v/>
      </c>
      <c r="G112" s="163" t="str">
        <f t="shared" si="13"/>
        <v/>
      </c>
      <c r="H112" s="163" t="str">
        <f t="shared" si="14"/>
        <v/>
      </c>
      <c r="I112" s="163" t="str">
        <f t="shared" si="15"/>
        <v/>
      </c>
    </row>
    <row r="113" spans="2:9" x14ac:dyDescent="0.3">
      <c r="B113" s="65" t="str">
        <f t="shared" ref="B113:B120" si="16">IF(B112="","",IF(B112=$C$8,"",EOMONTH(B112,1)))</f>
        <v/>
      </c>
      <c r="C113" s="163" t="str">
        <f t="shared" ref="C113:C120" si="17">IF(B113="","",I112)</f>
        <v/>
      </c>
      <c r="D113" s="163" t="str">
        <f t="shared" ref="D113:D120" si="18">IF(B113="","",IF($C$5="IO",C113*$C$6/12,-PMT($C$6/12,$C$7,$C$4)))</f>
        <v/>
      </c>
      <c r="E113" s="163" t="str">
        <f t="shared" ref="E113:E120" si="19">IF(B113="","",C113*$C$6/12)</f>
        <v/>
      </c>
      <c r="F113" s="163" t="str">
        <f t="shared" ref="F113:F120" si="20">IF(B113="","",+D113-E113)</f>
        <v/>
      </c>
      <c r="G113" s="163" t="str">
        <f t="shared" ref="G113:G120" si="21">IF(B113="","",IF(AND($C$5="io",$C$8=B113),$C$4,0))</f>
        <v/>
      </c>
      <c r="H113" s="163" t="str">
        <f t="shared" ref="H113:H120" si="22">IF(B113="","",G113+F113)</f>
        <v/>
      </c>
      <c r="I113" s="163" t="str">
        <f t="shared" ref="I113:I120" si="23">IF(B113="","",C113-H113)</f>
        <v/>
      </c>
    </row>
    <row r="114" spans="2:9" x14ac:dyDescent="0.3">
      <c r="B114" s="65" t="str">
        <f t="shared" si="16"/>
        <v/>
      </c>
      <c r="C114" s="163" t="str">
        <f t="shared" si="17"/>
        <v/>
      </c>
      <c r="D114" s="163" t="str">
        <f t="shared" si="18"/>
        <v/>
      </c>
      <c r="E114" s="163" t="str">
        <f t="shared" si="19"/>
        <v/>
      </c>
      <c r="F114" s="163" t="str">
        <f t="shared" si="20"/>
        <v/>
      </c>
      <c r="G114" s="163" t="str">
        <f t="shared" si="21"/>
        <v/>
      </c>
      <c r="H114" s="163" t="str">
        <f t="shared" si="22"/>
        <v/>
      </c>
      <c r="I114" s="163" t="str">
        <f t="shared" si="23"/>
        <v/>
      </c>
    </row>
    <row r="115" spans="2:9" x14ac:dyDescent="0.3">
      <c r="B115" s="65" t="str">
        <f t="shared" si="16"/>
        <v/>
      </c>
      <c r="C115" s="163" t="str">
        <f t="shared" si="17"/>
        <v/>
      </c>
      <c r="D115" s="163" t="str">
        <f t="shared" si="18"/>
        <v/>
      </c>
      <c r="E115" s="163" t="str">
        <f t="shared" si="19"/>
        <v/>
      </c>
      <c r="F115" s="163" t="str">
        <f t="shared" si="20"/>
        <v/>
      </c>
      <c r="G115" s="163" t="str">
        <f t="shared" si="21"/>
        <v/>
      </c>
      <c r="H115" s="163" t="str">
        <f t="shared" si="22"/>
        <v/>
      </c>
      <c r="I115" s="163" t="str">
        <f t="shared" si="23"/>
        <v/>
      </c>
    </row>
    <row r="116" spans="2:9" x14ac:dyDescent="0.3">
      <c r="B116" s="65" t="str">
        <f t="shared" si="16"/>
        <v/>
      </c>
      <c r="C116" s="163" t="str">
        <f t="shared" si="17"/>
        <v/>
      </c>
      <c r="D116" s="163" t="str">
        <f t="shared" si="18"/>
        <v/>
      </c>
      <c r="E116" s="163" t="str">
        <f t="shared" si="19"/>
        <v/>
      </c>
      <c r="F116" s="163" t="str">
        <f t="shared" si="20"/>
        <v/>
      </c>
      <c r="G116" s="163" t="str">
        <f t="shared" si="21"/>
        <v/>
      </c>
      <c r="H116" s="163" t="str">
        <f t="shared" si="22"/>
        <v/>
      </c>
      <c r="I116" s="163" t="str">
        <f t="shared" si="23"/>
        <v/>
      </c>
    </row>
    <row r="117" spans="2:9" x14ac:dyDescent="0.3">
      <c r="B117" s="65" t="str">
        <f t="shared" si="16"/>
        <v/>
      </c>
      <c r="C117" s="163" t="str">
        <f t="shared" si="17"/>
        <v/>
      </c>
      <c r="D117" s="163" t="str">
        <f t="shared" si="18"/>
        <v/>
      </c>
      <c r="E117" s="163" t="str">
        <f t="shared" si="19"/>
        <v/>
      </c>
      <c r="F117" s="163" t="str">
        <f t="shared" si="20"/>
        <v/>
      </c>
      <c r="G117" s="163" t="str">
        <f t="shared" si="21"/>
        <v/>
      </c>
      <c r="H117" s="163" t="str">
        <f t="shared" si="22"/>
        <v/>
      </c>
      <c r="I117" s="163" t="str">
        <f t="shared" si="23"/>
        <v/>
      </c>
    </row>
    <row r="118" spans="2:9" x14ac:dyDescent="0.3">
      <c r="B118" s="65" t="str">
        <f t="shared" si="16"/>
        <v/>
      </c>
      <c r="C118" s="163" t="str">
        <f t="shared" si="17"/>
        <v/>
      </c>
      <c r="D118" s="163" t="str">
        <f t="shared" si="18"/>
        <v/>
      </c>
      <c r="E118" s="163" t="str">
        <f t="shared" si="19"/>
        <v/>
      </c>
      <c r="F118" s="163" t="str">
        <f t="shared" si="20"/>
        <v/>
      </c>
      <c r="G118" s="163" t="str">
        <f t="shared" si="21"/>
        <v/>
      </c>
      <c r="H118" s="163" t="str">
        <f t="shared" si="22"/>
        <v/>
      </c>
      <c r="I118" s="163" t="str">
        <f t="shared" si="23"/>
        <v/>
      </c>
    </row>
    <row r="119" spans="2:9" x14ac:dyDescent="0.3">
      <c r="B119" s="65" t="str">
        <f t="shared" si="16"/>
        <v/>
      </c>
      <c r="C119" s="163" t="str">
        <f t="shared" si="17"/>
        <v/>
      </c>
      <c r="D119" s="163" t="str">
        <f t="shared" si="18"/>
        <v/>
      </c>
      <c r="E119" s="163" t="str">
        <f t="shared" si="19"/>
        <v/>
      </c>
      <c r="F119" s="163" t="str">
        <f t="shared" si="20"/>
        <v/>
      </c>
      <c r="G119" s="163" t="str">
        <f t="shared" si="21"/>
        <v/>
      </c>
      <c r="H119" s="163" t="str">
        <f t="shared" si="22"/>
        <v/>
      </c>
      <c r="I119" s="163" t="str">
        <f t="shared" si="23"/>
        <v/>
      </c>
    </row>
    <row r="120" spans="2:9" x14ac:dyDescent="0.3">
      <c r="B120" s="65" t="str">
        <f t="shared" si="16"/>
        <v/>
      </c>
      <c r="C120" s="163" t="str">
        <f t="shared" si="17"/>
        <v/>
      </c>
      <c r="D120" s="163" t="str">
        <f t="shared" si="18"/>
        <v/>
      </c>
      <c r="E120" s="163" t="str">
        <f t="shared" si="19"/>
        <v/>
      </c>
      <c r="F120" s="163" t="str">
        <f t="shared" si="20"/>
        <v/>
      </c>
      <c r="G120" s="163" t="str">
        <f t="shared" si="21"/>
        <v/>
      </c>
      <c r="H120" s="163" t="str">
        <f t="shared" si="22"/>
        <v/>
      </c>
      <c r="I120" s="163" t="str">
        <f t="shared" si="23"/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C9BF4-ADBE-42CC-994C-F1497D020373}">
  <sheetPr>
    <tabColor rgb="FF002060"/>
  </sheetPr>
  <dimension ref="B1:N125"/>
  <sheetViews>
    <sheetView showGridLines="0" workbookViewId="0">
      <selection activeCell="B1" sqref="B1"/>
    </sheetView>
  </sheetViews>
  <sheetFormatPr defaultRowHeight="15" x14ac:dyDescent="0.3"/>
  <cols>
    <col min="1" max="1" width="1.7109375" style="52" customWidth="1"/>
    <col min="2" max="2" width="25.140625" style="52" customWidth="1"/>
    <col min="3" max="12" width="13" style="52" customWidth="1"/>
    <col min="13" max="13" width="12.85546875" style="52" bestFit="1" customWidth="1"/>
    <col min="14" max="14" width="14.5703125" style="52" bestFit="1" customWidth="1"/>
    <col min="15" max="16384" width="9.140625" style="52"/>
  </cols>
  <sheetData>
    <row r="1" spans="2:14" s="83" customFormat="1" x14ac:dyDescent="0.3">
      <c r="B1" s="178" t="s">
        <v>283</v>
      </c>
    </row>
    <row r="2" spans="2:14" s="83" customFormat="1" ht="18" x14ac:dyDescent="0.35">
      <c r="B2" s="90" t="s">
        <v>230</v>
      </c>
      <c r="C2" s="82"/>
      <c r="D2" s="82"/>
      <c r="E2" s="82"/>
      <c r="F2" s="82"/>
      <c r="G2" s="82"/>
      <c r="H2" s="82"/>
      <c r="I2" s="82"/>
      <c r="J2" s="82"/>
      <c r="K2" s="82"/>
      <c r="L2" s="82"/>
    </row>
    <row r="4" spans="2:14" x14ac:dyDescent="0.3">
      <c r="B4" s="127">
        <v>46022</v>
      </c>
      <c r="C4" s="129">
        <v>46387</v>
      </c>
      <c r="D4" s="129">
        <f>EOMONTH(C4,12)</f>
        <v>46752</v>
      </c>
      <c r="E4" s="129">
        <f t="shared" ref="E4:L4" si="0">EOMONTH(D4,12)</f>
        <v>47118</v>
      </c>
      <c r="F4" s="129">
        <f t="shared" si="0"/>
        <v>47483</v>
      </c>
      <c r="G4" s="129">
        <f t="shared" si="0"/>
        <v>47848</v>
      </c>
      <c r="H4" s="129">
        <f t="shared" si="0"/>
        <v>48213</v>
      </c>
      <c r="I4" s="129">
        <f t="shared" si="0"/>
        <v>48579</v>
      </c>
      <c r="J4" s="129">
        <f t="shared" si="0"/>
        <v>48944</v>
      </c>
      <c r="K4" s="129">
        <f t="shared" si="0"/>
        <v>49309</v>
      </c>
      <c r="L4" s="129">
        <f t="shared" si="0"/>
        <v>49674</v>
      </c>
      <c r="M4" s="65"/>
      <c r="N4" s="65"/>
    </row>
    <row r="5" spans="2:14" x14ac:dyDescent="0.3">
      <c r="B5" s="64" t="s">
        <v>51</v>
      </c>
    </row>
    <row r="6" spans="2:14" x14ac:dyDescent="0.3">
      <c r="B6" s="52" t="s">
        <v>3</v>
      </c>
      <c r="C6" s="115">
        <f>SUMIFS('Tungsten Model'!$28:$28,'Tungsten Model'!$27:$27,"&lt;="&amp;'10 Year Pro Forma'!C4,'Tungsten Model'!$27:$27,"&gt;"&amp;'10 Year Pro Forma'!B4)</f>
        <v>1676252.6860869084</v>
      </c>
      <c r="D6" s="115">
        <f>SUMIFS('Tungsten Model'!$28:$28,'Tungsten Model'!$27:$27,"&lt;="&amp;'10 Year Pro Forma'!D4,'Tungsten Model'!$27:$27,"&gt;"&amp;'10 Year Pro Forma'!C4)</f>
        <v>114972626.64997794</v>
      </c>
      <c r="E6" s="115">
        <f>SUMIFS('Tungsten Model'!$28:$28,'Tungsten Model'!$27:$27,"&lt;="&amp;'10 Year Pro Forma'!E4,'Tungsten Model'!$27:$27,"&gt;"&amp;'10 Year Pro Forma'!D4)</f>
        <v>146141913.24920258</v>
      </c>
      <c r="F6" s="115">
        <f>SUMIFS('Tungsten Model'!$28:$28,'Tungsten Model'!$27:$27,"&lt;="&amp;'10 Year Pro Forma'!F4,'Tungsten Model'!$27:$27,"&gt;"&amp;'10 Year Pro Forma'!E4)</f>
        <v>146141913.24920258</v>
      </c>
      <c r="G6" s="115">
        <f>SUMIFS('Tungsten Model'!$28:$28,'Tungsten Model'!$27:$27,"&lt;="&amp;'10 Year Pro Forma'!G4,'Tungsten Model'!$27:$27,"&gt;"&amp;'10 Year Pro Forma'!F4)</f>
        <v>146141913.24920258</v>
      </c>
      <c r="H6" s="115">
        <f>SUMIFS('Tungsten Model'!$28:$28,'Tungsten Model'!$27:$27,"&lt;="&amp;'10 Year Pro Forma'!H4,'Tungsten Model'!$27:$27,"&gt;"&amp;'10 Year Pro Forma'!G4)</f>
        <v>146141913.24920258</v>
      </c>
      <c r="I6" s="115">
        <f>SUMIFS('Tungsten Model'!$28:$28,'Tungsten Model'!$27:$27,"&lt;="&amp;'10 Year Pro Forma'!I4,'Tungsten Model'!$27:$27,"&gt;"&amp;'10 Year Pro Forma'!H4)</f>
        <v>146141913.24920258</v>
      </c>
      <c r="J6" s="115">
        <f>SUMIFS('Tungsten Model'!$28:$28,'Tungsten Model'!$27:$27,"&lt;="&amp;'10 Year Pro Forma'!J4,'Tungsten Model'!$27:$27,"&gt;"&amp;'10 Year Pro Forma'!I4)</f>
        <v>146141913.24920258</v>
      </c>
      <c r="K6" s="115">
        <f>SUMIFS('Tungsten Model'!$28:$28,'Tungsten Model'!$27:$27,"&lt;="&amp;'10 Year Pro Forma'!K4,'Tungsten Model'!$27:$27,"&gt;"&amp;'10 Year Pro Forma'!J4)</f>
        <v>146141913.24920258</v>
      </c>
      <c r="L6" s="115">
        <f>SUMIFS('Tungsten Model'!$28:$28,'Tungsten Model'!$27:$27,"&lt;="&amp;'10 Year Pro Forma'!L4,'Tungsten Model'!$27:$27,"&gt;"&amp;'10 Year Pro Forma'!K4)</f>
        <v>146141913.24920258</v>
      </c>
    </row>
    <row r="7" spans="2:14" x14ac:dyDescent="0.3">
      <c r="B7" s="52" t="s">
        <v>224</v>
      </c>
      <c r="C7" s="115">
        <f>SUMIFS('Metals Model'!$26:$26,'Metals Model'!$25:$25,"&lt;="&amp;'10 Year Pro Forma'!C4,'Metals Model'!$25:$25,"&gt;"&amp;'10 Year Pro Forma'!B4)</f>
        <v>1502319.7003848266</v>
      </c>
      <c r="D7" s="115">
        <f>SUMIFS('Metals Model'!$26:$26,'Metals Model'!$25:$25,"&lt;="&amp;'10 Year Pro Forma'!D4,'Metals Model'!$25:$25,"&gt;"&amp;'10 Year Pro Forma'!C4)</f>
        <v>68156240.173665375</v>
      </c>
      <c r="E7" s="115">
        <f>SUMIFS('Metals Model'!$26:$26,'Metals Model'!$25:$25,"&lt;="&amp;'10 Year Pro Forma'!E4,'Metals Model'!$25:$25,"&gt;"&amp;'10 Year Pro Forma'!D4)</f>
        <v>115403111.90888344</v>
      </c>
      <c r="F7" s="115">
        <f>SUMIFS('Metals Model'!$26:$26,'Metals Model'!$25:$25,"&lt;="&amp;'10 Year Pro Forma'!F4,'Metals Model'!$25:$25,"&gt;"&amp;'10 Year Pro Forma'!E4)</f>
        <v>115403111.90888344</v>
      </c>
      <c r="G7" s="115">
        <f>SUMIFS('Metals Model'!$26:$26,'Metals Model'!$25:$25,"&lt;="&amp;'10 Year Pro Forma'!G4,'Metals Model'!$25:$25,"&gt;"&amp;'10 Year Pro Forma'!F4)</f>
        <v>115403111.90888344</v>
      </c>
      <c r="H7" s="115">
        <f>SUMIFS('Metals Model'!$26:$26,'Metals Model'!$25:$25,"&lt;="&amp;'10 Year Pro Forma'!H4,'Metals Model'!$25:$25,"&gt;"&amp;'10 Year Pro Forma'!G4)</f>
        <v>115403111.90888344</v>
      </c>
      <c r="I7" s="115">
        <f>SUMIFS('Metals Model'!$26:$26,'Metals Model'!$25:$25,"&lt;="&amp;'10 Year Pro Forma'!I4,'Metals Model'!$25:$25,"&gt;"&amp;'10 Year Pro Forma'!H4)</f>
        <v>115403111.90888344</v>
      </c>
      <c r="J7" s="115">
        <f>SUMIFS('Metals Model'!$26:$26,'Metals Model'!$25:$25,"&lt;="&amp;'10 Year Pro Forma'!J4,'Metals Model'!$25:$25,"&gt;"&amp;'10 Year Pro Forma'!I4)</f>
        <v>115403111.90888344</v>
      </c>
      <c r="K7" s="115">
        <f>SUMIFS('Metals Model'!$26:$26,'Metals Model'!$25:$25,"&lt;="&amp;'10 Year Pro Forma'!K4,'Metals Model'!$25:$25,"&gt;"&amp;'10 Year Pro Forma'!J4)</f>
        <v>115403111.90888344</v>
      </c>
      <c r="L7" s="115">
        <f>SUMIFS('Metals Model'!$26:$26,'Metals Model'!$25:$25,"&lt;="&amp;'10 Year Pro Forma'!L4,'Metals Model'!$25:$25,"&gt;"&amp;'10 Year Pro Forma'!K4)</f>
        <v>115403111.90888344</v>
      </c>
    </row>
    <row r="8" spans="2:14" x14ac:dyDescent="0.3">
      <c r="B8" s="52" t="s">
        <v>225</v>
      </c>
      <c r="C8" s="115">
        <f>SUMIFS('Zinc Agra'!$29:$29,'Zinc Agra'!$28:$28,"&lt;="&amp;'10 Year Pro Forma'!C4,'Zinc Agra'!$28:$28,"&gt;"&amp;'10 Year Pro Forma'!B4)</f>
        <v>706309.03426791285</v>
      </c>
      <c r="D8" s="115">
        <f>SUMIFS('Zinc Agra'!$29:$29,'Zinc Agra'!$28:$28,"&lt;="&amp;'10 Year Pro Forma'!D4,'Zinc Agra'!$28:$28,"&gt;"&amp;'10 Year Pro Forma'!C4)</f>
        <v>69541148.526494145</v>
      </c>
      <c r="E8" s="115">
        <f>SUMIFS('Zinc Agra'!$29:$29,'Zinc Agra'!$28:$28,"&lt;="&amp;'10 Year Pro Forma'!E4,'Zinc Agra'!$28:$28,"&gt;"&amp;'10 Year Pro Forma'!D4)</f>
        <v>170615620.80440807</v>
      </c>
      <c r="F8" s="115">
        <f>SUMIFS('Zinc Agra'!$29:$29,'Zinc Agra'!$28:$28,"&lt;="&amp;'10 Year Pro Forma'!F4,'Zinc Agra'!$28:$28,"&gt;"&amp;'10 Year Pro Forma'!E4)</f>
        <v>170615620.80440807</v>
      </c>
      <c r="G8" s="115">
        <f>SUMIFS('Zinc Agra'!$29:$29,'Zinc Agra'!$28:$28,"&lt;="&amp;'10 Year Pro Forma'!G4,'Zinc Agra'!$28:$28,"&gt;"&amp;'10 Year Pro Forma'!F4)</f>
        <v>170615620.80440807</v>
      </c>
      <c r="H8" s="115">
        <f>SUMIFS('Zinc Agra'!$29:$29,'Zinc Agra'!$28:$28,"&lt;="&amp;'10 Year Pro Forma'!H4,'Zinc Agra'!$28:$28,"&gt;"&amp;'10 Year Pro Forma'!G4)</f>
        <v>170615620.80440807</v>
      </c>
      <c r="I8" s="115">
        <f>SUMIFS('Zinc Agra'!$29:$29,'Zinc Agra'!$28:$28,"&lt;="&amp;'10 Year Pro Forma'!I4,'Zinc Agra'!$28:$28,"&gt;"&amp;'10 Year Pro Forma'!H4)</f>
        <v>170615620.80440807</v>
      </c>
      <c r="J8" s="115">
        <f>SUMIFS('Zinc Agra'!$29:$29,'Zinc Agra'!$28:$28,"&lt;="&amp;'10 Year Pro Forma'!J4,'Zinc Agra'!$28:$28,"&gt;"&amp;'10 Year Pro Forma'!I4)</f>
        <v>170615620.80440807</v>
      </c>
      <c r="K8" s="115">
        <f>SUMIFS('Zinc Agra'!$29:$29,'Zinc Agra'!$28:$28,"&lt;="&amp;'10 Year Pro Forma'!K4,'Zinc Agra'!$28:$28,"&gt;"&amp;'10 Year Pro Forma'!J4)</f>
        <v>170615620.80440807</v>
      </c>
      <c r="L8" s="115">
        <f>SUMIFS('Zinc Agra'!$29:$29,'Zinc Agra'!$28:$28,"&lt;="&amp;'10 Year Pro Forma'!L4,'Zinc Agra'!$28:$28,"&gt;"&amp;'10 Year Pro Forma'!K4)</f>
        <v>170615620.80440807</v>
      </c>
    </row>
    <row r="9" spans="2:14" x14ac:dyDescent="0.3">
      <c r="B9" s="52" t="s">
        <v>61</v>
      </c>
      <c r="C9" s="115">
        <f>SUMIFS('CM Model'!$25:$25,'CM Model'!$24:$24,"&lt;="&amp;'10 Year Pro Forma'!C4,'CM Model'!$24:$24,"&gt;"&amp;'10 Year Pro Forma'!B4)</f>
        <v>0</v>
      </c>
      <c r="D9" s="115">
        <f>SUMIFS('CM Model'!$25:$25,'CM Model'!$24:$24,"&lt;="&amp;'10 Year Pro Forma'!D4,'CM Model'!$24:$24,"&gt;"&amp;'10 Year Pro Forma'!C4)</f>
        <v>23606781.25</v>
      </c>
      <c r="E9" s="115">
        <f>SUMIFS('CM Model'!$25:$25,'CM Model'!$24:$24,"&lt;="&amp;'10 Year Pro Forma'!E4,'CM Model'!$24:$24,"&gt;"&amp;'10 Year Pro Forma'!D4)</f>
        <v>47213562.499999993</v>
      </c>
      <c r="F9" s="115">
        <f>SUMIFS('CM Model'!$25:$25,'CM Model'!$24:$24,"&lt;="&amp;'10 Year Pro Forma'!F4,'CM Model'!$24:$24,"&gt;"&amp;'10 Year Pro Forma'!E4)</f>
        <v>47213562.499999993</v>
      </c>
      <c r="G9" s="115">
        <f>SUMIFS('CM Model'!$25:$25,'CM Model'!$24:$24,"&lt;="&amp;'10 Year Pro Forma'!G4,'CM Model'!$24:$24,"&gt;"&amp;'10 Year Pro Forma'!F4)</f>
        <v>47213562.499999993</v>
      </c>
      <c r="H9" s="115">
        <f>SUMIFS('CM Model'!$25:$25,'CM Model'!$24:$24,"&lt;="&amp;'10 Year Pro Forma'!H4,'CM Model'!$24:$24,"&gt;"&amp;'10 Year Pro Forma'!G4)</f>
        <v>47213562.499999993</v>
      </c>
      <c r="I9" s="115">
        <f>SUMIFS('CM Model'!$25:$25,'CM Model'!$24:$24,"&lt;="&amp;'10 Year Pro Forma'!I4,'CM Model'!$24:$24,"&gt;"&amp;'10 Year Pro Forma'!H4)</f>
        <v>47213562.499999993</v>
      </c>
      <c r="J9" s="115">
        <f>SUMIFS('CM Model'!$25:$25,'CM Model'!$24:$24,"&lt;="&amp;'10 Year Pro Forma'!J4,'CM Model'!$24:$24,"&gt;"&amp;'10 Year Pro Forma'!I4)</f>
        <v>47213562.499999993</v>
      </c>
      <c r="K9" s="115">
        <f>SUMIFS('CM Model'!$25:$25,'CM Model'!$24:$24,"&lt;="&amp;'10 Year Pro Forma'!K4,'CM Model'!$24:$24,"&gt;"&amp;'10 Year Pro Forma'!J4)</f>
        <v>47213562.499999993</v>
      </c>
      <c r="L9" s="115">
        <f>SUMIFS('CM Model'!$25:$25,'CM Model'!$24:$24,"&lt;="&amp;'10 Year Pro Forma'!L4,'CM Model'!$24:$24,"&gt;"&amp;'10 Year Pro Forma'!K4)</f>
        <v>47213562.499999993</v>
      </c>
    </row>
    <row r="10" spans="2:14" x14ac:dyDescent="0.3">
      <c r="B10" s="126" t="s">
        <v>57</v>
      </c>
      <c r="C10" s="148">
        <f>SUM(C6:C9)</f>
        <v>3884881.4207396479</v>
      </c>
      <c r="D10" s="148">
        <f t="shared" ref="D10:L10" si="1">SUM(D6:D9)</f>
        <v>276276796.60013747</v>
      </c>
      <c r="E10" s="148">
        <f t="shared" si="1"/>
        <v>479374208.46249408</v>
      </c>
      <c r="F10" s="148">
        <f t="shared" si="1"/>
        <v>479374208.46249408</v>
      </c>
      <c r="G10" s="148">
        <f t="shared" si="1"/>
        <v>479374208.46249408</v>
      </c>
      <c r="H10" s="148">
        <f t="shared" si="1"/>
        <v>479374208.46249408</v>
      </c>
      <c r="I10" s="148">
        <f t="shared" si="1"/>
        <v>479374208.46249408</v>
      </c>
      <c r="J10" s="148">
        <f t="shared" si="1"/>
        <v>479374208.46249408</v>
      </c>
      <c r="K10" s="148">
        <f t="shared" si="1"/>
        <v>479374208.46249408</v>
      </c>
      <c r="L10" s="148">
        <f t="shared" si="1"/>
        <v>479374208.46249408</v>
      </c>
      <c r="N10" s="58"/>
    </row>
    <row r="12" spans="2:14" x14ac:dyDescent="0.3">
      <c r="B12" s="64" t="s">
        <v>58</v>
      </c>
    </row>
    <row r="13" spans="2:14" x14ac:dyDescent="0.3">
      <c r="B13" s="52" t="s">
        <v>49</v>
      </c>
      <c r="C13" s="115">
        <f>SUMIFS('Mining Costs'!$11:$11,'Mining Costs'!$10:$10,"&lt;="&amp;'10 Year Pro Forma'!C4,'Mining Costs'!$10:$10,"&gt;"&amp;'10 Year Pro Forma'!B4)</f>
        <v>205291.66666666666</v>
      </c>
      <c r="D13" s="115">
        <f>SUMIFS('Mining Costs'!$11:$11,'Mining Costs'!$10:$10,"&lt;="&amp;'10 Year Pro Forma'!D4,'Mining Costs'!$10:$10,"&gt;"&amp;'10 Year Pro Forma'!C4)</f>
        <v>17263999.999999996</v>
      </c>
      <c r="E13" s="115">
        <f>SUMIFS('Mining Costs'!$11:$11,'Mining Costs'!$10:$10,"&lt;="&amp;'10 Year Pro Forma'!E4,'Mining Costs'!$10:$10,"&gt;"&amp;'10 Year Pro Forma'!D4)</f>
        <v>33231249.999999989</v>
      </c>
      <c r="F13" s="115">
        <f>SUMIFS('Mining Costs'!$11:$11,'Mining Costs'!$10:$10,"&lt;="&amp;'10 Year Pro Forma'!F4,'Mining Costs'!$10:$10,"&gt;"&amp;'10 Year Pro Forma'!E4)</f>
        <v>33231249.999999989</v>
      </c>
      <c r="G13" s="115">
        <f>SUMIFS('Mining Costs'!$11:$11,'Mining Costs'!$10:$10,"&lt;="&amp;'10 Year Pro Forma'!G4,'Mining Costs'!$10:$10,"&gt;"&amp;'10 Year Pro Forma'!F4)</f>
        <v>33231249.999999989</v>
      </c>
      <c r="H13" s="115">
        <f>SUMIFS('Mining Costs'!$11:$11,'Mining Costs'!$10:$10,"&lt;="&amp;'10 Year Pro Forma'!H4,'Mining Costs'!$10:$10,"&gt;"&amp;'10 Year Pro Forma'!G4)</f>
        <v>33231249.999999989</v>
      </c>
      <c r="I13" s="115">
        <f>SUMIFS('Mining Costs'!$11:$11,'Mining Costs'!$10:$10,"&lt;="&amp;'10 Year Pro Forma'!I4,'Mining Costs'!$10:$10,"&gt;"&amp;'10 Year Pro Forma'!H4)</f>
        <v>33231249.999999989</v>
      </c>
      <c r="J13" s="115">
        <f>SUMIFS('Mining Costs'!$11:$11,'Mining Costs'!$10:$10,"&lt;="&amp;'10 Year Pro Forma'!J4,'Mining Costs'!$10:$10,"&gt;"&amp;'10 Year Pro Forma'!I4)</f>
        <v>33231249.999999989</v>
      </c>
      <c r="K13" s="115">
        <f>SUMIFS('Mining Costs'!$11:$11,'Mining Costs'!$10:$10,"&lt;="&amp;'10 Year Pro Forma'!K4,'Mining Costs'!$10:$10,"&gt;"&amp;'10 Year Pro Forma'!J4)</f>
        <v>33231249.999999989</v>
      </c>
      <c r="L13" s="115">
        <f>SUMIFS('Mining Costs'!$11:$11,'Mining Costs'!$10:$10,"&lt;="&amp;'10 Year Pro Forma'!L4,'Mining Costs'!$10:$10,"&gt;"&amp;'10 Year Pro Forma'!K4)</f>
        <v>33231249.999999989</v>
      </c>
    </row>
    <row r="14" spans="2:14" x14ac:dyDescent="0.3">
      <c r="B14" s="52" t="s">
        <v>46</v>
      </c>
      <c r="C14" s="115">
        <f>+C10*Assumptions!$F$4</f>
        <v>233092.88524437888</v>
      </c>
      <c r="D14" s="115">
        <f>+D10*Assumptions!$F$4</f>
        <v>16576607.796008248</v>
      </c>
      <c r="E14" s="115">
        <f>+E10*Assumptions!$F$4</f>
        <v>28762452.507749643</v>
      </c>
      <c r="F14" s="115">
        <f>+F10*Assumptions!$F$4</f>
        <v>28762452.507749643</v>
      </c>
      <c r="G14" s="115">
        <f>+G10*Assumptions!$F$4</f>
        <v>28762452.507749643</v>
      </c>
      <c r="H14" s="115">
        <f>+H10*Assumptions!$F$4</f>
        <v>28762452.507749643</v>
      </c>
      <c r="I14" s="115">
        <f>+I10*Assumptions!$F$4</f>
        <v>28762452.507749643</v>
      </c>
      <c r="J14" s="115">
        <f>+J10*Assumptions!$F$4</f>
        <v>28762452.507749643</v>
      </c>
      <c r="K14" s="115">
        <f>+K10*Assumptions!$F$4</f>
        <v>28762452.507749643</v>
      </c>
      <c r="L14" s="115">
        <f>+L10*Assumptions!$F$4</f>
        <v>28762452.507749643</v>
      </c>
    </row>
    <row r="15" spans="2:14" x14ac:dyDescent="0.3">
      <c r="B15" s="52" t="s">
        <v>50</v>
      </c>
      <c r="C15" s="115">
        <f>+Assumptions!$F$5*'10 Year Pro Forma'!C10</f>
        <v>194244.07103698241</v>
      </c>
      <c r="D15" s="115">
        <f>+Assumptions!$F$5*'10 Year Pro Forma'!D10</f>
        <v>13813839.830006875</v>
      </c>
      <c r="E15" s="115">
        <f>+Assumptions!$F$5*'10 Year Pro Forma'!E10</f>
        <v>23968710.423124705</v>
      </c>
      <c r="F15" s="115">
        <f>+Assumptions!$F$5*'10 Year Pro Forma'!F10</f>
        <v>23968710.423124705</v>
      </c>
      <c r="G15" s="115">
        <f>+Assumptions!$F$5*'10 Year Pro Forma'!G10</f>
        <v>23968710.423124705</v>
      </c>
      <c r="H15" s="115">
        <f>+Assumptions!$F$5*'10 Year Pro Forma'!H10</f>
        <v>23968710.423124705</v>
      </c>
      <c r="I15" s="115">
        <f>+Assumptions!$F$5*'10 Year Pro Forma'!I10</f>
        <v>23968710.423124705</v>
      </c>
      <c r="J15" s="115">
        <f>+Assumptions!$F$5*'10 Year Pro Forma'!J10</f>
        <v>23968710.423124705</v>
      </c>
      <c r="K15" s="115">
        <f>+Assumptions!$F$5*'10 Year Pro Forma'!K10</f>
        <v>23968710.423124705</v>
      </c>
      <c r="L15" s="115">
        <f>+Assumptions!$F$5*'10 Year Pro Forma'!L10</f>
        <v>23968710.423124705</v>
      </c>
    </row>
    <row r="16" spans="2:14" x14ac:dyDescent="0.3">
      <c r="B16" s="126" t="s">
        <v>205</v>
      </c>
      <c r="C16" s="148">
        <f>SUM(C13:C15)</f>
        <v>632628.62294802791</v>
      </c>
      <c r="D16" s="148">
        <f t="shared" ref="D16:L16" si="2">SUM(D13:D15)</f>
        <v>47654447.626015119</v>
      </c>
      <c r="E16" s="148">
        <f t="shared" si="2"/>
        <v>85962412.930874333</v>
      </c>
      <c r="F16" s="148">
        <f t="shared" si="2"/>
        <v>85962412.930874333</v>
      </c>
      <c r="G16" s="148">
        <f t="shared" si="2"/>
        <v>85962412.930874333</v>
      </c>
      <c r="H16" s="148">
        <f t="shared" si="2"/>
        <v>85962412.930874333</v>
      </c>
      <c r="I16" s="148">
        <f t="shared" si="2"/>
        <v>85962412.930874333</v>
      </c>
      <c r="J16" s="148">
        <f t="shared" si="2"/>
        <v>85962412.930874333</v>
      </c>
      <c r="K16" s="148">
        <f t="shared" si="2"/>
        <v>85962412.930874333</v>
      </c>
      <c r="L16" s="148">
        <f t="shared" si="2"/>
        <v>85962412.930874333</v>
      </c>
    </row>
    <row r="18" spans="2:12" ht="15.75" thickBot="1" x14ac:dyDescent="0.35">
      <c r="B18" s="149" t="s">
        <v>52</v>
      </c>
      <c r="C18" s="150">
        <f>+C10-C16</f>
        <v>3252252.7977916198</v>
      </c>
      <c r="D18" s="150">
        <f t="shared" ref="D18:L18" si="3">+D10-D16</f>
        <v>228622348.97412235</v>
      </c>
      <c r="E18" s="150">
        <f t="shared" si="3"/>
        <v>393411795.53161973</v>
      </c>
      <c r="F18" s="150">
        <f t="shared" si="3"/>
        <v>393411795.53161973</v>
      </c>
      <c r="G18" s="150">
        <f t="shared" si="3"/>
        <v>393411795.53161973</v>
      </c>
      <c r="H18" s="150">
        <f t="shared" si="3"/>
        <v>393411795.53161973</v>
      </c>
      <c r="I18" s="150">
        <f t="shared" si="3"/>
        <v>393411795.53161973</v>
      </c>
      <c r="J18" s="150">
        <f t="shared" si="3"/>
        <v>393411795.53161973</v>
      </c>
      <c r="K18" s="150">
        <f t="shared" si="3"/>
        <v>393411795.53161973</v>
      </c>
      <c r="L18" s="150">
        <f t="shared" si="3"/>
        <v>393411795.53161973</v>
      </c>
    </row>
    <row r="19" spans="2:12" ht="15.75" thickTop="1" x14ac:dyDescent="0.3">
      <c r="B19" s="128" t="s">
        <v>65</v>
      </c>
      <c r="C19" s="153">
        <f>+C18/C10</f>
        <v>0.83715625924366543</v>
      </c>
      <c r="D19" s="153">
        <f t="shared" ref="D19:L19" si="4">+D18/D10</f>
        <v>0.8275119437735966</v>
      </c>
      <c r="E19" s="153">
        <f t="shared" si="4"/>
        <v>0.82067785163790263</v>
      </c>
      <c r="F19" s="153">
        <f t="shared" si="4"/>
        <v>0.82067785163790263</v>
      </c>
      <c r="G19" s="153">
        <f t="shared" si="4"/>
        <v>0.82067785163790263</v>
      </c>
      <c r="H19" s="153">
        <f t="shared" si="4"/>
        <v>0.82067785163790263</v>
      </c>
      <c r="I19" s="153">
        <f t="shared" si="4"/>
        <v>0.82067785163790263</v>
      </c>
      <c r="J19" s="153">
        <f t="shared" si="4"/>
        <v>0.82067785163790263</v>
      </c>
      <c r="K19" s="153">
        <f t="shared" si="4"/>
        <v>0.82067785163790263</v>
      </c>
      <c r="L19" s="153">
        <f t="shared" si="4"/>
        <v>0.82067785163790263</v>
      </c>
    </row>
    <row r="20" spans="2:12" x14ac:dyDescent="0.3">
      <c r="B20" s="128"/>
      <c r="C20" s="152"/>
      <c r="D20" s="152"/>
      <c r="E20" s="152"/>
      <c r="F20" s="152"/>
      <c r="G20" s="152"/>
      <c r="H20" s="152"/>
      <c r="I20" s="152"/>
      <c r="J20" s="152"/>
      <c r="K20" s="152"/>
      <c r="L20" s="152"/>
    </row>
    <row r="21" spans="2:12" x14ac:dyDescent="0.3">
      <c r="B21" s="125" t="s">
        <v>54</v>
      </c>
      <c r="C21" s="130">
        <f>SUMIF(Depreciation!$H$4:$Q$4,'10 Year Pro Forma'!C4,Depreciation!$H$17:$Q$17)</f>
        <v>8837576.1904761903</v>
      </c>
      <c r="D21" s="130">
        <f>SUMIF(Depreciation!$H$4:$Q$4,'10 Year Pro Forma'!D4,Depreciation!$H$17:$Q$17)</f>
        <v>6453152.5170068024</v>
      </c>
      <c r="E21" s="130">
        <f>SUMIF(Depreciation!$H$4:$Q$4,'10 Year Pro Forma'!E4,Depreciation!$H$17:$Q$17)</f>
        <v>4735400.7502429541</v>
      </c>
      <c r="F21" s="130">
        <f>SUMIF(Depreciation!$H$4:$Q$4,'10 Year Pro Forma'!F4,Depreciation!$H$17:$Q$17)</f>
        <v>3496761.6025544913</v>
      </c>
      <c r="G21" s="130">
        <f>SUMIF(Depreciation!$H$4:$Q$4,'10 Year Pro Forma'!G4,Depreciation!$H$17:$Q$17)</f>
        <v>2602680.4742055889</v>
      </c>
      <c r="H21" s="130">
        <f>SUMIF(Depreciation!$H$4:$Q$4,'10 Year Pro Forma'!H4,Depreciation!$H$17:$Q$17)</f>
        <v>1956579.9928135159</v>
      </c>
      <c r="I21" s="130">
        <f>SUMIF(Depreciation!$H$4:$Q$4,'10 Year Pro Forma'!I4,Depreciation!$H$17:$Q$17)</f>
        <v>1489102.7657620355</v>
      </c>
      <c r="J21" s="130">
        <f>SUMIF(Depreciation!$H$4:$Q$4,'10 Year Pro Forma'!J4,Depreciation!$H$17:$Q$17)</f>
        <v>415242.91157333343</v>
      </c>
      <c r="K21" s="130">
        <f>SUMIF(Depreciation!$H$4:$Q$4,'10 Year Pro Forma'!K4,Depreciation!$H$17:$Q$17)</f>
        <v>379540.99592533347</v>
      </c>
      <c r="L21" s="130">
        <f>SUMIF(Depreciation!$H$4:$Q$4,'10 Year Pro Forma'!L4,Depreciation!$H$17:$Q$17)</f>
        <v>350979.46340693347</v>
      </c>
    </row>
    <row r="23" spans="2:12" ht="15.75" thickBot="1" x14ac:dyDescent="0.35">
      <c r="B23" s="149" t="s">
        <v>226</v>
      </c>
      <c r="C23" s="166">
        <f t="shared" ref="C23:L23" si="5">+C18-C21</f>
        <v>-5585323.3926845705</v>
      </c>
      <c r="D23" s="166">
        <f t="shared" si="5"/>
        <v>222169196.45711553</v>
      </c>
      <c r="E23" s="166">
        <f t="shared" si="5"/>
        <v>388676394.78137678</v>
      </c>
      <c r="F23" s="166">
        <f t="shared" si="5"/>
        <v>389915033.92906523</v>
      </c>
      <c r="G23" s="166">
        <f t="shared" si="5"/>
        <v>390809115.05741411</v>
      </c>
      <c r="H23" s="166">
        <f t="shared" si="5"/>
        <v>391455215.5388062</v>
      </c>
      <c r="I23" s="166">
        <f t="shared" si="5"/>
        <v>391922692.7658577</v>
      </c>
      <c r="J23" s="166">
        <f t="shared" si="5"/>
        <v>392996552.62004638</v>
      </c>
      <c r="K23" s="166">
        <f t="shared" si="5"/>
        <v>393032254.53569442</v>
      </c>
      <c r="L23" s="166">
        <f t="shared" si="5"/>
        <v>393060816.06821281</v>
      </c>
    </row>
    <row r="24" spans="2:12" ht="15.75" thickTop="1" x14ac:dyDescent="0.3">
      <c r="B24" s="128" t="s">
        <v>65</v>
      </c>
      <c r="C24" s="153">
        <f t="shared" ref="C24:L24" si="6">+C23/C10</f>
        <v>-1.437707561128384</v>
      </c>
      <c r="D24" s="153">
        <f t="shared" si="6"/>
        <v>0.80415438137089279</v>
      </c>
      <c r="E24" s="153">
        <f t="shared" si="6"/>
        <v>0.81079955475282217</v>
      </c>
      <c r="F24" s="153">
        <f t="shared" si="6"/>
        <v>0.81338342164808375</v>
      </c>
      <c r="G24" s="153">
        <f t="shared" si="6"/>
        <v>0.81524852225751476</v>
      </c>
      <c r="H24" s="153">
        <f t="shared" si="6"/>
        <v>0.81659632209736077</v>
      </c>
      <c r="I24" s="153">
        <f t="shared" si="6"/>
        <v>0.8175715043637386</v>
      </c>
      <c r="J24" s="153">
        <f t="shared" si="6"/>
        <v>0.81981163292141146</v>
      </c>
      <c r="K24" s="153">
        <f t="shared" si="6"/>
        <v>0.81988610900923142</v>
      </c>
      <c r="L24" s="153">
        <f t="shared" si="6"/>
        <v>0.81994568987948713</v>
      </c>
    </row>
    <row r="26" spans="2:12" x14ac:dyDescent="0.3">
      <c r="B26" s="52" t="s">
        <v>227</v>
      </c>
      <c r="C26" s="115">
        <f>SUMIFS('Debt Model'!$E$11:$E$120,'Debt Model'!$B$11:$B$120,"&lt;="&amp;'10 Year Pro Forma'!C4,'Debt Model'!$B$11:$B$120,"&gt;"&amp;'10 Year Pro Forma'!B4)</f>
        <v>2475000</v>
      </c>
      <c r="D26" s="115">
        <f>SUMIFS('Debt Model'!$E$11:$E$120,'Debt Model'!$B$11:$B$120,"&lt;="&amp;'10 Year Pro Forma'!D4,'Debt Model'!$B$11:$B$120,"&gt;"&amp;'10 Year Pro Forma'!C4)</f>
        <v>4950000</v>
      </c>
      <c r="E26" s="115">
        <f>SUMIFS('Debt Model'!$E$11:$E$120,'Debt Model'!$B$11:$B$120,"&lt;="&amp;'10 Year Pro Forma'!E4,'Debt Model'!$B$11:$B$120,"&gt;"&amp;'10 Year Pro Forma'!D4)</f>
        <v>4950000</v>
      </c>
      <c r="F26" s="115">
        <f>SUMIFS('Debt Model'!$E$11:$E$120,'Debt Model'!$B$11:$B$120,"&lt;="&amp;'10 Year Pro Forma'!F4,'Debt Model'!$B$11:$B$120,"&gt;"&amp;'10 Year Pro Forma'!E4)</f>
        <v>2475000</v>
      </c>
      <c r="G26" s="115">
        <f>SUMIFS('Debt Model'!$E$11:$E$120,'Debt Model'!$B$11:$B$120,"&lt;="&amp;'10 Year Pro Forma'!G4,'Debt Model'!$B$11:$B$120,"&gt;"&amp;'10 Year Pro Forma'!F4)</f>
        <v>0</v>
      </c>
      <c r="H26" s="115">
        <f>SUMIFS('Debt Model'!$E$11:$E$120,'Debt Model'!$B$11:$B$120,"&lt;="&amp;'10 Year Pro Forma'!H4,'Debt Model'!$B$11:$B$120,"&gt;"&amp;'10 Year Pro Forma'!G4)</f>
        <v>0</v>
      </c>
      <c r="I26" s="115">
        <f>SUMIFS('Debt Model'!$E$11:$E$120,'Debt Model'!$B$11:$B$120,"&lt;="&amp;'10 Year Pro Forma'!I4,'Debt Model'!$B$11:$B$120,"&gt;"&amp;'10 Year Pro Forma'!H4)</f>
        <v>0</v>
      </c>
      <c r="J26" s="115">
        <f>SUMIFS('Debt Model'!$E$11:$E$120,'Debt Model'!$B$11:$B$120,"&lt;="&amp;'10 Year Pro Forma'!J4,'Debt Model'!$B$11:$B$120,"&gt;"&amp;'10 Year Pro Forma'!I4)</f>
        <v>0</v>
      </c>
      <c r="K26" s="115">
        <f>SUMIFS('Debt Model'!$E$11:$E$120,'Debt Model'!$B$11:$B$120,"&lt;="&amp;'10 Year Pro Forma'!K4,'Debt Model'!$B$11:$B$120,"&gt;"&amp;'10 Year Pro Forma'!J4)</f>
        <v>0</v>
      </c>
      <c r="L26" s="115">
        <f>SUMIFS('Debt Model'!$E$11:$E$120,'Debt Model'!$B$11:$B$120,"&lt;="&amp;'10 Year Pro Forma'!L4,'Debt Model'!$B$11:$B$120,"&gt;"&amp;'10 Year Pro Forma'!K4)</f>
        <v>0</v>
      </c>
    </row>
    <row r="28" spans="2:12" ht="15.75" thickBot="1" x14ac:dyDescent="0.35">
      <c r="B28" s="149" t="s">
        <v>228</v>
      </c>
      <c r="C28" s="150">
        <f>+C23-C26</f>
        <v>-8060323.3926845705</v>
      </c>
      <c r="D28" s="150">
        <f t="shared" ref="D28:L28" si="7">+D23-D26</f>
        <v>217219196.45711553</v>
      </c>
      <c r="E28" s="150">
        <f t="shared" si="7"/>
        <v>383726394.78137678</v>
      </c>
      <c r="F28" s="150">
        <f t="shared" si="7"/>
        <v>387440033.92906523</v>
      </c>
      <c r="G28" s="150">
        <f t="shared" si="7"/>
        <v>390809115.05741411</v>
      </c>
      <c r="H28" s="150">
        <f t="shared" si="7"/>
        <v>391455215.5388062</v>
      </c>
      <c r="I28" s="150">
        <f t="shared" si="7"/>
        <v>391922692.7658577</v>
      </c>
      <c r="J28" s="150">
        <f t="shared" si="7"/>
        <v>392996552.62004638</v>
      </c>
      <c r="K28" s="150">
        <f t="shared" si="7"/>
        <v>393032254.53569442</v>
      </c>
      <c r="L28" s="150">
        <f t="shared" si="7"/>
        <v>393060816.06821281</v>
      </c>
    </row>
    <row r="29" spans="2:12" ht="15.75" thickTop="1" x14ac:dyDescent="0.3">
      <c r="B29" s="128" t="s">
        <v>65</v>
      </c>
      <c r="C29" s="153">
        <f t="shared" ref="C29:L29" si="8">+C28/C10</f>
        <v>-2.0747926435165054</v>
      </c>
      <c r="D29" s="153">
        <f t="shared" si="8"/>
        <v>0.78623756728836869</v>
      </c>
      <c r="E29" s="153">
        <f t="shared" si="8"/>
        <v>0.80047359246153371</v>
      </c>
      <c r="F29" s="153">
        <f t="shared" si="8"/>
        <v>0.80822044050243946</v>
      </c>
      <c r="G29" s="153">
        <f t="shared" si="8"/>
        <v>0.81524852225751476</v>
      </c>
      <c r="H29" s="153">
        <f t="shared" si="8"/>
        <v>0.81659632209736077</v>
      </c>
      <c r="I29" s="153">
        <f t="shared" si="8"/>
        <v>0.8175715043637386</v>
      </c>
      <c r="J29" s="153">
        <f t="shared" si="8"/>
        <v>0.81981163292141146</v>
      </c>
      <c r="K29" s="153">
        <f t="shared" si="8"/>
        <v>0.81988610900923142</v>
      </c>
      <c r="L29" s="153">
        <f t="shared" si="8"/>
        <v>0.81994568987948713</v>
      </c>
    </row>
    <row r="31" spans="2:12" x14ac:dyDescent="0.3">
      <c r="B31" s="52" t="s">
        <v>48</v>
      </c>
      <c r="C31" s="115">
        <f>MAX(+C28*Assumptions!$F$9,0)</f>
        <v>0</v>
      </c>
      <c r="D31" s="115">
        <f>MAX(+D28*Assumptions!$F$9,0)</f>
        <v>45616031.25599426</v>
      </c>
      <c r="E31" s="115">
        <f>MAX(+E28*Assumptions!$F$9,0)</f>
        <v>80582542.904089123</v>
      </c>
      <c r="F31" s="115">
        <f>MAX(+F28*Assumptions!$F$9,0)</f>
        <v>81362407.125103697</v>
      </c>
      <c r="G31" s="115">
        <f>MAX(+G28*Assumptions!$F$9,0)</f>
        <v>82069914.162056968</v>
      </c>
      <c r="H31" s="115">
        <f>MAX(+H28*Assumptions!$F$9,0)</f>
        <v>82205595.263149306</v>
      </c>
      <c r="I31" s="115">
        <f>MAX(+I28*Assumptions!$F$9,0)</f>
        <v>82303765.480830118</v>
      </c>
      <c r="J31" s="115">
        <f>MAX(+J28*Assumptions!$F$9,0)</f>
        <v>82529276.050209731</v>
      </c>
      <c r="K31" s="115">
        <f>MAX(+K28*Assumptions!$F$9,0)</f>
        <v>82536773.452495828</v>
      </c>
      <c r="L31" s="115">
        <f>MAX(+L28*Assumptions!$F$9,0)</f>
        <v>82542771.374324679</v>
      </c>
    </row>
    <row r="33" spans="2:12" s="64" customFormat="1" ht="15.75" thickBot="1" x14ac:dyDescent="0.35">
      <c r="B33" s="167" t="s">
        <v>229</v>
      </c>
      <c r="C33" s="202">
        <f>+C28-C31</f>
        <v>-8060323.3926845705</v>
      </c>
      <c r="D33" s="202">
        <f t="shared" ref="D33:L33" si="9">+D28-D31</f>
        <v>171603165.20112127</v>
      </c>
      <c r="E33" s="202">
        <f t="shared" si="9"/>
        <v>303143851.87728763</v>
      </c>
      <c r="F33" s="202">
        <f t="shared" si="9"/>
        <v>306077626.80396152</v>
      </c>
      <c r="G33" s="202">
        <f t="shared" si="9"/>
        <v>308739200.89535713</v>
      </c>
      <c r="H33" s="202">
        <f t="shared" si="9"/>
        <v>309249620.27565688</v>
      </c>
      <c r="I33" s="202">
        <f t="shared" si="9"/>
        <v>309618927.28502756</v>
      </c>
      <c r="J33" s="202">
        <f t="shared" si="9"/>
        <v>310467276.56983662</v>
      </c>
      <c r="K33" s="202">
        <f t="shared" si="9"/>
        <v>310495481.08319861</v>
      </c>
      <c r="L33" s="202">
        <f t="shared" si="9"/>
        <v>310518044.69388813</v>
      </c>
    </row>
    <row r="34" spans="2:12" ht="15.75" thickTop="1" x14ac:dyDescent="0.3">
      <c r="B34" s="128" t="s">
        <v>65</v>
      </c>
      <c r="C34" s="67">
        <f t="shared" ref="C34:L34" si="10">+C33/C10</f>
        <v>-2.0747926435165054</v>
      </c>
      <c r="D34" s="67">
        <f t="shared" si="10"/>
        <v>0.62112767815781122</v>
      </c>
      <c r="E34" s="67">
        <f t="shared" si="10"/>
        <v>0.63237413804461151</v>
      </c>
      <c r="F34" s="67">
        <f t="shared" si="10"/>
        <v>0.63849414799692716</v>
      </c>
      <c r="G34" s="67">
        <f t="shared" si="10"/>
        <v>0.64404633258343658</v>
      </c>
      <c r="H34" s="67">
        <f t="shared" si="10"/>
        <v>0.64511109445691506</v>
      </c>
      <c r="I34" s="67">
        <f t="shared" si="10"/>
        <v>0.64588148844735338</v>
      </c>
      <c r="J34" s="67">
        <f t="shared" si="10"/>
        <v>0.64765119000791505</v>
      </c>
      <c r="K34" s="67">
        <f t="shared" si="10"/>
        <v>0.64771002611729278</v>
      </c>
      <c r="L34" s="67">
        <f t="shared" si="10"/>
        <v>0.64775709500479495</v>
      </c>
    </row>
    <row r="36" spans="2:12" x14ac:dyDescent="0.3">
      <c r="B36" s="186" t="s">
        <v>269</v>
      </c>
      <c r="C36" s="187"/>
      <c r="D36" s="187"/>
      <c r="E36" s="187"/>
      <c r="F36" s="187"/>
      <c r="G36" s="187"/>
      <c r="H36" s="187"/>
      <c r="I36" s="187"/>
      <c r="J36" s="187"/>
      <c r="K36" s="187"/>
      <c r="L36" s="188"/>
    </row>
    <row r="37" spans="2:12" x14ac:dyDescent="0.3">
      <c r="B37" s="189" t="s">
        <v>229</v>
      </c>
      <c r="C37" s="152">
        <f>+C33</f>
        <v>-8060323.3926845705</v>
      </c>
      <c r="D37" s="152">
        <f t="shared" ref="D37:L37" si="11">+D33</f>
        <v>171603165.20112127</v>
      </c>
      <c r="E37" s="152">
        <f t="shared" si="11"/>
        <v>303143851.87728763</v>
      </c>
      <c r="F37" s="152">
        <f t="shared" si="11"/>
        <v>306077626.80396152</v>
      </c>
      <c r="G37" s="152">
        <f t="shared" si="11"/>
        <v>308739200.89535713</v>
      </c>
      <c r="H37" s="152">
        <f t="shared" si="11"/>
        <v>309249620.27565688</v>
      </c>
      <c r="I37" s="152">
        <f t="shared" si="11"/>
        <v>309618927.28502756</v>
      </c>
      <c r="J37" s="152">
        <f t="shared" si="11"/>
        <v>310467276.56983662</v>
      </c>
      <c r="K37" s="152">
        <f t="shared" si="11"/>
        <v>310495481.08319861</v>
      </c>
      <c r="L37" s="190">
        <f t="shared" si="11"/>
        <v>310518044.69388813</v>
      </c>
    </row>
    <row r="38" spans="2:12" x14ac:dyDescent="0.3">
      <c r="B38" s="189" t="s">
        <v>54</v>
      </c>
      <c r="C38" s="152">
        <f>+C21</f>
        <v>8837576.1904761903</v>
      </c>
      <c r="D38" s="152">
        <f t="shared" ref="D38:L38" si="12">+D21</f>
        <v>6453152.5170068024</v>
      </c>
      <c r="E38" s="152">
        <f t="shared" si="12"/>
        <v>4735400.7502429541</v>
      </c>
      <c r="F38" s="152">
        <f t="shared" si="12"/>
        <v>3496761.6025544913</v>
      </c>
      <c r="G38" s="152">
        <f t="shared" si="12"/>
        <v>2602680.4742055889</v>
      </c>
      <c r="H38" s="152">
        <f t="shared" si="12"/>
        <v>1956579.9928135159</v>
      </c>
      <c r="I38" s="152">
        <f t="shared" si="12"/>
        <v>1489102.7657620355</v>
      </c>
      <c r="J38" s="152">
        <f t="shared" si="12"/>
        <v>415242.91157333343</v>
      </c>
      <c r="K38" s="152">
        <f t="shared" si="12"/>
        <v>379540.99592533347</v>
      </c>
      <c r="L38" s="190">
        <f t="shared" si="12"/>
        <v>350979.46340693347</v>
      </c>
    </row>
    <row r="39" spans="2:12" s="64" customFormat="1" x14ac:dyDescent="0.3">
      <c r="B39" s="191" t="s">
        <v>274</v>
      </c>
      <c r="C39" s="192">
        <f>+C37+C38</f>
        <v>777252.79779161979</v>
      </c>
      <c r="D39" s="192">
        <f t="shared" ref="D39:L39" si="13">+D37+D38</f>
        <v>178056317.71812809</v>
      </c>
      <c r="E39" s="192">
        <f t="shared" si="13"/>
        <v>307879252.62753057</v>
      </c>
      <c r="F39" s="192">
        <f t="shared" si="13"/>
        <v>309574388.40651602</v>
      </c>
      <c r="G39" s="192">
        <f t="shared" si="13"/>
        <v>311341881.36956275</v>
      </c>
      <c r="H39" s="192">
        <f t="shared" si="13"/>
        <v>311206200.26847041</v>
      </c>
      <c r="I39" s="192">
        <f t="shared" si="13"/>
        <v>311108030.05078959</v>
      </c>
      <c r="J39" s="192">
        <f t="shared" si="13"/>
        <v>310882519.48140997</v>
      </c>
      <c r="K39" s="192">
        <f t="shared" si="13"/>
        <v>310875022.07912391</v>
      </c>
      <c r="L39" s="193">
        <f t="shared" si="13"/>
        <v>310869024.15729505</v>
      </c>
    </row>
    <row r="40" spans="2:12" x14ac:dyDescent="0.3">
      <c r="B40" s="191"/>
      <c r="C40" s="128"/>
      <c r="D40" s="128"/>
      <c r="E40" s="128"/>
      <c r="F40" s="128"/>
      <c r="G40" s="128"/>
      <c r="H40" s="128"/>
      <c r="I40" s="128"/>
      <c r="J40" s="128"/>
      <c r="K40" s="128"/>
      <c r="L40" s="194"/>
    </row>
    <row r="41" spans="2:12" x14ac:dyDescent="0.3">
      <c r="B41" s="191" t="s">
        <v>271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94"/>
    </row>
    <row r="42" spans="2:12" x14ac:dyDescent="0.3">
      <c r="B42" s="189" t="s">
        <v>209</v>
      </c>
      <c r="C42" s="195">
        <f>-SUMIFS('WS - CAPEX'!$5:$5,'WS - CAPEX'!$4:$4,"&lt;="&amp;'10 Year Pro Forma'!C4,'WS - CAPEX'!$4:$4,"&gt;"&amp;'10 Year Pro Forma'!B4)</f>
        <v>-4000000.0000000009</v>
      </c>
      <c r="D42" s="195">
        <f>SUMIFS('WS - CAPEX'!$5:$5,'WS - CAPEX'!$4:$4,"&lt;="&amp;'10 Year Pro Forma'!D4,'WS - CAPEX'!$4:$4,"&gt;"&amp;'10 Year Pro Forma'!C4)</f>
        <v>0</v>
      </c>
      <c r="E42" s="195">
        <f>SUMIFS('WS - CAPEX'!$5:$5,'WS - CAPEX'!$4:$4,"&lt;="&amp;'10 Year Pro Forma'!E4,'WS - CAPEX'!$4:$4,"&gt;"&amp;'10 Year Pro Forma'!D4)</f>
        <v>0</v>
      </c>
      <c r="F42" s="195">
        <f>SUMIFS('WS - CAPEX'!$5:$5,'WS - CAPEX'!$4:$4,"&lt;="&amp;'10 Year Pro Forma'!F4,'WS - CAPEX'!$4:$4,"&gt;"&amp;'10 Year Pro Forma'!E4)</f>
        <v>0</v>
      </c>
      <c r="G42" s="195">
        <f>SUMIFS('WS - CAPEX'!$5:$5,'WS - CAPEX'!$4:$4,"&lt;="&amp;'10 Year Pro Forma'!G4,'WS - CAPEX'!$4:$4,"&gt;"&amp;'10 Year Pro Forma'!F4)</f>
        <v>0</v>
      </c>
      <c r="H42" s="195">
        <f>SUMIFS('WS - CAPEX'!$5:$5,'WS - CAPEX'!$4:$4,"&lt;="&amp;'10 Year Pro Forma'!H4,'WS - CAPEX'!$4:$4,"&gt;"&amp;'10 Year Pro Forma'!G4)</f>
        <v>0</v>
      </c>
      <c r="I42" s="195">
        <f>SUMIFS('WS - CAPEX'!$5:$5,'WS - CAPEX'!$4:$4,"&lt;="&amp;'10 Year Pro Forma'!I4,'WS - CAPEX'!$4:$4,"&gt;"&amp;'10 Year Pro Forma'!H4)</f>
        <v>0</v>
      </c>
      <c r="J42" s="195">
        <f>SUMIFS('WS - CAPEX'!$5:$5,'WS - CAPEX'!$4:$4,"&lt;="&amp;'10 Year Pro Forma'!J4,'WS - CAPEX'!$4:$4,"&gt;"&amp;'10 Year Pro Forma'!I4)</f>
        <v>0</v>
      </c>
      <c r="K42" s="195">
        <f>SUMIFS('WS - CAPEX'!$5:$5,'WS - CAPEX'!$4:$4,"&lt;="&amp;'10 Year Pro Forma'!K4,'WS - CAPEX'!$4:$4,"&gt;"&amp;'10 Year Pro Forma'!J4)</f>
        <v>0</v>
      </c>
      <c r="L42" s="196">
        <f>SUMIFS('WS - CAPEX'!$5:$5,'WS - CAPEX'!$4:$4,"&lt;="&amp;'10 Year Pro Forma'!L4,'WS - CAPEX'!$4:$4,"&gt;"&amp;'10 Year Pro Forma'!K4)</f>
        <v>0</v>
      </c>
    </row>
    <row r="43" spans="2:12" x14ac:dyDescent="0.3">
      <c r="B43" s="189" t="s">
        <v>210</v>
      </c>
      <c r="C43" s="195">
        <f>-SUMIFS('Darwin - CAPEX'!$5:$5,'Darwin - CAPEX'!$4:$4,"&lt;="&amp;'10 Year Pro Forma'!C4,'Darwin - CAPEX'!$4:$4,"&gt;"&amp;'10 Year Pro Forma'!B4)</f>
        <v>-38158749.999999993</v>
      </c>
      <c r="D43" s="195">
        <f>SUMIFS('Darwin - CAPEX'!$5:$5,'Darwin - CAPEX'!$4:$4,"&lt;="&amp;'10 Year Pro Forma'!D4,'Darwin - CAPEX'!$4:$4,"&gt;"&amp;'10 Year Pro Forma'!C4)</f>
        <v>0</v>
      </c>
      <c r="E43" s="195">
        <f>SUMIFS('Darwin - CAPEX'!$5:$5,'Darwin - CAPEX'!$4:$4,"&lt;="&amp;'10 Year Pro Forma'!E4,'Darwin - CAPEX'!$4:$4,"&gt;"&amp;'10 Year Pro Forma'!D4)</f>
        <v>0</v>
      </c>
      <c r="F43" s="195">
        <f>SUMIFS('Darwin - CAPEX'!$5:$5,'Darwin - CAPEX'!$4:$4,"&lt;="&amp;'10 Year Pro Forma'!F4,'Darwin - CAPEX'!$4:$4,"&gt;"&amp;'10 Year Pro Forma'!E4)</f>
        <v>0</v>
      </c>
      <c r="G43" s="195">
        <f>SUMIFS('Darwin - CAPEX'!$5:$5,'Darwin - CAPEX'!$4:$4,"&lt;="&amp;'10 Year Pro Forma'!G4,'Darwin - CAPEX'!$4:$4,"&gt;"&amp;'10 Year Pro Forma'!F4)</f>
        <v>0</v>
      </c>
      <c r="H43" s="195">
        <f>SUMIFS('Darwin - CAPEX'!$5:$5,'Darwin - CAPEX'!$4:$4,"&lt;="&amp;'10 Year Pro Forma'!H4,'Darwin - CAPEX'!$4:$4,"&gt;"&amp;'10 Year Pro Forma'!G4)</f>
        <v>0</v>
      </c>
      <c r="I43" s="195">
        <f>SUMIFS('Darwin - CAPEX'!$5:$5,'Darwin - CAPEX'!$4:$4,"&lt;="&amp;'10 Year Pro Forma'!I4,'Darwin - CAPEX'!$4:$4,"&gt;"&amp;'10 Year Pro Forma'!H4)</f>
        <v>0</v>
      </c>
      <c r="J43" s="195">
        <f>SUMIFS('Darwin - CAPEX'!$5:$5,'Darwin - CAPEX'!$4:$4,"&lt;="&amp;'10 Year Pro Forma'!J4,'Darwin - CAPEX'!$4:$4,"&gt;"&amp;'10 Year Pro Forma'!I4)</f>
        <v>0</v>
      </c>
      <c r="K43" s="195">
        <f>SUMIFS('Darwin - CAPEX'!$5:$5,'Darwin - CAPEX'!$4:$4,"&lt;="&amp;'10 Year Pro Forma'!K4,'Darwin - CAPEX'!$4:$4,"&gt;"&amp;'10 Year Pro Forma'!J4)</f>
        <v>0</v>
      </c>
      <c r="L43" s="196">
        <f>SUMIFS('Darwin - CAPEX'!$5:$5,'Darwin - CAPEX'!$4:$4,"&lt;="&amp;'10 Year Pro Forma'!L4,'Darwin - CAPEX'!$4:$4,"&gt;"&amp;'10 Year Pro Forma'!K4)</f>
        <v>0</v>
      </c>
    </row>
    <row r="44" spans="2:12" x14ac:dyDescent="0.3">
      <c r="B44" s="189" t="s">
        <v>308</v>
      </c>
      <c r="C44" s="195">
        <f>-'Combined CAPEX'!J15-'Combined CAPEX'!J16</f>
        <v>-7841250</v>
      </c>
      <c r="D44" s="195"/>
      <c r="E44" s="195"/>
      <c r="F44" s="195"/>
      <c r="G44" s="195"/>
      <c r="H44" s="195"/>
      <c r="I44" s="195"/>
      <c r="J44" s="195"/>
      <c r="K44" s="195"/>
      <c r="L44" s="196"/>
    </row>
    <row r="45" spans="2:12" x14ac:dyDescent="0.3">
      <c r="B45" s="189" t="s">
        <v>282</v>
      </c>
      <c r="C45" s="195">
        <f>-SUMIFS('Tungsten Model'!$5:$5,'Tungsten Model'!$27:$27,"&lt;="&amp;'10 Year Pro Forma'!C4,'Tungsten Model'!$27:$27,"&gt;"&amp;'10 Year Pro Forma'!B4)*Assumptions!$L$8*Assumptions!$C$7/12</f>
        <v>-21666.666666666668</v>
      </c>
      <c r="D45" s="195">
        <f>-SUMIFS('Tungsten Model'!$5:$5,'Tungsten Model'!$27:$27,"&lt;="&amp;'10 Year Pro Forma'!D4,'Tungsten Model'!$27:$27,"&gt;"&amp;'10 Year Pro Forma'!C4)*Assumptions!$L$8*Assumptions!$C$7/12</f>
        <v>-1690000</v>
      </c>
      <c r="E45" s="195">
        <f>-SUMIFS('Tungsten Model'!$5:$5,'Tungsten Model'!$27:$27,"&lt;="&amp;'10 Year Pro Forma'!E4,'Tungsten Model'!$27:$27,"&gt;"&amp;'10 Year Pro Forma'!D4)*Assumptions!$L$8*Assumptions!$C$7/12</f>
        <v>-3250000</v>
      </c>
      <c r="F45" s="195">
        <f>-SUMIFS('Tungsten Model'!$5:$5,'Tungsten Model'!$27:$27,"&lt;="&amp;'10 Year Pro Forma'!F4,'Tungsten Model'!$27:$27,"&gt;"&amp;'10 Year Pro Forma'!E4)*Assumptions!$L$8*Assumptions!$C$7/12</f>
        <v>-3250000</v>
      </c>
      <c r="G45" s="195">
        <f>-SUMIFS('Tungsten Model'!$5:$5,'Tungsten Model'!$27:$27,"&lt;="&amp;'10 Year Pro Forma'!G4,'Tungsten Model'!$27:$27,"&gt;"&amp;'10 Year Pro Forma'!F4)*Assumptions!$L$8*Assumptions!$C$7/12</f>
        <v>-3250000</v>
      </c>
      <c r="H45" s="195">
        <f>-SUMIFS('Tungsten Model'!$5:$5,'Tungsten Model'!$27:$27,"&lt;="&amp;'10 Year Pro Forma'!H4,'Tungsten Model'!$27:$27,"&gt;"&amp;'10 Year Pro Forma'!G4)*Assumptions!$L$8*Assumptions!$C$7/12</f>
        <v>-3250000</v>
      </c>
      <c r="I45" s="195">
        <f>-SUMIFS('Tungsten Model'!$5:$5,'Tungsten Model'!$27:$27,"&lt;="&amp;'10 Year Pro Forma'!I4,'Tungsten Model'!$27:$27,"&gt;"&amp;'10 Year Pro Forma'!H4)*Assumptions!$L$8*Assumptions!$C$7/12</f>
        <v>-3250000</v>
      </c>
      <c r="J45" s="195">
        <f>-SUMIFS('Tungsten Model'!$5:$5,'Tungsten Model'!$27:$27,"&lt;="&amp;'10 Year Pro Forma'!J4,'Tungsten Model'!$27:$27,"&gt;"&amp;'10 Year Pro Forma'!I4)*Assumptions!$L$8*Assumptions!$C$7/12</f>
        <v>-3250000</v>
      </c>
      <c r="K45" s="195">
        <f>-SUMIFS('Tungsten Model'!$5:$5,'Tungsten Model'!$27:$27,"&lt;="&amp;'10 Year Pro Forma'!K4,'Tungsten Model'!$27:$27,"&gt;"&amp;'10 Year Pro Forma'!J4)*Assumptions!$L$8*Assumptions!$C$7/12</f>
        <v>-3250000</v>
      </c>
      <c r="L45" s="196">
        <f>-SUMIFS('Tungsten Model'!$5:$5,'Tungsten Model'!$27:$27,"&lt;="&amp;'10 Year Pro Forma'!L4,'Tungsten Model'!$27:$27,"&gt;"&amp;'10 Year Pro Forma'!K4)*Assumptions!$L$8*Assumptions!$C$7/12</f>
        <v>-3250000</v>
      </c>
    </row>
    <row r="46" spans="2:12" s="64" customFormat="1" x14ac:dyDescent="0.3">
      <c r="B46" s="191" t="s">
        <v>273</v>
      </c>
      <c r="C46" s="197">
        <f>SUM(C42:C45)</f>
        <v>-50021666.666666657</v>
      </c>
      <c r="D46" s="197">
        <f t="shared" ref="D46:L46" si="14">SUM(D42:D45)</f>
        <v>-1690000</v>
      </c>
      <c r="E46" s="197">
        <f t="shared" si="14"/>
        <v>-3250000</v>
      </c>
      <c r="F46" s="197">
        <f t="shared" si="14"/>
        <v>-3250000</v>
      </c>
      <c r="G46" s="197">
        <f t="shared" si="14"/>
        <v>-3250000</v>
      </c>
      <c r="H46" s="197">
        <f t="shared" si="14"/>
        <v>-3250000</v>
      </c>
      <c r="I46" s="197">
        <f t="shared" si="14"/>
        <v>-3250000</v>
      </c>
      <c r="J46" s="197">
        <f t="shared" si="14"/>
        <v>-3250000</v>
      </c>
      <c r="K46" s="197">
        <f t="shared" si="14"/>
        <v>-3250000</v>
      </c>
      <c r="L46" s="198">
        <f t="shared" si="14"/>
        <v>-3250000</v>
      </c>
    </row>
    <row r="47" spans="2:12" x14ac:dyDescent="0.3">
      <c r="B47" s="189"/>
      <c r="C47" s="195"/>
      <c r="D47" s="195"/>
      <c r="E47" s="195"/>
      <c r="F47" s="195"/>
      <c r="G47" s="195"/>
      <c r="H47" s="195"/>
      <c r="I47" s="195"/>
      <c r="J47" s="195"/>
      <c r="K47" s="195"/>
      <c r="L47" s="196"/>
    </row>
    <row r="48" spans="2:12" x14ac:dyDescent="0.3">
      <c r="B48" s="191" t="s">
        <v>272</v>
      </c>
      <c r="C48" s="195"/>
      <c r="D48" s="195"/>
      <c r="E48" s="195"/>
      <c r="F48" s="195"/>
      <c r="G48" s="195"/>
      <c r="H48" s="195"/>
      <c r="I48" s="195"/>
      <c r="J48" s="195"/>
      <c r="K48" s="195"/>
      <c r="L48" s="196"/>
    </row>
    <row r="49" spans="2:12" x14ac:dyDescent="0.3">
      <c r="B49" s="189" t="s">
        <v>265</v>
      </c>
      <c r="C49" s="195">
        <f>+'Debt Model'!C4</f>
        <v>45000000</v>
      </c>
      <c r="D49" s="128"/>
      <c r="E49" s="128"/>
      <c r="F49" s="128"/>
      <c r="G49" s="128"/>
      <c r="H49" s="128"/>
      <c r="I49" s="128"/>
      <c r="J49" s="128"/>
      <c r="K49" s="128"/>
      <c r="L49" s="194"/>
    </row>
    <row r="50" spans="2:12" x14ac:dyDescent="0.3">
      <c r="B50" s="189" t="s">
        <v>275</v>
      </c>
      <c r="C50" s="195">
        <f>SUMIFS('Debt Model'!$H$11:$H$120,'Debt Model'!$B$11:$B$120,"&lt;="&amp;'10 Year Pro Forma'!C4,'Debt Model'!$B$11:$B$120,"&gt;"&amp;'10 Year Pro Forma'!B4)</f>
        <v>0</v>
      </c>
      <c r="D50" s="195">
        <f>SUMIFS('Debt Model'!$H$11:$H$120,'Debt Model'!$B$11:$B$120,"&lt;="&amp;'10 Year Pro Forma'!D4,'Debt Model'!$B$11:$B$120,"&gt;"&amp;'10 Year Pro Forma'!C4)</f>
        <v>0</v>
      </c>
      <c r="E50" s="195">
        <f>SUMIFS('Debt Model'!$H$11:$H$120,'Debt Model'!$B$11:$B$120,"&lt;="&amp;'10 Year Pro Forma'!E4,'Debt Model'!$B$11:$B$120,"&gt;"&amp;'10 Year Pro Forma'!D4)</f>
        <v>0</v>
      </c>
      <c r="F50" s="195">
        <f>SUMIFS('Debt Model'!$H$11:$H$120,'Debt Model'!$B$11:$B$120,"&lt;="&amp;'10 Year Pro Forma'!F4,'Debt Model'!$B$11:$B$120,"&gt;"&amp;'10 Year Pro Forma'!E4)</f>
        <v>45000000</v>
      </c>
      <c r="G50" s="195">
        <f>SUMIFS('Debt Model'!$H$11:$H$120,'Debt Model'!$B$11:$B$120,"&lt;="&amp;'10 Year Pro Forma'!G4,'Debt Model'!$B$11:$B$120,"&gt;"&amp;'10 Year Pro Forma'!F4)</f>
        <v>0</v>
      </c>
      <c r="H50" s="195">
        <f>SUMIFS('Debt Model'!$H$11:$H$120,'Debt Model'!$B$11:$B$120,"&lt;="&amp;'10 Year Pro Forma'!H4,'Debt Model'!$B$11:$B$120,"&gt;"&amp;'10 Year Pro Forma'!G4)</f>
        <v>0</v>
      </c>
      <c r="I50" s="195">
        <f>SUMIFS('Debt Model'!$H$11:$H$120,'Debt Model'!$B$11:$B$120,"&lt;="&amp;'10 Year Pro Forma'!I4,'Debt Model'!$B$11:$B$120,"&gt;"&amp;'10 Year Pro Forma'!H4)</f>
        <v>0</v>
      </c>
      <c r="J50" s="195">
        <f>SUMIFS('Debt Model'!$H$11:$H$120,'Debt Model'!$B$11:$B$120,"&lt;="&amp;'10 Year Pro Forma'!J4,'Debt Model'!$B$11:$B$120,"&gt;"&amp;'10 Year Pro Forma'!I4)</f>
        <v>0</v>
      </c>
      <c r="K50" s="195">
        <f>SUMIFS('Debt Model'!$H$11:$H$120,'Debt Model'!$B$11:$B$120,"&lt;="&amp;'10 Year Pro Forma'!K4,'Debt Model'!$B$11:$B$120,"&gt;"&amp;'10 Year Pro Forma'!J4)</f>
        <v>0</v>
      </c>
      <c r="L50" s="196">
        <f>SUMIFS('Debt Model'!$H$11:$H$120,'Debt Model'!$B$11:$B$120,"&lt;="&amp;'10 Year Pro Forma'!L4,'Debt Model'!$B$11:$B$120,"&gt;"&amp;'10 Year Pro Forma'!K4)</f>
        <v>0</v>
      </c>
    </row>
    <row r="51" spans="2:12" s="64" customFormat="1" x14ac:dyDescent="0.3">
      <c r="B51" s="199" t="s">
        <v>275</v>
      </c>
      <c r="C51" s="200">
        <f>+C49-C50</f>
        <v>45000000</v>
      </c>
      <c r="D51" s="200">
        <f t="shared" ref="D51:L51" si="15">+D49-D50</f>
        <v>0</v>
      </c>
      <c r="E51" s="200">
        <f t="shared" si="15"/>
        <v>0</v>
      </c>
      <c r="F51" s="200">
        <f t="shared" si="15"/>
        <v>-45000000</v>
      </c>
      <c r="G51" s="200">
        <f t="shared" si="15"/>
        <v>0</v>
      </c>
      <c r="H51" s="200">
        <f t="shared" si="15"/>
        <v>0</v>
      </c>
      <c r="I51" s="200">
        <f t="shared" si="15"/>
        <v>0</v>
      </c>
      <c r="J51" s="200">
        <f t="shared" si="15"/>
        <v>0</v>
      </c>
      <c r="K51" s="200">
        <f t="shared" si="15"/>
        <v>0</v>
      </c>
      <c r="L51" s="201">
        <f t="shared" si="15"/>
        <v>0</v>
      </c>
    </row>
    <row r="52" spans="2:12" x14ac:dyDescent="0.3">
      <c r="C52" s="158"/>
      <c r="D52" s="158"/>
      <c r="E52" s="158"/>
      <c r="F52" s="158"/>
      <c r="G52" s="158"/>
      <c r="H52" s="158"/>
      <c r="I52" s="158"/>
      <c r="J52" s="158"/>
      <c r="K52" s="158"/>
      <c r="L52" s="158"/>
    </row>
    <row r="53" spans="2:12" ht="15.75" thickBot="1" x14ac:dyDescent="0.35">
      <c r="B53" s="168" t="s">
        <v>55</v>
      </c>
      <c r="C53" s="169">
        <f>+C39+C46+C51</f>
        <v>-4244413.8688750342</v>
      </c>
      <c r="D53" s="169">
        <f t="shared" ref="D53:L53" si="16">+D39+D46+D51</f>
        <v>176366317.71812809</v>
      </c>
      <c r="E53" s="169">
        <f t="shared" si="16"/>
        <v>304629252.62753057</v>
      </c>
      <c r="F53" s="169">
        <f t="shared" si="16"/>
        <v>261324388.40651602</v>
      </c>
      <c r="G53" s="169">
        <f t="shared" si="16"/>
        <v>308091881.36956275</v>
      </c>
      <c r="H53" s="169">
        <f t="shared" si="16"/>
        <v>307956200.26847041</v>
      </c>
      <c r="I53" s="169">
        <f t="shared" si="16"/>
        <v>307858030.05078959</v>
      </c>
      <c r="J53" s="169">
        <f t="shared" si="16"/>
        <v>307632519.48140997</v>
      </c>
      <c r="K53" s="169">
        <f t="shared" si="16"/>
        <v>307625022.07912391</v>
      </c>
      <c r="L53" s="169">
        <f t="shared" si="16"/>
        <v>307619024.15729505</v>
      </c>
    </row>
    <row r="54" spans="2:12" ht="15.75" thickTop="1" x14ac:dyDescent="0.3">
      <c r="C54" s="158"/>
      <c r="D54" s="158"/>
      <c r="E54" s="158"/>
      <c r="F54" s="158"/>
      <c r="G54" s="158"/>
      <c r="H54" s="158"/>
      <c r="I54" s="158"/>
      <c r="J54" s="158"/>
      <c r="K54" s="158"/>
      <c r="L54" s="158"/>
    </row>
    <row r="55" spans="2:12" x14ac:dyDescent="0.3">
      <c r="B55" s="203" t="s">
        <v>276</v>
      </c>
      <c r="C55" s="204">
        <f>+C53</f>
        <v>-4244413.8688750342</v>
      </c>
      <c r="D55" s="204">
        <f>+C55+D53</f>
        <v>172121903.84925306</v>
      </c>
      <c r="E55" s="204">
        <f t="shared" ref="E55:L55" si="17">+D55+E53</f>
        <v>476751156.47678363</v>
      </c>
      <c r="F55" s="204">
        <f t="shared" si="17"/>
        <v>738075544.88329959</v>
      </c>
      <c r="G55" s="204">
        <f t="shared" si="17"/>
        <v>1046167426.2528623</v>
      </c>
      <c r="H55" s="204">
        <f t="shared" si="17"/>
        <v>1354123626.5213327</v>
      </c>
      <c r="I55" s="204">
        <f t="shared" si="17"/>
        <v>1661981656.5721223</v>
      </c>
      <c r="J55" s="204">
        <f t="shared" si="17"/>
        <v>1969614176.0535324</v>
      </c>
      <c r="K55" s="204">
        <f t="shared" si="17"/>
        <v>2277239198.1326561</v>
      </c>
      <c r="L55" s="205">
        <f t="shared" si="17"/>
        <v>2584858222.2899513</v>
      </c>
    </row>
    <row r="56" spans="2:12" x14ac:dyDescent="0.3">
      <c r="B56" s="189" t="s">
        <v>277</v>
      </c>
      <c r="C56" s="206">
        <f>+Assumptions!$I$6-C50</f>
        <v>45000000</v>
      </c>
      <c r="D56" s="206">
        <f>+C56-D50</f>
        <v>45000000</v>
      </c>
      <c r="E56" s="206">
        <f t="shared" ref="E56:L56" si="18">+D56-E50</f>
        <v>45000000</v>
      </c>
      <c r="F56" s="206">
        <f t="shared" si="18"/>
        <v>0</v>
      </c>
      <c r="G56" s="206">
        <f t="shared" si="18"/>
        <v>0</v>
      </c>
      <c r="H56" s="206">
        <f t="shared" si="18"/>
        <v>0</v>
      </c>
      <c r="I56" s="206">
        <f t="shared" si="18"/>
        <v>0</v>
      </c>
      <c r="J56" s="206">
        <f t="shared" si="18"/>
        <v>0</v>
      </c>
      <c r="K56" s="206">
        <f t="shared" si="18"/>
        <v>0</v>
      </c>
      <c r="L56" s="207">
        <f t="shared" si="18"/>
        <v>0</v>
      </c>
    </row>
    <row r="57" spans="2:12" x14ac:dyDescent="0.3">
      <c r="B57" s="208" t="s">
        <v>278</v>
      </c>
      <c r="C57" s="209">
        <f>IF(C26=0,0,+C18/(C50+C26))</f>
        <v>1.3140415344612606</v>
      </c>
      <c r="D57" s="209">
        <f t="shared" ref="D57:L57" si="19">IF(D26=0,0,+D18/(D50+D26))</f>
        <v>46.186333126085323</v>
      </c>
      <c r="E57" s="209">
        <f t="shared" si="19"/>
        <v>79.477130410428231</v>
      </c>
      <c r="F57" s="209">
        <f t="shared" si="19"/>
        <v>8.286715019096782</v>
      </c>
      <c r="G57" s="209">
        <f t="shared" si="19"/>
        <v>0</v>
      </c>
      <c r="H57" s="209">
        <f t="shared" si="19"/>
        <v>0</v>
      </c>
      <c r="I57" s="209">
        <f t="shared" si="19"/>
        <v>0</v>
      </c>
      <c r="J57" s="209">
        <f t="shared" si="19"/>
        <v>0</v>
      </c>
      <c r="K57" s="209">
        <f t="shared" si="19"/>
        <v>0</v>
      </c>
      <c r="L57" s="210">
        <f t="shared" si="19"/>
        <v>0</v>
      </c>
    </row>
    <row r="58" spans="2:12" x14ac:dyDescent="0.3">
      <c r="B58" s="128"/>
      <c r="C58" s="255"/>
      <c r="D58" s="255"/>
      <c r="E58" s="255"/>
      <c r="F58" s="255"/>
      <c r="G58" s="255"/>
      <c r="H58" s="255"/>
      <c r="I58" s="255"/>
      <c r="J58" s="255"/>
      <c r="K58" s="255"/>
      <c r="L58" s="255"/>
    </row>
    <row r="59" spans="2:12" x14ac:dyDescent="0.3">
      <c r="B59" s="128"/>
      <c r="C59" s="254"/>
      <c r="D59" s="221"/>
      <c r="E59" s="221"/>
      <c r="F59" s="221"/>
      <c r="G59" s="221"/>
      <c r="H59" s="221"/>
      <c r="I59" s="221"/>
      <c r="J59" s="221"/>
      <c r="K59" s="221"/>
      <c r="L59" s="221"/>
    </row>
    <row r="60" spans="2:12" x14ac:dyDescent="0.3">
      <c r="B60" s="37" t="s">
        <v>323</v>
      </c>
      <c r="C60" s="221"/>
      <c r="D60" s="221"/>
      <c r="E60" s="221"/>
      <c r="F60" s="221"/>
      <c r="G60" s="221"/>
      <c r="H60" s="221"/>
      <c r="I60" s="221"/>
      <c r="J60" s="221"/>
      <c r="K60" s="221"/>
      <c r="L60" s="221"/>
    </row>
    <row r="61" spans="2:12" x14ac:dyDescent="0.3">
      <c r="B61" s="52" t="s">
        <v>324</v>
      </c>
      <c r="C61" s="52">
        <v>0</v>
      </c>
      <c r="D61" s="52">
        <f>+C61+1</f>
        <v>1</v>
      </c>
      <c r="E61" s="52">
        <f t="shared" ref="E61:L61" si="20">+D61+1</f>
        <v>2</v>
      </c>
      <c r="F61" s="52">
        <f t="shared" si="20"/>
        <v>3</v>
      </c>
      <c r="G61" s="52">
        <f t="shared" si="20"/>
        <v>4</v>
      </c>
      <c r="H61" s="52">
        <f t="shared" si="20"/>
        <v>5</v>
      </c>
      <c r="I61" s="52">
        <f t="shared" si="20"/>
        <v>6</v>
      </c>
      <c r="J61" s="52">
        <f t="shared" si="20"/>
        <v>7</v>
      </c>
      <c r="K61" s="52">
        <f t="shared" si="20"/>
        <v>8</v>
      </c>
      <c r="L61" s="52">
        <f t="shared" si="20"/>
        <v>9</v>
      </c>
    </row>
    <row r="62" spans="2:12" x14ac:dyDescent="0.3">
      <c r="B62" s="52" t="s">
        <v>325</v>
      </c>
      <c r="C62" s="67">
        <f>(1+Assumptions!$C$69)^('10 Year Pro Forma'!C61)</f>
        <v>1</v>
      </c>
      <c r="D62" s="67">
        <f>(1+Assumptions!$C$69)^('10 Year Pro Forma'!D61)</f>
        <v>1.08</v>
      </c>
      <c r="E62" s="67">
        <f>(1+Assumptions!$C$69)^('10 Year Pro Forma'!E61)</f>
        <v>1.1664000000000001</v>
      </c>
      <c r="F62" s="67">
        <f>(1+Assumptions!$C$69)^('10 Year Pro Forma'!F61)</f>
        <v>1.2597120000000002</v>
      </c>
      <c r="G62" s="67">
        <f>(1+Assumptions!$C$69)^('10 Year Pro Forma'!G61)</f>
        <v>1.3604889600000003</v>
      </c>
      <c r="H62" s="67">
        <f>(1+Assumptions!$C$69)^('10 Year Pro Forma'!H61)</f>
        <v>1.4693280768000003</v>
      </c>
      <c r="I62" s="67">
        <f>(1+Assumptions!$C$69)^('10 Year Pro Forma'!I61)</f>
        <v>1.5868743229440005</v>
      </c>
      <c r="J62" s="67">
        <f>(1+Assumptions!$C$69)^('10 Year Pro Forma'!J61)</f>
        <v>1.7138242687795207</v>
      </c>
      <c r="K62" s="67">
        <f>(1+Assumptions!$C$69)^('10 Year Pro Forma'!K61)</f>
        <v>1.8509302102818823</v>
      </c>
      <c r="L62" s="67">
        <f>(1+Assumptions!$C$69)^('10 Year Pro Forma'!L61)</f>
        <v>1.9990046271044331</v>
      </c>
    </row>
    <row r="63" spans="2:12" x14ac:dyDescent="0.3">
      <c r="B63" s="52" t="s">
        <v>326</v>
      </c>
      <c r="C63" s="195">
        <f>+C53+C15-(C15*Assumptions!$F$9)</f>
        <v>-4090961.0527558182</v>
      </c>
      <c r="D63" s="195">
        <f>+D53+D15-(D15*Assumptions!$F$9)</f>
        <v>187279251.18383351</v>
      </c>
      <c r="E63" s="195">
        <f>+E53+E15-(E15*Assumptions!$F$9)</f>
        <v>323564533.86179912</v>
      </c>
      <c r="F63" s="195">
        <f>+F53+F15-(F15*Assumptions!$F$9)</f>
        <v>280259669.64078456</v>
      </c>
      <c r="G63" s="195">
        <f>+G53+G15-(G15*Assumptions!$F$9)</f>
        <v>327027162.60383129</v>
      </c>
      <c r="H63" s="195">
        <f>+H53+H15-(H15*Assumptions!$F$9)</f>
        <v>326891481.50273895</v>
      </c>
      <c r="I63" s="195">
        <f>+I53+I15-(I15*Assumptions!$F$9)</f>
        <v>326793311.28505814</v>
      </c>
      <c r="J63" s="195">
        <f>+J53+J15-(J15*Assumptions!$F$9)</f>
        <v>326567800.71567851</v>
      </c>
      <c r="K63" s="195">
        <f>+K53+K15-(K15*Assumptions!$F$9)</f>
        <v>326560303.31339246</v>
      </c>
      <c r="L63" s="195">
        <f>+L53+L15-(L15*Assumptions!$F$9)</f>
        <v>326554305.39156359</v>
      </c>
    </row>
    <row r="64" spans="2:12" x14ac:dyDescent="0.3">
      <c r="B64" s="52" t="s">
        <v>329</v>
      </c>
      <c r="C64" s="195">
        <f>+C63/C62</f>
        <v>-4090961.0527558182</v>
      </c>
      <c r="D64" s="195">
        <f t="shared" ref="D64:L64" si="21">+D63/D62</f>
        <v>173406714.0591051</v>
      </c>
      <c r="E64" s="195">
        <f t="shared" si="21"/>
        <v>277404435.75257123</v>
      </c>
      <c r="F64" s="195">
        <f t="shared" si="21"/>
        <v>222479161.61851639</v>
      </c>
      <c r="G64" s="195">
        <f t="shared" si="21"/>
        <v>240374727.18913591</v>
      </c>
      <c r="H64" s="195">
        <f t="shared" si="21"/>
        <v>222476849.56423402</v>
      </c>
      <c r="I64" s="195">
        <f t="shared" si="21"/>
        <v>205935219.04039934</v>
      </c>
      <c r="J64" s="195">
        <f t="shared" si="21"/>
        <v>190549175.119477</v>
      </c>
      <c r="K64" s="195">
        <f t="shared" si="21"/>
        <v>176430370.79375342</v>
      </c>
      <c r="L64" s="195">
        <f t="shared" si="21"/>
        <v>163358453.98446071</v>
      </c>
    </row>
    <row r="65" spans="2:13" x14ac:dyDescent="0.3">
      <c r="B65" s="52" t="s">
        <v>328</v>
      </c>
      <c r="C65" s="195">
        <f t="shared" ref="C65:L65" si="22">+C53/C62</f>
        <v>-4244413.8688750342</v>
      </c>
      <c r="D65" s="195">
        <f t="shared" si="22"/>
        <v>163302146.03530377</v>
      </c>
      <c r="E65" s="195">
        <f t="shared" si="22"/>
        <v>261170484.07710096</v>
      </c>
      <c r="F65" s="195">
        <f t="shared" si="22"/>
        <v>207447724.88196984</v>
      </c>
      <c r="G65" s="195">
        <f t="shared" si="22"/>
        <v>226456730.21085206</v>
      </c>
      <c r="H65" s="195">
        <f t="shared" si="22"/>
        <v>209589815.3250823</v>
      </c>
      <c r="I65" s="195">
        <f t="shared" si="22"/>
        <v>194002779.93007368</v>
      </c>
      <c r="J65" s="195">
        <f t="shared" si="22"/>
        <v>179500620.387694</v>
      </c>
      <c r="K65" s="195">
        <f t="shared" si="22"/>
        <v>166200227.52358395</v>
      </c>
      <c r="L65" s="195">
        <f t="shared" si="22"/>
        <v>153886099.10467419</v>
      </c>
    </row>
    <row r="67" spans="2:13" x14ac:dyDescent="0.3">
      <c r="B67" s="52" t="s">
        <v>331</v>
      </c>
    </row>
    <row r="68" spans="2:13" x14ac:dyDescent="0.3">
      <c r="B68" s="55">
        <v>0.7</v>
      </c>
      <c r="C68" s="195">
        <f>($B68-1)*C$10*(1-Assumptions!$F$9)</f>
        <v>-920716.89671529678</v>
      </c>
      <c r="D68" s="195">
        <f>($B68-1)*D$10*(1-Assumptions!$F$9)</f>
        <v>-65477600.794232592</v>
      </c>
      <c r="E68" s="195">
        <f>($B68-1)*E$10*(1-Assumptions!$F$9)</f>
        <v>-113611687.40561111</v>
      </c>
      <c r="F68" s="195">
        <f>($B68-1)*F$10*(1-Assumptions!$F$9)</f>
        <v>-113611687.40561111</v>
      </c>
      <c r="G68" s="195">
        <f>($B68-1)*G$10*(1-Assumptions!$F$9)</f>
        <v>-113611687.40561111</v>
      </c>
      <c r="H68" s="195">
        <f>($B68-1)*H$10*(1-Assumptions!$F$9)</f>
        <v>-113611687.40561111</v>
      </c>
      <c r="I68" s="195">
        <f>($B68-1)*I$10*(1-Assumptions!$F$9)</f>
        <v>-113611687.40561111</v>
      </c>
      <c r="J68" s="195">
        <f>($B68-1)*J$10*(1-Assumptions!$F$9)</f>
        <v>-113611687.40561111</v>
      </c>
      <c r="K68" s="195">
        <f>($B68-1)*K$10*(1-Assumptions!$F$9)</f>
        <v>-113611687.40561111</v>
      </c>
      <c r="L68" s="195">
        <f>($B68-1)*L$10*(1-Assumptions!$F$9)</f>
        <v>-113611687.40561111</v>
      </c>
    </row>
    <row r="69" spans="2:13" x14ac:dyDescent="0.3">
      <c r="B69" s="55">
        <f>+B68+0.15</f>
        <v>0.85</v>
      </c>
      <c r="C69" s="195">
        <f>($B69-1)*C$10*(1-Assumptions!$F$9)</f>
        <v>-460358.44835764839</v>
      </c>
      <c r="D69" s="195">
        <f>($B69-1)*D$10*(1-Assumptions!$F$9)</f>
        <v>-32738800.397116296</v>
      </c>
      <c r="E69" s="195">
        <f>($B69-1)*E$10*(1-Assumptions!$F$9)</f>
        <v>-56805843.702805556</v>
      </c>
      <c r="F69" s="195">
        <f>($B69-1)*F$10*(1-Assumptions!$F$9)</f>
        <v>-56805843.702805556</v>
      </c>
      <c r="G69" s="195">
        <f>($B69-1)*G$10*(1-Assumptions!$F$9)</f>
        <v>-56805843.702805556</v>
      </c>
      <c r="H69" s="195">
        <f>($B69-1)*H$10*(1-Assumptions!$F$9)</f>
        <v>-56805843.702805556</v>
      </c>
      <c r="I69" s="195">
        <f>($B69-1)*I$10*(1-Assumptions!$F$9)</f>
        <v>-56805843.702805556</v>
      </c>
      <c r="J69" s="195">
        <f>($B69-1)*J$10*(1-Assumptions!$F$9)</f>
        <v>-56805843.702805556</v>
      </c>
      <c r="K69" s="195">
        <f>($B69-1)*K$10*(1-Assumptions!$F$9)</f>
        <v>-56805843.702805556</v>
      </c>
      <c r="L69" s="195">
        <f>($B69-1)*L$10*(1-Assumptions!$F$9)</f>
        <v>-56805843.702805556</v>
      </c>
    </row>
    <row r="70" spans="2:13" x14ac:dyDescent="0.3">
      <c r="B70" s="55">
        <f t="shared" ref="B70:B72" si="23">+B69+0.15</f>
        <v>1</v>
      </c>
      <c r="C70" s="195">
        <f>($B70-1)*C$10*(1-Assumptions!$F$9)</f>
        <v>0</v>
      </c>
      <c r="D70" s="195">
        <f>($B70-1)*D$10*(1-Assumptions!$F$9)</f>
        <v>0</v>
      </c>
      <c r="E70" s="195">
        <f>($B70-1)*E$10*(1-Assumptions!$F$9)</f>
        <v>0</v>
      </c>
      <c r="F70" s="195">
        <f>($B70-1)*F$10*(1-Assumptions!$F$9)</f>
        <v>0</v>
      </c>
      <c r="G70" s="195">
        <f>($B70-1)*G$10*(1-Assumptions!$F$9)</f>
        <v>0</v>
      </c>
      <c r="H70" s="195">
        <f>($B70-1)*H$10*(1-Assumptions!$F$9)</f>
        <v>0</v>
      </c>
      <c r="I70" s="195">
        <f>($B70-1)*I$10*(1-Assumptions!$F$9)</f>
        <v>0</v>
      </c>
      <c r="J70" s="195">
        <f>($B70-1)*J$10*(1-Assumptions!$F$9)</f>
        <v>0</v>
      </c>
      <c r="K70" s="195">
        <f>($B70-1)*K$10*(1-Assumptions!$F$9)</f>
        <v>0</v>
      </c>
      <c r="L70" s="195">
        <f>($B70-1)*L$10*(1-Assumptions!$F$9)</f>
        <v>0</v>
      </c>
    </row>
    <row r="71" spans="2:13" x14ac:dyDescent="0.3">
      <c r="B71" s="55">
        <f t="shared" si="23"/>
        <v>1.1499999999999999</v>
      </c>
      <c r="C71" s="195">
        <f>($B71-1)*C$10*(1-Assumptions!$F$9)</f>
        <v>460358.44835764798</v>
      </c>
      <c r="D71" s="195">
        <f>($B71-1)*D$10*(1-Assumptions!$F$9)</f>
        <v>32738800.397116274</v>
      </c>
      <c r="E71" s="195">
        <f>($B71-1)*E$10*(1-Assumptions!$F$9)</f>
        <v>56805843.702805519</v>
      </c>
      <c r="F71" s="195">
        <f>($B71-1)*F$10*(1-Assumptions!$F$9)</f>
        <v>56805843.702805519</v>
      </c>
      <c r="G71" s="195">
        <f>($B71-1)*G$10*(1-Assumptions!$F$9)</f>
        <v>56805843.702805519</v>
      </c>
      <c r="H71" s="195">
        <f>($B71-1)*H$10*(1-Assumptions!$F$9)</f>
        <v>56805843.702805519</v>
      </c>
      <c r="I71" s="195">
        <f>($B71-1)*I$10*(1-Assumptions!$F$9)</f>
        <v>56805843.702805519</v>
      </c>
      <c r="J71" s="195">
        <f>($B71-1)*J$10*(1-Assumptions!$F$9)</f>
        <v>56805843.702805519</v>
      </c>
      <c r="K71" s="195">
        <f>($B71-1)*K$10*(1-Assumptions!$F$9)</f>
        <v>56805843.702805519</v>
      </c>
      <c r="L71" s="195">
        <f>($B71-1)*L$10*(1-Assumptions!$F$9)</f>
        <v>56805843.702805519</v>
      </c>
    </row>
    <row r="72" spans="2:13" x14ac:dyDescent="0.3">
      <c r="B72" s="55">
        <f t="shared" si="23"/>
        <v>1.2999999999999998</v>
      </c>
      <c r="C72" s="195">
        <f>($B72-1)*C$10*(1-Assumptions!$F$9)</f>
        <v>920716.89671529597</v>
      </c>
      <c r="D72" s="195">
        <f>($B72-1)*D$10*(1-Assumptions!$F$9)</f>
        <v>65477600.794232547</v>
      </c>
      <c r="E72" s="195">
        <f>($B72-1)*E$10*(1-Assumptions!$F$9)</f>
        <v>113611687.40561104</v>
      </c>
      <c r="F72" s="195">
        <f>($B72-1)*F$10*(1-Assumptions!$F$9)</f>
        <v>113611687.40561104</v>
      </c>
      <c r="G72" s="195">
        <f>($B72-1)*G$10*(1-Assumptions!$F$9)</f>
        <v>113611687.40561104</v>
      </c>
      <c r="H72" s="195">
        <f>($B72-1)*H$10*(1-Assumptions!$F$9)</f>
        <v>113611687.40561104</v>
      </c>
      <c r="I72" s="195">
        <f>($B72-1)*I$10*(1-Assumptions!$F$9)</f>
        <v>113611687.40561104</v>
      </c>
      <c r="J72" s="195">
        <f>($B72-1)*J$10*(1-Assumptions!$F$9)</f>
        <v>113611687.40561104</v>
      </c>
      <c r="K72" s="195">
        <f>($B72-1)*K$10*(1-Assumptions!$F$9)</f>
        <v>113611687.40561104</v>
      </c>
      <c r="L72" s="195">
        <f>($B72-1)*L$10*(1-Assumptions!$F$9)</f>
        <v>113611687.40561104</v>
      </c>
    </row>
    <row r="73" spans="2:13" x14ac:dyDescent="0.3">
      <c r="C73" s="195"/>
      <c r="D73" s="195"/>
      <c r="E73" s="195"/>
      <c r="F73" s="195"/>
      <c r="G73" s="195"/>
      <c r="H73" s="195"/>
      <c r="I73" s="195"/>
      <c r="J73" s="195"/>
      <c r="K73" s="195"/>
      <c r="L73" s="195"/>
    </row>
    <row r="74" spans="2:13" x14ac:dyDescent="0.3">
      <c r="B74" s="52" t="s">
        <v>333</v>
      </c>
      <c r="C74" s="195"/>
      <c r="D74" s="195"/>
      <c r="E74" s="195"/>
      <c r="F74" s="195"/>
      <c r="G74" s="195"/>
      <c r="H74" s="195"/>
      <c r="I74" s="195"/>
      <c r="J74" s="195"/>
      <c r="K74" s="195"/>
      <c r="L74" s="195"/>
    </row>
    <row r="75" spans="2:13" x14ac:dyDescent="0.3">
      <c r="B75" s="55">
        <v>0.7</v>
      </c>
      <c r="C75" s="195">
        <f>+C$53+C68</f>
        <v>-5165130.7655903306</v>
      </c>
      <c r="D75" s="195">
        <f t="shared" ref="D75:L75" si="24">+D$53+D68</f>
        <v>110888716.92389549</v>
      </c>
      <c r="E75" s="195">
        <f t="shared" si="24"/>
        <v>191017565.22191948</v>
      </c>
      <c r="F75" s="195">
        <f t="shared" si="24"/>
        <v>147712701.00090492</v>
      </c>
      <c r="G75" s="195">
        <f t="shared" si="24"/>
        <v>194480193.96395165</v>
      </c>
      <c r="H75" s="195">
        <f t="shared" si="24"/>
        <v>194344512.86285931</v>
      </c>
      <c r="I75" s="195">
        <f t="shared" si="24"/>
        <v>194246342.6451785</v>
      </c>
      <c r="J75" s="195">
        <f t="shared" si="24"/>
        <v>194020832.07579887</v>
      </c>
      <c r="K75" s="195">
        <f t="shared" si="24"/>
        <v>194013334.67351282</v>
      </c>
      <c r="L75" s="195">
        <f t="shared" si="24"/>
        <v>194007336.75168395</v>
      </c>
      <c r="M75" s="228">
        <f>SUM(C75:L75)</f>
        <v>1609566405.3541148</v>
      </c>
    </row>
    <row r="76" spans="2:13" x14ac:dyDescent="0.3">
      <c r="B76" s="55">
        <f>+B75+0.15</f>
        <v>0.85</v>
      </c>
      <c r="C76" s="195">
        <f>+C$53+C69</f>
        <v>-4704772.3172326824</v>
      </c>
      <c r="D76" s="195">
        <f t="shared" ref="D76:L76" si="25">+D$53+D69</f>
        <v>143627517.32101178</v>
      </c>
      <c r="E76" s="195">
        <f t="shared" si="25"/>
        <v>247823408.92472503</v>
      </c>
      <c r="F76" s="195">
        <f t="shared" si="25"/>
        <v>204518544.70371047</v>
      </c>
      <c r="G76" s="195">
        <f t="shared" si="25"/>
        <v>251286037.6667572</v>
      </c>
      <c r="H76" s="195">
        <f t="shared" si="25"/>
        <v>251150356.56566486</v>
      </c>
      <c r="I76" s="195">
        <f t="shared" si="25"/>
        <v>251052186.34798405</v>
      </c>
      <c r="J76" s="195">
        <f t="shared" si="25"/>
        <v>250826675.77860442</v>
      </c>
      <c r="K76" s="195">
        <f t="shared" si="25"/>
        <v>250819178.37631837</v>
      </c>
      <c r="L76" s="195">
        <f t="shared" si="25"/>
        <v>250813180.4544895</v>
      </c>
      <c r="M76" s="228">
        <f t="shared" ref="M76:M79" si="26">SUM(C76:L76)</f>
        <v>2097212313.8220332</v>
      </c>
    </row>
    <row r="77" spans="2:13" x14ac:dyDescent="0.3">
      <c r="B77" s="55">
        <f t="shared" ref="B77:B79" si="27">+B76+0.15</f>
        <v>1</v>
      </c>
      <c r="C77" s="195">
        <f t="shared" ref="C77:L79" si="28">+C$53+C70</f>
        <v>-4244413.8688750342</v>
      </c>
      <c r="D77" s="195">
        <f t="shared" si="28"/>
        <v>176366317.71812809</v>
      </c>
      <c r="E77" s="195">
        <f t="shared" si="28"/>
        <v>304629252.62753057</v>
      </c>
      <c r="F77" s="195">
        <f t="shared" si="28"/>
        <v>261324388.40651602</v>
      </c>
      <c r="G77" s="195">
        <f t="shared" si="28"/>
        <v>308091881.36956275</v>
      </c>
      <c r="H77" s="195">
        <f t="shared" si="28"/>
        <v>307956200.26847041</v>
      </c>
      <c r="I77" s="195">
        <f t="shared" si="28"/>
        <v>307858030.05078959</v>
      </c>
      <c r="J77" s="195">
        <f t="shared" si="28"/>
        <v>307632519.48140997</v>
      </c>
      <c r="K77" s="195">
        <f t="shared" si="28"/>
        <v>307625022.07912391</v>
      </c>
      <c r="L77" s="195">
        <f t="shared" si="28"/>
        <v>307619024.15729505</v>
      </c>
      <c r="M77" s="228">
        <f t="shared" si="26"/>
        <v>2584858222.2899513</v>
      </c>
    </row>
    <row r="78" spans="2:13" x14ac:dyDescent="0.3">
      <c r="B78" s="55">
        <f t="shared" si="27"/>
        <v>1.1499999999999999</v>
      </c>
      <c r="C78" s="195">
        <f t="shared" si="28"/>
        <v>-3784055.4205173859</v>
      </c>
      <c r="D78" s="195">
        <f t="shared" si="28"/>
        <v>209105118.11524436</v>
      </c>
      <c r="E78" s="195">
        <f t="shared" si="28"/>
        <v>361435096.33033609</v>
      </c>
      <c r="F78" s="195">
        <f t="shared" si="28"/>
        <v>318130232.10932153</v>
      </c>
      <c r="G78" s="195">
        <f t="shared" si="28"/>
        <v>364897725.07236826</v>
      </c>
      <c r="H78" s="195">
        <f t="shared" si="28"/>
        <v>364762043.97127593</v>
      </c>
      <c r="I78" s="195">
        <f t="shared" si="28"/>
        <v>364663873.75359511</v>
      </c>
      <c r="J78" s="195">
        <f t="shared" si="28"/>
        <v>364438363.18421549</v>
      </c>
      <c r="K78" s="195">
        <f t="shared" si="28"/>
        <v>364430865.78192943</v>
      </c>
      <c r="L78" s="195">
        <f t="shared" si="28"/>
        <v>364424867.86010057</v>
      </c>
      <c r="M78" s="228">
        <f t="shared" si="26"/>
        <v>3072504130.7578692</v>
      </c>
    </row>
    <row r="79" spans="2:13" x14ac:dyDescent="0.3">
      <c r="B79" s="55">
        <f t="shared" si="27"/>
        <v>1.2999999999999998</v>
      </c>
      <c r="C79" s="195">
        <f t="shared" si="28"/>
        <v>-3323696.9721597382</v>
      </c>
      <c r="D79" s="195">
        <f t="shared" si="28"/>
        <v>241843918.51236063</v>
      </c>
      <c r="E79" s="195">
        <f t="shared" si="28"/>
        <v>418240940.03314161</v>
      </c>
      <c r="F79" s="195">
        <f t="shared" si="28"/>
        <v>374936075.81212705</v>
      </c>
      <c r="G79" s="195">
        <f t="shared" si="28"/>
        <v>421703568.77517378</v>
      </c>
      <c r="H79" s="195">
        <f t="shared" si="28"/>
        <v>421567887.67408144</v>
      </c>
      <c r="I79" s="195">
        <f t="shared" si="28"/>
        <v>421469717.45640063</v>
      </c>
      <c r="J79" s="195">
        <f t="shared" si="28"/>
        <v>421244206.88702101</v>
      </c>
      <c r="K79" s="195">
        <f t="shared" si="28"/>
        <v>421236709.48473495</v>
      </c>
      <c r="L79" s="195">
        <f t="shared" si="28"/>
        <v>421230711.56290609</v>
      </c>
      <c r="M79" s="228">
        <f t="shared" si="26"/>
        <v>3560150039.2257876</v>
      </c>
    </row>
    <row r="81" spans="2:13" x14ac:dyDescent="0.3">
      <c r="B81" s="227">
        <f>+'Sensitivity Analysis'!$C$13</f>
        <v>0.06</v>
      </c>
      <c r="C81" s="195">
        <f t="shared" ref="C81:D85" si="29">C75/((1+$B81)^C$61)</f>
        <v>-5165130.7655903306</v>
      </c>
      <c r="D81" s="195">
        <f t="shared" si="29"/>
        <v>104611997.09801461</v>
      </c>
      <c r="E81" s="195">
        <f t="shared" ref="E81:L81" si="30">E75/((1+$B81)^E$61)</f>
        <v>170004953.02769619</v>
      </c>
      <c r="F81" s="195">
        <f t="shared" si="30"/>
        <v>124022432.10914452</v>
      </c>
      <c r="G81" s="195">
        <f t="shared" si="30"/>
        <v>154046529.26414719</v>
      </c>
      <c r="H81" s="195">
        <f t="shared" si="30"/>
        <v>145225525.58844414</v>
      </c>
      <c r="I81" s="195">
        <f t="shared" si="30"/>
        <v>136936006.68957558</v>
      </c>
      <c r="J81" s="195">
        <f t="shared" si="30"/>
        <v>129034934.56293474</v>
      </c>
      <c r="K81" s="195">
        <f t="shared" si="30"/>
        <v>121726366.37944409</v>
      </c>
      <c r="L81" s="195">
        <f t="shared" si="30"/>
        <v>114832644.53687388</v>
      </c>
      <c r="M81" s="228">
        <f>SUM(C81:L81)</f>
        <v>1195276258.4906845</v>
      </c>
    </row>
    <row r="82" spans="2:13" x14ac:dyDescent="0.3">
      <c r="B82" s="227">
        <f>+'Sensitivity Analysis'!$C$13</f>
        <v>0.06</v>
      </c>
      <c r="C82" s="195">
        <f t="shared" si="29"/>
        <v>-4704772.3172326824</v>
      </c>
      <c r="D82" s="195">
        <f t="shared" si="29"/>
        <v>135497657.85001111</v>
      </c>
      <c r="E82" s="195">
        <f t="shared" ref="E82:L82" si="31">E76/((1+$B82)^E$61)</f>
        <v>220561951.69519848</v>
      </c>
      <c r="F82" s="195">
        <f t="shared" si="31"/>
        <v>171717713.87093911</v>
      </c>
      <c r="G82" s="195">
        <f t="shared" si="31"/>
        <v>199042078.09602889</v>
      </c>
      <c r="H82" s="195">
        <f t="shared" si="31"/>
        <v>187674156.56191742</v>
      </c>
      <c r="I82" s="195">
        <f t="shared" si="31"/>
        <v>176981884.96643716</v>
      </c>
      <c r="J82" s="195">
        <f t="shared" si="31"/>
        <v>166814065.01280415</v>
      </c>
      <c r="K82" s="195">
        <f t="shared" si="31"/>
        <v>157367055.48309448</v>
      </c>
      <c r="L82" s="195">
        <f t="shared" si="31"/>
        <v>148455936.14409122</v>
      </c>
      <c r="M82" s="228">
        <f t="shared" ref="M82:M85" si="32">SUM(C82:L82)</f>
        <v>1559407727.3632891</v>
      </c>
    </row>
    <row r="83" spans="2:13" x14ac:dyDescent="0.3">
      <c r="B83" s="227">
        <f>+'Sensitivity Analysis'!$C$13</f>
        <v>0.06</v>
      </c>
      <c r="C83" s="195">
        <f t="shared" si="29"/>
        <v>-4244413.8688750342</v>
      </c>
      <c r="D83" s="195">
        <f t="shared" si="29"/>
        <v>166383318.60200763</v>
      </c>
      <c r="E83" s="195">
        <f t="shared" ref="E83:L83" si="33">E77/((1+$B83)^E$61)</f>
        <v>271118950.3627007</v>
      </c>
      <c r="F83" s="195">
        <f t="shared" si="33"/>
        <v>219412995.6327337</v>
      </c>
      <c r="G83" s="195">
        <f t="shared" si="33"/>
        <v>244037626.92791057</v>
      </c>
      <c r="H83" s="195">
        <f t="shared" si="33"/>
        <v>230122787.5353907</v>
      </c>
      <c r="I83" s="195">
        <f t="shared" si="33"/>
        <v>217027763.24329874</v>
      </c>
      <c r="J83" s="195">
        <f t="shared" si="33"/>
        <v>204593195.46267357</v>
      </c>
      <c r="K83" s="195">
        <f t="shared" si="33"/>
        <v>193007744.58674487</v>
      </c>
      <c r="L83" s="195">
        <f t="shared" si="33"/>
        <v>182079227.75130859</v>
      </c>
      <c r="M83" s="228">
        <f t="shared" si="32"/>
        <v>1923539196.2358942</v>
      </c>
    </row>
    <row r="84" spans="2:13" x14ac:dyDescent="0.3">
      <c r="B84" s="227">
        <f>+'Sensitivity Analysis'!$C$13</f>
        <v>0.06</v>
      </c>
      <c r="C84" s="195">
        <f t="shared" si="29"/>
        <v>-3784055.4205173859</v>
      </c>
      <c r="D84" s="195">
        <f t="shared" si="29"/>
        <v>197268979.35400411</v>
      </c>
      <c r="E84" s="195">
        <f t="shared" ref="E84:L84" si="34">E78/((1+$B84)^E$61)</f>
        <v>321675949.03020298</v>
      </c>
      <c r="F84" s="195">
        <f t="shared" si="34"/>
        <v>267108277.39452824</v>
      </c>
      <c r="G84" s="195">
        <f t="shared" si="34"/>
        <v>289033175.75979221</v>
      </c>
      <c r="H84" s="195">
        <f t="shared" si="34"/>
        <v>272571418.50886393</v>
      </c>
      <c r="I84" s="195">
        <f t="shared" si="34"/>
        <v>257073641.52016029</v>
      </c>
      <c r="J84" s="195">
        <f t="shared" si="34"/>
        <v>242372325.91254297</v>
      </c>
      <c r="K84" s="195">
        <f t="shared" si="34"/>
        <v>228648433.69039524</v>
      </c>
      <c r="L84" s="195">
        <f t="shared" si="34"/>
        <v>215702519.3585259</v>
      </c>
      <c r="M84" s="228">
        <f t="shared" si="32"/>
        <v>2287670665.1084981</v>
      </c>
    </row>
    <row r="85" spans="2:13" x14ac:dyDescent="0.3">
      <c r="B85" s="227">
        <f>+'Sensitivity Analysis'!$C$13</f>
        <v>0.06</v>
      </c>
      <c r="C85" s="195">
        <f t="shared" si="29"/>
        <v>-3323696.9721597382</v>
      </c>
      <c r="D85" s="195">
        <f t="shared" si="29"/>
        <v>228154640.10600057</v>
      </c>
      <c r="E85" s="195">
        <f t="shared" ref="E85:L85" si="35">E79/((1+$B85)^E$61)</f>
        <v>372232947.69770521</v>
      </c>
      <c r="F85" s="195">
        <f t="shared" si="35"/>
        <v>314803559.15632278</v>
      </c>
      <c r="G85" s="195">
        <f t="shared" si="35"/>
        <v>334028724.59167385</v>
      </c>
      <c r="H85" s="195">
        <f t="shared" si="35"/>
        <v>315020049.48233724</v>
      </c>
      <c r="I85" s="195">
        <f t="shared" si="35"/>
        <v>297119519.79702187</v>
      </c>
      <c r="J85" s="195">
        <f t="shared" si="35"/>
        <v>280151456.36241233</v>
      </c>
      <c r="K85" s="195">
        <f t="shared" si="35"/>
        <v>264289122.79404563</v>
      </c>
      <c r="L85" s="195">
        <f t="shared" si="35"/>
        <v>249325810.96574324</v>
      </c>
      <c r="M85" s="228">
        <f t="shared" si="32"/>
        <v>2651802133.9811025</v>
      </c>
    </row>
    <row r="86" spans="2:13" x14ac:dyDescent="0.3">
      <c r="B86" s="227"/>
    </row>
    <row r="87" spans="2:13" x14ac:dyDescent="0.3">
      <c r="B87" s="227">
        <f>+'Sensitivity Analysis'!$C$14</f>
        <v>0.08</v>
      </c>
      <c r="C87" s="195">
        <f>C81/((1+$B87)^C$61)</f>
        <v>-5165130.7655903306</v>
      </c>
      <c r="D87" s="195">
        <f>D75/((1+$B87)^D$61)</f>
        <v>102674737.89249583</v>
      </c>
      <c r="E87" s="195">
        <f t="shared" ref="E87:L87" si="36">E75/((1+$B87)^E$61)</f>
        <v>163766774.02427939</v>
      </c>
      <c r="F87" s="195">
        <f t="shared" si="36"/>
        <v>117259104.46269059</v>
      </c>
      <c r="G87" s="195">
        <f t="shared" si="36"/>
        <v>142948748.34114906</v>
      </c>
      <c r="H87" s="195">
        <f t="shared" si="36"/>
        <v>132267609.89017212</v>
      </c>
      <c r="I87" s="195">
        <f t="shared" si="36"/>
        <v>122408145.26811981</v>
      </c>
      <c r="J87" s="195">
        <f t="shared" si="36"/>
        <v>113209291.99699597</v>
      </c>
      <c r="K87" s="195">
        <f t="shared" si="36"/>
        <v>104819367.90256727</v>
      </c>
      <c r="L87" s="195">
        <f t="shared" si="36"/>
        <v>97051969.825955048</v>
      </c>
      <c r="M87" s="228">
        <f>SUM(C87:L87)</f>
        <v>1091240618.8388348</v>
      </c>
    </row>
    <row r="88" spans="2:13" x14ac:dyDescent="0.3">
      <c r="B88" s="227">
        <f>+'Sensitivity Analysis'!$C$14</f>
        <v>0.08</v>
      </c>
      <c r="C88" s="195">
        <f>C82/((1+$B88)^C$61)</f>
        <v>-4704772.3172326824</v>
      </c>
      <c r="D88" s="195">
        <f t="shared" ref="D88:L91" si="37">D76/((1+$B88)^D$61)</f>
        <v>132988441.96389979</v>
      </c>
      <c r="E88" s="195">
        <f t="shared" si="37"/>
        <v>212468629.05069017</v>
      </c>
      <c r="F88" s="195">
        <f t="shared" si="37"/>
        <v>162353414.6723302</v>
      </c>
      <c r="G88" s="195">
        <f t="shared" si="37"/>
        <v>184702739.27600056</v>
      </c>
      <c r="H88" s="195">
        <f t="shared" si="37"/>
        <v>170928712.60762721</v>
      </c>
      <c r="I88" s="195">
        <f t="shared" si="37"/>
        <v>158205462.59909675</v>
      </c>
      <c r="J88" s="195">
        <f t="shared" si="37"/>
        <v>146354956.19234499</v>
      </c>
      <c r="K88" s="195">
        <f t="shared" si="37"/>
        <v>135509797.71307561</v>
      </c>
      <c r="L88" s="195">
        <f t="shared" si="37"/>
        <v>125469034.46531461</v>
      </c>
      <c r="M88" s="228">
        <f t="shared" ref="M88:M91" si="38">SUM(C88:L88)</f>
        <v>1424276416.2231472</v>
      </c>
    </row>
    <row r="89" spans="2:13" x14ac:dyDescent="0.3">
      <c r="B89" s="227">
        <f>+'Sensitivity Analysis'!$C$14</f>
        <v>0.08</v>
      </c>
      <c r="C89" s="195">
        <f>C83/((1+$B89)^C$61)</f>
        <v>-4244413.8688750342</v>
      </c>
      <c r="D89" s="195">
        <f t="shared" si="37"/>
        <v>163302146.03530377</v>
      </c>
      <c r="E89" s="195">
        <f t="shared" si="37"/>
        <v>261170484.07710096</v>
      </c>
      <c r="F89" s="195">
        <f t="shared" si="37"/>
        <v>207447724.88196984</v>
      </c>
      <c r="G89" s="195">
        <f t="shared" si="37"/>
        <v>226456730.21085206</v>
      </c>
      <c r="H89" s="195">
        <f t="shared" si="37"/>
        <v>209589815.3250823</v>
      </c>
      <c r="I89" s="195">
        <f t="shared" si="37"/>
        <v>194002779.93007368</v>
      </c>
      <c r="J89" s="195">
        <f t="shared" si="37"/>
        <v>179500620.387694</v>
      </c>
      <c r="K89" s="195">
        <f t="shared" si="37"/>
        <v>166200227.52358395</v>
      </c>
      <c r="L89" s="195">
        <f t="shared" si="37"/>
        <v>153886099.10467419</v>
      </c>
      <c r="M89" s="228">
        <f t="shared" si="38"/>
        <v>1757312213.6074593</v>
      </c>
    </row>
    <row r="90" spans="2:13" x14ac:dyDescent="0.3">
      <c r="B90" s="227">
        <f>+'Sensitivity Analysis'!$C$14</f>
        <v>0.08</v>
      </c>
      <c r="C90" s="195">
        <f>C84/((1+$B90)^C$61)</f>
        <v>-3784055.4205173859</v>
      </c>
      <c r="D90" s="195">
        <f t="shared" si="37"/>
        <v>193615850.10670772</v>
      </c>
      <c r="E90" s="195">
        <f t="shared" si="37"/>
        <v>309872339.10351169</v>
      </c>
      <c r="F90" s="195">
        <f t="shared" si="37"/>
        <v>252542035.09160942</v>
      </c>
      <c r="G90" s="195">
        <f t="shared" si="37"/>
        <v>268210721.14570352</v>
      </c>
      <c r="H90" s="195">
        <f t="shared" si="37"/>
        <v>248250918.04253736</v>
      </c>
      <c r="I90" s="195">
        <f t="shared" si="37"/>
        <v>229800097.26105058</v>
      </c>
      <c r="J90" s="195">
        <f t="shared" si="37"/>
        <v>212646284.58304298</v>
      </c>
      <c r="K90" s="195">
        <f t="shared" si="37"/>
        <v>196890657.33409226</v>
      </c>
      <c r="L90" s="195">
        <f t="shared" si="37"/>
        <v>182303163.74403375</v>
      </c>
      <c r="M90" s="228">
        <f t="shared" si="38"/>
        <v>2090348010.9917722</v>
      </c>
    </row>
    <row r="91" spans="2:13" x14ac:dyDescent="0.3">
      <c r="B91" s="227">
        <f>+'Sensitivity Analysis'!$C$14</f>
        <v>0.08</v>
      </c>
      <c r="C91" s="195">
        <f>C85/((1+$B91)^C$61)</f>
        <v>-3323696.9721597382</v>
      </c>
      <c r="D91" s="195">
        <f t="shared" si="37"/>
        <v>223929554.17811167</v>
      </c>
      <c r="E91" s="195">
        <f t="shared" si="37"/>
        <v>358574194.12992245</v>
      </c>
      <c r="F91" s="195">
        <f t="shared" si="37"/>
        <v>297636345.30124903</v>
      </c>
      <c r="G91" s="195">
        <f t="shared" si="37"/>
        <v>309964712.08055496</v>
      </c>
      <c r="H91" s="195">
        <f t="shared" si="37"/>
        <v>286912020.75999242</v>
      </c>
      <c r="I91" s="195">
        <f t="shared" si="37"/>
        <v>265597414.59202749</v>
      </c>
      <c r="J91" s="195">
        <f t="shared" si="37"/>
        <v>245791948.77839196</v>
      </c>
      <c r="K91" s="195">
        <f t="shared" si="37"/>
        <v>227581087.1446006</v>
      </c>
      <c r="L91" s="195">
        <f t="shared" si="37"/>
        <v>210720228.38339329</v>
      </c>
      <c r="M91" s="228">
        <f t="shared" si="38"/>
        <v>2423383808.3760839</v>
      </c>
    </row>
    <row r="93" spans="2:13" x14ac:dyDescent="0.3">
      <c r="B93" s="227">
        <f>+'Sensitivity Analysis'!$C$15</f>
        <v>0.1</v>
      </c>
      <c r="C93" s="195">
        <f>C87/((1+$B93)^C$61)</f>
        <v>-5165130.7655903306</v>
      </c>
      <c r="D93" s="195">
        <f>D75/((1+$B93)^D$61)</f>
        <v>100807924.47626862</v>
      </c>
      <c r="E93" s="195">
        <f t="shared" ref="E93:L93" si="39">E75/((1+$B93)^E$61)</f>
        <v>157865756.3817516</v>
      </c>
      <c r="F93" s="195">
        <f t="shared" si="39"/>
        <v>110978738.54312913</v>
      </c>
      <c r="G93" s="195">
        <f t="shared" si="39"/>
        <v>132832589.27938774</v>
      </c>
      <c r="H93" s="195">
        <f t="shared" si="39"/>
        <v>120672652.05609356</v>
      </c>
      <c r="I93" s="195">
        <f t="shared" si="39"/>
        <v>109646996.43149652</v>
      </c>
      <c r="J93" s="195">
        <f t="shared" si="39"/>
        <v>99563365.085572839</v>
      </c>
      <c r="K93" s="195">
        <f t="shared" si="39"/>
        <v>90508652.484294653</v>
      </c>
      <c r="L93" s="195">
        <f t="shared" si="39"/>
        <v>82278049.46317777</v>
      </c>
      <c r="M93" s="228">
        <f>SUM(C93:L93)</f>
        <v>999989593.43558216</v>
      </c>
    </row>
    <row r="94" spans="2:13" x14ac:dyDescent="0.3">
      <c r="B94" s="227">
        <f>+'Sensitivity Analysis'!$C$15</f>
        <v>0.1</v>
      </c>
      <c r="C94" s="195">
        <f>C88/((1+$B94)^C$61)</f>
        <v>-4704772.3172326824</v>
      </c>
      <c r="D94" s="195">
        <f t="shared" ref="D94:L97" si="40">D76/((1+$B94)^D$61)</f>
        <v>130570470.29182889</v>
      </c>
      <c r="E94" s="195">
        <f t="shared" si="40"/>
        <v>204812734.64853305</v>
      </c>
      <c r="F94" s="195">
        <f t="shared" si="40"/>
        <v>153657809.69474861</v>
      </c>
      <c r="G94" s="195">
        <f t="shared" si="40"/>
        <v>171631744.8717691</v>
      </c>
      <c r="H94" s="195">
        <f t="shared" si="40"/>
        <v>155944611.68553114</v>
      </c>
      <c r="I94" s="195">
        <f t="shared" si="40"/>
        <v>141712414.27643979</v>
      </c>
      <c r="J94" s="195">
        <f t="shared" si="40"/>
        <v>128713744.94461216</v>
      </c>
      <c r="K94" s="195">
        <f t="shared" si="40"/>
        <v>117008997.81069404</v>
      </c>
      <c r="L94" s="195">
        <f t="shared" si="40"/>
        <v>106369272.48717722</v>
      </c>
      <c r="M94" s="228">
        <f t="shared" ref="M94:M97" si="41">SUM(C94:L94)</f>
        <v>1305717028.3941011</v>
      </c>
    </row>
    <row r="95" spans="2:13" x14ac:dyDescent="0.3">
      <c r="B95" s="227">
        <f>+'Sensitivity Analysis'!$C$15</f>
        <v>0.1</v>
      </c>
      <c r="C95" s="195">
        <f>C89/((1+$B95)^C$61)</f>
        <v>-4244413.8688750342</v>
      </c>
      <c r="D95" s="195">
        <f t="shared" si="40"/>
        <v>160333016.10738915</v>
      </c>
      <c r="E95" s="195">
        <f t="shared" si="40"/>
        <v>251759712.9153145</v>
      </c>
      <c r="F95" s="195">
        <f t="shared" si="40"/>
        <v>196336880.8463681</v>
      </c>
      <c r="G95" s="195">
        <f t="shared" si="40"/>
        <v>210430900.46415043</v>
      </c>
      <c r="H95" s="195">
        <f t="shared" si="40"/>
        <v>191216571.31496873</v>
      </c>
      <c r="I95" s="195">
        <f t="shared" si="40"/>
        <v>173777832.12138304</v>
      </c>
      <c r="J95" s="195">
        <f t="shared" si="40"/>
        <v>157864124.80365148</v>
      </c>
      <c r="K95" s="195">
        <f t="shared" si="40"/>
        <v>143509343.13709342</v>
      </c>
      <c r="L95" s="195">
        <f t="shared" si="40"/>
        <v>130460495.51117666</v>
      </c>
      <c r="M95" s="228">
        <f t="shared" si="41"/>
        <v>1611444463.3526206</v>
      </c>
    </row>
    <row r="96" spans="2:13" x14ac:dyDescent="0.3">
      <c r="B96" s="227">
        <f>+'Sensitivity Analysis'!$C$15</f>
        <v>0.1</v>
      </c>
      <c r="C96" s="195">
        <f>C90/((1+$B96)^C$61)</f>
        <v>-3784055.4205173859</v>
      </c>
      <c r="D96" s="195">
        <f t="shared" si="40"/>
        <v>190095561.9229494</v>
      </c>
      <c r="E96" s="195">
        <f t="shared" si="40"/>
        <v>298706691.18209589</v>
      </c>
      <c r="F96" s="195">
        <f t="shared" si="40"/>
        <v>239015951.99798757</v>
      </c>
      <c r="G96" s="195">
        <f t="shared" si="40"/>
        <v>249230056.05653176</v>
      </c>
      <c r="H96" s="195">
        <f t="shared" si="40"/>
        <v>226488530.9444063</v>
      </c>
      <c r="I96" s="195">
        <f t="shared" si="40"/>
        <v>205843249.96632627</v>
      </c>
      <c r="J96" s="195">
        <f t="shared" si="40"/>
        <v>187014504.66269079</v>
      </c>
      <c r="K96" s="195">
        <f t="shared" si="40"/>
        <v>170009688.46349278</v>
      </c>
      <c r="L96" s="195">
        <f t="shared" si="40"/>
        <v>154551718.53517607</v>
      </c>
      <c r="M96" s="228">
        <f t="shared" si="41"/>
        <v>1917171898.3111396</v>
      </c>
    </row>
    <row r="97" spans="2:13" x14ac:dyDescent="0.3">
      <c r="B97" s="227">
        <f>+'Sensitivity Analysis'!$C$15</f>
        <v>0.1</v>
      </c>
      <c r="C97" s="195">
        <f>C91/((1+$B97)^C$61)</f>
        <v>-3323696.9721597382</v>
      </c>
      <c r="D97" s="195">
        <f t="shared" si="40"/>
        <v>219858107.73850965</v>
      </c>
      <c r="E97" s="195">
        <f t="shared" si="40"/>
        <v>345653669.44887733</v>
      </c>
      <c r="F97" s="195">
        <f t="shared" si="40"/>
        <v>281695023.149607</v>
      </c>
      <c r="G97" s="195">
        <f t="shared" si="40"/>
        <v>288029211.64891309</v>
      </c>
      <c r="H97" s="195">
        <f t="shared" si="40"/>
        <v>261760490.57384387</v>
      </c>
      <c r="I97" s="195">
        <f t="shared" si="40"/>
        <v>237908667.81126952</v>
      </c>
      <c r="J97" s="195">
        <f t="shared" si="40"/>
        <v>216164884.5217301</v>
      </c>
      <c r="K97" s="195">
        <f t="shared" si="40"/>
        <v>196510033.78989217</v>
      </c>
      <c r="L97" s="195">
        <f t="shared" si="40"/>
        <v>178642941.55917552</v>
      </c>
      <c r="M97" s="228">
        <f t="shared" si="41"/>
        <v>2222899333.269659</v>
      </c>
    </row>
    <row r="99" spans="2:13" x14ac:dyDescent="0.3">
      <c r="B99" s="227">
        <f>+'Sensitivity Analysis'!$C$16</f>
        <v>0.12</v>
      </c>
      <c r="C99" s="195">
        <f>C93/((1+$B99)^C$61)</f>
        <v>-5165130.7655903306</v>
      </c>
      <c r="D99" s="195">
        <f>D75/((1+$B99)^D$61)</f>
        <v>99007782.967763826</v>
      </c>
      <c r="E99" s="195">
        <f t="shared" ref="E99:L99" si="42">E75/((1+$B99)^E$61)</f>
        <v>152278033.49961692</v>
      </c>
      <c r="F99" s="195">
        <f t="shared" si="42"/>
        <v>105138982.92361237</v>
      </c>
      <c r="G99" s="195">
        <f t="shared" si="42"/>
        <v>123595679.15576939</v>
      </c>
      <c r="H99" s="195">
        <f t="shared" si="42"/>
        <v>110276295.85993512</v>
      </c>
      <c r="I99" s="195">
        <f t="shared" si="42"/>
        <v>98411242.358920783</v>
      </c>
      <c r="J99" s="195">
        <f t="shared" si="42"/>
        <v>87765171.148498788</v>
      </c>
      <c r="K99" s="195">
        <f t="shared" si="42"/>
        <v>78358731.878980011</v>
      </c>
      <c r="L99" s="195">
        <f t="shared" si="42"/>
        <v>69960990.552634463</v>
      </c>
      <c r="M99" s="228">
        <f>SUM(C99:L99)</f>
        <v>919627779.58014143</v>
      </c>
    </row>
    <row r="100" spans="2:13" x14ac:dyDescent="0.3">
      <c r="B100" s="227">
        <f>+'Sensitivity Analysis'!$C$16</f>
        <v>0.12</v>
      </c>
      <c r="C100" s="195">
        <f>C94/((1+$B100)^C$61)</f>
        <v>-4704772.3172326824</v>
      </c>
      <c r="D100" s="195">
        <f t="shared" ref="D100:L103" si="43">D76/((1+$B100)^D$61)</f>
        <v>128238854.75090337</v>
      </c>
      <c r="E100" s="195">
        <f t="shared" si="43"/>
        <v>197563304.30861366</v>
      </c>
      <c r="F100" s="195">
        <f t="shared" si="43"/>
        <v>145572260.43164518</v>
      </c>
      <c r="G100" s="195">
        <f t="shared" si="43"/>
        <v>159696819.78794155</v>
      </c>
      <c r="H100" s="195">
        <f t="shared" si="43"/>
        <v>142509457.13866025</v>
      </c>
      <c r="I100" s="195">
        <f t="shared" si="43"/>
        <v>127190850.6434968</v>
      </c>
      <c r="J100" s="195">
        <f t="shared" si="43"/>
        <v>113461249.97401309</v>
      </c>
      <c r="K100" s="195">
        <f t="shared" si="43"/>
        <v>101301659.40176064</v>
      </c>
      <c r="L100" s="195">
        <f t="shared" si="43"/>
        <v>90445747.269402876</v>
      </c>
      <c r="M100" s="228">
        <f t="shared" ref="M100:M103" si="44">SUM(C100:L100)</f>
        <v>1201275431.3892047</v>
      </c>
    </row>
    <row r="101" spans="2:13" x14ac:dyDescent="0.3">
      <c r="B101" s="227">
        <f>+'Sensitivity Analysis'!$C$16</f>
        <v>0.12</v>
      </c>
      <c r="C101" s="195">
        <f>C95/((1+$B101)^C$61)</f>
        <v>-4244413.8688750342</v>
      </c>
      <c r="D101" s="195">
        <f t="shared" si="43"/>
        <v>157469926.53404292</v>
      </c>
      <c r="E101" s="195">
        <f t="shared" si="43"/>
        <v>242848575.11761042</v>
      </c>
      <c r="F101" s="195">
        <f t="shared" si="43"/>
        <v>186005537.93967801</v>
      </c>
      <c r="G101" s="195">
        <f t="shared" si="43"/>
        <v>195797960.42011371</v>
      </c>
      <c r="H101" s="195">
        <f t="shared" si="43"/>
        <v>174742618.4173854</v>
      </c>
      <c r="I101" s="195">
        <f t="shared" si="43"/>
        <v>155970458.92807281</v>
      </c>
      <c r="J101" s="195">
        <f t="shared" si="43"/>
        <v>139157328.79952738</v>
      </c>
      <c r="K101" s="195">
        <f t="shared" si="43"/>
        <v>124244586.92454126</v>
      </c>
      <c r="L101" s="195">
        <f t="shared" si="43"/>
        <v>110930503.98617129</v>
      </c>
      <c r="M101" s="228">
        <f t="shared" si="44"/>
        <v>1482923083.1982679</v>
      </c>
    </row>
    <row r="102" spans="2:13" x14ac:dyDescent="0.3">
      <c r="B102" s="227">
        <f>+'Sensitivity Analysis'!$C$16</f>
        <v>0.12</v>
      </c>
      <c r="C102" s="195">
        <f>C96/((1+$B102)^C$61)</f>
        <v>-3784055.4205173859</v>
      </c>
      <c r="D102" s="195">
        <f t="shared" si="43"/>
        <v>186700998.31718245</v>
      </c>
      <c r="E102" s="195">
        <f t="shared" si="43"/>
        <v>288133845.92660719</v>
      </c>
      <c r="F102" s="195">
        <f t="shared" si="43"/>
        <v>226438815.44771081</v>
      </c>
      <c r="G102" s="195">
        <f t="shared" si="43"/>
        <v>231899101.05228585</v>
      </c>
      <c r="H102" s="195">
        <f t="shared" si="43"/>
        <v>206975779.69611055</v>
      </c>
      <c r="I102" s="195">
        <f t="shared" si="43"/>
        <v>184750067.21264881</v>
      </c>
      <c r="J102" s="195">
        <f t="shared" si="43"/>
        <v>164853407.62504166</v>
      </c>
      <c r="K102" s="195">
        <f t="shared" si="43"/>
        <v>147187514.44732186</v>
      </c>
      <c r="L102" s="195">
        <f t="shared" si="43"/>
        <v>131415260.70293969</v>
      </c>
      <c r="M102" s="228">
        <f t="shared" si="44"/>
        <v>1764570735.0073316</v>
      </c>
    </row>
    <row r="103" spans="2:13" x14ac:dyDescent="0.3">
      <c r="B103" s="227">
        <f>+'Sensitivity Analysis'!$C$16</f>
        <v>0.12</v>
      </c>
      <c r="C103" s="195">
        <f>C97/((1+$B103)^C$61)</f>
        <v>-3323696.9721597382</v>
      </c>
      <c r="D103" s="195">
        <f t="shared" si="43"/>
        <v>215932070.10032198</v>
      </c>
      <c r="E103" s="195">
        <f t="shared" si="43"/>
        <v>333419116.73560393</v>
      </c>
      <c r="F103" s="195">
        <f t="shared" si="43"/>
        <v>266872092.95574361</v>
      </c>
      <c r="G103" s="195">
        <f t="shared" si="43"/>
        <v>268000241.68445802</v>
      </c>
      <c r="H103" s="195">
        <f t="shared" si="43"/>
        <v>239208940.97483566</v>
      </c>
      <c r="I103" s="195">
        <f t="shared" si="43"/>
        <v>213529675.49722481</v>
      </c>
      <c r="J103" s="195">
        <f t="shared" si="43"/>
        <v>190549486.45055595</v>
      </c>
      <c r="K103" s="195">
        <f t="shared" si="43"/>
        <v>170130441.97010249</v>
      </c>
      <c r="L103" s="195">
        <f t="shared" si="43"/>
        <v>151900017.4197081</v>
      </c>
      <c r="M103" s="228">
        <f t="shared" si="44"/>
        <v>2046218386.8163948</v>
      </c>
    </row>
    <row r="105" spans="2:13" x14ac:dyDescent="0.3">
      <c r="B105" s="227">
        <f>+'Sensitivity Analysis'!$C$17</f>
        <v>0.14000000000000001</v>
      </c>
      <c r="C105" s="195">
        <f>C99/((1+$B105)^C$61)</f>
        <v>-5165130.7655903306</v>
      </c>
      <c r="D105" s="195">
        <f>D75/((1+$B105)^D$61)</f>
        <v>97270804.319206566</v>
      </c>
      <c r="E105" s="195">
        <f t="shared" ref="E105:L105" si="45">E75/((1+$B105)^E$61)</f>
        <v>146981813.80572441</v>
      </c>
      <c r="F105" s="195">
        <f t="shared" si="45"/>
        <v>99701865.756875858</v>
      </c>
      <c r="G105" s="195">
        <f t="shared" si="45"/>
        <v>115147887.18518473</v>
      </c>
      <c r="H105" s="195">
        <f t="shared" si="45"/>
        <v>100936450.07124217</v>
      </c>
      <c r="I105" s="195">
        <f t="shared" si="45"/>
        <v>88496020.645969614</v>
      </c>
      <c r="J105" s="195">
        <f t="shared" si="45"/>
        <v>77537965.845789194</v>
      </c>
      <c r="K105" s="195">
        <f t="shared" si="45"/>
        <v>68013131.231590927</v>
      </c>
      <c r="L105" s="195">
        <f t="shared" si="45"/>
        <v>59658797.022617124</v>
      </c>
      <c r="M105" s="228">
        <f>SUM(C105:L105)</f>
        <v>848579605.11861038</v>
      </c>
    </row>
    <row r="106" spans="2:13" x14ac:dyDescent="0.3">
      <c r="B106" s="227">
        <f>+'Sensitivity Analysis'!$C$17</f>
        <v>0.14000000000000001</v>
      </c>
      <c r="C106" s="195">
        <f>C100/((1+$B106)^C$61)</f>
        <v>-4704772.3172326824</v>
      </c>
      <c r="D106" s="195">
        <f t="shared" ref="D106:L109" si="46">D76/((1+$B106)^D$61)</f>
        <v>125989050.28158927</v>
      </c>
      <c r="E106" s="195">
        <f t="shared" si="46"/>
        <v>190692065.96239224</v>
      </c>
      <c r="F106" s="195">
        <f t="shared" si="46"/>
        <v>138044192.21009326</v>
      </c>
      <c r="G106" s="195">
        <f t="shared" si="46"/>
        <v>148781506.88098946</v>
      </c>
      <c r="H106" s="195">
        <f t="shared" si="46"/>
        <v>130439625.24300072</v>
      </c>
      <c r="I106" s="195">
        <f t="shared" si="46"/>
        <v>114375998.86681044</v>
      </c>
      <c r="J106" s="195">
        <f t="shared" si="46"/>
        <v>100239701.1272285</v>
      </c>
      <c r="K106" s="195">
        <f t="shared" si="46"/>
        <v>87926934.110046461</v>
      </c>
      <c r="L106" s="195">
        <f t="shared" si="46"/>
        <v>77127045.161613211</v>
      </c>
      <c r="M106" s="228">
        <f t="shared" ref="M106:M109" si="47">SUM(C106:L106)</f>
        <v>1108911347.526531</v>
      </c>
    </row>
    <row r="107" spans="2:13" x14ac:dyDescent="0.3">
      <c r="B107" s="227">
        <f>+'Sensitivity Analysis'!$C$17</f>
        <v>0.14000000000000001</v>
      </c>
      <c r="C107" s="195">
        <f>C101/((1+$B107)^C$61)</f>
        <v>-4244413.8688750342</v>
      </c>
      <c r="D107" s="195">
        <f t="shared" si="46"/>
        <v>154707296.24397197</v>
      </c>
      <c r="E107" s="195">
        <f t="shared" si="46"/>
        <v>234402318.1190601</v>
      </c>
      <c r="F107" s="195">
        <f t="shared" si="46"/>
        <v>176386518.66331068</v>
      </c>
      <c r="G107" s="195">
        <f t="shared" si="46"/>
        <v>182415126.57679421</v>
      </c>
      <c r="H107" s="195">
        <f t="shared" si="46"/>
        <v>159942800.41475925</v>
      </c>
      <c r="I107" s="195">
        <f t="shared" si="46"/>
        <v>140255977.08765125</v>
      </c>
      <c r="J107" s="195">
        <f t="shared" si="46"/>
        <v>122941436.40866782</v>
      </c>
      <c r="K107" s="195">
        <f t="shared" si="46"/>
        <v>107840736.988502</v>
      </c>
      <c r="L107" s="195">
        <f t="shared" si="46"/>
        <v>94595293.300609291</v>
      </c>
      <c r="M107" s="228">
        <f t="shared" si="47"/>
        <v>1369243089.9344518</v>
      </c>
    </row>
    <row r="108" spans="2:13" x14ac:dyDescent="0.3">
      <c r="B108" s="227">
        <f>+'Sensitivity Analysis'!$C$17</f>
        <v>0.14000000000000001</v>
      </c>
      <c r="C108" s="195">
        <f>C102/((1+$B108)^C$61)</f>
        <v>-3784055.4205173859</v>
      </c>
      <c r="D108" s="195">
        <f t="shared" si="46"/>
        <v>183425542.20635468</v>
      </c>
      <c r="E108" s="195">
        <f t="shared" si="46"/>
        <v>278112570.27572793</v>
      </c>
      <c r="F108" s="195">
        <f t="shared" si="46"/>
        <v>214728845.11652806</v>
      </c>
      <c r="G108" s="195">
        <f t="shared" si="46"/>
        <v>216048746.27259892</v>
      </c>
      <c r="H108" s="195">
        <f t="shared" si="46"/>
        <v>189445975.58651778</v>
      </c>
      <c r="I108" s="195">
        <f t="shared" si="46"/>
        <v>166135955.30849206</v>
      </c>
      <c r="J108" s="195">
        <f t="shared" si="46"/>
        <v>145643171.69010711</v>
      </c>
      <c r="K108" s="195">
        <f t="shared" si="46"/>
        <v>127754539.86695752</v>
      </c>
      <c r="L108" s="195">
        <f t="shared" si="46"/>
        <v>112063541.43960537</v>
      </c>
      <c r="M108" s="228">
        <f t="shared" si="47"/>
        <v>1629574832.3423722</v>
      </c>
    </row>
    <row r="109" spans="2:13" x14ac:dyDescent="0.3">
      <c r="B109" s="227">
        <f>+'Sensitivity Analysis'!$C$17</f>
        <v>0.14000000000000001</v>
      </c>
      <c r="C109" s="195">
        <f>C103/((1+$B109)^C$61)</f>
        <v>-3323696.9721597382</v>
      </c>
      <c r="D109" s="195">
        <f t="shared" si="46"/>
        <v>212143788.16873738</v>
      </c>
      <c r="E109" s="195">
        <f t="shared" si="46"/>
        <v>321822822.43239576</v>
      </c>
      <c r="F109" s="195">
        <f t="shared" si="46"/>
        <v>253071171.56974545</v>
      </c>
      <c r="G109" s="195">
        <f t="shared" si="46"/>
        <v>249682365.96840364</v>
      </c>
      <c r="H109" s="195">
        <f t="shared" si="46"/>
        <v>218949150.75827631</v>
      </c>
      <c r="I109" s="195">
        <f t="shared" si="46"/>
        <v>192015933.52933288</v>
      </c>
      <c r="J109" s="195">
        <f t="shared" si="46"/>
        <v>168344906.97154641</v>
      </c>
      <c r="K109" s="195">
        <f t="shared" si="46"/>
        <v>147668342.74541304</v>
      </c>
      <c r="L109" s="195">
        <f t="shared" si="46"/>
        <v>129531789.57860143</v>
      </c>
      <c r="M109" s="228">
        <f t="shared" si="47"/>
        <v>1889906574.7502923</v>
      </c>
    </row>
    <row r="111" spans="2:13" x14ac:dyDescent="0.3">
      <c r="B111" s="227">
        <v>0.16</v>
      </c>
      <c r="C111" s="195">
        <f>C105/((1+$B111)^C$61)</f>
        <v>-5165130.7655903306</v>
      </c>
      <c r="D111" s="195">
        <f>D75/((1+$B111)^D$61)</f>
        <v>95593721.486116812</v>
      </c>
      <c r="E111" s="195">
        <f t="shared" ref="E111:L111" si="48">E75/((1+$B111)^E$61)</f>
        <v>141957167.97110546</v>
      </c>
      <c r="F111" s="195">
        <f t="shared" si="48"/>
        <v>94633275.375748888</v>
      </c>
      <c r="G111" s="195">
        <f t="shared" si="48"/>
        <v>107409679.84035854</v>
      </c>
      <c r="H111" s="195">
        <f t="shared" si="48"/>
        <v>92529952.048340186</v>
      </c>
      <c r="I111" s="195">
        <f t="shared" si="48"/>
        <v>79726906.836186469</v>
      </c>
      <c r="J111" s="195">
        <f t="shared" si="48"/>
        <v>68650299.80141291</v>
      </c>
      <c r="K111" s="195">
        <f t="shared" si="48"/>
        <v>59179006.033695407</v>
      </c>
      <c r="L111" s="195">
        <f t="shared" si="48"/>
        <v>51014807.340387687</v>
      </c>
      <c r="M111" s="228">
        <f>SUM(C111:L111)</f>
        <v>785529685.96776223</v>
      </c>
    </row>
    <row r="112" spans="2:13" x14ac:dyDescent="0.3">
      <c r="B112" s="227">
        <v>0.16</v>
      </c>
      <c r="C112" s="195">
        <f>C106/((1+$B112)^C$61)</f>
        <v>-4704772.3172326824</v>
      </c>
      <c r="D112" s="195">
        <f t="shared" ref="D112:L115" si="49">D76/((1+$B112)^D$61)</f>
        <v>123816825.27673431</v>
      </c>
      <c r="E112" s="195">
        <f t="shared" si="49"/>
        <v>184173163.58852932</v>
      </c>
      <c r="F112" s="195">
        <f t="shared" si="49"/>
        <v>131026375.04594187</v>
      </c>
      <c r="G112" s="195">
        <f t="shared" si="49"/>
        <v>138783041.62500766</v>
      </c>
      <c r="H112" s="195">
        <f t="shared" si="49"/>
        <v>119575953.58683082</v>
      </c>
      <c r="I112" s="195">
        <f t="shared" si="49"/>
        <v>103042425.40385081</v>
      </c>
      <c r="J112" s="195">
        <f t="shared" si="49"/>
        <v>88749884.773537338</v>
      </c>
      <c r="K112" s="195">
        <f t="shared" si="49"/>
        <v>76506234.457940608</v>
      </c>
      <c r="L112" s="195">
        <f t="shared" si="49"/>
        <v>65952073.223357692</v>
      </c>
      <c r="M112" s="228">
        <f t="shared" ref="M112:M115" si="50">SUM(C112:L112)</f>
        <v>1026921204.6644979</v>
      </c>
    </row>
    <row r="113" spans="2:13" x14ac:dyDescent="0.3">
      <c r="B113" s="227">
        <v>0.16</v>
      </c>
      <c r="C113" s="195">
        <f>C107/((1+$B113)^C$61)</f>
        <v>-4244413.8688750342</v>
      </c>
      <c r="D113" s="195">
        <f t="shared" si="49"/>
        <v>152039929.06735182</v>
      </c>
      <c r="E113" s="195">
        <f t="shared" si="49"/>
        <v>226389159.20595318</v>
      </c>
      <c r="F113" s="195">
        <f t="shared" si="49"/>
        <v>167419474.71613488</v>
      </c>
      <c r="G113" s="195">
        <f t="shared" si="49"/>
        <v>170156403.40965679</v>
      </c>
      <c r="H113" s="195">
        <f t="shared" si="49"/>
        <v>146621955.12532145</v>
      </c>
      <c r="I113" s="195">
        <f t="shared" si="49"/>
        <v>126357943.97151515</v>
      </c>
      <c r="J113" s="195">
        <f t="shared" si="49"/>
        <v>108849469.74566177</v>
      </c>
      <c r="K113" s="195">
        <f t="shared" si="49"/>
        <v>93833462.882185802</v>
      </c>
      <c r="L113" s="195">
        <f t="shared" si="49"/>
        <v>80889339.106327683</v>
      </c>
      <c r="M113" s="228">
        <f t="shared" si="50"/>
        <v>1268312723.3612335</v>
      </c>
    </row>
    <row r="114" spans="2:13" x14ac:dyDescent="0.3">
      <c r="B114" s="227">
        <v>0.16</v>
      </c>
      <c r="C114" s="195">
        <f>C108/((1+$B114)^C$61)</f>
        <v>-3784055.4205173859</v>
      </c>
      <c r="D114" s="195">
        <f t="shared" si="49"/>
        <v>180263032.85796928</v>
      </c>
      <c r="E114" s="195">
        <f t="shared" si="49"/>
        <v>268605154.82337701</v>
      </c>
      <c r="F114" s="195">
        <f t="shared" si="49"/>
        <v>203812574.38632783</v>
      </c>
      <c r="G114" s="195">
        <f t="shared" si="49"/>
        <v>201529765.1943059</v>
      </c>
      <c r="H114" s="195">
        <f t="shared" si="49"/>
        <v>173667956.66381207</v>
      </c>
      <c r="I114" s="195">
        <f t="shared" si="49"/>
        <v>149673462.53917947</v>
      </c>
      <c r="J114" s="195">
        <f t="shared" si="49"/>
        <v>128949054.71778619</v>
      </c>
      <c r="K114" s="195">
        <f t="shared" si="49"/>
        <v>111160691.306431</v>
      </c>
      <c r="L114" s="195">
        <f t="shared" si="49"/>
        <v>95826604.989297673</v>
      </c>
      <c r="M114" s="228">
        <f t="shared" si="50"/>
        <v>1509704242.0579691</v>
      </c>
    </row>
    <row r="115" spans="2:13" x14ac:dyDescent="0.3">
      <c r="B115" s="227">
        <v>0.16</v>
      </c>
      <c r="C115" s="195">
        <f>C109/((1+$B115)^C$61)</f>
        <v>-3323696.9721597382</v>
      </c>
      <c r="D115" s="195">
        <f t="shared" si="49"/>
        <v>208486136.64858678</v>
      </c>
      <c r="E115" s="195">
        <f t="shared" si="49"/>
        <v>310821150.44080085</v>
      </c>
      <c r="F115" s="195">
        <f t="shared" si="49"/>
        <v>240205674.05652079</v>
      </c>
      <c r="G115" s="195">
        <f t="shared" si="49"/>
        <v>232903126.97895503</v>
      </c>
      <c r="H115" s="195">
        <f t="shared" si="49"/>
        <v>200713958.20230269</v>
      </c>
      <c r="I115" s="195">
        <f t="shared" si="49"/>
        <v>172988981.1068438</v>
      </c>
      <c r="J115" s="195">
        <f t="shared" si="49"/>
        <v>149048639.68991062</v>
      </c>
      <c r="K115" s="195">
        <f t="shared" si="49"/>
        <v>128487919.73067617</v>
      </c>
      <c r="L115" s="195">
        <f t="shared" si="49"/>
        <v>110763870.87226768</v>
      </c>
      <c r="M115" s="228">
        <f t="shared" si="50"/>
        <v>1751095760.7547047</v>
      </c>
    </row>
    <row r="116" spans="2:13" x14ac:dyDescent="0.3">
      <c r="B116" s="227"/>
      <c r="C116" s="195"/>
      <c r="D116" s="195"/>
      <c r="E116" s="195"/>
      <c r="F116" s="195"/>
      <c r="G116" s="195"/>
      <c r="H116" s="195"/>
      <c r="I116" s="195"/>
      <c r="J116" s="195"/>
      <c r="K116" s="195"/>
      <c r="L116" s="195"/>
      <c r="M116" s="228"/>
    </row>
    <row r="118" spans="2:13" x14ac:dyDescent="0.3">
      <c r="C118" s="56"/>
      <c r="D118" s="56"/>
      <c r="E118" s="56"/>
      <c r="F118" s="56"/>
      <c r="G118" s="56"/>
      <c r="H118" s="56"/>
      <c r="I118" s="56"/>
      <c r="J118" s="56"/>
      <c r="K118" s="56"/>
      <c r="L118" s="56"/>
    </row>
    <row r="119" spans="2:13" x14ac:dyDescent="0.3">
      <c r="C119" s="195"/>
      <c r="D119" s="195"/>
      <c r="E119" s="195"/>
      <c r="F119" s="195"/>
      <c r="G119" s="195"/>
      <c r="H119" s="195"/>
      <c r="I119" s="195"/>
      <c r="J119" s="195"/>
      <c r="K119" s="195"/>
      <c r="L119" s="195"/>
      <c r="M119" s="228"/>
    </row>
    <row r="120" spans="2:13" x14ac:dyDescent="0.3">
      <c r="C120" s="195"/>
      <c r="D120" s="195"/>
      <c r="E120" s="195"/>
      <c r="F120" s="195"/>
      <c r="G120" s="195"/>
      <c r="H120" s="195"/>
      <c r="I120" s="195"/>
      <c r="J120" s="195"/>
      <c r="K120" s="195"/>
      <c r="L120" s="195"/>
      <c r="M120" s="228"/>
    </row>
    <row r="121" spans="2:13" x14ac:dyDescent="0.3">
      <c r="C121" s="195"/>
      <c r="D121" s="195"/>
      <c r="E121" s="195"/>
      <c r="F121" s="195"/>
      <c r="G121" s="195"/>
      <c r="H121" s="195"/>
      <c r="I121" s="195"/>
      <c r="J121" s="195"/>
      <c r="K121" s="195"/>
      <c r="L121" s="195"/>
      <c r="M121" s="228"/>
    </row>
    <row r="122" spans="2:13" x14ac:dyDescent="0.3">
      <c r="C122" s="195"/>
      <c r="D122" s="195"/>
      <c r="E122" s="195"/>
      <c r="F122" s="195"/>
      <c r="G122" s="195"/>
      <c r="H122" s="195"/>
      <c r="I122" s="195"/>
      <c r="J122" s="195"/>
      <c r="K122" s="195"/>
      <c r="L122" s="195"/>
      <c r="M122" s="228"/>
    </row>
    <row r="123" spans="2:13" x14ac:dyDescent="0.3">
      <c r="C123" s="195"/>
      <c r="D123" s="195"/>
      <c r="E123" s="195"/>
      <c r="F123" s="195"/>
      <c r="G123" s="195"/>
      <c r="H123" s="195"/>
      <c r="I123" s="195"/>
      <c r="J123" s="195"/>
      <c r="K123" s="195"/>
      <c r="L123" s="195"/>
      <c r="M123" s="228"/>
    </row>
    <row r="125" spans="2:13" x14ac:dyDescent="0.3">
      <c r="C125" s="228"/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E30"/>
  <sheetViews>
    <sheetView showGridLines="0" workbookViewId="0">
      <selection sqref="A1:XFD1048576"/>
    </sheetView>
  </sheetViews>
  <sheetFormatPr defaultColWidth="9" defaultRowHeight="15" customHeight="1" x14ac:dyDescent="0.25"/>
  <cols>
    <col min="1" max="1" width="2.28515625" style="8" customWidth="1"/>
    <col min="2" max="2" width="19.28515625" style="8" customWidth="1"/>
    <col min="3" max="3" width="12.7109375" style="8" customWidth="1"/>
    <col min="4" max="5" width="10.42578125" style="8" customWidth="1"/>
    <col min="6" max="6" width="9.42578125" style="8" customWidth="1"/>
    <col min="7" max="9" width="10.42578125" style="8" customWidth="1"/>
    <col min="10" max="14" width="9.42578125" style="8" customWidth="1"/>
    <col min="15" max="17" width="10.42578125" style="8" customWidth="1"/>
    <col min="18" max="18" width="9.42578125" style="8" customWidth="1"/>
    <col min="19" max="21" width="10.42578125" style="8" customWidth="1"/>
    <col min="22" max="26" width="9.42578125" style="8" customWidth="1"/>
    <col min="27" max="29" width="10.42578125" style="8" customWidth="1"/>
    <col min="30" max="30" width="9.42578125" style="8" customWidth="1"/>
    <col min="31" max="33" width="10.42578125" style="8" customWidth="1"/>
    <col min="34" max="38" width="9.42578125" style="8" customWidth="1"/>
    <col min="39" max="41" width="10.42578125" style="8" customWidth="1"/>
    <col min="42" max="42" width="9.42578125" style="8" customWidth="1"/>
    <col min="43" max="45" width="10.42578125" style="8" customWidth="1"/>
    <col min="46" max="50" width="9.42578125" style="8" customWidth="1"/>
    <col min="51" max="53" width="10.42578125" style="8" customWidth="1"/>
    <col min="54" max="54" width="9.42578125" style="8" customWidth="1"/>
    <col min="55" max="57" width="10.42578125" style="8" customWidth="1"/>
    <col min="58" max="58" width="9.42578125" style="8" customWidth="1"/>
    <col min="59" max="62" width="9.85546875" style="8" customWidth="1"/>
    <col min="63" max="65" width="10.42578125" style="8" customWidth="1"/>
    <col min="66" max="66" width="9.85546875" style="8" customWidth="1"/>
    <col min="67" max="69" width="10.42578125" style="8" customWidth="1"/>
    <col min="70" max="74" width="9.85546875" style="8" customWidth="1"/>
    <col min="75" max="77" width="10.42578125" style="8" customWidth="1"/>
    <col min="78" max="78" width="9.85546875" style="8" customWidth="1"/>
    <col min="79" max="81" width="10.42578125" style="8" customWidth="1"/>
    <col min="82" max="86" width="9.85546875" style="8" customWidth="1"/>
    <col min="87" max="89" width="10.42578125" style="8" customWidth="1"/>
    <col min="90" max="90" width="9.85546875" style="8" customWidth="1"/>
    <col min="91" max="93" width="10.42578125" style="8" customWidth="1"/>
    <col min="94" max="98" width="9.85546875" style="8" customWidth="1"/>
    <col min="99" max="101" width="10.42578125" style="8" customWidth="1"/>
    <col min="102" max="102" width="9.85546875" style="8" customWidth="1"/>
    <col min="103" max="105" width="10.42578125" style="8" customWidth="1"/>
    <col min="106" max="110" width="9.85546875" style="8" customWidth="1"/>
    <col min="111" max="113" width="10.42578125" style="8" customWidth="1"/>
    <col min="114" max="114" width="9.85546875" style="8" customWidth="1"/>
    <col min="115" max="117" width="10.42578125" style="8" customWidth="1"/>
    <col min="118" max="122" width="9.85546875" style="8" customWidth="1"/>
    <col min="123" max="125" width="10.42578125" style="8" customWidth="1"/>
    <col min="126" max="126" width="9.85546875" style="8" customWidth="1"/>
    <col min="127" max="129" width="10.42578125" style="8" customWidth="1"/>
    <col min="130" max="134" width="9.85546875" style="8" customWidth="1"/>
    <col min="135" max="135" width="10.42578125" style="8" customWidth="1"/>
    <col min="136" max="136" width="9" style="8" customWidth="1"/>
    <col min="137" max="16384" width="9" style="8"/>
  </cols>
  <sheetData>
    <row r="1" spans="1:135" ht="10.5" customHeight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3"/>
    </row>
    <row r="2" spans="1:135" ht="23.25" customHeight="1" x14ac:dyDescent="0.4">
      <c r="A2" s="14"/>
      <c r="B2" s="15"/>
      <c r="C2" s="16"/>
      <c r="D2" s="16"/>
      <c r="E2" s="16"/>
      <c r="F2" s="16"/>
      <c r="G2" s="16"/>
      <c r="H2" s="16"/>
      <c r="I2" s="16"/>
      <c r="J2" s="16"/>
      <c r="K2" s="16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8"/>
    </row>
    <row r="3" spans="1:135" ht="15.75" customHeight="1" x14ac:dyDescent="0.25">
      <c r="A3" s="14"/>
      <c r="B3" s="19"/>
      <c r="C3" s="19"/>
      <c r="D3" s="19"/>
      <c r="E3" s="19"/>
      <c r="F3" s="19"/>
      <c r="G3" s="19"/>
      <c r="H3" s="19"/>
      <c r="I3" s="19"/>
      <c r="J3" s="19"/>
      <c r="K3" s="19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8"/>
    </row>
    <row r="4" spans="1:135" ht="15" customHeight="1" x14ac:dyDescent="0.25">
      <c r="A4" s="14"/>
      <c r="B4" s="20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8"/>
    </row>
    <row r="5" spans="1:135" ht="15" customHeight="1" x14ac:dyDescent="0.25">
      <c r="A5" s="14"/>
      <c r="B5" s="21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4"/>
    </row>
    <row r="6" spans="1:135" ht="15" customHeight="1" x14ac:dyDescent="0.25">
      <c r="A6" s="14"/>
      <c r="B6" s="25"/>
      <c r="C6" s="26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8"/>
    </row>
    <row r="7" spans="1:135" ht="15" customHeight="1" x14ac:dyDescent="0.3">
      <c r="A7" s="14"/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9"/>
    </row>
    <row r="8" spans="1:135" ht="15" customHeight="1" x14ac:dyDescent="0.3">
      <c r="A8" s="14"/>
      <c r="B8" s="2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2"/>
    </row>
    <row r="9" spans="1:135" ht="15" customHeight="1" x14ac:dyDescent="0.3">
      <c r="A9" s="14"/>
      <c r="B9" s="20"/>
      <c r="C9" s="33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2"/>
    </row>
    <row r="10" spans="1:135" ht="15" customHeight="1" x14ac:dyDescent="0.25">
      <c r="A10" s="14"/>
      <c r="B10" s="20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9"/>
    </row>
    <row r="11" spans="1:135" ht="15" customHeight="1" x14ac:dyDescent="0.25">
      <c r="A11" s="14"/>
      <c r="B11" s="20"/>
      <c r="C11" s="34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5"/>
    </row>
    <row r="12" spans="1:135" ht="15" customHeight="1" x14ac:dyDescent="0.25">
      <c r="A12" s="14"/>
      <c r="B12" s="20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5"/>
    </row>
    <row r="13" spans="1:135" ht="15" customHeight="1" x14ac:dyDescent="0.25">
      <c r="A13" s="14"/>
      <c r="B13" s="20"/>
      <c r="C13" s="36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9"/>
    </row>
    <row r="14" spans="1:135" ht="15" customHeight="1" x14ac:dyDescent="0.3">
      <c r="A14" s="14"/>
      <c r="B14" s="27"/>
      <c r="C14" s="34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8"/>
    </row>
    <row r="15" spans="1:135" ht="15" customHeight="1" x14ac:dyDescent="0.25">
      <c r="A15" s="14"/>
      <c r="B15" s="1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9"/>
    </row>
    <row r="16" spans="1:135" ht="15" customHeight="1" x14ac:dyDescent="0.25">
      <c r="A16" s="14"/>
      <c r="B16" s="17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9"/>
    </row>
    <row r="17" spans="1:135" ht="13.5" customHeight="1" x14ac:dyDescent="0.25">
      <c r="A17" s="14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8"/>
    </row>
    <row r="18" spans="1:135" ht="15" customHeight="1" x14ac:dyDescent="0.3">
      <c r="A18" s="14"/>
      <c r="B18" s="3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8"/>
    </row>
    <row r="19" spans="1:135" ht="15" customHeight="1" x14ac:dyDescent="0.25">
      <c r="A19" s="14"/>
      <c r="B19" s="17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9"/>
    </row>
    <row r="20" spans="1:135" ht="15" customHeight="1" x14ac:dyDescent="0.25">
      <c r="A20" s="14"/>
      <c r="B20" s="1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9"/>
    </row>
    <row r="21" spans="1:135" ht="13.5" customHeight="1" x14ac:dyDescent="0.25">
      <c r="A21" s="1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8"/>
    </row>
    <row r="22" spans="1:135" ht="15" customHeight="1" x14ac:dyDescent="0.3">
      <c r="A22" s="14"/>
      <c r="B22" s="3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8"/>
    </row>
    <row r="23" spans="1:135" ht="15" customHeight="1" x14ac:dyDescent="0.25">
      <c r="A23" s="14"/>
      <c r="B23" s="17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5"/>
    </row>
    <row r="24" spans="1:135" ht="15" customHeight="1" x14ac:dyDescent="0.25">
      <c r="A24" s="14"/>
      <c r="B24" s="1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9"/>
    </row>
    <row r="25" spans="1:135" ht="13.5" customHeight="1" x14ac:dyDescent="0.25">
      <c r="A25" s="1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8"/>
    </row>
    <row r="26" spans="1:135" ht="13.5" customHeight="1" x14ac:dyDescent="0.25">
      <c r="A26" s="1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8"/>
    </row>
    <row r="27" spans="1:135" ht="15" customHeight="1" x14ac:dyDescent="0.25">
      <c r="A27" s="14"/>
      <c r="B27" s="17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5"/>
    </row>
    <row r="28" spans="1:135" ht="15" customHeight="1" x14ac:dyDescent="0.25">
      <c r="A28" s="14"/>
      <c r="B28" s="1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9"/>
    </row>
    <row r="29" spans="1:135" ht="13.5" customHeight="1" x14ac:dyDescent="0.25">
      <c r="A29" s="14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8"/>
    </row>
    <row r="30" spans="1:135" ht="15" customHeight="1" x14ac:dyDescent="0.25">
      <c r="A30" s="38"/>
      <c r="B30" s="39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1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103D-6320-403D-942A-BF35CB5CAFCC}">
  <sheetPr>
    <tabColor rgb="FF002060"/>
  </sheetPr>
  <dimension ref="B1:M51"/>
  <sheetViews>
    <sheetView showGridLines="0" zoomScaleNormal="100" workbookViewId="0">
      <selection activeCell="C1" sqref="C1"/>
    </sheetView>
  </sheetViews>
  <sheetFormatPr defaultRowHeight="15" x14ac:dyDescent="0.3"/>
  <cols>
    <col min="1" max="1" width="1.7109375" style="52" customWidth="1"/>
    <col min="2" max="2" width="2.7109375" style="52" customWidth="1"/>
    <col min="3" max="3" width="14.140625" style="52" customWidth="1"/>
    <col min="4" max="6" width="14" style="52" customWidth="1"/>
    <col min="7" max="13" width="14.140625" style="52" customWidth="1"/>
    <col min="14" max="16384" width="9.140625" style="52"/>
  </cols>
  <sheetData>
    <row r="1" spans="2:13" s="83" customFormat="1" x14ac:dyDescent="0.3">
      <c r="C1" s="178" t="s">
        <v>283</v>
      </c>
      <c r="G1" s="178"/>
    </row>
    <row r="2" spans="2:13" s="83" customFormat="1" ht="18" x14ac:dyDescent="0.35">
      <c r="C2" s="90" t="s">
        <v>369</v>
      </c>
      <c r="D2" s="82"/>
      <c r="E2" s="82"/>
      <c r="F2" s="82"/>
      <c r="G2" s="90"/>
      <c r="H2" s="82"/>
      <c r="I2" s="82"/>
      <c r="J2" s="82"/>
      <c r="K2" s="82"/>
      <c r="L2" s="82"/>
      <c r="M2" s="82"/>
    </row>
    <row r="4" spans="2:13" ht="15.75" thickBot="1" x14ac:dyDescent="0.35">
      <c r="C4" s="101" t="s">
        <v>321</v>
      </c>
      <c r="D4" s="101"/>
      <c r="E4" s="101"/>
      <c r="F4" s="101"/>
      <c r="G4" s="101" t="s">
        <v>335</v>
      </c>
      <c r="H4" s="101"/>
      <c r="I4" s="101"/>
      <c r="J4" s="101"/>
      <c r="K4" s="101"/>
      <c r="L4" s="101"/>
      <c r="M4" s="101"/>
    </row>
    <row r="5" spans="2:13" ht="15" customHeight="1" x14ac:dyDescent="0.3">
      <c r="C5" s="52" t="s">
        <v>320</v>
      </c>
      <c r="D5" s="61">
        <v>0.08</v>
      </c>
      <c r="E5" s="339">
        <f>SUM('10 Year Pro Forma'!C65:L65)/1000000</f>
        <v>1757.3122136074594</v>
      </c>
      <c r="F5" s="339"/>
      <c r="G5" s="52" t="s">
        <v>320</v>
      </c>
      <c r="H5" s="61">
        <v>0.08</v>
      </c>
      <c r="I5" s="339">
        <f>SUM('10 Year Pro Forma'!C64:L64)/1000000</f>
        <v>1868.3241460688973</v>
      </c>
      <c r="J5" s="339"/>
    </row>
    <row r="6" spans="2:13" ht="15" customHeight="1" x14ac:dyDescent="0.3">
      <c r="C6" s="52" t="s">
        <v>327</v>
      </c>
      <c r="D6" s="61">
        <v>0</v>
      </c>
      <c r="E6" s="340"/>
      <c r="F6" s="340"/>
      <c r="G6" s="52" t="s">
        <v>327</v>
      </c>
      <c r="H6" s="61">
        <v>0</v>
      </c>
      <c r="I6" s="340"/>
      <c r="J6" s="340"/>
    </row>
    <row r="7" spans="2:13" ht="15" customHeight="1" x14ac:dyDescent="0.3">
      <c r="C7" s="52" t="s">
        <v>50</v>
      </c>
      <c r="D7" s="61">
        <v>0.05</v>
      </c>
      <c r="E7" s="340"/>
      <c r="F7" s="340"/>
      <c r="G7" s="52" t="s">
        <v>50</v>
      </c>
      <c r="H7" s="61">
        <v>0.05</v>
      </c>
      <c r="I7" s="340"/>
      <c r="J7" s="340"/>
    </row>
    <row r="8" spans="2:13" ht="15" customHeight="1" x14ac:dyDescent="0.3">
      <c r="C8" s="52" t="s">
        <v>322</v>
      </c>
      <c r="D8" s="67">
        <v>0.21</v>
      </c>
      <c r="E8" s="340"/>
      <c r="F8" s="340"/>
      <c r="G8" s="52" t="s">
        <v>322</v>
      </c>
      <c r="H8" s="67">
        <v>0.21</v>
      </c>
      <c r="I8" s="340"/>
      <c r="J8" s="340"/>
    </row>
    <row r="10" spans="2:13" x14ac:dyDescent="0.3">
      <c r="C10" s="134" t="s">
        <v>336</v>
      </c>
      <c r="D10" s="73"/>
      <c r="E10" s="73"/>
      <c r="F10" s="73"/>
      <c r="G10" s="73"/>
      <c r="H10" s="73"/>
    </row>
    <row r="11" spans="2:13" x14ac:dyDescent="0.3">
      <c r="C11" s="222"/>
      <c r="D11" s="341" t="s">
        <v>332</v>
      </c>
      <c r="E11" s="341"/>
      <c r="F11" s="341"/>
      <c r="G11" s="341"/>
      <c r="H11" s="341"/>
    </row>
    <row r="12" spans="2:13" x14ac:dyDescent="0.3">
      <c r="C12" s="223" t="s">
        <v>330</v>
      </c>
      <c r="D12" s="224">
        <v>0.7</v>
      </c>
      <c r="E12" s="224">
        <f>0.15+D12</f>
        <v>0.85</v>
      </c>
      <c r="F12" s="224">
        <f>0.15+E12</f>
        <v>1</v>
      </c>
      <c r="G12" s="224">
        <f t="shared" ref="G12:H12" si="0">0.15+F12</f>
        <v>1.1499999999999999</v>
      </c>
      <c r="H12" s="224">
        <f t="shared" si="0"/>
        <v>1.2999999999999998</v>
      </c>
    </row>
    <row r="13" spans="2:13" ht="15.75" thickBot="1" x14ac:dyDescent="0.35">
      <c r="B13" s="342" t="s">
        <v>334</v>
      </c>
      <c r="C13" s="225">
        <v>0.06</v>
      </c>
      <c r="D13" s="206">
        <f>+'10 Year Pro Forma'!$M$81/1000000</f>
        <v>1195.2762584906845</v>
      </c>
      <c r="E13" s="206">
        <f>+'10 Year Pro Forma'!$M$82/1000000</f>
        <v>1559.407727363289</v>
      </c>
      <c r="F13" s="206">
        <f>+'10 Year Pro Forma'!$M$83/1000000</f>
        <v>1923.5391962358942</v>
      </c>
      <c r="G13" s="206">
        <f>+'10 Year Pro Forma'!$M$84/1000000</f>
        <v>2287.6706651084983</v>
      </c>
      <c r="H13" s="206">
        <f>+'10 Year Pro Forma'!$M$85/1000000</f>
        <v>2651.8021339811025</v>
      </c>
      <c r="I13" s="343"/>
      <c r="J13" s="343"/>
    </row>
    <row r="14" spans="2:13" ht="15.75" thickBot="1" x14ac:dyDescent="0.35">
      <c r="B14" s="342"/>
      <c r="C14" s="226">
        <v>0.08</v>
      </c>
      <c r="D14" s="206">
        <f>+'10 Year Pro Forma'!$M$87/1000000</f>
        <v>1091.2406188388347</v>
      </c>
      <c r="E14" s="206">
        <f>+'10 Year Pro Forma'!$M$88/1000000</f>
        <v>1424.2764162231472</v>
      </c>
      <c r="F14" s="251">
        <f>+'10 Year Pro Forma'!$M$89/1000000</f>
        <v>1757.3122136074594</v>
      </c>
      <c r="G14" s="206">
        <f>+'10 Year Pro Forma'!$M$90/1000000</f>
        <v>2090.3480109917723</v>
      </c>
      <c r="H14" s="206">
        <f>+'10 Year Pro Forma'!$M$91/1000000</f>
        <v>2423.3838083760838</v>
      </c>
    </row>
    <row r="15" spans="2:13" x14ac:dyDescent="0.3">
      <c r="B15" s="342"/>
      <c r="C15" s="226">
        <v>0.1</v>
      </c>
      <c r="D15" s="206">
        <f>+'10 Year Pro Forma'!$M$93/1000000</f>
        <v>999.98959343558215</v>
      </c>
      <c r="E15" s="206">
        <f>+'10 Year Pro Forma'!$M$94/1000000</f>
        <v>1305.7170283941011</v>
      </c>
      <c r="F15" s="206">
        <f>+'10 Year Pro Forma'!$M$95/1000000</f>
        <v>1611.4444633526207</v>
      </c>
      <c r="G15" s="206">
        <f>+'10 Year Pro Forma'!$M$96/1000000</f>
        <v>1917.1718983111396</v>
      </c>
      <c r="H15" s="206">
        <f>+'10 Year Pro Forma'!$M$97/1000000</f>
        <v>2222.8993332696591</v>
      </c>
    </row>
    <row r="16" spans="2:13" x14ac:dyDescent="0.3">
      <c r="B16" s="342"/>
      <c r="C16" s="226">
        <v>0.12</v>
      </c>
      <c r="D16" s="206">
        <f>+'10 Year Pro Forma'!$M$99/1000000</f>
        <v>919.62777958014146</v>
      </c>
      <c r="E16" s="206">
        <f>+'10 Year Pro Forma'!$M$100/1000000</f>
        <v>1201.2754313892046</v>
      </c>
      <c r="F16" s="206">
        <f>+'10 Year Pro Forma'!$M$101/1000000</f>
        <v>1482.9230831982679</v>
      </c>
      <c r="G16" s="206">
        <f>+'10 Year Pro Forma'!$M$102/1000000</f>
        <v>1764.5707350073317</v>
      </c>
      <c r="H16" s="206">
        <f>+'10 Year Pro Forma'!$M$103/1000000</f>
        <v>2046.2183868163947</v>
      </c>
    </row>
    <row r="17" spans="2:13" x14ac:dyDescent="0.3">
      <c r="B17" s="342"/>
      <c r="C17" s="226">
        <v>0.14000000000000001</v>
      </c>
      <c r="D17" s="206">
        <f>+'10 Year Pro Forma'!$M$105/1000000</f>
        <v>848.5796051186104</v>
      </c>
      <c r="E17" s="206">
        <f>+'10 Year Pro Forma'!$M$106/1000000</f>
        <v>1108.911347526531</v>
      </c>
      <c r="F17" s="206">
        <f>+'10 Year Pro Forma'!$M$107/1000000</f>
        <v>1369.2430899344517</v>
      </c>
      <c r="G17" s="206">
        <f>+'10 Year Pro Forma'!$M$108/1000000</f>
        <v>1629.5748323423722</v>
      </c>
      <c r="H17" s="206">
        <f>+'10 Year Pro Forma'!$M$109/1000000</f>
        <v>1889.9065747502923</v>
      </c>
    </row>
    <row r="18" spans="2:13" x14ac:dyDescent="0.3">
      <c r="B18" s="342"/>
      <c r="C18" s="226">
        <v>0.16</v>
      </c>
      <c r="D18" s="206">
        <f>+'10 Year Pro Forma'!$M$111/1000000</f>
        <v>785.52968596776225</v>
      </c>
      <c r="E18" s="206">
        <f>+'10 Year Pro Forma'!$M$112/1000000</f>
        <v>1026.921204664498</v>
      </c>
      <c r="F18" s="206">
        <f>+'10 Year Pro Forma'!$M$113/1000000</f>
        <v>1268.3127233612336</v>
      </c>
      <c r="G18" s="206">
        <f>+'10 Year Pro Forma'!$M$114/1000000</f>
        <v>1509.7042420579692</v>
      </c>
      <c r="H18" s="206">
        <f>+'10 Year Pro Forma'!$M$115/1000000</f>
        <v>1751.0957607547048</v>
      </c>
    </row>
    <row r="21" spans="2:13" s="83" customFormat="1" ht="18" x14ac:dyDescent="0.35">
      <c r="C21" s="90" t="s">
        <v>376</v>
      </c>
      <c r="D21" s="328">
        <f>+'10 Year Pro Forma'!C4</f>
        <v>46387</v>
      </c>
      <c r="E21" s="328">
        <f>+'10 Year Pro Forma'!D4</f>
        <v>46752</v>
      </c>
      <c r="F21" s="328">
        <f>+'10 Year Pro Forma'!E4</f>
        <v>47118</v>
      </c>
      <c r="G21" s="328">
        <f>+'10 Year Pro Forma'!F4</f>
        <v>47483</v>
      </c>
      <c r="H21" s="328">
        <f>+'10 Year Pro Forma'!G4</f>
        <v>47848</v>
      </c>
      <c r="I21" s="328">
        <f>+'10 Year Pro Forma'!H4</f>
        <v>48213</v>
      </c>
      <c r="J21" s="328">
        <f>+'10 Year Pro Forma'!I4</f>
        <v>48579</v>
      </c>
      <c r="K21" s="328">
        <f>+'10 Year Pro Forma'!J4</f>
        <v>48944</v>
      </c>
      <c r="L21" s="328">
        <f>+'10 Year Pro Forma'!K4</f>
        <v>49309</v>
      </c>
      <c r="M21" s="328">
        <f>+'10 Year Pro Forma'!L4</f>
        <v>49674</v>
      </c>
    </row>
    <row r="22" spans="2:13" hidden="1" x14ac:dyDescent="0.3">
      <c r="C22" s="52">
        <v>0</v>
      </c>
      <c r="D22" s="52">
        <f>+C22+1</f>
        <v>1</v>
      </c>
      <c r="E22" s="52">
        <f t="shared" ref="E22:M22" si="1">+D22+1</f>
        <v>2</v>
      </c>
      <c r="F22" s="52">
        <f t="shared" si="1"/>
        <v>3</v>
      </c>
      <c r="G22" s="52">
        <f t="shared" si="1"/>
        <v>4</v>
      </c>
      <c r="H22" s="52">
        <f t="shared" si="1"/>
        <v>5</v>
      </c>
      <c r="I22" s="52">
        <f t="shared" si="1"/>
        <v>6</v>
      </c>
      <c r="J22" s="52">
        <f t="shared" si="1"/>
        <v>7</v>
      </c>
      <c r="K22" s="52">
        <f t="shared" si="1"/>
        <v>8</v>
      </c>
      <c r="L22" s="52">
        <f t="shared" si="1"/>
        <v>9</v>
      </c>
      <c r="M22" s="52">
        <f t="shared" si="1"/>
        <v>10</v>
      </c>
    </row>
    <row r="23" spans="2:13" ht="15" customHeight="1" x14ac:dyDescent="0.3">
      <c r="C23" s="228">
        <f>-Assumptions!I5</f>
        <v>-5000000</v>
      </c>
      <c r="D23" s="228">
        <f>(+'10 Year Pro Forma'!C53-'10 Year Pro Forma'!C44-'10 Year Pro Forma'!C43-'10 Year Pro Forma'!C42)*(Assumptions!$I$5/Assumptions!$I$7)</f>
        <v>228777.9306556248</v>
      </c>
      <c r="E23" s="228">
        <f>(+'10 Year Pro Forma'!D53-'10 Year Pro Forma'!D44-'10 Year Pro Forma'!D43-'10 Year Pro Forma'!D42)*(Assumptions!$I$5/Assumptions!$I$7)</f>
        <v>881831.58859064046</v>
      </c>
      <c r="F23" s="228">
        <f>(+'10 Year Pro Forma'!E53-'10 Year Pro Forma'!E44-'10 Year Pro Forma'!E43-'10 Year Pro Forma'!E42)*(Assumptions!$I$5/Assumptions!$I$7)</f>
        <v>1523146.263137653</v>
      </c>
      <c r="G23" s="228">
        <f>(+'10 Year Pro Forma'!F53-'10 Year Pro Forma'!F44-'10 Year Pro Forma'!F43-'10 Year Pro Forma'!F42)*(Assumptions!$I$5/Assumptions!$I$7)</f>
        <v>1306621.94203258</v>
      </c>
      <c r="H23" s="228">
        <f>(+'10 Year Pro Forma'!G53-'10 Year Pro Forma'!G44-'10 Year Pro Forma'!G43-'10 Year Pro Forma'!G42)*(Assumptions!$I$5/Assumptions!$I$7)</f>
        <v>1540459.4068478139</v>
      </c>
      <c r="I23" s="228">
        <f>(+'10 Year Pro Forma'!H53-'10 Year Pro Forma'!H44-'10 Year Pro Forma'!H43-'10 Year Pro Forma'!H42)*(Assumptions!$I$5/Assumptions!$I$7)</f>
        <v>1539781.001342352</v>
      </c>
      <c r="J23" s="228">
        <f>(+'10 Year Pro Forma'!I53-'10 Year Pro Forma'!I44-'10 Year Pro Forma'!I43-'10 Year Pro Forma'!I42)*(Assumptions!$I$5/Assumptions!$I$7)</f>
        <v>1539290.1502539481</v>
      </c>
      <c r="K23" s="228">
        <f>(+'10 Year Pro Forma'!J53-'10 Year Pro Forma'!J44-'10 Year Pro Forma'!J43-'10 Year Pro Forma'!J42)*(Assumptions!$I$5/Assumptions!$I$7)</f>
        <v>1538162.59740705</v>
      </c>
      <c r="L23" s="228">
        <f>(+'10 Year Pro Forma'!K53-'10 Year Pro Forma'!K44-'10 Year Pro Forma'!K43-'10 Year Pro Forma'!K42)*(Assumptions!$I$5/Assumptions!$I$7)</f>
        <v>1538125.1103956196</v>
      </c>
      <c r="M23" s="228">
        <f>(+'10 Year Pro Forma'!L53-'10 Year Pro Forma'!L44-'10 Year Pro Forma'!L43-'10 Year Pro Forma'!L42)*(Assumptions!$I$5/Assumptions!$I$7)</f>
        <v>1538095.1207864753</v>
      </c>
    </row>
    <row r="24" spans="2:13" x14ac:dyDescent="0.3">
      <c r="C24" s="64" t="s">
        <v>376</v>
      </c>
      <c r="D24" s="258">
        <f>XIRR(C23:M23,'10 Year Pro Forma'!B4:L4,0.2)</f>
        <v>0.1892892897129059</v>
      </c>
    </row>
    <row r="25" spans="2:13" x14ac:dyDescent="0.3">
      <c r="C25" s="52" t="s">
        <v>455</v>
      </c>
      <c r="D25" s="228">
        <f>+C23+D23</f>
        <v>-4771222.0693443753</v>
      </c>
      <c r="E25" s="228">
        <f>+D25+E23</f>
        <v>-3889390.4807537347</v>
      </c>
      <c r="F25" s="228">
        <f t="shared" ref="F25:M25" si="2">+E25+F23</f>
        <v>-2366244.2176160817</v>
      </c>
      <c r="G25" s="228">
        <f t="shared" si="2"/>
        <v>-1059622.2755835017</v>
      </c>
      <c r="H25" s="228">
        <f t="shared" si="2"/>
        <v>480837.13126431219</v>
      </c>
      <c r="I25" s="228">
        <f t="shared" si="2"/>
        <v>2020618.1326066642</v>
      </c>
      <c r="J25" s="228">
        <f t="shared" si="2"/>
        <v>3559908.2828606125</v>
      </c>
      <c r="K25" s="228">
        <f t="shared" si="2"/>
        <v>5098070.8802676629</v>
      </c>
      <c r="L25" s="228">
        <f t="shared" si="2"/>
        <v>6636195.9906632826</v>
      </c>
      <c r="M25" s="228">
        <f t="shared" si="2"/>
        <v>8174291.1114497576</v>
      </c>
    </row>
    <row r="33" spans="2:2" x14ac:dyDescent="0.3">
      <c r="B33" s="64"/>
    </row>
    <row r="39" spans="2:2" x14ac:dyDescent="0.3">
      <c r="B39" s="64"/>
    </row>
    <row r="46" spans="2:2" x14ac:dyDescent="0.3">
      <c r="B46" s="64"/>
    </row>
    <row r="51" spans="2:2" x14ac:dyDescent="0.3">
      <c r="B51" s="64"/>
    </row>
  </sheetData>
  <mergeCells count="5">
    <mergeCell ref="E5:F8"/>
    <mergeCell ref="I5:J8"/>
    <mergeCell ref="D11:H11"/>
    <mergeCell ref="B13:B18"/>
    <mergeCell ref="I13:J13"/>
  </mergeCells>
  <conditionalFormatting sqref="D13:H18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1CA88-082C-4DB3-B152-CB98A61431F4}">
  <sheetPr>
    <tabColor rgb="FF002060"/>
  </sheetPr>
  <dimension ref="B1:L12"/>
  <sheetViews>
    <sheetView showGridLines="0" workbookViewId="0">
      <selection activeCell="B1" sqref="B1"/>
    </sheetView>
  </sheetViews>
  <sheetFormatPr defaultRowHeight="15" x14ac:dyDescent="0.3"/>
  <cols>
    <col min="1" max="1" width="1.7109375" style="52" customWidth="1"/>
    <col min="2" max="2" width="16.7109375" style="52" customWidth="1"/>
    <col min="3" max="6" width="19.42578125" style="52" customWidth="1"/>
    <col min="7" max="7" width="14" style="52" customWidth="1"/>
    <col min="8" max="11" width="14.140625" style="52" customWidth="1"/>
    <col min="12" max="12" width="1.85546875" style="52" customWidth="1"/>
    <col min="13" max="16384" width="9.140625" style="52"/>
  </cols>
  <sheetData>
    <row r="1" spans="2:12" s="83" customFormat="1" x14ac:dyDescent="0.3">
      <c r="B1" s="178" t="s">
        <v>283</v>
      </c>
      <c r="H1" s="178"/>
    </row>
    <row r="2" spans="2:12" s="83" customFormat="1" ht="18" x14ac:dyDescent="0.35">
      <c r="B2" s="90" t="s">
        <v>370</v>
      </c>
      <c r="C2" s="82"/>
      <c r="D2" s="82"/>
      <c r="E2" s="82"/>
      <c r="F2" s="82"/>
      <c r="G2" s="82"/>
      <c r="H2" s="90"/>
      <c r="I2" s="82"/>
      <c r="J2" s="82"/>
      <c r="K2" s="82"/>
      <c r="L2" s="82"/>
    </row>
    <row r="4" spans="2:12" x14ac:dyDescent="0.3">
      <c r="B4" s="52" t="s">
        <v>372</v>
      </c>
      <c r="C4" s="56">
        <f>SUM('Production Schedule'!D14:M14)</f>
        <v>1534542</v>
      </c>
      <c r="D4" s="56"/>
      <c r="E4" s="56"/>
    </row>
    <row r="6" spans="2:12" x14ac:dyDescent="0.3">
      <c r="B6" s="73" t="s">
        <v>1</v>
      </c>
      <c r="C6" s="73" t="s">
        <v>371</v>
      </c>
      <c r="D6" s="73" t="s">
        <v>71</v>
      </c>
      <c r="E6" s="73" t="s">
        <v>64</v>
      </c>
      <c r="F6" s="73" t="s">
        <v>373</v>
      </c>
    </row>
    <row r="7" spans="2:12" x14ac:dyDescent="0.3">
      <c r="B7" s="52" t="s">
        <v>306</v>
      </c>
      <c r="C7" s="256">
        <v>3.8000000000000003E-8</v>
      </c>
      <c r="D7" s="67">
        <v>0.7</v>
      </c>
      <c r="E7" s="55">
        <f>+$C$4*C7*D7</f>
        <v>4.0818817199999996E-2</v>
      </c>
      <c r="F7" s="115">
        <f>INDEX('Commodity Prices'!$D$7:$D$22,MATCH(B7,'Commodity Prices'!$B$7:$B$22,0))*E7</f>
        <v>5224808.6015999997</v>
      </c>
    </row>
    <row r="8" spans="2:12" x14ac:dyDescent="0.3">
      <c r="B8" s="52" t="s">
        <v>310</v>
      </c>
      <c r="C8" s="256">
        <v>1.5E-5</v>
      </c>
      <c r="D8" s="67">
        <v>0.7</v>
      </c>
      <c r="E8" s="55">
        <f>+$C$4*C8*D8</f>
        <v>16.112690999999998</v>
      </c>
      <c r="F8" s="115">
        <f>INDEX('Commodity Prices'!$D$7:$D$22,MATCH(B8,'Commodity Prices'!$B$7:$B$22,0))*E8</f>
        <v>24169036.499999996</v>
      </c>
    </row>
    <row r="9" spans="2:12" x14ac:dyDescent="0.3">
      <c r="B9" s="52" t="s">
        <v>314</v>
      </c>
      <c r="C9" s="256">
        <v>5.0000000000000001E-4</v>
      </c>
      <c r="D9" s="67">
        <v>0.7</v>
      </c>
      <c r="E9" s="55">
        <f>+$C$4*C9*D9</f>
        <v>537.08969999999999</v>
      </c>
      <c r="F9" s="115">
        <f>INDEX('Commodity Prices'!$D$7:$D$22,MATCH(B9,'Commodity Prices'!$B$7:$B$22,0))*E9</f>
        <v>1342724.25</v>
      </c>
    </row>
    <row r="10" spans="2:12" x14ac:dyDescent="0.3">
      <c r="B10" s="52" t="s">
        <v>313</v>
      </c>
      <c r="C10" s="256">
        <v>7.7999999999999999E-5</v>
      </c>
      <c r="D10" s="67">
        <v>0.7</v>
      </c>
      <c r="E10" s="55">
        <f t="shared" ref="E10:E12" si="0">+$C$4*C10*D10</f>
        <v>83.785993199999993</v>
      </c>
      <c r="F10" s="115">
        <f>INDEX('Commodity Prices'!$D$7:$D$22,MATCH(B10,'Commodity Prices'!$B$7:$B$22,0))*E10</f>
        <v>1340575.8912</v>
      </c>
    </row>
    <row r="11" spans="2:12" x14ac:dyDescent="0.3">
      <c r="B11" s="52" t="s">
        <v>315</v>
      </c>
      <c r="C11" s="256">
        <v>1.74E-4</v>
      </c>
      <c r="D11" s="67">
        <v>0.7</v>
      </c>
      <c r="E11" s="55">
        <f t="shared" si="0"/>
        <v>186.9072156</v>
      </c>
      <c r="F11" s="115">
        <f>INDEX('Commodity Prices'!$D$7:$D$22,MATCH(B11,'Commodity Prices'!$B$7:$B$22,0))*E11</f>
        <v>9345360.7799999993</v>
      </c>
    </row>
    <row r="12" spans="2:12" x14ac:dyDescent="0.3">
      <c r="B12" s="52" t="s">
        <v>316</v>
      </c>
      <c r="C12" s="256">
        <v>5.0000000000000001E-3</v>
      </c>
      <c r="D12" s="67">
        <v>0.7</v>
      </c>
      <c r="E12" s="55">
        <f t="shared" si="0"/>
        <v>5370.8969999999999</v>
      </c>
      <c r="F12" s="115">
        <f>INDEX('Commodity Prices'!$D$7:$D$22,MATCH(B12,'Commodity Prices'!$B$7:$B$22,0))*E12</f>
        <v>10741794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A58F3-0FFB-4DE8-9E3D-5B6E6B608A03}">
  <sheetPr>
    <tabColor theme="9" tint="0.39997558519241921"/>
  </sheetPr>
  <dimension ref="B1:O69"/>
  <sheetViews>
    <sheetView showGridLines="0" workbookViewId="0">
      <selection activeCell="E33" sqref="E33"/>
    </sheetView>
  </sheetViews>
  <sheetFormatPr defaultRowHeight="15" x14ac:dyDescent="0.3"/>
  <cols>
    <col min="1" max="1" width="2.28515625" style="52" customWidth="1"/>
    <col min="2" max="2" width="27.42578125" style="52" customWidth="1"/>
    <col min="3" max="4" width="16.28515625" style="52" customWidth="1"/>
    <col min="5" max="5" width="19.5703125" style="52" customWidth="1"/>
    <col min="6" max="6" width="15.85546875" style="52" customWidth="1"/>
    <col min="7" max="7" width="2.42578125" style="52" customWidth="1"/>
    <col min="8" max="8" width="18.28515625" style="52" customWidth="1"/>
    <col min="9" max="9" width="15" style="52" bestFit="1" customWidth="1"/>
    <col min="10" max="10" width="1" style="52" customWidth="1"/>
    <col min="11" max="12" width="18.28515625" style="52" customWidth="1"/>
    <col min="13" max="13" width="13.5703125" style="52" customWidth="1"/>
    <col min="14" max="17" width="18.28515625" style="52" customWidth="1"/>
    <col min="18" max="16384" width="9.140625" style="52"/>
  </cols>
  <sheetData>
    <row r="1" spans="2:15" x14ac:dyDescent="0.3">
      <c r="B1" s="178" t="s">
        <v>283</v>
      </c>
    </row>
    <row r="2" spans="2:15" ht="18" x14ac:dyDescent="0.35">
      <c r="B2" s="74" t="s">
        <v>74</v>
      </c>
      <c r="C2" s="75"/>
      <c r="D2" s="75"/>
      <c r="E2" s="75"/>
      <c r="F2" s="75"/>
      <c r="G2" s="75"/>
      <c r="H2" s="75"/>
      <c r="I2" s="75"/>
      <c r="J2" s="75"/>
      <c r="K2" s="75"/>
    </row>
    <row r="4" spans="2:15" x14ac:dyDescent="0.3">
      <c r="B4" s="66" t="s">
        <v>63</v>
      </c>
      <c r="C4" s="70">
        <v>46203</v>
      </c>
      <c r="E4" s="66" t="s">
        <v>46</v>
      </c>
      <c r="F4" s="179">
        <v>0.06</v>
      </c>
      <c r="H4" s="66" t="s">
        <v>377</v>
      </c>
      <c r="I4" s="259">
        <v>50000000</v>
      </c>
      <c r="K4" s="66" t="s">
        <v>380</v>
      </c>
      <c r="L4" s="329" t="s">
        <v>258</v>
      </c>
      <c r="O4" s="160" t="s">
        <v>258</v>
      </c>
    </row>
    <row r="5" spans="2:15" x14ac:dyDescent="0.3">
      <c r="B5" s="109" t="s">
        <v>67</v>
      </c>
      <c r="C5" s="110">
        <v>6</v>
      </c>
      <c r="E5" s="109" t="s">
        <v>50</v>
      </c>
      <c r="F5" s="180">
        <v>0.05</v>
      </c>
      <c r="H5" s="109" t="s">
        <v>378</v>
      </c>
      <c r="I5" s="260">
        <v>5000000</v>
      </c>
      <c r="K5" s="109" t="s">
        <v>260</v>
      </c>
      <c r="L5" s="261">
        <v>0.11</v>
      </c>
      <c r="O5" s="160" t="s">
        <v>267</v>
      </c>
    </row>
    <row r="6" spans="2:15" x14ac:dyDescent="0.3">
      <c r="B6" s="52" t="s">
        <v>68</v>
      </c>
      <c r="C6" s="71">
        <v>4</v>
      </c>
      <c r="E6" s="52" t="s">
        <v>203</v>
      </c>
      <c r="F6" s="178">
        <f>30+189.5</f>
        <v>219.5</v>
      </c>
      <c r="H6" s="128" t="s">
        <v>379</v>
      </c>
      <c r="I6" s="264">
        <f>+I4-I5</f>
        <v>45000000</v>
      </c>
      <c r="K6" s="79" t="s">
        <v>261</v>
      </c>
      <c r="L6" s="263">
        <v>36</v>
      </c>
    </row>
    <row r="7" spans="2:15" x14ac:dyDescent="0.3">
      <c r="B7" s="109" t="s">
        <v>167</v>
      </c>
      <c r="C7" s="110">
        <v>325</v>
      </c>
      <c r="E7" s="109" t="s">
        <v>204</v>
      </c>
      <c r="F7" s="176">
        <f>'Mining Cost Assumptions'!C4</f>
        <v>189.5</v>
      </c>
      <c r="H7" s="109" t="s">
        <v>381</v>
      </c>
      <c r="I7" s="260">
        <v>1000000000</v>
      </c>
      <c r="K7" s="109" t="s">
        <v>262</v>
      </c>
      <c r="L7" s="262">
        <f>EOMONTH(C4,L6)</f>
        <v>47299</v>
      </c>
    </row>
    <row r="8" spans="2:15" x14ac:dyDescent="0.3">
      <c r="B8" s="79" t="s">
        <v>175</v>
      </c>
      <c r="C8" s="112">
        <f>EOMONTH(C4,C5+1)</f>
        <v>46418</v>
      </c>
      <c r="E8" s="52" t="s">
        <v>408</v>
      </c>
      <c r="F8" s="178">
        <f>+F6*C12+SUM(C13:C14)*F7</f>
        <v>195.5</v>
      </c>
      <c r="K8" s="79" t="s">
        <v>280</v>
      </c>
      <c r="L8" s="111">
        <v>20</v>
      </c>
      <c r="M8" s="79" t="s">
        <v>281</v>
      </c>
    </row>
    <row r="9" spans="2:15" x14ac:dyDescent="0.3">
      <c r="B9" s="109" t="s">
        <v>176</v>
      </c>
      <c r="C9" s="113">
        <f>EOMONTH(C4,C6+1)</f>
        <v>46356</v>
      </c>
      <c r="E9" s="109" t="s">
        <v>48</v>
      </c>
      <c r="F9" s="133">
        <v>0.21</v>
      </c>
    </row>
    <row r="10" spans="2:15" x14ac:dyDescent="0.3">
      <c r="B10" s="79"/>
      <c r="C10" s="111"/>
    </row>
    <row r="11" spans="2:15" ht="15.75" thickBot="1" x14ac:dyDescent="0.35">
      <c r="B11" s="101" t="s">
        <v>387</v>
      </c>
      <c r="C11" s="101"/>
    </row>
    <row r="12" spans="2:15" x14ac:dyDescent="0.3">
      <c r="B12" s="79" t="s">
        <v>73</v>
      </c>
      <c r="C12" s="272">
        <v>0.2</v>
      </c>
    </row>
    <row r="13" spans="2:15" x14ac:dyDescent="0.3">
      <c r="B13" s="79" t="s">
        <v>386</v>
      </c>
      <c r="C13" s="272">
        <v>0.5</v>
      </c>
    </row>
    <row r="14" spans="2:15" x14ac:dyDescent="0.3">
      <c r="B14" s="79" t="s">
        <v>388</v>
      </c>
      <c r="C14" s="272">
        <v>0.3</v>
      </c>
      <c r="D14" s="300">
        <f>+C14+C13</f>
        <v>0.8</v>
      </c>
    </row>
    <row r="15" spans="2:15" x14ac:dyDescent="0.3">
      <c r="B15" s="79"/>
      <c r="C15" s="111"/>
    </row>
    <row r="16" spans="2:15" ht="15.75" thickBot="1" x14ac:dyDescent="0.35">
      <c r="B16" s="101" t="s">
        <v>171</v>
      </c>
      <c r="C16" s="101" t="s">
        <v>172</v>
      </c>
      <c r="D16" s="101" t="s">
        <v>6</v>
      </c>
      <c r="E16" s="101" t="s">
        <v>7</v>
      </c>
      <c r="F16" s="101" t="s">
        <v>173</v>
      </c>
    </row>
    <row r="17" spans="2:13" x14ac:dyDescent="0.3">
      <c r="B17" s="52" t="s">
        <v>168</v>
      </c>
      <c r="C17" s="71">
        <v>4</v>
      </c>
      <c r="D17" s="52">
        <v>40</v>
      </c>
      <c r="E17" s="65">
        <f>EOMONTH(C4,C17+1)</f>
        <v>46356</v>
      </c>
      <c r="F17" s="65">
        <f>EOMONTH(E17,C17)</f>
        <v>46477</v>
      </c>
      <c r="I17" s="55"/>
    </row>
    <row r="18" spans="2:13" x14ac:dyDescent="0.3">
      <c r="B18" s="109" t="s">
        <v>169</v>
      </c>
      <c r="C18" s="110">
        <v>6</v>
      </c>
      <c r="D18" s="52">
        <v>250</v>
      </c>
      <c r="E18" s="65">
        <f>+F17</f>
        <v>46477</v>
      </c>
      <c r="F18" s="65">
        <f>EOMONTH(E18,C18)</f>
        <v>46660</v>
      </c>
      <c r="I18" s="55"/>
    </row>
    <row r="19" spans="2:13" x14ac:dyDescent="0.3">
      <c r="B19" s="181" t="s">
        <v>170</v>
      </c>
      <c r="C19" s="182">
        <f>120-SUM(C17:C18)</f>
        <v>110</v>
      </c>
      <c r="D19" s="181">
        <v>500</v>
      </c>
      <c r="E19" s="183">
        <f>+F18</f>
        <v>46660</v>
      </c>
      <c r="F19" s="183">
        <f>EOMONTH(E19,C19)</f>
        <v>50009</v>
      </c>
      <c r="I19" s="55"/>
    </row>
    <row r="20" spans="2:13" x14ac:dyDescent="0.3">
      <c r="I20" s="58"/>
    </row>
    <row r="21" spans="2:13" ht="15.75" thickBot="1" x14ac:dyDescent="0.35">
      <c r="B21" s="101" t="s">
        <v>69</v>
      </c>
      <c r="C21" s="102"/>
      <c r="D21" s="102"/>
      <c r="E21" s="102"/>
      <c r="F21" s="102"/>
    </row>
    <row r="22" spans="2:13" x14ac:dyDescent="0.3">
      <c r="B22" s="52" t="s">
        <v>72</v>
      </c>
      <c r="C22" s="69">
        <f>668000+494000</f>
        <v>1162000</v>
      </c>
    </row>
    <row r="23" spans="2:13" x14ac:dyDescent="0.3">
      <c r="B23" s="73" t="s">
        <v>70</v>
      </c>
      <c r="C23" s="73" t="s">
        <v>2</v>
      </c>
      <c r="D23" s="73" t="s">
        <v>71</v>
      </c>
      <c r="E23" s="73" t="s">
        <v>16</v>
      </c>
      <c r="F23" s="73" t="s">
        <v>16</v>
      </c>
    </row>
    <row r="24" spans="2:13" x14ac:dyDescent="0.3">
      <c r="B24" s="187" t="s">
        <v>305</v>
      </c>
      <c r="C24" s="292">
        <f>+'Ore Assumptions'!C32</f>
        <v>0.31425129087779691</v>
      </c>
      <c r="D24" s="293">
        <v>0.85</v>
      </c>
      <c r="E24" s="294">
        <f>+D24*C24</f>
        <v>0.26711359724612738</v>
      </c>
      <c r="F24" s="295">
        <f>+$C$22*C24*D24</f>
        <v>310386</v>
      </c>
      <c r="H24" s="58"/>
      <c r="I24" s="58"/>
    </row>
    <row r="25" spans="2:13" x14ac:dyDescent="0.3">
      <c r="B25" s="128" t="s">
        <v>304</v>
      </c>
      <c r="C25" s="291">
        <f>+'Ore Assumptions'!C33</f>
        <v>3.9850258175559384E-3</v>
      </c>
      <c r="D25" s="278">
        <v>0.85</v>
      </c>
      <c r="E25" s="296">
        <f>+D25*C25</f>
        <v>3.3872719449225476E-3</v>
      </c>
      <c r="F25" s="297">
        <f>+$C$22*C25*D25</f>
        <v>3936.01</v>
      </c>
    </row>
    <row r="26" spans="2:13" x14ac:dyDescent="0.3">
      <c r="B26" s="128" t="s">
        <v>307</v>
      </c>
      <c r="C26" s="291">
        <f>+'Ore Assumptions'!C34</f>
        <v>0</v>
      </c>
      <c r="D26" s="278">
        <v>0.85</v>
      </c>
      <c r="E26" s="296">
        <f>+D26*C26</f>
        <v>0</v>
      </c>
      <c r="F26" s="297">
        <f>+$C$22*C26*D26</f>
        <v>0</v>
      </c>
    </row>
    <row r="27" spans="2:13" x14ac:dyDescent="0.3">
      <c r="B27" s="128" t="s">
        <v>3</v>
      </c>
      <c r="C27" s="291">
        <f>+'Ore Assumptions'!C35</f>
        <v>8.8376936316695368E-3</v>
      </c>
      <c r="D27" s="278">
        <v>0.85</v>
      </c>
      <c r="E27" s="296">
        <f>+D27*C27</f>
        <v>7.5120395869191061E-3</v>
      </c>
      <c r="F27" s="297">
        <f>+$C$22*C27*D27</f>
        <v>8728.9900000000016</v>
      </c>
      <c r="G27" s="55"/>
    </row>
    <row r="28" spans="2:13" x14ac:dyDescent="0.3">
      <c r="B28" s="128" t="s">
        <v>4</v>
      </c>
      <c r="C28" s="291">
        <f>+'Ore Assumptions'!C36</f>
        <v>1.8265232358003442E-2</v>
      </c>
      <c r="D28" s="278">
        <v>0.85</v>
      </c>
      <c r="E28" s="296">
        <f t="shared" ref="E28" si="0">+D28*C28</f>
        <v>1.5525447504302925E-2</v>
      </c>
      <c r="F28" s="297">
        <f>+$C$22*C28*D28</f>
        <v>18040.57</v>
      </c>
    </row>
    <row r="30" spans="2:13" ht="15.75" thickBot="1" x14ac:dyDescent="0.35">
      <c r="B30" s="101" t="s">
        <v>414</v>
      </c>
      <c r="C30" s="102"/>
      <c r="D30" s="102"/>
      <c r="E30" s="102"/>
      <c r="F30" s="102"/>
      <c r="H30" s="101" t="s">
        <v>415</v>
      </c>
      <c r="I30" s="102"/>
      <c r="J30" s="102"/>
      <c r="K30" s="102"/>
      <c r="L30" s="102"/>
    </row>
    <row r="31" spans="2:13" x14ac:dyDescent="0.3">
      <c r="B31" s="52" t="s">
        <v>72</v>
      </c>
      <c r="C31" s="69">
        <f>+'Ore Assumptions'!I30</f>
        <v>1234750</v>
      </c>
      <c r="H31" s="52" t="s">
        <v>72</v>
      </c>
      <c r="I31" s="69">
        <f>+'Ore Assumptions'!I12</f>
        <v>454750</v>
      </c>
    </row>
    <row r="32" spans="2:13" x14ac:dyDescent="0.3">
      <c r="B32" s="73" t="s">
        <v>1</v>
      </c>
      <c r="C32" s="73" t="s">
        <v>2</v>
      </c>
      <c r="D32" s="73" t="s">
        <v>71</v>
      </c>
      <c r="E32" s="73" t="s">
        <v>16</v>
      </c>
      <c r="F32" s="73" t="s">
        <v>16</v>
      </c>
      <c r="H32" s="73" t="s">
        <v>1</v>
      </c>
      <c r="I32" s="73" t="s">
        <v>2</v>
      </c>
      <c r="K32" s="73" t="s">
        <v>71</v>
      </c>
      <c r="L32" s="73" t="s">
        <v>16</v>
      </c>
      <c r="M32" s="73" t="s">
        <v>16</v>
      </c>
    </row>
    <row r="33" spans="2:13" x14ac:dyDescent="0.3">
      <c r="B33" s="52" t="s">
        <v>305</v>
      </c>
      <c r="C33" s="292">
        <f>SUM('Ore Assumptions'!D44:E44)/SUM('Ore Assumptions'!D42:E42)</f>
        <v>14.546447223749311</v>
      </c>
      <c r="D33" s="159">
        <v>0.9</v>
      </c>
      <c r="E33" s="55">
        <f>+D33*C33</f>
        <v>13.09180250137438</v>
      </c>
      <c r="F33" s="72">
        <f t="shared" ref="F33:F37" si="1">+$C$31*C33*D33</f>
        <v>16165103.138572019</v>
      </c>
      <c r="H33" s="52" t="s">
        <v>305</v>
      </c>
      <c r="I33" s="292">
        <f>+'Ore Assumptions'!I14</f>
        <v>21.1238592633315</v>
      </c>
      <c r="J33" s="159"/>
      <c r="K33" s="159">
        <f>+'Ore Assumptions'!J14</f>
        <v>0.9</v>
      </c>
      <c r="L33" s="55">
        <f>+K33*I33</f>
        <v>19.01147333699835</v>
      </c>
      <c r="M33" s="72">
        <f>+$C$31*I33*K33</f>
        <v>23474416.702858713</v>
      </c>
    </row>
    <row r="34" spans="2:13" x14ac:dyDescent="0.3">
      <c r="B34" s="52" t="s">
        <v>304</v>
      </c>
      <c r="C34" s="291">
        <f>SUM('Ore Assumptions'!D45:E45)/SUM('Ore Assumptions'!$D$42:$E$42)</f>
        <v>8.6586036283672341E-3</v>
      </c>
      <c r="D34" s="159">
        <v>0.85</v>
      </c>
      <c r="E34" s="68">
        <f>+D34*C34</f>
        <v>7.3598130841121484E-3</v>
      </c>
      <c r="F34" s="56">
        <f t="shared" si="1"/>
        <v>9087.5292056074759</v>
      </c>
      <c r="H34" s="52" t="s">
        <v>304</v>
      </c>
      <c r="I34" s="291">
        <f>+'Ore Assumptions'!I15</f>
        <v>2.308960967564596E-2</v>
      </c>
      <c r="J34" s="159"/>
      <c r="K34" s="159">
        <f>+'Ore Assumptions'!J15</f>
        <v>0.85</v>
      </c>
      <c r="L34" s="55">
        <f>+K34*I34</f>
        <v>1.9626168224299065E-2</v>
      </c>
      <c r="M34" s="56">
        <f>+$C$31*I34*K34</f>
        <v>24233.41121495327</v>
      </c>
    </row>
    <row r="35" spans="2:13" x14ac:dyDescent="0.3">
      <c r="B35" s="52" t="s">
        <v>307</v>
      </c>
      <c r="C35" s="291">
        <f>SUM('Ore Assumptions'!D46:E46)/SUM('Ore Assumptions'!$D$42:$E$42)</f>
        <v>7.6727597581088504E-3</v>
      </c>
      <c r="D35" s="159">
        <v>0.85</v>
      </c>
      <c r="E35" s="68">
        <f t="shared" ref="E35:E37" si="2">+D35*C35</f>
        <v>6.5218457943925223E-3</v>
      </c>
      <c r="F35" s="56">
        <f t="shared" si="1"/>
        <v>8052.8490946261663</v>
      </c>
      <c r="H35" s="52" t="s">
        <v>307</v>
      </c>
      <c r="I35" s="291">
        <f>+'Ore Assumptions'!I16</f>
        <v>2.0460692688290271E-2</v>
      </c>
      <c r="J35" s="159"/>
      <c r="K35" s="159">
        <f>+'Ore Assumptions'!J16</f>
        <v>0.85</v>
      </c>
      <c r="L35" s="68">
        <f>+K35*I35</f>
        <v>1.7391588785046729E-2</v>
      </c>
      <c r="M35" s="56">
        <f>+$C$31*I35*K35</f>
        <v>21474.264252336448</v>
      </c>
    </row>
    <row r="36" spans="2:13" x14ac:dyDescent="0.3">
      <c r="B36" s="52" t="s">
        <v>3</v>
      </c>
      <c r="C36" s="291">
        <f>SUM('Ore Assumptions'!D47:E47)/SUM('Ore Assumptions'!$D$42:$E$42)</f>
        <v>2.9297003848268279E-3</v>
      </c>
      <c r="D36" s="159">
        <v>0.85</v>
      </c>
      <c r="E36" s="68">
        <f t="shared" si="2"/>
        <v>2.4902453271028035E-3</v>
      </c>
      <c r="F36" s="56">
        <f t="shared" si="1"/>
        <v>3074.8304176401871</v>
      </c>
      <c r="H36" s="52" t="s">
        <v>3</v>
      </c>
      <c r="I36" s="291">
        <f>+'Ore Assumptions'!I17</f>
        <v>7.8125343595382077E-3</v>
      </c>
      <c r="J36" s="159"/>
      <c r="K36" s="159">
        <f>+'Ore Assumptions'!J17</f>
        <v>0.85</v>
      </c>
      <c r="L36" s="68">
        <f>+K36*I36</f>
        <v>6.6406542056074765E-3</v>
      </c>
      <c r="M36" s="56">
        <f>+$C$31*I36*K36</f>
        <v>8199.5477803738322</v>
      </c>
    </row>
    <row r="37" spans="2:13" x14ac:dyDescent="0.3">
      <c r="B37" s="181" t="s">
        <v>4</v>
      </c>
      <c r="C37" s="291">
        <f>SUM('Ore Assumptions'!D48:E48)/SUM('Ore Assumptions'!$D$42:$E$42)</f>
        <v>0.11407964540956568</v>
      </c>
      <c r="D37" s="184">
        <v>0.98699999999999999</v>
      </c>
      <c r="E37" s="273">
        <f t="shared" si="2"/>
        <v>0.11259661001924133</v>
      </c>
      <c r="F37" s="185">
        <f t="shared" si="1"/>
        <v>139028.66422125822</v>
      </c>
      <c r="H37" s="181" t="s">
        <v>4</v>
      </c>
      <c r="I37" s="291">
        <f>+'Ore Assumptions'!I18</f>
        <v>9.5879054425508523E-2</v>
      </c>
      <c r="J37" s="184"/>
      <c r="K37" s="184">
        <f>+'Ore Assumptions'!J18</f>
        <v>0.85</v>
      </c>
      <c r="L37" s="273">
        <f>+K37*I37</f>
        <v>8.1497196261682239E-2</v>
      </c>
      <c r="M37" s="185">
        <f>+$C$31*I37*K37</f>
        <v>100628.66308411214</v>
      </c>
    </row>
    <row r="39" spans="2:13" ht="15.75" thickBot="1" x14ac:dyDescent="0.35">
      <c r="B39" s="101" t="s">
        <v>143</v>
      </c>
      <c r="C39" s="102"/>
      <c r="D39" s="102"/>
      <c r="E39" s="102"/>
    </row>
    <row r="40" spans="2:13" x14ac:dyDescent="0.3">
      <c r="B40" s="103" t="s">
        <v>163</v>
      </c>
      <c r="C40" s="103"/>
      <c r="D40" s="103"/>
      <c r="E40" s="103"/>
    </row>
    <row r="41" spans="2:13" x14ac:dyDescent="0.3">
      <c r="B41" s="104" t="s">
        <v>144</v>
      </c>
      <c r="C41" s="107">
        <v>2800</v>
      </c>
      <c r="D41" s="105" t="s">
        <v>145</v>
      </c>
      <c r="E41" s="106"/>
    </row>
    <row r="42" spans="2:13" x14ac:dyDescent="0.3">
      <c r="B42" s="104" t="s">
        <v>146</v>
      </c>
      <c r="C42" s="107">
        <v>3040</v>
      </c>
      <c r="D42" s="105" t="s">
        <v>147</v>
      </c>
      <c r="E42" s="106"/>
    </row>
    <row r="43" spans="2:13" x14ac:dyDescent="0.3">
      <c r="B43" s="104" t="s">
        <v>148</v>
      </c>
      <c r="C43" s="107">
        <v>3280</v>
      </c>
      <c r="D43" s="105" t="s">
        <v>149</v>
      </c>
      <c r="E43" s="106"/>
    </row>
    <row r="44" spans="2:13" x14ac:dyDescent="0.3">
      <c r="B44" s="104" t="s">
        <v>150</v>
      </c>
      <c r="C44" s="108">
        <v>0.74</v>
      </c>
      <c r="D44" s="105" t="s">
        <v>151</v>
      </c>
      <c r="E44" s="106"/>
    </row>
    <row r="45" spans="2:13" x14ac:dyDescent="0.3">
      <c r="B45" s="104" t="s">
        <v>191</v>
      </c>
      <c r="C45" s="108">
        <v>0.67</v>
      </c>
      <c r="D45" s="105"/>
      <c r="E45" s="106"/>
    </row>
    <row r="46" spans="2:13" x14ac:dyDescent="0.3">
      <c r="B46" s="104" t="s">
        <v>189</v>
      </c>
      <c r="C46" s="118">
        <f>1-C45/C44</f>
        <v>9.4594594594594517E-2</v>
      </c>
      <c r="D46" s="105"/>
      <c r="E46" s="106"/>
    </row>
    <row r="47" spans="2:13" x14ac:dyDescent="0.3">
      <c r="B47" s="83"/>
      <c r="C47" s="83"/>
      <c r="D47" s="83"/>
      <c r="E47" s="83"/>
    </row>
    <row r="48" spans="2:13" x14ac:dyDescent="0.3">
      <c r="B48" s="73" t="s">
        <v>59</v>
      </c>
      <c r="C48" s="73"/>
      <c r="D48" s="73"/>
      <c r="E48" s="73"/>
    </row>
    <row r="49" spans="2:8" x14ac:dyDescent="0.3">
      <c r="B49" s="104" t="s">
        <v>152</v>
      </c>
      <c r="C49" s="69">
        <v>40</v>
      </c>
      <c r="D49" s="105" t="s">
        <v>153</v>
      </c>
      <c r="E49" s="106"/>
      <c r="G49" s="104"/>
    </row>
    <row r="50" spans="2:8" x14ac:dyDescent="0.3">
      <c r="B50" s="104" t="s">
        <v>154</v>
      </c>
      <c r="C50" s="69">
        <v>4</v>
      </c>
      <c r="D50" s="105"/>
      <c r="E50" s="106"/>
      <c r="G50" s="104"/>
    </row>
    <row r="51" spans="2:8" x14ac:dyDescent="0.3">
      <c r="B51" s="104" t="s">
        <v>155</v>
      </c>
      <c r="C51" s="69">
        <v>250</v>
      </c>
      <c r="D51" s="105" t="s">
        <v>153</v>
      </c>
      <c r="E51" s="106"/>
      <c r="G51" s="104"/>
    </row>
    <row r="52" spans="2:8" x14ac:dyDescent="0.3">
      <c r="B52" s="104" t="s">
        <v>156</v>
      </c>
      <c r="C52" s="69">
        <v>6</v>
      </c>
      <c r="D52" s="105"/>
      <c r="E52" s="106"/>
      <c r="G52" s="104"/>
    </row>
    <row r="53" spans="2:8" x14ac:dyDescent="0.3">
      <c r="B53" s="104" t="s">
        <v>157</v>
      </c>
      <c r="C53" s="69">
        <v>500</v>
      </c>
      <c r="D53" s="105" t="s">
        <v>158</v>
      </c>
      <c r="E53" s="106"/>
      <c r="G53" s="104"/>
    </row>
    <row r="54" spans="2:8" x14ac:dyDescent="0.3">
      <c r="B54" s="104" t="s">
        <v>187</v>
      </c>
      <c r="C54" s="69">
        <v>54000</v>
      </c>
      <c r="D54" s="105" t="s">
        <v>188</v>
      </c>
      <c r="E54" s="106"/>
      <c r="G54" s="104"/>
    </row>
    <row r="55" spans="2:8" x14ac:dyDescent="0.3">
      <c r="B55" s="83"/>
      <c r="C55" s="83"/>
      <c r="D55" s="83"/>
      <c r="E55" s="83"/>
    </row>
    <row r="56" spans="2:8" x14ac:dyDescent="0.3">
      <c r="B56" s="73" t="s">
        <v>164</v>
      </c>
      <c r="C56" s="73"/>
      <c r="D56" s="73"/>
      <c r="E56" s="73"/>
    </row>
    <row r="57" spans="2:8" x14ac:dyDescent="0.3">
      <c r="B57" s="104" t="s">
        <v>159</v>
      </c>
      <c r="C57" s="71">
        <v>0.90720000000000001</v>
      </c>
      <c r="D57" s="105" t="s">
        <v>160</v>
      </c>
      <c r="E57" s="106"/>
      <c r="G57" s="104"/>
      <c r="H57" s="104"/>
    </row>
    <row r="58" spans="2:8" x14ac:dyDescent="0.3">
      <c r="B58" s="104" t="s">
        <v>161</v>
      </c>
      <c r="C58" s="71">
        <v>10</v>
      </c>
      <c r="D58" s="105" t="s">
        <v>162</v>
      </c>
      <c r="E58" s="106"/>
      <c r="G58" s="104"/>
      <c r="H58" s="104"/>
    </row>
    <row r="59" spans="2:8" x14ac:dyDescent="0.3">
      <c r="B59" s="104" t="s">
        <v>185</v>
      </c>
      <c r="C59" s="71">
        <v>1.2609999999999999</v>
      </c>
      <c r="D59" s="105" t="s">
        <v>186</v>
      </c>
      <c r="E59" s="106"/>
      <c r="G59" s="104"/>
      <c r="H59" s="104"/>
    </row>
    <row r="61" spans="2:8" ht="15.75" thickBot="1" x14ac:dyDescent="0.35">
      <c r="B61" s="101" t="s">
        <v>206</v>
      </c>
      <c r="C61" s="102"/>
      <c r="D61" s="102"/>
      <c r="E61" s="102"/>
    </row>
    <row r="62" spans="2:8" x14ac:dyDescent="0.3">
      <c r="B62" s="52" t="s">
        <v>72</v>
      </c>
      <c r="C62" s="69">
        <v>1184150</v>
      </c>
      <c r="D62" s="128"/>
      <c r="E62" s="128"/>
    </row>
    <row r="63" spans="2:8" x14ac:dyDescent="0.3">
      <c r="B63" s="73" t="s">
        <v>70</v>
      </c>
      <c r="C63" s="73" t="s">
        <v>2</v>
      </c>
      <c r="D63" s="73" t="s">
        <v>71</v>
      </c>
      <c r="E63" s="73" t="s">
        <v>16</v>
      </c>
      <c r="F63" s="73" t="s">
        <v>16</v>
      </c>
    </row>
    <row r="64" spans="2:8" x14ac:dyDescent="0.3">
      <c r="B64" s="52" t="s">
        <v>309</v>
      </c>
      <c r="C64" s="68">
        <v>1.0900000000000001E-4</v>
      </c>
      <c r="D64" s="68">
        <v>0.7</v>
      </c>
      <c r="E64" s="68">
        <f t="shared" ref="E64:E67" si="3">+D64*C64</f>
        <v>7.6299999999999998E-5</v>
      </c>
      <c r="F64" s="56">
        <f t="shared" ref="F64:F67" si="4">+$C$31*C64*D64</f>
        <v>94.211424999999991</v>
      </c>
    </row>
    <row r="65" spans="2:6" x14ac:dyDescent="0.3">
      <c r="B65" s="52" t="s">
        <v>311</v>
      </c>
      <c r="C65" s="68">
        <v>8.0000000000000007E-5</v>
      </c>
      <c r="D65" s="68">
        <v>0.75</v>
      </c>
      <c r="E65" s="68">
        <f t="shared" si="3"/>
        <v>6.0000000000000008E-5</v>
      </c>
      <c r="F65" s="56">
        <f t="shared" si="4"/>
        <v>74.085000000000008</v>
      </c>
    </row>
    <row r="66" spans="2:6" x14ac:dyDescent="0.3">
      <c r="B66" s="52" t="s">
        <v>312</v>
      </c>
      <c r="C66" s="68">
        <v>3.4699999999999998E-4</v>
      </c>
      <c r="D66" s="68">
        <v>0.8</v>
      </c>
      <c r="E66" s="68">
        <f t="shared" si="3"/>
        <v>2.7759999999999997E-4</v>
      </c>
      <c r="F66" s="56">
        <f t="shared" si="4"/>
        <v>342.76659999999998</v>
      </c>
    </row>
    <row r="67" spans="2:6" x14ac:dyDescent="0.3">
      <c r="B67" s="52" t="s">
        <v>318</v>
      </c>
      <c r="C67" s="68">
        <v>8.1999999999999998E-4</v>
      </c>
      <c r="D67" s="68">
        <v>0.85</v>
      </c>
      <c r="E67" s="68">
        <f t="shared" si="3"/>
        <v>6.9699999999999992E-4</v>
      </c>
      <c r="F67" s="56">
        <f t="shared" si="4"/>
        <v>860.62074999999993</v>
      </c>
    </row>
    <row r="69" spans="2:6" x14ac:dyDescent="0.3">
      <c r="B69" s="52" t="s">
        <v>320</v>
      </c>
      <c r="C69" s="61">
        <v>0.08</v>
      </c>
    </row>
  </sheetData>
  <dataValidations count="1">
    <dataValidation type="list" allowBlank="1" showInputMessage="1" showErrorMessage="1" sqref="L4" xr:uid="{376A9BFB-125A-4EBA-9446-D8C5C938E404}">
      <formula1>$O$4:$O$5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1974A-AD65-40BC-BE5D-40387C2E6019}">
  <sheetPr>
    <tabColor theme="9" tint="0.39997558519241921"/>
  </sheetPr>
  <dimension ref="B1:T59"/>
  <sheetViews>
    <sheetView showGridLines="0" topLeftCell="A19" workbookViewId="0">
      <selection activeCell="I33" sqref="I33"/>
    </sheetView>
  </sheetViews>
  <sheetFormatPr defaultRowHeight="15" x14ac:dyDescent="0.3"/>
  <cols>
    <col min="1" max="1" width="1.7109375" style="52" customWidth="1"/>
    <col min="2" max="2" width="17.7109375" style="52" customWidth="1"/>
    <col min="3" max="4" width="17" style="52" customWidth="1"/>
    <col min="5" max="6" width="17" style="68" customWidth="1"/>
    <col min="7" max="7" width="1.85546875" style="52" customWidth="1"/>
    <col min="8" max="8" width="17.7109375" style="52" customWidth="1"/>
    <col min="9" max="10" width="17" style="52" customWidth="1"/>
    <col min="11" max="12" width="17" style="68" customWidth="1"/>
    <col min="13" max="13" width="1.85546875" style="52" customWidth="1"/>
    <col min="14" max="14" width="9.28515625" style="52" customWidth="1"/>
    <col min="15" max="15" width="10" style="52" bestFit="1" customWidth="1"/>
    <col min="16" max="16" width="9" style="52" bestFit="1" customWidth="1"/>
    <col min="17" max="20" width="8.7109375" style="52" customWidth="1"/>
    <col min="21" max="16384" width="9.140625" style="52"/>
  </cols>
  <sheetData>
    <row r="1" spans="2:20" x14ac:dyDescent="0.3">
      <c r="B1" s="178" t="s">
        <v>283</v>
      </c>
      <c r="E1" s="52"/>
      <c r="F1" s="52"/>
      <c r="H1" s="178"/>
      <c r="K1" s="52"/>
      <c r="L1" s="52"/>
    </row>
    <row r="2" spans="2:20" ht="18" x14ac:dyDescent="0.35">
      <c r="B2" s="74" t="s">
        <v>396</v>
      </c>
      <c r="C2" s="75"/>
      <c r="D2" s="75"/>
      <c r="E2" s="75"/>
      <c r="F2" s="75"/>
      <c r="G2" s="75"/>
      <c r="H2" s="74"/>
      <c r="I2" s="75"/>
      <c r="J2" s="75"/>
      <c r="K2" s="75"/>
      <c r="L2" s="75"/>
      <c r="M2" s="75"/>
    </row>
    <row r="4" spans="2:20" ht="15.75" thickBot="1" x14ac:dyDescent="0.35">
      <c r="B4" s="101" t="s">
        <v>393</v>
      </c>
      <c r="C4" s="277" t="s">
        <v>6</v>
      </c>
      <c r="D4" s="277" t="s">
        <v>65</v>
      </c>
      <c r="K4" s="52"/>
    </row>
    <row r="5" spans="2:20" x14ac:dyDescent="0.3">
      <c r="B5" s="52" t="s">
        <v>73</v>
      </c>
      <c r="C5" s="52">
        <v>100</v>
      </c>
      <c r="D5" s="68">
        <f>+C5/SUM($C$5:$C$7)</f>
        <v>0.2</v>
      </c>
      <c r="K5" s="52"/>
    </row>
    <row r="6" spans="2:20" x14ac:dyDescent="0.3">
      <c r="B6" s="52" t="s">
        <v>394</v>
      </c>
      <c r="C6" s="52">
        <v>250</v>
      </c>
      <c r="D6" s="68">
        <f>+C6/SUM($C$5:$C$7)</f>
        <v>0.5</v>
      </c>
      <c r="K6" s="52"/>
    </row>
    <row r="7" spans="2:20" x14ac:dyDescent="0.3">
      <c r="B7" s="52" t="s">
        <v>395</v>
      </c>
      <c r="C7" s="52">
        <v>150</v>
      </c>
      <c r="D7" s="68">
        <f>+C7/SUM($C$5:$C$7)</f>
        <v>0.3</v>
      </c>
      <c r="J7" s="68"/>
    </row>
    <row r="9" spans="2:20" ht="18" x14ac:dyDescent="0.35">
      <c r="B9" s="284" t="s">
        <v>73</v>
      </c>
      <c r="H9" s="284" t="s">
        <v>207</v>
      </c>
      <c r="I9" s="58"/>
      <c r="N9" s="284" t="s">
        <v>406</v>
      </c>
    </row>
    <row r="11" spans="2:20" ht="15.75" thickBot="1" x14ac:dyDescent="0.35">
      <c r="B11" s="101" t="s">
        <v>398</v>
      </c>
      <c r="C11" s="102"/>
      <c r="D11" s="102"/>
      <c r="E11" s="269"/>
      <c r="F11" s="269"/>
      <c r="H11" s="101" t="s">
        <v>385</v>
      </c>
      <c r="I11" s="102"/>
      <c r="J11" s="102"/>
      <c r="K11" s="269"/>
      <c r="L11" s="269"/>
      <c r="N11" s="101" t="s">
        <v>390</v>
      </c>
      <c r="O11" s="265"/>
      <c r="P11" s="265"/>
      <c r="Q11" s="271"/>
      <c r="R11" s="271"/>
      <c r="S11" s="271"/>
      <c r="T11" s="271"/>
    </row>
    <row r="12" spans="2:20" x14ac:dyDescent="0.3">
      <c r="B12" s="37" t="s">
        <v>72</v>
      </c>
      <c r="C12" s="279">
        <v>494000</v>
      </c>
      <c r="D12" s="128"/>
      <c r="E12" s="275"/>
      <c r="F12" s="275"/>
      <c r="H12" s="37" t="s">
        <v>72</v>
      </c>
      <c r="I12" s="279">
        <f>+O17*1000</f>
        <v>454750</v>
      </c>
      <c r="J12" s="128"/>
      <c r="K12" s="275"/>
      <c r="L12" s="275"/>
      <c r="N12" s="73" t="s">
        <v>405</v>
      </c>
      <c r="O12" s="85" t="s">
        <v>64</v>
      </c>
      <c r="P12" s="85" t="s">
        <v>305</v>
      </c>
      <c r="Q12" s="270" t="s">
        <v>307</v>
      </c>
      <c r="R12" s="270" t="s">
        <v>4</v>
      </c>
      <c r="S12" s="270" t="s">
        <v>3</v>
      </c>
      <c r="T12" s="270" t="s">
        <v>304</v>
      </c>
    </row>
    <row r="13" spans="2:20" x14ac:dyDescent="0.3">
      <c r="B13" s="73" t="s">
        <v>70</v>
      </c>
      <c r="C13" s="85" t="s">
        <v>2</v>
      </c>
      <c r="D13" s="85" t="s">
        <v>71</v>
      </c>
      <c r="E13" s="270" t="s">
        <v>399</v>
      </c>
      <c r="F13" s="270" t="s">
        <v>16</v>
      </c>
      <c r="H13" s="73" t="s">
        <v>70</v>
      </c>
      <c r="I13" s="85" t="s">
        <v>2</v>
      </c>
      <c r="J13" s="85" t="s">
        <v>71</v>
      </c>
      <c r="K13" s="270" t="s">
        <v>399</v>
      </c>
      <c r="L13" s="270" t="s">
        <v>16</v>
      </c>
      <c r="N13" s="52" t="s">
        <v>384</v>
      </c>
      <c r="O13" s="285">
        <v>180</v>
      </c>
      <c r="P13" s="285">
        <v>8.5</v>
      </c>
      <c r="Q13" s="267">
        <v>8.0000000000000002E-3</v>
      </c>
      <c r="R13" s="267">
        <v>6.4000000000000001E-2</v>
      </c>
      <c r="S13" s="267">
        <v>6.0000000000000001E-3</v>
      </c>
      <c r="T13" s="267">
        <v>0</v>
      </c>
    </row>
    <row r="14" spans="2:20" x14ac:dyDescent="0.3">
      <c r="B14" s="187" t="s">
        <v>305</v>
      </c>
      <c r="C14" s="280">
        <v>0.32</v>
      </c>
      <c r="D14" s="281">
        <v>0.85</v>
      </c>
      <c r="E14" s="282">
        <f>+D14*C14</f>
        <v>0.27200000000000002</v>
      </c>
      <c r="F14" s="288">
        <f>+$C$12*E14</f>
        <v>134368</v>
      </c>
      <c r="G14" s="115"/>
      <c r="H14" s="187" t="s">
        <v>305</v>
      </c>
      <c r="I14" s="287">
        <f>+P17</f>
        <v>21.1238592633315</v>
      </c>
      <c r="J14" s="281">
        <v>0.9</v>
      </c>
      <c r="K14" s="282">
        <f>+J14*I14</f>
        <v>19.01147333699835</v>
      </c>
      <c r="L14" s="288">
        <f>+$C$12*K14</f>
        <v>9391667.8284771852</v>
      </c>
      <c r="M14" s="115"/>
      <c r="N14" s="52" t="s">
        <v>392</v>
      </c>
      <c r="O14" s="286">
        <v>175</v>
      </c>
      <c r="P14" s="286">
        <v>41</v>
      </c>
      <c r="Q14" s="267">
        <v>0.04</v>
      </c>
      <c r="R14" s="267">
        <v>0.14000000000000001</v>
      </c>
      <c r="S14" s="267">
        <v>8.9999999999999993E-3</v>
      </c>
      <c r="T14" s="267">
        <v>0.06</v>
      </c>
    </row>
    <row r="15" spans="2:20" x14ac:dyDescent="0.3">
      <c r="B15" s="52" t="s">
        <v>304</v>
      </c>
      <c r="C15" s="267">
        <v>4.1000000000000003E-3</v>
      </c>
      <c r="D15" s="268">
        <v>0.85</v>
      </c>
      <c r="E15" s="267">
        <f>+D15*C15</f>
        <v>3.4850000000000003E-3</v>
      </c>
      <c r="F15" s="283">
        <f t="shared" ref="F15:F18" si="0">+$C$12*E15</f>
        <v>1721.5900000000001</v>
      </c>
      <c r="G15" s="115"/>
      <c r="H15" s="52" t="s">
        <v>304</v>
      </c>
      <c r="I15" s="267">
        <f>+T17</f>
        <v>2.308960967564596E-2</v>
      </c>
      <c r="J15" s="268">
        <v>0.85</v>
      </c>
      <c r="K15" s="267">
        <f>+J15*I15</f>
        <v>1.9626168224299065E-2</v>
      </c>
      <c r="L15" s="283">
        <f t="shared" ref="L15:L18" si="1">+$C$12*K15</f>
        <v>9695.3271028037379</v>
      </c>
      <c r="M15" s="115"/>
      <c r="N15" s="52" t="s">
        <v>392</v>
      </c>
      <c r="O15" s="286">
        <v>66.5</v>
      </c>
      <c r="P15" s="286">
        <v>9.3000000000000007</v>
      </c>
      <c r="Q15" s="267">
        <v>8.9999999999999993E-3</v>
      </c>
      <c r="R15" s="267">
        <v>8.2000000000000003E-2</v>
      </c>
      <c r="S15" s="267">
        <v>8.9999999999999993E-3</v>
      </c>
      <c r="T15" s="267">
        <v>0</v>
      </c>
    </row>
    <row r="16" spans="2:20" x14ac:dyDescent="0.3">
      <c r="B16" s="52" t="s">
        <v>307</v>
      </c>
      <c r="C16" s="267">
        <v>0</v>
      </c>
      <c r="D16" s="268">
        <v>0.85</v>
      </c>
      <c r="E16" s="267">
        <f t="shared" ref="E16" si="2">+D16*C16</f>
        <v>0</v>
      </c>
      <c r="F16" s="283">
        <f t="shared" si="0"/>
        <v>0</v>
      </c>
      <c r="H16" s="52" t="s">
        <v>307</v>
      </c>
      <c r="I16" s="267">
        <f>+Q17</f>
        <v>2.0460692688290271E-2</v>
      </c>
      <c r="J16" s="268">
        <v>0.85</v>
      </c>
      <c r="K16" s="267">
        <f t="shared" ref="K16" si="3">+J16*I16</f>
        <v>1.7391588785046729E-2</v>
      </c>
      <c r="L16" s="283">
        <f t="shared" si="1"/>
        <v>8591.4448598130839</v>
      </c>
      <c r="N16" s="52" t="s">
        <v>392</v>
      </c>
      <c r="O16" s="286">
        <v>33.25</v>
      </c>
      <c r="P16" s="286">
        <v>8.5</v>
      </c>
      <c r="Q16" s="267">
        <v>8.0000000000000002E-3</v>
      </c>
      <c r="R16" s="267">
        <v>6.4000000000000001E-2</v>
      </c>
      <c r="S16" s="267">
        <v>8.9999999999999993E-3</v>
      </c>
      <c r="T16" s="267">
        <v>0</v>
      </c>
    </row>
    <row r="17" spans="2:20" x14ac:dyDescent="0.3">
      <c r="B17" s="52" t="s">
        <v>3</v>
      </c>
      <c r="C17" s="267">
        <v>9.7000000000000003E-3</v>
      </c>
      <c r="D17" s="268">
        <v>0.85</v>
      </c>
      <c r="E17" s="267">
        <f>+D17*C17</f>
        <v>8.2450000000000006E-3</v>
      </c>
      <c r="F17" s="283">
        <f t="shared" si="0"/>
        <v>4073.03</v>
      </c>
      <c r="G17" s="115"/>
      <c r="H17" s="52" t="s">
        <v>3</v>
      </c>
      <c r="I17" s="267">
        <f>+S17</f>
        <v>7.8125343595382077E-3</v>
      </c>
      <c r="J17" s="268">
        <v>0.85</v>
      </c>
      <c r="K17" s="267">
        <f>+J17*I17</f>
        <v>6.6406542056074765E-3</v>
      </c>
      <c r="L17" s="283">
        <f t="shared" si="1"/>
        <v>3280.4831775700936</v>
      </c>
      <c r="M17" s="115"/>
      <c r="N17" s="52" t="s">
        <v>16</v>
      </c>
      <c r="O17" s="286">
        <f>SUM(O13:O16)</f>
        <v>454.75</v>
      </c>
      <c r="P17" s="286" cm="1">
        <f t="array" ref="P17">SUMPRODUCT(P13:P16,$O$13:$O$16/$O$17)</f>
        <v>21.1238592633315</v>
      </c>
      <c r="Q17" s="267" cm="1">
        <f t="array" ref="Q17">SUMPRODUCT(Q13:Q16,$O$13:$O$16/$O$17)</f>
        <v>2.0460692688290271E-2</v>
      </c>
      <c r="R17" s="267" cm="1">
        <f t="array" ref="R17">SUMPRODUCT(R13:R16,$O$13:$O$16/$O$17)</f>
        <v>9.5879054425508523E-2</v>
      </c>
      <c r="S17" s="267" cm="1">
        <f t="array" ref="S17">SUMPRODUCT(S13:S16,$O$13:$O$16/$O$17)</f>
        <v>7.8125343595382077E-3</v>
      </c>
      <c r="T17" s="267" cm="1">
        <f t="array" ref="T17">SUMPRODUCT(T13:T16,$O$13:$O$16/$O$17)</f>
        <v>2.308960967564596E-2</v>
      </c>
    </row>
    <row r="18" spans="2:20" x14ac:dyDescent="0.3">
      <c r="B18" s="52" t="s">
        <v>4</v>
      </c>
      <c r="C18" s="267">
        <v>1.9300000000000001E-2</v>
      </c>
      <c r="D18" s="268">
        <v>0.85</v>
      </c>
      <c r="E18" s="267">
        <f t="shared" ref="E18" si="4">+D18*C18</f>
        <v>1.6404999999999999E-2</v>
      </c>
      <c r="F18" s="283">
        <f t="shared" si="0"/>
        <v>8104.07</v>
      </c>
      <c r="G18" s="115"/>
      <c r="H18" s="52" t="s">
        <v>4</v>
      </c>
      <c r="I18" s="267">
        <f>+R17</f>
        <v>9.5879054425508523E-2</v>
      </c>
      <c r="J18" s="268">
        <v>0.85</v>
      </c>
      <c r="K18" s="267">
        <f t="shared" ref="K18" si="5">+J18*I18</f>
        <v>8.1497196261682239E-2</v>
      </c>
      <c r="L18" s="283">
        <f t="shared" si="1"/>
        <v>40259.614953271026</v>
      </c>
      <c r="M18" s="115"/>
    </row>
    <row r="20" spans="2:20" ht="15.75" thickBot="1" x14ac:dyDescent="0.35">
      <c r="B20" s="101" t="s">
        <v>400</v>
      </c>
      <c r="C20" s="102"/>
      <c r="D20" s="102"/>
      <c r="E20" s="269"/>
      <c r="F20" s="269"/>
      <c r="H20" s="101" t="s">
        <v>382</v>
      </c>
      <c r="I20" s="102"/>
      <c r="J20" s="102"/>
      <c r="K20" s="269"/>
      <c r="L20" s="269"/>
      <c r="N20" s="101" t="s">
        <v>389</v>
      </c>
      <c r="O20" s="265"/>
      <c r="P20" s="265"/>
      <c r="Q20" s="271"/>
      <c r="R20" s="271"/>
      <c r="S20" s="271"/>
      <c r="T20" s="101"/>
    </row>
    <row r="21" spans="2:20" x14ac:dyDescent="0.3">
      <c r="B21" s="37" t="s">
        <v>72</v>
      </c>
      <c r="C21" s="279">
        <v>668000</v>
      </c>
      <c r="D21" s="128"/>
      <c r="E21" s="275"/>
      <c r="F21" s="275"/>
      <c r="H21" s="37" t="s">
        <v>72</v>
      </c>
      <c r="I21" s="279">
        <f>+O24*1000</f>
        <v>780000</v>
      </c>
      <c r="J21" s="128"/>
      <c r="K21" s="275"/>
      <c r="L21" s="275"/>
      <c r="N21" s="73" t="s">
        <v>405</v>
      </c>
      <c r="O21" s="85" t="s">
        <v>64</v>
      </c>
      <c r="P21" s="85" t="s">
        <v>305</v>
      </c>
      <c r="Q21" s="270" t="s">
        <v>307</v>
      </c>
      <c r="R21" s="270" t="s">
        <v>4</v>
      </c>
      <c r="S21" s="270" t="s">
        <v>3</v>
      </c>
      <c r="T21" s="270" t="s">
        <v>304</v>
      </c>
    </row>
    <row r="22" spans="2:20" x14ac:dyDescent="0.3">
      <c r="B22" s="73" t="s">
        <v>70</v>
      </c>
      <c r="C22" s="85" t="s">
        <v>2</v>
      </c>
      <c r="D22" s="85" t="s">
        <v>71</v>
      </c>
      <c r="E22" s="270" t="s">
        <v>399</v>
      </c>
      <c r="F22" s="270" t="s">
        <v>16</v>
      </c>
      <c r="H22" s="73" t="s">
        <v>70</v>
      </c>
      <c r="I22" s="85" t="s">
        <v>2</v>
      </c>
      <c r="J22" s="85" t="s">
        <v>71</v>
      </c>
      <c r="K22" s="270" t="s">
        <v>399</v>
      </c>
      <c r="L22" s="270" t="s">
        <v>16</v>
      </c>
      <c r="N22" s="52" t="s">
        <v>383</v>
      </c>
      <c r="O22" s="285">
        <v>30</v>
      </c>
      <c r="P22" s="285">
        <v>10.6</v>
      </c>
      <c r="Q22" s="267">
        <v>0</v>
      </c>
      <c r="R22" s="267">
        <v>0.125</v>
      </c>
      <c r="S22" s="267">
        <v>0</v>
      </c>
      <c r="T22" s="267">
        <v>0</v>
      </c>
    </row>
    <row r="23" spans="2:20" x14ac:dyDescent="0.3">
      <c r="B23" s="187" t="s">
        <v>305</v>
      </c>
      <c r="C23" s="280">
        <v>0.31</v>
      </c>
      <c r="D23" s="281">
        <v>0.85</v>
      </c>
      <c r="E23" s="282">
        <f>+D23*C23</f>
        <v>0.26350000000000001</v>
      </c>
      <c r="F23" s="288">
        <f>+$C$12*E23</f>
        <v>130169</v>
      </c>
      <c r="H23" s="187" t="s">
        <v>305</v>
      </c>
      <c r="I23" s="287">
        <f>+P24</f>
        <v>10.6</v>
      </c>
      <c r="J23" s="281">
        <v>0.9</v>
      </c>
      <c r="K23" s="282">
        <f>+J23*I23</f>
        <v>9.5399999999999991</v>
      </c>
      <c r="L23" s="288">
        <f>+$C$12*K23</f>
        <v>4712760</v>
      </c>
      <c r="N23" s="52" t="s">
        <v>383</v>
      </c>
      <c r="O23" s="286">
        <v>750</v>
      </c>
      <c r="P23" s="286">
        <v>10.6</v>
      </c>
      <c r="Q23" s="267">
        <v>0</v>
      </c>
      <c r="R23" s="267">
        <v>0.125</v>
      </c>
      <c r="S23" s="267">
        <v>0</v>
      </c>
      <c r="T23" s="267">
        <v>0</v>
      </c>
    </row>
    <row r="24" spans="2:20" x14ac:dyDescent="0.3">
      <c r="B24" s="52" t="s">
        <v>304</v>
      </c>
      <c r="C24" s="267">
        <v>3.8999999999999998E-3</v>
      </c>
      <c r="D24" s="268">
        <v>0.85</v>
      </c>
      <c r="E24" s="267">
        <f>+D24*C24</f>
        <v>3.3149999999999998E-3</v>
      </c>
      <c r="F24" s="283">
        <f t="shared" ref="F24:F27" si="6">+$C$12*E24</f>
        <v>1637.61</v>
      </c>
      <c r="H24" s="52" t="s">
        <v>304</v>
      </c>
      <c r="I24" s="267">
        <f>+T24</f>
        <v>0</v>
      </c>
      <c r="J24" s="268">
        <v>0.85</v>
      </c>
      <c r="K24" s="267">
        <f>+J24*I24</f>
        <v>0</v>
      </c>
      <c r="L24" s="283">
        <f t="shared" ref="L24:L27" si="7">+$C$12*K24</f>
        <v>0</v>
      </c>
      <c r="N24" s="52" t="s">
        <v>16</v>
      </c>
      <c r="O24" s="286">
        <f>SUM(O22:O23)</f>
        <v>780</v>
      </c>
      <c r="P24" s="286">
        <f>SUMPRODUCT(P22:P23,$O$22:$O$23)/$O$24</f>
        <v>10.6</v>
      </c>
      <c r="Q24" s="267">
        <f>SUMPRODUCT(Q22:Q23,$O$22:$O$23)/$O$24</f>
        <v>0</v>
      </c>
      <c r="R24" s="267">
        <f>SUMPRODUCT(R22:R23,$O$22:$O$23)/$O$24</f>
        <v>0.125</v>
      </c>
      <c r="S24" s="267">
        <f>SUMPRODUCT(S22:S23,$O$22:$O$23)/$O$24</f>
        <v>0</v>
      </c>
      <c r="T24" s="267">
        <f>SUMPRODUCT(T22:T23,$O$22:$O$23)/$O$24</f>
        <v>0</v>
      </c>
    </row>
    <row r="25" spans="2:20" x14ac:dyDescent="0.3">
      <c r="B25" s="52" t="s">
        <v>307</v>
      </c>
      <c r="C25" s="267">
        <f>+K25</f>
        <v>0</v>
      </c>
      <c r="D25" s="268">
        <v>0.85</v>
      </c>
      <c r="E25" s="267">
        <f t="shared" ref="E25" si="8">+D25*C25</f>
        <v>0</v>
      </c>
      <c r="F25" s="283">
        <f t="shared" si="6"/>
        <v>0</v>
      </c>
      <c r="H25" s="52" t="s">
        <v>307</v>
      </c>
      <c r="I25" s="267">
        <f>+Q24</f>
        <v>0</v>
      </c>
      <c r="J25" s="268">
        <v>0.85</v>
      </c>
      <c r="K25" s="267">
        <f t="shared" ref="K25" si="9">+J25*I25</f>
        <v>0</v>
      </c>
      <c r="L25" s="283">
        <f t="shared" si="7"/>
        <v>0</v>
      </c>
    </row>
    <row r="26" spans="2:20" x14ac:dyDescent="0.3">
      <c r="B26" s="52" t="s">
        <v>3</v>
      </c>
      <c r="C26" s="267">
        <v>8.2000000000000007E-3</v>
      </c>
      <c r="D26" s="268">
        <v>0.85</v>
      </c>
      <c r="E26" s="267">
        <f>+D26*C26</f>
        <v>6.9700000000000005E-3</v>
      </c>
      <c r="F26" s="283">
        <f t="shared" si="6"/>
        <v>3443.1800000000003</v>
      </c>
      <c r="H26" s="52" t="s">
        <v>3</v>
      </c>
      <c r="I26" s="267">
        <f>+S24</f>
        <v>0</v>
      </c>
      <c r="J26" s="268">
        <v>0.85</v>
      </c>
      <c r="K26" s="267">
        <f>+J26*I26</f>
        <v>0</v>
      </c>
      <c r="L26" s="283">
        <f t="shared" si="7"/>
        <v>0</v>
      </c>
    </row>
    <row r="27" spans="2:20" x14ac:dyDescent="0.3">
      <c r="B27" s="52" t="s">
        <v>4</v>
      </c>
      <c r="C27" s="267">
        <v>1.7500000000000002E-2</v>
      </c>
      <c r="D27" s="268">
        <v>0.85</v>
      </c>
      <c r="E27" s="267">
        <f t="shared" ref="E27" si="10">+D27*C27</f>
        <v>1.4875000000000001E-2</v>
      </c>
      <c r="F27" s="283">
        <f t="shared" si="6"/>
        <v>7348.2500000000009</v>
      </c>
      <c r="H27" s="52" t="s">
        <v>4</v>
      </c>
      <c r="I27" s="267">
        <f>+R24</f>
        <v>0.125</v>
      </c>
      <c r="J27" s="268">
        <v>0.98699999999999999</v>
      </c>
      <c r="K27" s="267">
        <f t="shared" ref="K27" si="11">+J27*I27</f>
        <v>0.123375</v>
      </c>
      <c r="L27" s="283">
        <f t="shared" si="7"/>
        <v>60947.25</v>
      </c>
    </row>
    <row r="29" spans="2:20" ht="15.75" thickBot="1" x14ac:dyDescent="0.35">
      <c r="B29" s="101" t="s">
        <v>401</v>
      </c>
      <c r="C29" s="102"/>
      <c r="D29" s="102"/>
      <c r="E29" s="269"/>
      <c r="F29" s="269"/>
      <c r="H29" s="101" t="s">
        <v>404</v>
      </c>
      <c r="I29" s="102"/>
      <c r="J29" s="102"/>
      <c r="K29" s="269"/>
      <c r="L29" s="269"/>
    </row>
    <row r="30" spans="2:20" x14ac:dyDescent="0.3">
      <c r="B30" s="37" t="s">
        <v>72</v>
      </c>
      <c r="C30" s="279">
        <f>+C21+C12</f>
        <v>1162000</v>
      </c>
      <c r="D30" s="128"/>
      <c r="E30" s="275"/>
      <c r="F30" s="275"/>
      <c r="H30" s="37" t="s">
        <v>72</v>
      </c>
      <c r="I30" s="279">
        <f>+I21+I12</f>
        <v>1234750</v>
      </c>
      <c r="J30" s="128"/>
      <c r="K30" s="275"/>
      <c r="L30" s="275"/>
    </row>
    <row r="31" spans="2:20" x14ac:dyDescent="0.3">
      <c r="B31" s="73" t="s">
        <v>70</v>
      </c>
      <c r="C31" s="85" t="s">
        <v>2</v>
      </c>
      <c r="D31" s="85" t="s">
        <v>71</v>
      </c>
      <c r="E31" s="270" t="s">
        <v>399</v>
      </c>
      <c r="F31" s="270" t="s">
        <v>16</v>
      </c>
      <c r="H31" s="73" t="s">
        <v>70</v>
      </c>
      <c r="I31" s="85" t="s">
        <v>2</v>
      </c>
      <c r="J31" s="85" t="s">
        <v>71</v>
      </c>
      <c r="K31" s="270" t="s">
        <v>399</v>
      </c>
      <c r="L31" s="270" t="s">
        <v>16</v>
      </c>
    </row>
    <row r="32" spans="2:20" x14ac:dyDescent="0.3">
      <c r="B32" s="187" t="s">
        <v>305</v>
      </c>
      <c r="C32" s="282">
        <f>$C$12/$C$30*C14+$C$21/$C$30*C23</f>
        <v>0.31425129087779691</v>
      </c>
      <c r="D32" s="281">
        <v>0.85</v>
      </c>
      <c r="E32" s="282">
        <f>+D32*C32</f>
        <v>0.26711359724612738</v>
      </c>
      <c r="F32" s="156">
        <f>+$C$12*E32</f>
        <v>131954.11703958691</v>
      </c>
      <c r="H32" s="187" t="s">
        <v>305</v>
      </c>
      <c r="I32" s="287">
        <f>+$I$12/$I$30*I14+$I$21/$I$30*I23</f>
        <v>14.475865559829924</v>
      </c>
      <c r="J32" s="281">
        <v>0.9</v>
      </c>
      <c r="K32" s="282">
        <f>+J32*I32</f>
        <v>13.028279003846931</v>
      </c>
      <c r="L32" s="156">
        <f>+$C$12*K32</f>
        <v>6435969.8279003836</v>
      </c>
    </row>
    <row r="33" spans="2:16" x14ac:dyDescent="0.3">
      <c r="B33" s="52" t="s">
        <v>304</v>
      </c>
      <c r="C33" s="267">
        <f t="shared" ref="C33:C36" si="12">$C$12/$C$30*C15+$C$21/$C$30*C24</f>
        <v>3.9850258175559384E-3</v>
      </c>
      <c r="D33" s="268">
        <v>0.85</v>
      </c>
      <c r="E33" s="267">
        <f>+D33*C33</f>
        <v>3.3872719449225476E-3</v>
      </c>
      <c r="F33" s="283">
        <f t="shared" ref="F33:F36" si="13">+$C$12*E33</f>
        <v>1673.3123407917385</v>
      </c>
      <c r="H33" s="52" t="s">
        <v>304</v>
      </c>
      <c r="I33" s="267">
        <f t="shared" ref="I33:I36" si="14">+$I$12/$I$30*I15+$I$21/$I$30*I24</f>
        <v>8.5037456975096178E-3</v>
      </c>
      <c r="J33" s="268">
        <v>0.85</v>
      </c>
      <c r="K33" s="267">
        <f>+J33*I33</f>
        <v>7.2281838428831747E-3</v>
      </c>
      <c r="L33" s="283">
        <f t="shared" ref="L33:L36" si="15">+$C$12*K33</f>
        <v>3570.7228183842885</v>
      </c>
    </row>
    <row r="34" spans="2:16" x14ac:dyDescent="0.3">
      <c r="B34" s="52" t="s">
        <v>307</v>
      </c>
      <c r="C34" s="267">
        <f t="shared" si="12"/>
        <v>0</v>
      </c>
      <c r="D34" s="268">
        <v>0.85</v>
      </c>
      <c r="E34" s="267">
        <f t="shared" ref="E34" si="16">+D34*C34</f>
        <v>0</v>
      </c>
      <c r="F34" s="283">
        <f t="shared" si="13"/>
        <v>0</v>
      </c>
      <c r="H34" s="52" t="s">
        <v>307</v>
      </c>
      <c r="I34" s="267">
        <f t="shared" si="14"/>
        <v>7.5355335088074515E-3</v>
      </c>
      <c r="J34" s="268">
        <v>0.85</v>
      </c>
      <c r="K34" s="267">
        <f t="shared" ref="K34" si="17">+J34*I34</f>
        <v>6.4052034824863338E-3</v>
      </c>
      <c r="L34" s="283">
        <f t="shared" si="15"/>
        <v>3164.1705203482488</v>
      </c>
    </row>
    <row r="35" spans="2:16" x14ac:dyDescent="0.3">
      <c r="B35" s="52" t="s">
        <v>3</v>
      </c>
      <c r="C35" s="267">
        <f t="shared" si="12"/>
        <v>8.8376936316695368E-3</v>
      </c>
      <c r="D35" s="268">
        <v>0.85</v>
      </c>
      <c r="E35" s="267">
        <f>+D35*C35</f>
        <v>7.5120395869191061E-3</v>
      </c>
      <c r="F35" s="283">
        <f t="shared" si="13"/>
        <v>3710.9475559380385</v>
      </c>
      <c r="H35" s="52" t="s">
        <v>3</v>
      </c>
      <c r="I35" s="267">
        <f t="shared" si="14"/>
        <v>2.8773030977930756E-3</v>
      </c>
      <c r="J35" s="268">
        <v>0.85</v>
      </c>
      <c r="K35" s="267">
        <f>+J35*I35</f>
        <v>2.4457076331241144E-3</v>
      </c>
      <c r="L35" s="283">
        <f t="shared" si="15"/>
        <v>1208.1795707633125</v>
      </c>
    </row>
    <row r="36" spans="2:16" x14ac:dyDescent="0.3">
      <c r="B36" s="52" t="s">
        <v>4</v>
      </c>
      <c r="C36" s="267">
        <f t="shared" si="12"/>
        <v>1.8265232358003442E-2</v>
      </c>
      <c r="D36" s="268">
        <v>0.85</v>
      </c>
      <c r="E36" s="267">
        <f t="shared" ref="E36" si="18">+D36*C36</f>
        <v>1.5525447504302925E-2</v>
      </c>
      <c r="F36" s="283">
        <f t="shared" si="13"/>
        <v>7669.5710671256447</v>
      </c>
      <c r="H36" s="52" t="s">
        <v>4</v>
      </c>
      <c r="I36" s="267">
        <f t="shared" si="14"/>
        <v>0.11427495444421948</v>
      </c>
      <c r="J36" s="268">
        <v>0.98699999999999999</v>
      </c>
      <c r="K36" s="267">
        <f t="shared" ref="K36" si="19">+J36*I36</f>
        <v>0.11278938003644462</v>
      </c>
      <c r="L36" s="283">
        <f t="shared" si="15"/>
        <v>55717.953738003642</v>
      </c>
    </row>
    <row r="37" spans="2:16" x14ac:dyDescent="0.3">
      <c r="B37" s="52" t="s">
        <v>397</v>
      </c>
      <c r="H37" s="52" t="s">
        <v>397</v>
      </c>
    </row>
    <row r="38" spans="2:16" x14ac:dyDescent="0.3">
      <c r="B38" s="52" t="s">
        <v>402</v>
      </c>
      <c r="H38" s="52" t="s">
        <v>402</v>
      </c>
    </row>
    <row r="39" spans="2:16" x14ac:dyDescent="0.3">
      <c r="B39" s="52" t="s">
        <v>403</v>
      </c>
      <c r="H39" s="52" t="s">
        <v>407</v>
      </c>
    </row>
    <row r="41" spans="2:16" ht="15.75" thickBot="1" x14ac:dyDescent="0.35">
      <c r="B41" s="101" t="s">
        <v>411</v>
      </c>
      <c r="C41" s="265"/>
      <c r="D41" s="265"/>
      <c r="E41" s="271"/>
      <c r="F41" s="271"/>
    </row>
    <row r="42" spans="2:16" x14ac:dyDescent="0.3">
      <c r="B42" s="37"/>
      <c r="C42" s="289">
        <f>+D5</f>
        <v>0.2</v>
      </c>
      <c r="D42" s="289">
        <v>0.3</v>
      </c>
      <c r="E42" s="290">
        <v>0.5</v>
      </c>
      <c r="F42" s="290"/>
      <c r="H42" s="58"/>
      <c r="K42" s="55"/>
    </row>
    <row r="43" spans="2:16" x14ac:dyDescent="0.3">
      <c r="B43" s="73" t="s">
        <v>70</v>
      </c>
      <c r="C43" s="85" t="s">
        <v>73</v>
      </c>
      <c r="D43" s="85" t="s">
        <v>395</v>
      </c>
      <c r="E43" s="270" t="s">
        <v>394</v>
      </c>
      <c r="F43" s="270" t="s">
        <v>16</v>
      </c>
      <c r="K43" s="299"/>
    </row>
    <row r="44" spans="2:16" x14ac:dyDescent="0.3">
      <c r="B44" s="52" t="s">
        <v>305</v>
      </c>
      <c r="C44" s="266">
        <f>+$C$42*C32</f>
        <v>6.2850258175559379E-2</v>
      </c>
      <c r="D44" s="266">
        <f>+$D$42*I14</f>
        <v>6.3371577789994502</v>
      </c>
      <c r="E44" s="266">
        <f>+$E$42*I23</f>
        <v>5.3</v>
      </c>
      <c r="F44" s="156">
        <f>SUM(C44:E44)</f>
        <v>11.70000803717501</v>
      </c>
      <c r="G44" s="115"/>
      <c r="H44" s="58"/>
      <c r="I44" s="68"/>
    </row>
    <row r="45" spans="2:16" x14ac:dyDescent="0.3">
      <c r="B45" s="52" t="s">
        <v>304</v>
      </c>
      <c r="C45" s="267">
        <f t="shared" ref="C45:C48" si="20">+$C$42*C33</f>
        <v>7.9700516351118771E-4</v>
      </c>
      <c r="D45" s="267">
        <f t="shared" ref="D45:D48" si="21">+$D$42*I15</f>
        <v>6.9268829026937874E-3</v>
      </c>
      <c r="E45" s="267">
        <f t="shared" ref="E45:E48" si="22">+$E$42*I24</f>
        <v>0</v>
      </c>
      <c r="F45" s="267">
        <f t="shared" ref="F45:F48" si="23">SUM(C45:E45)</f>
        <v>7.7238880662049755E-3</v>
      </c>
      <c r="G45" s="115"/>
      <c r="H45" s="58"/>
      <c r="I45" s="117"/>
      <c r="P45" s="55"/>
    </row>
    <row r="46" spans="2:16" x14ac:dyDescent="0.3">
      <c r="B46" s="52" t="s">
        <v>307</v>
      </c>
      <c r="C46" s="267">
        <f t="shared" si="20"/>
        <v>0</v>
      </c>
      <c r="D46" s="267">
        <f t="shared" si="21"/>
        <v>6.1382078064870808E-3</v>
      </c>
      <c r="E46" s="267">
        <f t="shared" si="22"/>
        <v>0</v>
      </c>
      <c r="F46" s="267">
        <f t="shared" si="23"/>
        <v>6.1382078064870808E-3</v>
      </c>
      <c r="G46" s="115"/>
    </row>
    <row r="47" spans="2:16" x14ac:dyDescent="0.3">
      <c r="B47" s="52" t="s">
        <v>3</v>
      </c>
      <c r="C47" s="267">
        <f t="shared" si="20"/>
        <v>1.7675387263339074E-3</v>
      </c>
      <c r="D47" s="267">
        <f t="shared" si="21"/>
        <v>2.3437603078614623E-3</v>
      </c>
      <c r="E47" s="267">
        <f t="shared" si="22"/>
        <v>0</v>
      </c>
      <c r="F47" s="267">
        <f t="shared" si="23"/>
        <v>4.1112990341953693E-3</v>
      </c>
      <c r="G47" s="115"/>
      <c r="H47" s="298"/>
      <c r="I47" s="267"/>
      <c r="J47" s="267"/>
      <c r="K47" s="267"/>
      <c r="L47" s="267"/>
      <c r="M47" s="115"/>
      <c r="N47" s="68"/>
    </row>
    <row r="48" spans="2:16" x14ac:dyDescent="0.3">
      <c r="B48" s="52" t="s">
        <v>4</v>
      </c>
      <c r="C48" s="267">
        <f t="shared" si="20"/>
        <v>3.6530464716006887E-3</v>
      </c>
      <c r="D48" s="267">
        <f t="shared" si="21"/>
        <v>2.8763716327652556E-2</v>
      </c>
      <c r="E48" s="267">
        <f t="shared" si="22"/>
        <v>6.25E-2</v>
      </c>
      <c r="F48" s="267">
        <f t="shared" si="23"/>
        <v>9.4916762799253235E-2</v>
      </c>
      <c r="G48" s="115"/>
      <c r="I48" s="267"/>
      <c r="J48" s="267"/>
      <c r="K48" s="267"/>
      <c r="L48" s="267"/>
      <c r="M48" s="115"/>
      <c r="N48" s="68"/>
    </row>
    <row r="49" spans="2:14" x14ac:dyDescent="0.3">
      <c r="B49" s="52" t="s">
        <v>367</v>
      </c>
      <c r="C49" s="83"/>
      <c r="D49" s="83"/>
      <c r="E49" s="267"/>
      <c r="F49" s="267"/>
      <c r="I49" s="83"/>
      <c r="J49" s="83"/>
      <c r="K49" s="267"/>
      <c r="L49" s="267"/>
      <c r="N49" s="68"/>
    </row>
    <row r="50" spans="2:14" x14ac:dyDescent="0.3">
      <c r="B50" s="302" t="s">
        <v>409</v>
      </c>
      <c r="C50" s="276"/>
      <c r="I50" s="276"/>
    </row>
    <row r="51" spans="2:14" x14ac:dyDescent="0.3">
      <c r="B51" s="302" t="s">
        <v>410</v>
      </c>
      <c r="C51" s="68"/>
      <c r="I51" s="68"/>
    </row>
    <row r="52" spans="2:14" x14ac:dyDescent="0.3">
      <c r="C52" s="68"/>
      <c r="I52" s="68"/>
    </row>
    <row r="53" spans="2:14" x14ac:dyDescent="0.3">
      <c r="C53" s="68"/>
      <c r="I53" s="68"/>
    </row>
    <row r="54" spans="2:14" x14ac:dyDescent="0.3">
      <c r="C54" s="68"/>
      <c r="D54" s="64"/>
      <c r="E54" s="274"/>
      <c r="F54" s="274"/>
      <c r="I54" s="68"/>
      <c r="J54" s="64"/>
      <c r="K54" s="274"/>
      <c r="L54" s="274"/>
    </row>
    <row r="55" spans="2:14" x14ac:dyDescent="0.3">
      <c r="C55" s="55"/>
      <c r="I55" s="55"/>
    </row>
    <row r="56" spans="2:14" x14ac:dyDescent="0.3">
      <c r="C56" s="55"/>
      <c r="I56" s="55"/>
    </row>
    <row r="57" spans="2:14" x14ac:dyDescent="0.3">
      <c r="C57" s="55"/>
      <c r="I57" s="55"/>
    </row>
    <row r="58" spans="2:14" x14ac:dyDescent="0.3">
      <c r="C58" s="55"/>
      <c r="I58" s="55"/>
    </row>
    <row r="59" spans="2:14" x14ac:dyDescent="0.3">
      <c r="C59" s="55"/>
      <c r="I59" s="5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929A-6180-4E6B-8671-001DF1FBD324}">
  <sheetPr>
    <tabColor theme="9" tint="0.39997558519241921"/>
  </sheetPr>
  <dimension ref="B1:L22"/>
  <sheetViews>
    <sheetView showGridLines="0" workbookViewId="0">
      <selection activeCell="B1" sqref="B1"/>
    </sheetView>
  </sheetViews>
  <sheetFormatPr defaultRowHeight="15" x14ac:dyDescent="0.3"/>
  <cols>
    <col min="1" max="1" width="1.7109375" style="52" customWidth="1"/>
    <col min="2" max="2" width="23.28515625" style="52" customWidth="1"/>
    <col min="3" max="3" width="17.7109375" style="52" customWidth="1"/>
    <col min="4" max="4" width="14.5703125" style="52" bestFit="1" customWidth="1"/>
    <col min="5" max="7" width="9.140625" style="52"/>
    <col min="8" max="8" width="12.42578125" style="52" bestFit="1" customWidth="1"/>
    <col min="9" max="16384" width="9.140625" style="52"/>
  </cols>
  <sheetData>
    <row r="1" spans="2:12" x14ac:dyDescent="0.3">
      <c r="B1" s="178" t="s">
        <v>283</v>
      </c>
      <c r="C1" s="178"/>
    </row>
    <row r="2" spans="2:12" ht="18" x14ac:dyDescent="0.35">
      <c r="B2" s="74" t="s">
        <v>220</v>
      </c>
      <c r="C2" s="74"/>
      <c r="D2" s="75"/>
      <c r="E2" s="75"/>
      <c r="F2" s="75"/>
      <c r="G2" s="75"/>
      <c r="H2" s="75"/>
      <c r="I2" s="75"/>
      <c r="J2" s="75"/>
      <c r="K2" s="75"/>
      <c r="L2" s="75"/>
    </row>
    <row r="4" spans="2:12" x14ac:dyDescent="0.3">
      <c r="B4" s="119" t="s">
        <v>319</v>
      </c>
      <c r="C4" s="212">
        <v>0</v>
      </c>
    </row>
    <row r="6" spans="2:12" x14ac:dyDescent="0.3">
      <c r="B6" s="73" t="s">
        <v>5</v>
      </c>
      <c r="C6" s="73" t="s">
        <v>284</v>
      </c>
      <c r="D6" s="73" t="s">
        <v>201</v>
      </c>
    </row>
    <row r="7" spans="2:12" x14ac:dyDescent="0.3">
      <c r="B7" s="52" t="s">
        <v>305</v>
      </c>
      <c r="C7" s="211">
        <v>59</v>
      </c>
      <c r="D7" s="156">
        <f>(1+$C$4)*C7</f>
        <v>59</v>
      </c>
      <c r="E7" s="52" t="s">
        <v>60</v>
      </c>
    </row>
    <row r="8" spans="2:12" x14ac:dyDescent="0.3">
      <c r="B8" s="52" t="s">
        <v>304</v>
      </c>
      <c r="C8" s="211">
        <v>12000</v>
      </c>
      <c r="D8" s="156">
        <f t="shared" ref="D8:D22" si="0">(1+$C$4)*C8</f>
        <v>12000</v>
      </c>
      <c r="E8" s="52" t="s">
        <v>202</v>
      </c>
    </row>
    <row r="9" spans="2:12" x14ac:dyDescent="0.3">
      <c r="B9" s="52" t="s">
        <v>306</v>
      </c>
      <c r="C9" s="211">
        <f>4000*2000*16</f>
        <v>128000000</v>
      </c>
      <c r="D9" s="156">
        <f t="shared" si="0"/>
        <v>128000000</v>
      </c>
      <c r="E9" s="52" t="s">
        <v>202</v>
      </c>
    </row>
    <row r="10" spans="2:12" x14ac:dyDescent="0.3">
      <c r="B10" s="52" t="s">
        <v>309</v>
      </c>
      <c r="C10" s="211">
        <v>5000000</v>
      </c>
      <c r="D10" s="156">
        <f t="shared" si="0"/>
        <v>5000000</v>
      </c>
      <c r="E10" s="52" t="s">
        <v>202</v>
      </c>
      <c r="H10" s="55"/>
    </row>
    <row r="11" spans="2:12" x14ac:dyDescent="0.3">
      <c r="B11" s="52" t="s">
        <v>310</v>
      </c>
      <c r="C11" s="211">
        <v>1500000</v>
      </c>
      <c r="D11" s="156">
        <f t="shared" si="0"/>
        <v>1500000</v>
      </c>
      <c r="E11" s="52" t="s">
        <v>202</v>
      </c>
    </row>
    <row r="12" spans="2:12" x14ac:dyDescent="0.3">
      <c r="B12" s="52" t="s">
        <v>311</v>
      </c>
      <c r="C12" s="211">
        <v>200000</v>
      </c>
      <c r="D12" s="156">
        <f t="shared" si="0"/>
        <v>200000</v>
      </c>
      <c r="E12" s="52" t="s">
        <v>202</v>
      </c>
    </row>
    <row r="13" spans="2:12" x14ac:dyDescent="0.3">
      <c r="B13" s="52" t="s">
        <v>312</v>
      </c>
      <c r="C13" s="211">
        <v>500000</v>
      </c>
      <c r="D13" s="156">
        <f t="shared" si="0"/>
        <v>500000</v>
      </c>
      <c r="E13" s="52" t="s">
        <v>202</v>
      </c>
    </row>
    <row r="14" spans="2:12" x14ac:dyDescent="0.3">
      <c r="B14" s="52" t="s">
        <v>318</v>
      </c>
      <c r="C14" s="211">
        <v>70000</v>
      </c>
      <c r="D14" s="156">
        <f t="shared" si="0"/>
        <v>70000</v>
      </c>
      <c r="E14" s="52" t="s">
        <v>202</v>
      </c>
    </row>
    <row r="15" spans="2:12" x14ac:dyDescent="0.3">
      <c r="B15" s="52" t="s">
        <v>307</v>
      </c>
      <c r="C15" s="211">
        <v>1700</v>
      </c>
      <c r="D15" s="156">
        <f t="shared" si="0"/>
        <v>1700</v>
      </c>
      <c r="E15" s="52" t="s">
        <v>202</v>
      </c>
    </row>
    <row r="16" spans="2:12" x14ac:dyDescent="0.3">
      <c r="B16" s="52" t="s">
        <v>314</v>
      </c>
      <c r="C16" s="211">
        <v>2500</v>
      </c>
      <c r="D16" s="156">
        <f t="shared" si="0"/>
        <v>2500</v>
      </c>
      <c r="E16" s="52" t="s">
        <v>202</v>
      </c>
    </row>
    <row r="17" spans="2:5" x14ac:dyDescent="0.3">
      <c r="B17" s="52" t="s">
        <v>313</v>
      </c>
      <c r="C17" s="211">
        <v>16000</v>
      </c>
      <c r="D17" s="156">
        <f t="shared" si="0"/>
        <v>16000</v>
      </c>
      <c r="E17" s="52" t="s">
        <v>202</v>
      </c>
    </row>
    <row r="18" spans="2:5" x14ac:dyDescent="0.3">
      <c r="B18" s="52" t="s">
        <v>315</v>
      </c>
      <c r="C18" s="211">
        <v>50000</v>
      </c>
      <c r="D18" s="156">
        <f t="shared" si="0"/>
        <v>50000</v>
      </c>
      <c r="E18" s="52" t="s">
        <v>202</v>
      </c>
    </row>
    <row r="19" spans="2:5" x14ac:dyDescent="0.3">
      <c r="B19" s="52" t="s">
        <v>316</v>
      </c>
      <c r="C19" s="211">
        <v>2000</v>
      </c>
      <c r="D19" s="156">
        <f t="shared" si="0"/>
        <v>2000</v>
      </c>
      <c r="E19" s="52" t="s">
        <v>202</v>
      </c>
    </row>
    <row r="20" spans="2:5" x14ac:dyDescent="0.3">
      <c r="B20" s="52" t="s">
        <v>3</v>
      </c>
      <c r="C20" s="211">
        <v>200000</v>
      </c>
      <c r="D20" s="156">
        <f t="shared" si="0"/>
        <v>200000</v>
      </c>
      <c r="E20" s="52" t="s">
        <v>202</v>
      </c>
    </row>
    <row r="21" spans="2:5" x14ac:dyDescent="0.3">
      <c r="B21" s="52" t="s">
        <v>317</v>
      </c>
      <c r="C21" s="211">
        <v>12000000</v>
      </c>
      <c r="D21" s="156">
        <f t="shared" si="0"/>
        <v>12000000</v>
      </c>
      <c r="E21" s="52" t="s">
        <v>202</v>
      </c>
    </row>
    <row r="22" spans="2:5" x14ac:dyDescent="0.3">
      <c r="B22" s="52" t="s">
        <v>4</v>
      </c>
      <c r="C22" s="211">
        <v>10000</v>
      </c>
      <c r="D22" s="156">
        <f t="shared" si="0"/>
        <v>10000</v>
      </c>
      <c r="E22" s="52" t="s">
        <v>202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L89"/>
  <sheetViews>
    <sheetView showGridLines="0" workbookViewId="0"/>
  </sheetViews>
  <sheetFormatPr defaultColWidth="8.85546875" defaultRowHeight="15" customHeight="1" x14ac:dyDescent="0.25"/>
  <cols>
    <col min="1" max="1" width="2" style="8" customWidth="1"/>
    <col min="2" max="2" width="29.42578125" style="8" customWidth="1"/>
    <col min="3" max="3" width="14" style="8" customWidth="1"/>
    <col min="4" max="4" width="17" style="8" customWidth="1"/>
    <col min="5" max="5" width="2" style="8" customWidth="1"/>
    <col min="6" max="7" width="21.42578125" style="8" customWidth="1"/>
    <col min="8" max="8" width="2" style="8" customWidth="1"/>
    <col min="9" max="10" width="16.140625" style="8" bestFit="1" customWidth="1"/>
    <col min="11" max="12" width="9.140625" style="8" customWidth="1"/>
    <col min="13" max="14" width="12.42578125" style="8" bestFit="1" customWidth="1"/>
    <col min="15" max="16" width="9" style="8" bestFit="1" customWidth="1"/>
    <col min="17" max="17" width="11" style="8" bestFit="1" customWidth="1"/>
    <col min="18" max="16384" width="8.85546875" style="8"/>
  </cols>
  <sheetData>
    <row r="1" spans="1:12" s="43" customFormat="1" ht="16.5" x14ac:dyDescent="0.3">
      <c r="A1" s="42"/>
      <c r="B1" s="178" t="s">
        <v>283</v>
      </c>
      <c r="C1" s="62"/>
      <c r="D1" s="62"/>
      <c r="E1" s="62"/>
      <c r="F1" s="62"/>
      <c r="G1" s="62"/>
      <c r="H1" s="62"/>
    </row>
    <row r="2" spans="1:12" ht="23.25" customHeight="1" thickBot="1" x14ac:dyDescent="0.4">
      <c r="A2" s="1"/>
      <c r="B2" s="74" t="s">
        <v>211</v>
      </c>
      <c r="C2" s="74"/>
      <c r="D2" s="74"/>
      <c r="E2" s="74"/>
      <c r="F2" s="74"/>
      <c r="G2" s="74"/>
      <c r="H2" s="74"/>
      <c r="I2" s="3"/>
      <c r="J2" s="5"/>
      <c r="K2" s="4"/>
      <c r="L2" s="6"/>
    </row>
    <row r="3" spans="1:12" ht="14.1" customHeight="1" x14ac:dyDescent="0.25">
      <c r="A3" s="1"/>
      <c r="B3" s="9"/>
      <c r="C3" s="9"/>
      <c r="D3" s="9"/>
      <c r="E3" s="9"/>
      <c r="F3" s="9"/>
      <c r="G3" s="9"/>
      <c r="H3" s="9"/>
      <c r="I3" s="3"/>
      <c r="J3" s="3"/>
      <c r="K3" s="3"/>
      <c r="L3" s="2"/>
    </row>
    <row r="4" spans="1:12" s="46" customFormat="1" ht="15" customHeight="1" x14ac:dyDescent="0.3">
      <c r="A4" s="44"/>
      <c r="B4" s="47" t="s">
        <v>12</v>
      </c>
      <c r="C4" s="50">
        <f>SUM(C7:C32)</f>
        <v>189.5</v>
      </c>
      <c r="D4" s="7"/>
      <c r="E4" s="7"/>
      <c r="F4" s="7"/>
      <c r="G4" s="7"/>
      <c r="H4" s="7"/>
      <c r="I4" s="7"/>
      <c r="J4" s="7"/>
      <c r="K4" s="7"/>
      <c r="L4" s="45"/>
    </row>
    <row r="5" spans="1:12" s="46" customFormat="1" ht="15" customHeight="1" x14ac:dyDescent="0.3">
      <c r="A5" s="44"/>
      <c r="B5" s="7"/>
      <c r="C5" s="50"/>
      <c r="D5" s="7"/>
      <c r="E5" s="7"/>
      <c r="F5" s="7"/>
      <c r="G5" s="7"/>
      <c r="H5" s="7"/>
      <c r="I5" s="7"/>
      <c r="J5" s="7"/>
      <c r="K5" s="7"/>
      <c r="L5" s="45"/>
    </row>
    <row r="6" spans="1:12" s="46" customFormat="1" ht="15.75" customHeight="1" x14ac:dyDescent="0.3">
      <c r="A6" s="44"/>
      <c r="B6" s="151" t="s">
        <v>13</v>
      </c>
      <c r="C6" s="151" t="s">
        <v>14</v>
      </c>
      <c r="D6" s="151" t="s">
        <v>15</v>
      </c>
      <c r="E6" s="7"/>
      <c r="F6" s="151" t="s">
        <v>13</v>
      </c>
      <c r="G6" s="151" t="s">
        <v>16</v>
      </c>
      <c r="H6" s="7"/>
      <c r="I6" s="7"/>
      <c r="J6" s="7"/>
      <c r="K6" s="7"/>
      <c r="L6" s="45"/>
    </row>
    <row r="7" spans="1:12" s="46" customFormat="1" ht="15.6" customHeight="1" x14ac:dyDescent="0.3">
      <c r="A7" s="44"/>
      <c r="B7" s="47" t="s">
        <v>18</v>
      </c>
      <c r="C7" s="177">
        <v>28</v>
      </c>
      <c r="D7" s="47" t="s">
        <v>19</v>
      </c>
      <c r="E7" s="7"/>
      <c r="F7" s="47" t="s">
        <v>20</v>
      </c>
      <c r="G7" s="50">
        <f>SUMIF(D1:D33,F7,C1:C33)</f>
        <v>6</v>
      </c>
      <c r="H7" s="7"/>
      <c r="I7" s="7"/>
      <c r="J7" s="7"/>
      <c r="K7" s="7"/>
      <c r="L7" s="45"/>
    </row>
    <row r="8" spans="1:12" s="46" customFormat="1" ht="15" customHeight="1" x14ac:dyDescent="0.3">
      <c r="A8" s="44"/>
      <c r="B8" s="47" t="s">
        <v>21</v>
      </c>
      <c r="C8" s="177">
        <v>6</v>
      </c>
      <c r="D8" s="47" t="s">
        <v>22</v>
      </c>
      <c r="E8" s="7"/>
      <c r="F8" s="47" t="s">
        <v>23</v>
      </c>
      <c r="G8" s="50">
        <f>SUMIF(D1:D33,F8,C1:C33)</f>
        <v>8</v>
      </c>
      <c r="H8" s="7"/>
      <c r="I8" s="7"/>
      <c r="J8" s="7"/>
      <c r="K8" s="7"/>
      <c r="L8" s="45"/>
    </row>
    <row r="9" spans="1:12" s="46" customFormat="1" ht="15" customHeight="1" x14ac:dyDescent="0.3">
      <c r="A9" s="44"/>
      <c r="B9" s="47" t="s">
        <v>24</v>
      </c>
      <c r="C9" s="177">
        <v>3</v>
      </c>
      <c r="D9" s="47" t="s">
        <v>25</v>
      </c>
      <c r="E9" s="7"/>
      <c r="F9" s="47" t="s">
        <v>22</v>
      </c>
      <c r="G9" s="50">
        <f>SUMIF(D1:D33,F9,C1:C33)</f>
        <v>6</v>
      </c>
      <c r="H9" s="7"/>
      <c r="I9" s="7"/>
      <c r="J9" s="7"/>
      <c r="K9" s="7"/>
      <c r="L9" s="45"/>
    </row>
    <row r="10" spans="1:12" s="46" customFormat="1" ht="15" customHeight="1" x14ac:dyDescent="0.3">
      <c r="A10" s="44"/>
      <c r="B10" s="47" t="s">
        <v>26</v>
      </c>
      <c r="C10" s="177">
        <v>3.29</v>
      </c>
      <c r="D10" s="47" t="s">
        <v>19</v>
      </c>
      <c r="E10" s="7"/>
      <c r="F10" s="47" t="s">
        <v>19</v>
      </c>
      <c r="G10" s="50">
        <f>SUMIF(D1:D33,F10,C1:C33)</f>
        <v>89.679999999999993</v>
      </c>
      <c r="H10" s="7"/>
      <c r="I10" s="7"/>
      <c r="J10" s="7"/>
      <c r="K10" s="7"/>
      <c r="L10" s="45"/>
    </row>
    <row r="11" spans="1:12" s="46" customFormat="1" ht="15" customHeight="1" x14ac:dyDescent="0.3">
      <c r="A11" s="44"/>
      <c r="B11" s="47" t="s">
        <v>27</v>
      </c>
      <c r="C11" s="177">
        <v>1</v>
      </c>
      <c r="D11" s="47" t="s">
        <v>19</v>
      </c>
      <c r="E11" s="7"/>
      <c r="F11" s="47" t="s">
        <v>28</v>
      </c>
      <c r="G11" s="50">
        <f>SUMIF(D1:D33,F11,C1:C33)</f>
        <v>20.5</v>
      </c>
      <c r="H11" s="7"/>
      <c r="I11" s="7"/>
      <c r="J11" s="7"/>
      <c r="K11" s="7"/>
      <c r="L11" s="45"/>
    </row>
    <row r="12" spans="1:12" s="46" customFormat="1" ht="15" customHeight="1" x14ac:dyDescent="0.3">
      <c r="A12" s="44"/>
      <c r="B12" s="7"/>
      <c r="C12" s="177"/>
      <c r="D12" s="51"/>
      <c r="E12" s="7"/>
      <c r="F12" s="47" t="s">
        <v>29</v>
      </c>
      <c r="G12" s="50">
        <f>SUMIF(D1:D33,F12,C1:C33)</f>
        <v>26.5</v>
      </c>
      <c r="H12" s="7"/>
      <c r="I12" s="7"/>
      <c r="J12" s="7"/>
      <c r="K12" s="7"/>
      <c r="L12" s="45"/>
    </row>
    <row r="13" spans="1:12" s="46" customFormat="1" ht="15" customHeight="1" x14ac:dyDescent="0.3">
      <c r="A13" s="44"/>
      <c r="B13" s="47" t="s">
        <v>30</v>
      </c>
      <c r="C13" s="177">
        <v>4.25</v>
      </c>
      <c r="D13" s="47" t="s">
        <v>19</v>
      </c>
      <c r="E13" s="7"/>
      <c r="F13" s="47" t="s">
        <v>31</v>
      </c>
      <c r="G13" s="50">
        <f>SUMIF(D1:D33,F13,C1:C33)</f>
        <v>6.69</v>
      </c>
      <c r="H13" s="7"/>
      <c r="I13" s="7"/>
      <c r="J13" s="7"/>
      <c r="K13" s="7"/>
      <c r="L13" s="45"/>
    </row>
    <row r="14" spans="1:12" s="46" customFormat="1" ht="15" customHeight="1" x14ac:dyDescent="0.3">
      <c r="A14" s="44"/>
      <c r="B14" s="47" t="s">
        <v>32</v>
      </c>
      <c r="C14" s="177">
        <v>2.25</v>
      </c>
      <c r="D14" s="47" t="s">
        <v>19</v>
      </c>
      <c r="E14" s="7"/>
      <c r="F14" s="47" t="s">
        <v>25</v>
      </c>
      <c r="G14" s="50">
        <f>SUMIF(D1:D33,F14,C1:C33)</f>
        <v>9.5</v>
      </c>
      <c r="H14" s="7"/>
      <c r="I14" s="7"/>
      <c r="J14" s="7"/>
      <c r="K14" s="7"/>
      <c r="L14" s="45"/>
    </row>
    <row r="15" spans="1:12" s="46" customFormat="1" ht="15" customHeight="1" x14ac:dyDescent="0.3">
      <c r="A15" s="44"/>
      <c r="B15" s="47" t="s">
        <v>33</v>
      </c>
      <c r="C15" s="177">
        <v>0.5</v>
      </c>
      <c r="D15" s="47" t="s">
        <v>28</v>
      </c>
      <c r="E15" s="7"/>
      <c r="F15" s="47" t="s">
        <v>56</v>
      </c>
      <c r="G15" s="50">
        <f>SUMIF(D1:D33,F15,C1:C33)</f>
        <v>16.63</v>
      </c>
      <c r="H15" s="7"/>
      <c r="I15" s="7"/>
      <c r="J15" s="7"/>
      <c r="K15" s="7"/>
      <c r="L15" s="45"/>
    </row>
    <row r="16" spans="1:12" s="46" customFormat="1" ht="15.75" customHeight="1" x14ac:dyDescent="0.3">
      <c r="A16" s="44"/>
      <c r="B16" s="47" t="s">
        <v>34</v>
      </c>
      <c r="C16" s="177">
        <v>1</v>
      </c>
      <c r="D16" s="47" t="s">
        <v>19</v>
      </c>
      <c r="E16" s="7"/>
      <c r="F16" s="7"/>
      <c r="G16" s="7"/>
      <c r="H16" s="7"/>
      <c r="I16" s="7"/>
      <c r="J16" s="7"/>
      <c r="K16" s="7"/>
      <c r="L16" s="45"/>
    </row>
    <row r="17" spans="1:12" s="46" customFormat="1" ht="15.75" customHeight="1" x14ac:dyDescent="0.3">
      <c r="A17" s="44"/>
      <c r="B17" s="48" t="s">
        <v>35</v>
      </c>
      <c r="C17" s="177">
        <v>3</v>
      </c>
      <c r="D17" s="47" t="s">
        <v>25</v>
      </c>
      <c r="E17" s="7"/>
      <c r="F17" s="7"/>
      <c r="G17" s="7"/>
      <c r="H17" s="7"/>
      <c r="I17" s="7"/>
      <c r="J17" s="7"/>
      <c r="K17" s="7"/>
      <c r="L17" s="45"/>
    </row>
    <row r="18" spans="1:12" s="46" customFormat="1" ht="15.75" customHeight="1" x14ac:dyDescent="0.3">
      <c r="A18" s="44"/>
      <c r="B18" s="49"/>
      <c r="C18" s="177"/>
      <c r="D18" s="7"/>
      <c r="E18" s="7"/>
      <c r="F18" s="7"/>
      <c r="G18" s="53"/>
      <c r="H18" s="7"/>
      <c r="I18" s="7"/>
      <c r="J18" s="7"/>
      <c r="K18" s="7"/>
      <c r="L18" s="45"/>
    </row>
    <row r="19" spans="1:12" s="46" customFormat="1" ht="15.75" customHeight="1" x14ac:dyDescent="0.3">
      <c r="A19" s="44"/>
      <c r="B19" s="47" t="s">
        <v>36</v>
      </c>
      <c r="C19" s="177">
        <v>28</v>
      </c>
      <c r="D19" s="47" t="s">
        <v>19</v>
      </c>
      <c r="E19" s="7"/>
      <c r="F19" s="7"/>
      <c r="G19" s="7"/>
      <c r="H19" s="7"/>
      <c r="I19" s="7"/>
      <c r="J19" s="7"/>
      <c r="K19" s="7"/>
      <c r="L19" s="45"/>
    </row>
    <row r="20" spans="1:12" s="46" customFormat="1" ht="15.75" customHeight="1" x14ac:dyDescent="0.3">
      <c r="A20" s="44"/>
      <c r="B20" s="47" t="s">
        <v>37</v>
      </c>
      <c r="C20" s="177">
        <v>6.39</v>
      </c>
      <c r="D20" s="47" t="s">
        <v>19</v>
      </c>
      <c r="E20" s="7"/>
      <c r="F20" s="10"/>
      <c r="G20" s="57"/>
      <c r="H20" s="7"/>
      <c r="I20" s="7"/>
      <c r="J20" s="7"/>
      <c r="K20" s="7"/>
      <c r="L20" s="45"/>
    </row>
    <row r="21" spans="1:12" s="46" customFormat="1" ht="15.75" customHeight="1" x14ac:dyDescent="0.3">
      <c r="A21" s="44"/>
      <c r="B21" s="47" t="s">
        <v>38</v>
      </c>
      <c r="C21" s="177">
        <v>18</v>
      </c>
      <c r="D21" s="47" t="s">
        <v>28</v>
      </c>
      <c r="E21" s="7"/>
      <c r="F21" s="54"/>
      <c r="G21" s="57"/>
      <c r="H21" s="7"/>
      <c r="I21" s="7"/>
      <c r="J21" s="7"/>
      <c r="K21" s="7"/>
      <c r="L21" s="45"/>
    </row>
    <row r="22" spans="1:12" s="46" customFormat="1" ht="15.75" customHeight="1" x14ac:dyDescent="0.3">
      <c r="A22" s="44"/>
      <c r="B22" s="47" t="s">
        <v>39</v>
      </c>
      <c r="C22" s="177">
        <v>13</v>
      </c>
      <c r="D22" s="47" t="s">
        <v>19</v>
      </c>
      <c r="E22" s="7"/>
      <c r="F22" s="7"/>
      <c r="G22" s="7"/>
      <c r="H22" s="7"/>
      <c r="I22" s="7"/>
      <c r="J22" s="7"/>
      <c r="K22" s="7"/>
      <c r="L22" s="45"/>
    </row>
    <row r="23" spans="1:12" s="46" customFormat="1" ht="15.75" customHeight="1" x14ac:dyDescent="0.3">
      <c r="A23" s="44"/>
      <c r="B23" s="47" t="s">
        <v>40</v>
      </c>
      <c r="C23" s="177">
        <v>2</v>
      </c>
      <c r="D23" s="47" t="s">
        <v>28</v>
      </c>
      <c r="E23" s="7"/>
      <c r="F23" s="7"/>
      <c r="G23" s="7"/>
      <c r="H23" s="7"/>
      <c r="I23" s="7"/>
      <c r="J23" s="7"/>
      <c r="K23" s="7"/>
      <c r="L23" s="45"/>
    </row>
    <row r="24" spans="1:12" s="46" customFormat="1" ht="15.75" customHeight="1" x14ac:dyDescent="0.3">
      <c r="A24" s="44"/>
      <c r="B24" s="47" t="s">
        <v>41</v>
      </c>
      <c r="C24" s="177">
        <v>3.5</v>
      </c>
      <c r="D24" s="47" t="s">
        <v>25</v>
      </c>
      <c r="E24" s="7"/>
      <c r="F24" s="7"/>
      <c r="G24" s="57"/>
      <c r="H24" s="7"/>
      <c r="I24" s="7"/>
      <c r="J24" s="7"/>
      <c r="K24" s="7"/>
      <c r="L24" s="45"/>
    </row>
    <row r="25" spans="1:12" s="46" customFormat="1" ht="15.75" customHeight="1" x14ac:dyDescent="0.3">
      <c r="A25" s="44"/>
      <c r="B25" s="47" t="s">
        <v>42</v>
      </c>
      <c r="C25" s="177">
        <v>2.5</v>
      </c>
      <c r="D25" s="47" t="s">
        <v>19</v>
      </c>
      <c r="E25" s="7"/>
      <c r="F25" s="7"/>
      <c r="G25" s="7"/>
      <c r="H25" s="7"/>
      <c r="I25" s="7"/>
      <c r="J25" s="7"/>
      <c r="K25" s="7"/>
      <c r="L25" s="45"/>
    </row>
    <row r="26" spans="1:12" s="46" customFormat="1" ht="15.75" customHeight="1" x14ac:dyDescent="0.3">
      <c r="A26" s="44"/>
      <c r="B26" s="7"/>
      <c r="C26" s="177"/>
      <c r="D26" s="7"/>
      <c r="E26" s="7"/>
      <c r="F26" s="7"/>
      <c r="G26" s="7"/>
      <c r="H26" s="7"/>
      <c r="I26" s="7"/>
      <c r="J26" s="7"/>
      <c r="K26" s="7"/>
      <c r="L26" s="45"/>
    </row>
    <row r="27" spans="1:12" s="46" customFormat="1" ht="15.75" customHeight="1" x14ac:dyDescent="0.3">
      <c r="A27" s="44"/>
      <c r="B27" s="47" t="s">
        <v>43</v>
      </c>
      <c r="C27" s="177">
        <v>6.69</v>
      </c>
      <c r="D27" s="47" t="s">
        <v>31</v>
      </c>
      <c r="E27" s="7"/>
      <c r="F27" s="57"/>
      <c r="G27" s="7"/>
      <c r="H27" s="7"/>
      <c r="I27" s="7"/>
      <c r="J27" s="7"/>
      <c r="K27" s="7"/>
      <c r="L27" s="45"/>
    </row>
    <row r="28" spans="1:12" s="46" customFormat="1" ht="15.75" customHeight="1" x14ac:dyDescent="0.3">
      <c r="A28" s="44"/>
      <c r="B28" s="47" t="s">
        <v>20</v>
      </c>
      <c r="C28" s="177">
        <v>6</v>
      </c>
      <c r="D28" s="47" t="s">
        <v>20</v>
      </c>
      <c r="E28" s="7"/>
      <c r="F28" s="7"/>
      <c r="G28" s="7"/>
      <c r="H28" s="7"/>
      <c r="I28" s="7"/>
      <c r="J28" s="7"/>
      <c r="K28" s="7"/>
      <c r="L28" s="45"/>
    </row>
    <row r="29" spans="1:12" s="46" customFormat="1" ht="15.75" customHeight="1" x14ac:dyDescent="0.3">
      <c r="A29" s="44"/>
      <c r="B29" s="47" t="s">
        <v>29</v>
      </c>
      <c r="C29" s="177">
        <v>26.5</v>
      </c>
      <c r="D29" s="47" t="s">
        <v>29</v>
      </c>
      <c r="E29" s="7"/>
      <c r="F29" s="7"/>
      <c r="G29" s="7"/>
      <c r="H29" s="7"/>
      <c r="I29" s="7"/>
      <c r="J29" s="7"/>
      <c r="K29" s="7"/>
      <c r="L29" s="45"/>
    </row>
    <row r="30" spans="1:12" s="46" customFormat="1" ht="15.75" customHeight="1" x14ac:dyDescent="0.3">
      <c r="A30" s="44"/>
      <c r="B30" s="7"/>
      <c r="C30" s="177"/>
      <c r="D30" s="7"/>
      <c r="E30" s="7"/>
      <c r="F30" s="7"/>
      <c r="G30" s="7"/>
      <c r="H30" s="7"/>
      <c r="I30" s="7"/>
      <c r="J30" s="7"/>
      <c r="K30" s="7"/>
      <c r="L30" s="45"/>
    </row>
    <row r="31" spans="1:12" s="46" customFormat="1" ht="15.75" customHeight="1" x14ac:dyDescent="0.3">
      <c r="A31" s="44"/>
      <c r="B31" s="47" t="s">
        <v>44</v>
      </c>
      <c r="C31" s="177">
        <v>16.63</v>
      </c>
      <c r="D31" s="47" t="s">
        <v>56</v>
      </c>
      <c r="E31" s="7"/>
      <c r="F31" s="54"/>
      <c r="G31" s="7"/>
      <c r="H31" s="7"/>
      <c r="I31" s="7"/>
      <c r="J31" s="7"/>
      <c r="K31" s="7"/>
      <c r="L31" s="45"/>
    </row>
    <row r="32" spans="1:12" s="46" customFormat="1" ht="15.75" customHeight="1" x14ac:dyDescent="0.3">
      <c r="A32" s="44"/>
      <c r="B32" s="47" t="s">
        <v>45</v>
      </c>
      <c r="C32" s="177">
        <v>8</v>
      </c>
      <c r="D32" s="47" t="s">
        <v>23</v>
      </c>
      <c r="E32" s="7"/>
      <c r="F32" s="54"/>
      <c r="G32" s="7"/>
      <c r="H32" s="7"/>
      <c r="I32" s="7"/>
      <c r="J32" s="7"/>
      <c r="K32" s="7"/>
      <c r="L32" s="45"/>
    </row>
    <row r="33" spans="1:9" s="46" customFormat="1" ht="13.5" customHeight="1" x14ac:dyDescent="0.3">
      <c r="A33" s="44"/>
      <c r="B33" s="7"/>
      <c r="C33" s="7"/>
      <c r="D33" s="7"/>
      <c r="E33" s="7"/>
      <c r="F33" s="7"/>
      <c r="G33" s="7"/>
      <c r="H33" s="7"/>
      <c r="I33" s="7"/>
    </row>
    <row r="34" spans="1:9" s="46" customFormat="1" ht="15" customHeight="1" x14ac:dyDescent="0.3">
      <c r="D34" s="59"/>
      <c r="F34" s="60"/>
    </row>
    <row r="35" spans="1:9" s="46" customFormat="1" ht="15" customHeight="1" x14ac:dyDescent="0.3">
      <c r="F35" s="58"/>
    </row>
    <row r="36" spans="1:9" s="46" customFormat="1" ht="15" customHeight="1" x14ac:dyDescent="0.3"/>
    <row r="37" spans="1:9" s="46" customFormat="1" ht="15" customHeight="1" x14ac:dyDescent="0.3"/>
    <row r="38" spans="1:9" s="46" customFormat="1" ht="15" customHeight="1" x14ac:dyDescent="0.3"/>
    <row r="39" spans="1:9" s="46" customFormat="1" ht="15" customHeight="1" x14ac:dyDescent="0.3"/>
    <row r="40" spans="1:9" s="46" customFormat="1" ht="15" customHeight="1" x14ac:dyDescent="0.3"/>
    <row r="41" spans="1:9" s="46" customFormat="1" ht="15" customHeight="1" x14ac:dyDescent="0.3"/>
    <row r="42" spans="1:9" s="46" customFormat="1" ht="15" customHeight="1" x14ac:dyDescent="0.3"/>
    <row r="43" spans="1:9" s="46" customFormat="1" ht="15" customHeight="1" x14ac:dyDescent="0.3"/>
    <row r="44" spans="1:9" s="46" customFormat="1" ht="15" customHeight="1" x14ac:dyDescent="0.3"/>
    <row r="45" spans="1:9" s="46" customFormat="1" ht="15" customHeight="1" x14ac:dyDescent="0.3"/>
    <row r="46" spans="1:9" s="46" customFormat="1" ht="15" customHeight="1" x14ac:dyDescent="0.3"/>
    <row r="47" spans="1:9" s="46" customFormat="1" ht="15" customHeight="1" x14ac:dyDescent="0.3"/>
    <row r="48" spans="1:9" s="46" customFormat="1" ht="15" customHeight="1" x14ac:dyDescent="0.3"/>
    <row r="49" s="46" customFormat="1" ht="15" customHeight="1" x14ac:dyDescent="0.3"/>
    <row r="50" s="46" customFormat="1" ht="15" customHeight="1" x14ac:dyDescent="0.3"/>
    <row r="51" s="46" customFormat="1" ht="15" customHeight="1" x14ac:dyDescent="0.3"/>
    <row r="52" s="46" customFormat="1" ht="15" customHeight="1" x14ac:dyDescent="0.3"/>
    <row r="53" s="46" customFormat="1" ht="15" customHeight="1" x14ac:dyDescent="0.3"/>
    <row r="54" s="46" customFormat="1" ht="15" customHeight="1" x14ac:dyDescent="0.3"/>
    <row r="55" s="46" customFormat="1" ht="15" customHeight="1" x14ac:dyDescent="0.3"/>
    <row r="56" s="46" customFormat="1" ht="15" customHeight="1" x14ac:dyDescent="0.3"/>
    <row r="57" s="46" customFormat="1" ht="15" customHeight="1" x14ac:dyDescent="0.3"/>
    <row r="58" s="46" customFormat="1" ht="15" customHeight="1" x14ac:dyDescent="0.3"/>
    <row r="59" s="46" customFormat="1" ht="15" customHeight="1" x14ac:dyDescent="0.3"/>
    <row r="60" s="46" customFormat="1" ht="15" customHeight="1" x14ac:dyDescent="0.3"/>
    <row r="61" s="46" customFormat="1" ht="15" customHeight="1" x14ac:dyDescent="0.3"/>
    <row r="62" s="46" customFormat="1" ht="15" customHeight="1" x14ac:dyDescent="0.3"/>
    <row r="63" s="46" customFormat="1" ht="15" customHeight="1" x14ac:dyDescent="0.3"/>
    <row r="64" s="46" customFormat="1" ht="15" customHeight="1" x14ac:dyDescent="0.3"/>
    <row r="65" s="46" customFormat="1" ht="15" customHeight="1" x14ac:dyDescent="0.3"/>
    <row r="66" s="46" customFormat="1" ht="15" customHeight="1" x14ac:dyDescent="0.3"/>
    <row r="67" s="46" customFormat="1" ht="15" customHeight="1" x14ac:dyDescent="0.3"/>
    <row r="68" s="46" customFormat="1" ht="15" customHeight="1" x14ac:dyDescent="0.3"/>
    <row r="69" s="46" customFormat="1" ht="15" customHeight="1" x14ac:dyDescent="0.3"/>
    <row r="70" s="46" customFormat="1" ht="15" customHeight="1" x14ac:dyDescent="0.3"/>
    <row r="71" s="46" customFormat="1" ht="15" customHeight="1" x14ac:dyDescent="0.3"/>
    <row r="72" s="46" customFormat="1" ht="15" customHeight="1" x14ac:dyDescent="0.3"/>
    <row r="73" s="46" customFormat="1" ht="15" customHeight="1" x14ac:dyDescent="0.3"/>
    <row r="74" s="46" customFormat="1" ht="15" customHeight="1" x14ac:dyDescent="0.3"/>
    <row r="75" s="46" customFormat="1" ht="15" customHeight="1" x14ac:dyDescent="0.3"/>
    <row r="76" s="46" customFormat="1" ht="15" customHeight="1" x14ac:dyDescent="0.3"/>
    <row r="77" s="46" customFormat="1" ht="15" customHeight="1" x14ac:dyDescent="0.3"/>
    <row r="78" s="46" customFormat="1" ht="15" customHeight="1" x14ac:dyDescent="0.3"/>
    <row r="79" s="46" customFormat="1" ht="15" customHeight="1" x14ac:dyDescent="0.3"/>
    <row r="80" s="46" customFormat="1" ht="15" customHeight="1" x14ac:dyDescent="0.3"/>
    <row r="81" s="46" customFormat="1" ht="15" customHeight="1" x14ac:dyDescent="0.3"/>
    <row r="82" s="46" customFormat="1" ht="15" customHeight="1" x14ac:dyDescent="0.3"/>
    <row r="83" s="46" customFormat="1" ht="15" customHeight="1" x14ac:dyDescent="0.3"/>
    <row r="84" s="46" customFormat="1" ht="15" customHeight="1" x14ac:dyDescent="0.3"/>
    <row r="85" s="46" customFormat="1" ht="15" customHeight="1" x14ac:dyDescent="0.3"/>
    <row r="86" s="46" customFormat="1" ht="15" customHeight="1" x14ac:dyDescent="0.3"/>
    <row r="87" s="46" customFormat="1" ht="15" customHeight="1" x14ac:dyDescent="0.3"/>
    <row r="88" s="46" customFormat="1" ht="15" customHeight="1" x14ac:dyDescent="0.3"/>
    <row r="89" s="46" customFormat="1" ht="15" customHeight="1" x14ac:dyDescent="0.3"/>
  </sheetData>
  <conditionalFormatting sqref="L2">
    <cfRule type="cellIs" dxfId="0" priority="1" stopIfTrue="1" operator="lessThan">
      <formula>0</formula>
    </cfRule>
  </conditionalFormatting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86578-3B0B-4B40-8410-8C363FD7CCC7}">
  <sheetPr>
    <tabColor theme="0" tint="-0.249977111117893"/>
  </sheetPr>
  <dimension ref="B1:L18"/>
  <sheetViews>
    <sheetView showGridLines="0" workbookViewId="0"/>
  </sheetViews>
  <sheetFormatPr defaultRowHeight="15" x14ac:dyDescent="0.3"/>
  <cols>
    <col min="1" max="1" width="2.28515625" style="83" customWidth="1"/>
    <col min="2" max="2" width="35.42578125" style="83" customWidth="1"/>
    <col min="3" max="3" width="14.28515625" style="83" bestFit="1" customWidth="1"/>
    <col min="4" max="10" width="16" style="83" customWidth="1"/>
    <col min="11" max="16384" width="9.140625" style="83"/>
  </cols>
  <sheetData>
    <row r="1" spans="2:12" x14ac:dyDescent="0.3">
      <c r="B1" s="178" t="s">
        <v>283</v>
      </c>
      <c r="C1" s="178"/>
    </row>
    <row r="2" spans="2:12" ht="18" x14ac:dyDescent="0.35">
      <c r="B2" s="90" t="s">
        <v>302</v>
      </c>
      <c r="C2" s="90"/>
      <c r="D2" s="82"/>
      <c r="E2" s="82"/>
      <c r="F2" s="82"/>
      <c r="G2" s="82"/>
      <c r="H2" s="82"/>
      <c r="I2" s="82"/>
      <c r="J2" s="82"/>
      <c r="K2" s="82"/>
      <c r="L2" s="82"/>
    </row>
    <row r="4" spans="2:12" x14ac:dyDescent="0.3">
      <c r="D4" s="84"/>
    </row>
    <row r="5" spans="2:12" x14ac:dyDescent="0.3">
      <c r="B5" s="85" t="s">
        <v>98</v>
      </c>
      <c r="C5" s="85" t="s">
        <v>285</v>
      </c>
      <c r="D5" s="85" t="s">
        <v>133</v>
      </c>
      <c r="E5" s="85" t="s">
        <v>134</v>
      </c>
      <c r="F5" s="85" t="s">
        <v>135</v>
      </c>
      <c r="G5" s="85" t="s">
        <v>136</v>
      </c>
      <c r="H5" s="85" t="s">
        <v>137</v>
      </c>
      <c r="I5" s="85" t="s">
        <v>138</v>
      </c>
      <c r="J5" s="85" t="s">
        <v>16</v>
      </c>
    </row>
    <row r="6" spans="2:12" x14ac:dyDescent="0.3">
      <c r="B6" s="83" t="s">
        <v>292</v>
      </c>
      <c r="C6" s="83" t="s">
        <v>73</v>
      </c>
      <c r="D6" s="214">
        <f>+'WS - CAPEX'!C17</f>
        <v>153333.33333333299</v>
      </c>
      <c r="E6" s="214">
        <f>+'WS - CAPEX'!D17</f>
        <v>125000</v>
      </c>
      <c r="F6" s="214">
        <f>+'WS - CAPEX'!E17</f>
        <v>96666.666666666701</v>
      </c>
      <c r="G6" s="214">
        <f>+'WS - CAPEX'!F17</f>
        <v>40000</v>
      </c>
      <c r="H6" s="214">
        <f>+'WS - CAPEX'!G17</f>
        <v>208333.33333333299</v>
      </c>
      <c r="I6" s="214">
        <f>+'WS - CAPEX'!H17</f>
        <v>376666.66666666698</v>
      </c>
      <c r="J6" s="215">
        <f>SUM(D6:I6)</f>
        <v>999999.99999999965</v>
      </c>
    </row>
    <row r="7" spans="2:12" x14ac:dyDescent="0.3">
      <c r="B7" s="83" t="s">
        <v>293</v>
      </c>
      <c r="C7" s="83" t="s">
        <v>73</v>
      </c>
      <c r="D7" s="214">
        <f>+'WS - CAPEX'!C25</f>
        <v>60000</v>
      </c>
      <c r="E7" s="214">
        <f>+'WS - CAPEX'!D25</f>
        <v>140000</v>
      </c>
      <c r="F7" s="214">
        <f>+'WS - CAPEX'!E25</f>
        <v>220000</v>
      </c>
      <c r="G7" s="214">
        <f>+'WS - CAPEX'!F25</f>
        <v>300000</v>
      </c>
      <c r="H7" s="214">
        <f>+'WS - CAPEX'!G25</f>
        <v>193333.33333333299</v>
      </c>
      <c r="I7" s="214">
        <f>+'WS - CAPEX'!H25</f>
        <v>86666.666666666701</v>
      </c>
      <c r="J7" s="215">
        <f t="shared" ref="J7:J16" si="0">SUM(D7:I7)</f>
        <v>999999.99999999977</v>
      </c>
    </row>
    <row r="8" spans="2:12" x14ac:dyDescent="0.3">
      <c r="B8" s="83" t="s">
        <v>25</v>
      </c>
      <c r="C8" s="83" t="s">
        <v>73</v>
      </c>
      <c r="D8" s="214">
        <f>+'WS - CAPEX'!C34</f>
        <v>56666.666666666701</v>
      </c>
      <c r="E8" s="214">
        <f>+'WS - CAPEX'!D34</f>
        <v>155000</v>
      </c>
      <c r="F8" s="214">
        <f>+'WS - CAPEX'!E34</f>
        <v>253333.33333333299</v>
      </c>
      <c r="G8" s="214">
        <f>+'WS - CAPEX'!F34</f>
        <v>283333.33333333302</v>
      </c>
      <c r="H8" s="214">
        <f>+'WS - CAPEX'!G34</f>
        <v>178333.33333333299</v>
      </c>
      <c r="I8" s="214">
        <f>+'WS - CAPEX'!H34</f>
        <v>73333.333333333299</v>
      </c>
      <c r="J8" s="215">
        <f t="shared" si="0"/>
        <v>999999.99999999895</v>
      </c>
    </row>
    <row r="9" spans="2:12" x14ac:dyDescent="0.3">
      <c r="B9" s="83" t="s">
        <v>294</v>
      </c>
      <c r="C9" s="83" t="s">
        <v>73</v>
      </c>
      <c r="D9" s="214">
        <f>+'WS - CAPEX'!C45</f>
        <v>146666.66666666701</v>
      </c>
      <c r="E9" s="214">
        <f>+'WS - CAPEX'!D45</f>
        <v>136666.66666666701</v>
      </c>
      <c r="F9" s="214">
        <f>+'WS - CAPEX'!E45</f>
        <v>126666.66666666701</v>
      </c>
      <c r="G9" s="214">
        <f>+'WS - CAPEX'!F45</f>
        <v>160000</v>
      </c>
      <c r="H9" s="214">
        <f>+'WS - CAPEX'!G45</f>
        <v>196666.66666666701</v>
      </c>
      <c r="I9" s="214">
        <f>+'WS - CAPEX'!H45</f>
        <v>233333.33333333299</v>
      </c>
      <c r="J9" s="215">
        <f t="shared" si="0"/>
        <v>1000000.000000001</v>
      </c>
    </row>
    <row r="10" spans="2:12" x14ac:dyDescent="0.3">
      <c r="B10" s="83" t="s">
        <v>295</v>
      </c>
      <c r="C10" s="83" t="s">
        <v>207</v>
      </c>
      <c r="D10" s="214">
        <f>+'Darwin - CAPEX'!C13</f>
        <v>4625000</v>
      </c>
      <c r="E10" s="214">
        <f>+'Darwin - CAPEX'!D13</f>
        <v>3540000</v>
      </c>
      <c r="F10" s="214">
        <f>+'Darwin - CAPEX'!E13</f>
        <v>1349000</v>
      </c>
      <c r="G10" s="214">
        <f>+'Darwin - CAPEX'!F13</f>
        <v>607000</v>
      </c>
      <c r="H10" s="214">
        <f>+'Darwin - CAPEX'!G13</f>
        <v>0</v>
      </c>
      <c r="I10" s="214">
        <f>+'Darwin - CAPEX'!H13</f>
        <v>0</v>
      </c>
      <c r="J10" s="215">
        <f t="shared" si="0"/>
        <v>10121000</v>
      </c>
    </row>
    <row r="11" spans="2:12" x14ac:dyDescent="0.3">
      <c r="B11" s="83" t="s">
        <v>296</v>
      </c>
      <c r="C11" s="83" t="s">
        <v>207</v>
      </c>
      <c r="D11" s="214">
        <f>+'Darwin - CAPEX'!C19</f>
        <v>3500000</v>
      </c>
      <c r="E11" s="214">
        <f>+'Darwin - CAPEX'!D19</f>
        <v>3500000</v>
      </c>
      <c r="F11" s="214">
        <f>+'Darwin - CAPEX'!E19</f>
        <v>2753750</v>
      </c>
      <c r="G11" s="214">
        <f>+'Darwin - CAPEX'!F19</f>
        <v>0</v>
      </c>
      <c r="H11" s="214">
        <f>+'Darwin - CAPEX'!G19</f>
        <v>0</v>
      </c>
      <c r="I11" s="214">
        <f>+'Darwin - CAPEX'!H19</f>
        <v>0</v>
      </c>
      <c r="J11" s="215">
        <f t="shared" si="0"/>
        <v>9753750</v>
      </c>
    </row>
    <row r="12" spans="2:12" x14ac:dyDescent="0.3">
      <c r="B12" s="83" t="s">
        <v>297</v>
      </c>
      <c r="C12" s="83" t="s">
        <v>207</v>
      </c>
      <c r="D12" s="214">
        <f>+'Darwin - CAPEX'!C25</f>
        <v>1200000</v>
      </c>
      <c r="E12" s="214">
        <f>+'Darwin - CAPEX'!D25</f>
        <v>1101000</v>
      </c>
      <c r="F12" s="214">
        <f>+'Darwin - CAPEX'!E25</f>
        <v>250000</v>
      </c>
      <c r="G12" s="214">
        <f>+'Darwin - CAPEX'!F25</f>
        <v>0</v>
      </c>
      <c r="H12" s="214">
        <f>+'Darwin - CAPEX'!G25</f>
        <v>0</v>
      </c>
      <c r="I12" s="214">
        <f>+'Darwin - CAPEX'!H25</f>
        <v>0</v>
      </c>
      <c r="J12" s="215">
        <f t="shared" si="0"/>
        <v>2551000</v>
      </c>
    </row>
    <row r="13" spans="2:12" x14ac:dyDescent="0.3">
      <c r="B13" s="83" t="s">
        <v>298</v>
      </c>
      <c r="C13" s="83" t="s">
        <v>207</v>
      </c>
      <c r="D13" s="214">
        <f>+'Darwin - CAPEX'!C32</f>
        <v>3000000</v>
      </c>
      <c r="E13" s="214">
        <f>+'Darwin - CAPEX'!D32</f>
        <v>3000000</v>
      </c>
      <c r="F13" s="214">
        <f>+'Darwin - CAPEX'!E32</f>
        <v>2505000</v>
      </c>
      <c r="G13" s="214">
        <f>+'Darwin - CAPEX'!F32</f>
        <v>0</v>
      </c>
      <c r="H13" s="214">
        <f>+'Darwin - CAPEX'!G32</f>
        <v>0</v>
      </c>
      <c r="I13" s="214">
        <f>+'Darwin - CAPEX'!H32</f>
        <v>0</v>
      </c>
      <c r="J13" s="215">
        <f t="shared" si="0"/>
        <v>8505000</v>
      </c>
    </row>
    <row r="14" spans="2:12" x14ac:dyDescent="0.3">
      <c r="B14" s="83" t="s">
        <v>299</v>
      </c>
      <c r="C14" s="83" t="s">
        <v>207</v>
      </c>
      <c r="D14" s="214">
        <f>+'Darwin - CAPEX'!C39</f>
        <v>1204666.6666666665</v>
      </c>
      <c r="E14" s="214">
        <f>+'Darwin - CAPEX'!D39</f>
        <v>1204666.6666666665</v>
      </c>
      <c r="F14" s="214">
        <f>+'Darwin - CAPEX'!E39</f>
        <v>1204666.6666666665</v>
      </c>
      <c r="G14" s="214">
        <f>+'Darwin - CAPEX'!F39</f>
        <v>1204666.6666666665</v>
      </c>
      <c r="H14" s="214">
        <f>+'Darwin - CAPEX'!G39</f>
        <v>1204666.6666666665</v>
      </c>
      <c r="I14" s="214">
        <f>+'Darwin - CAPEX'!H39</f>
        <v>1204666.6666666665</v>
      </c>
      <c r="J14" s="215">
        <f t="shared" si="0"/>
        <v>7227999.9999999981</v>
      </c>
    </row>
    <row r="15" spans="2:12" x14ac:dyDescent="0.3">
      <c r="B15" s="218" t="s">
        <v>300</v>
      </c>
      <c r="C15" s="218" t="s">
        <v>207</v>
      </c>
      <c r="D15" s="219">
        <v>553258.33333333337</v>
      </c>
      <c r="E15" s="219">
        <v>553258.33333333337</v>
      </c>
      <c r="F15" s="219">
        <v>553258.33333333337</v>
      </c>
      <c r="G15" s="219">
        <v>553258.33333333337</v>
      </c>
      <c r="H15" s="219">
        <v>553258.33333333337</v>
      </c>
      <c r="I15" s="219">
        <v>553258.33333333337</v>
      </c>
      <c r="J15" s="220">
        <f t="shared" si="0"/>
        <v>3319550.0000000005</v>
      </c>
    </row>
    <row r="16" spans="2:12" x14ac:dyDescent="0.3">
      <c r="B16" s="218" t="s">
        <v>301</v>
      </c>
      <c r="C16" s="218" t="s">
        <v>207</v>
      </c>
      <c r="D16" s="219">
        <v>4521700</v>
      </c>
      <c r="E16" s="219"/>
      <c r="F16" s="219"/>
      <c r="G16" s="219"/>
      <c r="H16" s="219"/>
      <c r="I16" s="219"/>
      <c r="J16" s="220">
        <f t="shared" si="0"/>
        <v>4521700</v>
      </c>
    </row>
    <row r="17" spans="2:10" x14ac:dyDescent="0.3">
      <c r="B17" s="216" t="s">
        <v>303</v>
      </c>
      <c r="C17" s="216"/>
      <c r="D17" s="216"/>
      <c r="E17" s="216"/>
      <c r="F17" s="216"/>
      <c r="G17" s="216"/>
      <c r="H17" s="216"/>
      <c r="I17" s="216"/>
      <c r="J17" s="217">
        <f>SUM(J6:J16)</f>
        <v>50000000</v>
      </c>
    </row>
    <row r="18" spans="2:10" x14ac:dyDescent="0.3">
      <c r="J18" s="2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Dashboard</vt:lpstr>
      <vt:lpstr>10 Year Pro Forma</vt:lpstr>
      <vt:lpstr>Sensitivity Analysis</vt:lpstr>
      <vt:lpstr>Ancillary Revenues</vt:lpstr>
      <vt:lpstr>Assumptions</vt:lpstr>
      <vt:lpstr>Ore Assumptions</vt:lpstr>
      <vt:lpstr>Commodity Prices</vt:lpstr>
      <vt:lpstr>Mining Cost Assumptions</vt:lpstr>
      <vt:lpstr>Combined CAPEX</vt:lpstr>
      <vt:lpstr>WS - CAPEX</vt:lpstr>
      <vt:lpstr>Darwin - CAPEX</vt:lpstr>
      <vt:lpstr>Depreciation</vt:lpstr>
      <vt:lpstr>Tungsten Model</vt:lpstr>
      <vt:lpstr>Metals Model</vt:lpstr>
      <vt:lpstr>CM Model</vt:lpstr>
      <vt:lpstr>Zinc Agra</vt:lpstr>
      <vt:lpstr>Production Schedule</vt:lpstr>
      <vt:lpstr>Mining Costs</vt:lpstr>
      <vt:lpstr>Debt Model</vt:lpstr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 McLellan</dc:creator>
  <cp:lastModifiedBy>Nicholas Stone</cp:lastModifiedBy>
  <dcterms:created xsi:type="dcterms:W3CDTF">2025-12-02T14:21:39Z</dcterms:created>
  <dcterms:modified xsi:type="dcterms:W3CDTF">2026-07-06T19:08:00Z</dcterms:modified>
</cp:coreProperties>
</file>