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Ross\OneDrive\Documents\Darwin New\"/>
    </mc:Choice>
  </mc:AlternateContent>
  <xr:revisionPtr revIDLastSave="0" documentId="8_{FF7A5FAD-5821-42DD-9014-260097DB9C3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10 Year Pro Forma" sheetId="28" r:id="rId1"/>
    <sheet name="Assumptions" sheetId="25" r:id="rId2"/>
    <sheet name="Commodity Prices" sheetId="33" r:id="rId3"/>
    <sheet name="Mining Cost Assumptions" sheetId="5" r:id="rId4"/>
    <sheet name="Combined CAPEX" sheetId="40" r:id="rId5"/>
    <sheet name="WS - CAPEX" sheetId="26" r:id="rId6"/>
    <sheet name="Darwin - CAPEX" sheetId="27" r:id="rId7"/>
    <sheet name="Depreciation" sheetId="38" r:id="rId8"/>
    <sheet name="Tungsten Model" sheetId="31" r:id="rId9"/>
    <sheet name="Metals Model" sheetId="32" r:id="rId10"/>
    <sheet name="CM Model" sheetId="34" r:id="rId11"/>
    <sheet name="Mining Costs" sheetId="36" r:id="rId12"/>
    <sheet name="Zinc Agra" sheetId="37" r:id="rId13"/>
    <sheet name="Debt Model" sheetId="39" r:id="rId14"/>
    <sheet name="Oxide Ag Per Ton" sheetId="17" state="hidden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4" l="1"/>
  <c r="B6" i="34"/>
  <c r="B7" i="34"/>
  <c r="B8" i="34"/>
  <c r="B9" i="34"/>
  <c r="B10" i="34"/>
  <c r="B11" i="34"/>
  <c r="B12" i="34"/>
  <c r="B13" i="34"/>
  <c r="B14" i="34"/>
  <c r="C44" i="28"/>
  <c r="J15" i="40"/>
  <c r="J16" i="40"/>
  <c r="I14" i="40"/>
  <c r="H14" i="40"/>
  <c r="G14" i="40"/>
  <c r="F14" i="40"/>
  <c r="E14" i="40"/>
  <c r="I13" i="40"/>
  <c r="H13" i="40"/>
  <c r="G13" i="40"/>
  <c r="F13" i="40"/>
  <c r="E13" i="40"/>
  <c r="I12" i="40"/>
  <c r="H12" i="40"/>
  <c r="G12" i="40"/>
  <c r="F12" i="40"/>
  <c r="E12" i="40"/>
  <c r="I11" i="40"/>
  <c r="H11" i="40"/>
  <c r="G11" i="40"/>
  <c r="F11" i="40"/>
  <c r="E11" i="40"/>
  <c r="D14" i="40"/>
  <c r="J14" i="40" s="1"/>
  <c r="D13" i="40"/>
  <c r="D12" i="40"/>
  <c r="D11" i="40"/>
  <c r="I10" i="40"/>
  <c r="H10" i="40"/>
  <c r="G10" i="40"/>
  <c r="F10" i="40"/>
  <c r="E10" i="40"/>
  <c r="D10" i="40"/>
  <c r="I9" i="40"/>
  <c r="H9" i="40"/>
  <c r="G9" i="40"/>
  <c r="F9" i="40"/>
  <c r="E9" i="40"/>
  <c r="I8" i="40"/>
  <c r="H8" i="40"/>
  <c r="G8" i="40"/>
  <c r="F8" i="40"/>
  <c r="E8" i="40"/>
  <c r="I7" i="40"/>
  <c r="H7" i="40"/>
  <c r="G7" i="40"/>
  <c r="F7" i="40"/>
  <c r="E7" i="40"/>
  <c r="D9" i="40"/>
  <c r="J9" i="40" s="1"/>
  <c r="D8" i="40"/>
  <c r="D7" i="40"/>
  <c r="I6" i="40"/>
  <c r="H6" i="40"/>
  <c r="G6" i="40"/>
  <c r="F6" i="40"/>
  <c r="E6" i="40"/>
  <c r="J6" i="40" s="1"/>
  <c r="C38" i="27"/>
  <c r="I38" i="27" s="1"/>
  <c r="C37" i="27"/>
  <c r="I37" i="27" s="1"/>
  <c r="I24" i="27"/>
  <c r="I23" i="27"/>
  <c r="I22" i="27"/>
  <c r="I18" i="27"/>
  <c r="I17" i="27"/>
  <c r="I16" i="27"/>
  <c r="I36" i="27"/>
  <c r="I35" i="27"/>
  <c r="I31" i="27"/>
  <c r="I30" i="27"/>
  <c r="I29" i="27"/>
  <c r="I28" i="27"/>
  <c r="I10" i="27"/>
  <c r="I11" i="27"/>
  <c r="I12" i="27"/>
  <c r="I9" i="27"/>
  <c r="C36" i="27"/>
  <c r="C35" i="27"/>
  <c r="H39" i="27"/>
  <c r="H41" i="27" s="1"/>
  <c r="H5" i="27" s="1"/>
  <c r="H4" i="27"/>
  <c r="D6" i="40"/>
  <c r="F39" i="27"/>
  <c r="E39" i="27"/>
  <c r="D39" i="27"/>
  <c r="G39" i="27"/>
  <c r="G41" i="27" s="1"/>
  <c r="G5" i="27" s="1"/>
  <c r="J13" i="40" l="1"/>
  <c r="J12" i="40"/>
  <c r="J7" i="40"/>
  <c r="J11" i="40"/>
  <c r="J8" i="40"/>
  <c r="J10" i="40"/>
  <c r="J17" i="40" s="1"/>
  <c r="C39" i="27"/>
  <c r="I39" i="27"/>
  <c r="D8" i="33" l="1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7" i="33"/>
  <c r="F7" i="25"/>
  <c r="C45" i="28"/>
  <c r="H12" i="38"/>
  <c r="I12" i="38"/>
  <c r="J12" i="38"/>
  <c r="K12" i="38"/>
  <c r="L12" i="38"/>
  <c r="M12" i="38"/>
  <c r="N12" i="38"/>
  <c r="O12" i="38"/>
  <c r="P12" i="38"/>
  <c r="Q12" i="38"/>
  <c r="H13" i="38"/>
  <c r="I13" i="38"/>
  <c r="J13" i="38"/>
  <c r="K13" i="38"/>
  <c r="L13" i="38"/>
  <c r="M13" i="38"/>
  <c r="N13" i="38"/>
  <c r="O13" i="38"/>
  <c r="P13" i="38"/>
  <c r="Q13" i="38"/>
  <c r="H14" i="38"/>
  <c r="I14" i="38"/>
  <c r="J14" i="38"/>
  <c r="K14" i="38"/>
  <c r="L14" i="38"/>
  <c r="M14" i="38"/>
  <c r="N14" i="38"/>
  <c r="O14" i="38"/>
  <c r="P14" i="38"/>
  <c r="Q14" i="38"/>
  <c r="H15" i="38"/>
  <c r="I15" i="38"/>
  <c r="J15" i="38"/>
  <c r="K15" i="38"/>
  <c r="L15" i="38"/>
  <c r="M15" i="38"/>
  <c r="N15" i="38"/>
  <c r="O15" i="38"/>
  <c r="P15" i="38"/>
  <c r="Q15" i="38"/>
  <c r="Q11" i="38"/>
  <c r="P11" i="38"/>
  <c r="O11" i="38"/>
  <c r="N11" i="38"/>
  <c r="M11" i="38"/>
  <c r="L11" i="38"/>
  <c r="K11" i="38"/>
  <c r="J11" i="38"/>
  <c r="I11" i="38"/>
  <c r="H11" i="38"/>
  <c r="H7" i="38"/>
  <c r="I7" i="38"/>
  <c r="J7" i="38"/>
  <c r="K7" i="38"/>
  <c r="L7" i="38"/>
  <c r="M7" i="38"/>
  <c r="N7" i="38"/>
  <c r="O7" i="38"/>
  <c r="P7" i="38"/>
  <c r="Q7" i="38"/>
  <c r="H8" i="38"/>
  <c r="I8" i="38"/>
  <c r="J8" i="38"/>
  <c r="K8" i="38"/>
  <c r="L8" i="38"/>
  <c r="M8" i="38"/>
  <c r="N8" i="38"/>
  <c r="O8" i="38"/>
  <c r="P8" i="38"/>
  <c r="Q8" i="38"/>
  <c r="H9" i="38"/>
  <c r="I9" i="38"/>
  <c r="J9" i="38"/>
  <c r="K9" i="38"/>
  <c r="L9" i="38"/>
  <c r="M9" i="38"/>
  <c r="N9" i="38"/>
  <c r="O9" i="38"/>
  <c r="P9" i="38"/>
  <c r="Q9" i="38"/>
  <c r="Q6" i="38"/>
  <c r="P6" i="38"/>
  <c r="O6" i="38"/>
  <c r="N6" i="38"/>
  <c r="M6" i="38"/>
  <c r="L6" i="38"/>
  <c r="K6" i="38"/>
  <c r="J6" i="38"/>
  <c r="I6" i="38"/>
  <c r="H6" i="38"/>
  <c r="D11" i="39"/>
  <c r="C42" i="28"/>
  <c r="C49" i="28"/>
  <c r="B11" i="39"/>
  <c r="C5" i="39"/>
  <c r="C6" i="39"/>
  <c r="C7" i="39"/>
  <c r="C4" i="39"/>
  <c r="I8" i="25"/>
  <c r="C8" i="39" s="1"/>
  <c r="I3" i="38"/>
  <c r="I4" i="38"/>
  <c r="J4" i="38" s="1"/>
  <c r="K4" i="38" s="1"/>
  <c r="L4" i="38" s="1"/>
  <c r="M4" i="38" s="1"/>
  <c r="N4" i="38" s="1"/>
  <c r="O4" i="38" s="1"/>
  <c r="P4" i="38" s="1"/>
  <c r="Q4" i="38" s="1"/>
  <c r="C14" i="37"/>
  <c r="C11" i="37"/>
  <c r="C15" i="37"/>
  <c r="C16" i="37"/>
  <c r="C25" i="37"/>
  <c r="D25" i="37" s="1"/>
  <c r="E25" i="37" s="1"/>
  <c r="F25" i="37" s="1"/>
  <c r="G25" i="37" s="1"/>
  <c r="H25" i="37" s="1"/>
  <c r="I25" i="37" s="1"/>
  <c r="J25" i="37" s="1"/>
  <c r="K25" i="37" s="1"/>
  <c r="L25" i="37" s="1"/>
  <c r="M25" i="37" s="1"/>
  <c r="N25" i="37" s="1"/>
  <c r="O25" i="37" s="1"/>
  <c r="P25" i="37" s="1"/>
  <c r="Q25" i="37" s="1"/>
  <c r="R25" i="37" s="1"/>
  <c r="S25" i="37" s="1"/>
  <c r="T25" i="37" s="1"/>
  <c r="U25" i="37" s="1"/>
  <c r="V25" i="37" s="1"/>
  <c r="W25" i="37" s="1"/>
  <c r="X25" i="37" s="1"/>
  <c r="Y25" i="37" s="1"/>
  <c r="Z25" i="37" s="1"/>
  <c r="AA25" i="37" s="1"/>
  <c r="AB25" i="37" s="1"/>
  <c r="AC25" i="37" s="1"/>
  <c r="AD25" i="37" s="1"/>
  <c r="AE25" i="37" s="1"/>
  <c r="AF25" i="37" s="1"/>
  <c r="AG25" i="37" s="1"/>
  <c r="AH25" i="37" s="1"/>
  <c r="AI25" i="37" s="1"/>
  <c r="AJ25" i="37" s="1"/>
  <c r="AK25" i="37" s="1"/>
  <c r="AL25" i="37" s="1"/>
  <c r="AM25" i="37" s="1"/>
  <c r="AN25" i="37" s="1"/>
  <c r="AO25" i="37" s="1"/>
  <c r="AP25" i="37" s="1"/>
  <c r="AQ25" i="37" s="1"/>
  <c r="AR25" i="37" s="1"/>
  <c r="AS25" i="37" s="1"/>
  <c r="AT25" i="37" s="1"/>
  <c r="AU25" i="37" s="1"/>
  <c r="AV25" i="37" s="1"/>
  <c r="AW25" i="37" s="1"/>
  <c r="AX25" i="37" s="1"/>
  <c r="AY25" i="37" s="1"/>
  <c r="AZ25" i="37" s="1"/>
  <c r="BA25" i="37" s="1"/>
  <c r="BB25" i="37" s="1"/>
  <c r="BC25" i="37" s="1"/>
  <c r="BD25" i="37" s="1"/>
  <c r="BE25" i="37" s="1"/>
  <c r="BF25" i="37" s="1"/>
  <c r="BG25" i="37" s="1"/>
  <c r="BH25" i="37" s="1"/>
  <c r="BI25" i="37" s="1"/>
  <c r="BJ25" i="37" s="1"/>
  <c r="BK25" i="37" s="1"/>
  <c r="BL25" i="37" s="1"/>
  <c r="BM25" i="37" s="1"/>
  <c r="BN25" i="37" s="1"/>
  <c r="BO25" i="37" s="1"/>
  <c r="BP25" i="37" s="1"/>
  <c r="BQ25" i="37" s="1"/>
  <c r="BR25" i="37" s="1"/>
  <c r="BS25" i="37" s="1"/>
  <c r="BT25" i="37" s="1"/>
  <c r="BU25" i="37" s="1"/>
  <c r="BV25" i="37" s="1"/>
  <c r="BW25" i="37" s="1"/>
  <c r="BX25" i="37" s="1"/>
  <c r="BY25" i="37" s="1"/>
  <c r="BZ25" i="37" s="1"/>
  <c r="CA25" i="37" s="1"/>
  <c r="CB25" i="37" s="1"/>
  <c r="CC25" i="37" s="1"/>
  <c r="CD25" i="37" s="1"/>
  <c r="CE25" i="37" s="1"/>
  <c r="CF25" i="37" s="1"/>
  <c r="CG25" i="37" s="1"/>
  <c r="CH25" i="37" s="1"/>
  <c r="CI25" i="37" s="1"/>
  <c r="CJ25" i="37" s="1"/>
  <c r="CK25" i="37" s="1"/>
  <c r="CL25" i="37" s="1"/>
  <c r="CM25" i="37" s="1"/>
  <c r="CN25" i="37" s="1"/>
  <c r="CO25" i="37" s="1"/>
  <c r="CP25" i="37" s="1"/>
  <c r="CQ25" i="37" s="1"/>
  <c r="CR25" i="37" s="1"/>
  <c r="CS25" i="37" s="1"/>
  <c r="CT25" i="37" s="1"/>
  <c r="CU25" i="37" s="1"/>
  <c r="CV25" i="37" s="1"/>
  <c r="CW25" i="37" s="1"/>
  <c r="CX25" i="37" s="1"/>
  <c r="CY25" i="37" s="1"/>
  <c r="CZ25" i="37" s="1"/>
  <c r="DA25" i="37" s="1"/>
  <c r="DB25" i="37" s="1"/>
  <c r="DC25" i="37" s="1"/>
  <c r="DD25" i="37" s="1"/>
  <c r="DE25" i="37" s="1"/>
  <c r="DF25" i="37" s="1"/>
  <c r="DG25" i="37" s="1"/>
  <c r="DH25" i="37" s="1"/>
  <c r="DI25" i="37" s="1"/>
  <c r="DJ25" i="37" s="1"/>
  <c r="DK25" i="37" s="1"/>
  <c r="DL25" i="37" s="1"/>
  <c r="DM25" i="37" s="1"/>
  <c r="DN25" i="37" s="1"/>
  <c r="DO25" i="37" s="1"/>
  <c r="DP25" i="37" s="1"/>
  <c r="DQ25" i="37" s="1"/>
  <c r="DR25" i="37" s="1"/>
  <c r="DS25" i="37" s="1"/>
  <c r="DT25" i="37" s="1"/>
  <c r="DU25" i="37" s="1"/>
  <c r="DV25" i="37" s="1"/>
  <c r="DW25" i="37" s="1"/>
  <c r="DW20" i="37" s="1"/>
  <c r="F6" i="25"/>
  <c r="H17" i="38" l="1"/>
  <c r="C21" i="28"/>
  <c r="C38" i="28" s="1"/>
  <c r="J3" i="38"/>
  <c r="G11" i="39"/>
  <c r="B12" i="39"/>
  <c r="C11" i="39"/>
  <c r="E11" i="39" s="1"/>
  <c r="Y20" i="37"/>
  <c r="CK20" i="37"/>
  <c r="H20" i="37"/>
  <c r="P20" i="37"/>
  <c r="X20" i="37"/>
  <c r="AF20" i="37"/>
  <c r="AN20" i="37"/>
  <c r="AV20" i="37"/>
  <c r="BD20" i="37"/>
  <c r="BL20" i="37"/>
  <c r="BT20" i="37"/>
  <c r="CB20" i="37"/>
  <c r="CJ20" i="37"/>
  <c r="CR20" i="37"/>
  <c r="CZ20" i="37"/>
  <c r="DH20" i="37"/>
  <c r="DP20" i="37"/>
  <c r="I20" i="37"/>
  <c r="BE20" i="37"/>
  <c r="DI20" i="37"/>
  <c r="AH20" i="37"/>
  <c r="BN20" i="37"/>
  <c r="DB20" i="37"/>
  <c r="C20" i="37"/>
  <c r="K20" i="37"/>
  <c r="S20" i="37"/>
  <c r="AA20" i="37"/>
  <c r="AI20" i="37"/>
  <c r="AQ20" i="37"/>
  <c r="AY20" i="37"/>
  <c r="BG20" i="37"/>
  <c r="BO20" i="37"/>
  <c r="BW20" i="37"/>
  <c r="CE20" i="37"/>
  <c r="CM20" i="37"/>
  <c r="CU20" i="37"/>
  <c r="DC20" i="37"/>
  <c r="DK20" i="37"/>
  <c r="DS20" i="37"/>
  <c r="AG20" i="37"/>
  <c r="BM20" i="37"/>
  <c r="DQ20" i="37"/>
  <c r="Z20" i="37"/>
  <c r="BF20" i="37"/>
  <c r="CL20" i="37"/>
  <c r="DJ20" i="37"/>
  <c r="D20" i="37"/>
  <c r="L20" i="37"/>
  <c r="T20" i="37"/>
  <c r="AB20" i="37"/>
  <c r="AJ20" i="37"/>
  <c r="AR20" i="37"/>
  <c r="AZ20" i="37"/>
  <c r="BH20" i="37"/>
  <c r="BP20" i="37"/>
  <c r="BX20" i="37"/>
  <c r="CF20" i="37"/>
  <c r="CN20" i="37"/>
  <c r="CV20" i="37"/>
  <c r="DD20" i="37"/>
  <c r="DL20" i="37"/>
  <c r="DT20" i="37"/>
  <c r="E20" i="37"/>
  <c r="M20" i="37"/>
  <c r="U20" i="37"/>
  <c r="AC20" i="37"/>
  <c r="AK20" i="37"/>
  <c r="AS20" i="37"/>
  <c r="BA20" i="37"/>
  <c r="BI20" i="37"/>
  <c r="BQ20" i="37"/>
  <c r="BY20" i="37"/>
  <c r="CG20" i="37"/>
  <c r="CO20" i="37"/>
  <c r="CW20" i="37"/>
  <c r="DE20" i="37"/>
  <c r="DM20" i="37"/>
  <c r="DU20" i="37"/>
  <c r="AO20" i="37"/>
  <c r="BU20" i="37"/>
  <c r="DA20" i="37"/>
  <c r="J20" i="37"/>
  <c r="AP20" i="37"/>
  <c r="BV20" i="37"/>
  <c r="CT20" i="37"/>
  <c r="F20" i="37"/>
  <c r="N20" i="37"/>
  <c r="V20" i="37"/>
  <c r="AD20" i="37"/>
  <c r="AL20" i="37"/>
  <c r="AT20" i="37"/>
  <c r="BB20" i="37"/>
  <c r="BJ20" i="37"/>
  <c r="BR20" i="37"/>
  <c r="BZ20" i="37"/>
  <c r="CH20" i="37"/>
  <c r="CP20" i="37"/>
  <c r="CX20" i="37"/>
  <c r="DF20" i="37"/>
  <c r="DN20" i="37"/>
  <c r="DV20" i="37"/>
  <c r="Q20" i="37"/>
  <c r="AW20" i="37"/>
  <c r="CC20" i="37"/>
  <c r="CS20" i="37"/>
  <c r="R20" i="37"/>
  <c r="AX20" i="37"/>
  <c r="CD20" i="37"/>
  <c r="DR20" i="37"/>
  <c r="G20" i="37"/>
  <c r="O20" i="37"/>
  <c r="W20" i="37"/>
  <c r="AE20" i="37"/>
  <c r="AM20" i="37"/>
  <c r="AU20" i="37"/>
  <c r="BC20" i="37"/>
  <c r="BK20" i="37"/>
  <c r="BS20" i="37"/>
  <c r="CA20" i="37"/>
  <c r="CI20" i="37"/>
  <c r="CQ20" i="37"/>
  <c r="CY20" i="37"/>
  <c r="DG20" i="37"/>
  <c r="DO20" i="37"/>
  <c r="I17" i="38" l="1"/>
  <c r="K3" i="38"/>
  <c r="F11" i="39"/>
  <c r="H11" i="39" s="1"/>
  <c r="G12" i="39"/>
  <c r="B13" i="39"/>
  <c r="J17" i="38" l="1"/>
  <c r="L3" i="38"/>
  <c r="I11" i="39"/>
  <c r="C12" i="39" s="1"/>
  <c r="D12" i="39" s="1"/>
  <c r="G13" i="39"/>
  <c r="B14" i="39"/>
  <c r="K17" i="38" l="1"/>
  <c r="M3" i="38"/>
  <c r="E12" i="39"/>
  <c r="F12" i="39" s="1"/>
  <c r="H12" i="39" s="1"/>
  <c r="G14" i="39"/>
  <c r="B15" i="39"/>
  <c r="C6" i="34"/>
  <c r="C7" i="34"/>
  <c r="C8" i="34"/>
  <c r="C9" i="34"/>
  <c r="C10" i="34"/>
  <c r="C11" i="34"/>
  <c r="C12" i="34"/>
  <c r="C13" i="34"/>
  <c r="C14" i="34"/>
  <c r="C5" i="34"/>
  <c r="E6" i="36"/>
  <c r="D6" i="36"/>
  <c r="C6" i="36"/>
  <c r="C10" i="36"/>
  <c r="D10" i="36" s="1"/>
  <c r="E10" i="36" s="1"/>
  <c r="F10" i="36" s="1"/>
  <c r="G10" i="36" s="1"/>
  <c r="H10" i="36" s="1"/>
  <c r="I10" i="36" s="1"/>
  <c r="J10" i="36" s="1"/>
  <c r="K10" i="36" s="1"/>
  <c r="C5" i="36"/>
  <c r="F8" i="25"/>
  <c r="B20" i="34"/>
  <c r="B32" i="34" s="1"/>
  <c r="B21" i="34"/>
  <c r="B33" i="34" s="1"/>
  <c r="B22" i="34"/>
  <c r="B34" i="34" s="1"/>
  <c r="B24" i="34"/>
  <c r="B36" i="34" s="1"/>
  <c r="B25" i="34"/>
  <c r="B37" i="34" s="1"/>
  <c r="B26" i="34"/>
  <c r="B38" i="34" s="1"/>
  <c r="B27" i="34"/>
  <c r="B39" i="34" s="1"/>
  <c r="B18" i="34"/>
  <c r="B30" i="34" s="1"/>
  <c r="E59" i="25"/>
  <c r="F59" i="25"/>
  <c r="E60" i="25"/>
  <c r="F60" i="25"/>
  <c r="E61" i="25"/>
  <c r="F61" i="25"/>
  <c r="E62" i="25"/>
  <c r="F62" i="25"/>
  <c r="E63" i="25"/>
  <c r="F63" i="25"/>
  <c r="E64" i="25"/>
  <c r="F64" i="25"/>
  <c r="E65" i="25"/>
  <c r="F65" i="25"/>
  <c r="E66" i="25"/>
  <c r="F66" i="25"/>
  <c r="E67" i="25"/>
  <c r="F67" i="25"/>
  <c r="E68" i="25"/>
  <c r="F68" i="25"/>
  <c r="C42" i="34"/>
  <c r="D4" i="28"/>
  <c r="D45" i="28" s="1"/>
  <c r="E31" i="25"/>
  <c r="E32" i="25"/>
  <c r="B17" i="32"/>
  <c r="B16" i="32"/>
  <c r="D7" i="32"/>
  <c r="E30" i="25"/>
  <c r="E29" i="25"/>
  <c r="E28" i="25"/>
  <c r="E27" i="25"/>
  <c r="D6" i="32" s="1"/>
  <c r="E20" i="25"/>
  <c r="E21" i="25"/>
  <c r="E22" i="25"/>
  <c r="C6" i="32" s="1"/>
  <c r="E19" i="25"/>
  <c r="F28" i="25"/>
  <c r="F29" i="25"/>
  <c r="F30" i="25"/>
  <c r="F31" i="25"/>
  <c r="F32" i="25"/>
  <c r="F27" i="25"/>
  <c r="N3" i="38" l="1"/>
  <c r="L17" i="38"/>
  <c r="I12" i="39"/>
  <c r="C13" i="39" s="1"/>
  <c r="D21" i="28"/>
  <c r="D38" i="28" s="1"/>
  <c r="G15" i="39"/>
  <c r="B16" i="39"/>
  <c r="E4" i="28"/>
  <c r="E45" i="28" s="1"/>
  <c r="D42" i="28"/>
  <c r="E5" i="36"/>
  <c r="D5" i="36"/>
  <c r="F5" i="36"/>
  <c r="G5" i="36"/>
  <c r="H5" i="36"/>
  <c r="I5" i="36"/>
  <c r="J5" i="36"/>
  <c r="L10" i="36"/>
  <c r="K5" i="36"/>
  <c r="D42" i="34"/>
  <c r="E42" i="34" s="1"/>
  <c r="F42" i="34" s="1"/>
  <c r="G42" i="34" s="1"/>
  <c r="H42" i="34" s="1"/>
  <c r="I42" i="34" s="1"/>
  <c r="J42" i="34" s="1"/>
  <c r="K42" i="34" s="1"/>
  <c r="L42" i="34" s="1"/>
  <c r="M42" i="34" s="1"/>
  <c r="N42" i="34" s="1"/>
  <c r="O42" i="34" s="1"/>
  <c r="P42" i="34" s="1"/>
  <c r="Q42" i="34" s="1"/>
  <c r="R42" i="34" s="1"/>
  <c r="S42" i="34" s="1"/>
  <c r="T42" i="34" s="1"/>
  <c r="U42" i="34" s="1"/>
  <c r="V42" i="34" s="1"/>
  <c r="W42" i="34" s="1"/>
  <c r="X42" i="34" s="1"/>
  <c r="Y42" i="34" s="1"/>
  <c r="Z42" i="34" s="1"/>
  <c r="AA42" i="34" s="1"/>
  <c r="AB42" i="34" s="1"/>
  <c r="AC42" i="34" s="1"/>
  <c r="AD42" i="34" s="1"/>
  <c r="AE42" i="34" s="1"/>
  <c r="AF42" i="34" s="1"/>
  <c r="AG42" i="34" s="1"/>
  <c r="AH42" i="34" s="1"/>
  <c r="AI42" i="34" s="1"/>
  <c r="AJ42" i="34" s="1"/>
  <c r="AK42" i="34" s="1"/>
  <c r="AL42" i="34" s="1"/>
  <c r="AM42" i="34" s="1"/>
  <c r="AN42" i="34" s="1"/>
  <c r="AO42" i="34" s="1"/>
  <c r="AP42" i="34" s="1"/>
  <c r="AQ42" i="34" s="1"/>
  <c r="AR42" i="34" s="1"/>
  <c r="AS42" i="34" s="1"/>
  <c r="AT42" i="34" s="1"/>
  <c r="AU42" i="34" s="1"/>
  <c r="AV42" i="34" s="1"/>
  <c r="AW42" i="34" s="1"/>
  <c r="AX42" i="34" s="1"/>
  <c r="AY42" i="34" s="1"/>
  <c r="AZ42" i="34" s="1"/>
  <c r="BA42" i="34" s="1"/>
  <c r="BB42" i="34" s="1"/>
  <c r="BC42" i="34" s="1"/>
  <c r="BD42" i="34" s="1"/>
  <c r="BE42" i="34" s="1"/>
  <c r="BF42" i="34" s="1"/>
  <c r="BG42" i="34" s="1"/>
  <c r="BH42" i="34" s="1"/>
  <c r="BI42" i="34" s="1"/>
  <c r="B19" i="34"/>
  <c r="B31" i="34" s="1"/>
  <c r="C7" i="32"/>
  <c r="E7" i="32" s="1"/>
  <c r="E6" i="32"/>
  <c r="M17" i="38" l="1"/>
  <c r="O3" i="38"/>
  <c r="E13" i="39"/>
  <c r="D13" i="39"/>
  <c r="E21" i="28"/>
  <c r="E38" i="28" s="1"/>
  <c r="G16" i="39"/>
  <c r="B17" i="39"/>
  <c r="F4" i="28"/>
  <c r="F45" i="28" s="1"/>
  <c r="E42" i="28"/>
  <c r="M10" i="36"/>
  <c r="L5" i="36"/>
  <c r="BJ42" i="34"/>
  <c r="N17" i="38" l="1"/>
  <c r="P3" i="38"/>
  <c r="F13" i="39"/>
  <c r="H13" i="39" s="1"/>
  <c r="I13" i="39" s="1"/>
  <c r="C14" i="39" s="1"/>
  <c r="F21" i="28"/>
  <c r="F38" i="28" s="1"/>
  <c r="G17" i="39"/>
  <c r="B18" i="39"/>
  <c r="G4" i="28"/>
  <c r="G45" i="28" s="1"/>
  <c r="F42" i="28"/>
  <c r="N10" i="36"/>
  <c r="M5" i="36"/>
  <c r="BK42" i="34"/>
  <c r="O17" i="38" l="1"/>
  <c r="Q3" i="38"/>
  <c r="D14" i="39"/>
  <c r="E14" i="39"/>
  <c r="F14" i="39" s="1"/>
  <c r="H14" i="39" s="1"/>
  <c r="I14" i="39" s="1"/>
  <c r="C15" i="39" s="1"/>
  <c r="G21" i="28"/>
  <c r="G38" i="28" s="1"/>
  <c r="G18" i="39"/>
  <c r="B19" i="39"/>
  <c r="H4" i="28"/>
  <c r="H45" i="28" s="1"/>
  <c r="G42" i="28"/>
  <c r="O10" i="36"/>
  <c r="N5" i="36"/>
  <c r="BL42" i="34"/>
  <c r="P17" i="38" l="1"/>
  <c r="D15" i="39"/>
  <c r="E15" i="39"/>
  <c r="H21" i="28"/>
  <c r="H38" i="28" s="1"/>
  <c r="G19" i="39"/>
  <c r="B20" i="39"/>
  <c r="I4" i="28"/>
  <c r="I45" i="28" s="1"/>
  <c r="H42" i="28"/>
  <c r="P10" i="36"/>
  <c r="O5" i="36"/>
  <c r="BM42" i="34"/>
  <c r="Q17" i="38" l="1"/>
  <c r="F15" i="39"/>
  <c r="H15" i="39" s="1"/>
  <c r="I15" i="39" s="1"/>
  <c r="C16" i="39" s="1"/>
  <c r="D16" i="39" s="1"/>
  <c r="I21" i="28"/>
  <c r="I38" i="28" s="1"/>
  <c r="G20" i="39"/>
  <c r="B21" i="39"/>
  <c r="J4" i="28"/>
  <c r="J45" i="28" s="1"/>
  <c r="I42" i="28"/>
  <c r="Q10" i="36"/>
  <c r="P5" i="36"/>
  <c r="BN42" i="34"/>
  <c r="E16" i="39" l="1"/>
  <c r="F16" i="39" s="1"/>
  <c r="H16" i="39" s="1"/>
  <c r="J21" i="28"/>
  <c r="J38" i="28" s="1"/>
  <c r="G21" i="39"/>
  <c r="B22" i="39"/>
  <c r="K4" i="28"/>
  <c r="K45" i="28" s="1"/>
  <c r="J42" i="28"/>
  <c r="R10" i="36"/>
  <c r="Q5" i="36"/>
  <c r="BO42" i="34"/>
  <c r="I16" i="39" l="1"/>
  <c r="C17" i="39" s="1"/>
  <c r="K21" i="28"/>
  <c r="K38" i="28" s="1"/>
  <c r="G22" i="39"/>
  <c r="B23" i="39"/>
  <c r="L4" i="28"/>
  <c r="L45" i="28" s="1"/>
  <c r="K42" i="28"/>
  <c r="R5" i="36"/>
  <c r="S10" i="36"/>
  <c r="BP42" i="34"/>
  <c r="D17" i="39" l="1"/>
  <c r="E17" i="39"/>
  <c r="L21" i="28"/>
  <c r="L38" i="28" s="1"/>
  <c r="G23" i="39"/>
  <c r="B24" i="39"/>
  <c r="L42" i="28"/>
  <c r="T10" i="36"/>
  <c r="S5" i="36"/>
  <c r="BQ42" i="34"/>
  <c r="F17" i="39" l="1"/>
  <c r="H17" i="39" s="1"/>
  <c r="I17" i="39" s="1"/>
  <c r="C18" i="39" s="1"/>
  <c r="D18" i="39"/>
  <c r="E18" i="39"/>
  <c r="G24" i="39"/>
  <c r="B25" i="39"/>
  <c r="U10" i="36"/>
  <c r="T5" i="36"/>
  <c r="BR42" i="34"/>
  <c r="F18" i="39" l="1"/>
  <c r="H18" i="39" s="1"/>
  <c r="I18" i="39" s="1"/>
  <c r="C19" i="39" s="1"/>
  <c r="D19" i="39" s="1"/>
  <c r="E19" i="39"/>
  <c r="G25" i="39"/>
  <c r="B26" i="39"/>
  <c r="V10" i="36"/>
  <c r="U5" i="36"/>
  <c r="BS42" i="34"/>
  <c r="F19" i="39" l="1"/>
  <c r="H19" i="39" s="1"/>
  <c r="I19" i="39" s="1"/>
  <c r="C20" i="39" s="1"/>
  <c r="D20" i="39" s="1"/>
  <c r="G26" i="39"/>
  <c r="B27" i="39"/>
  <c r="W10" i="36"/>
  <c r="V5" i="36"/>
  <c r="BT42" i="34"/>
  <c r="E20" i="39" l="1"/>
  <c r="F20" i="39"/>
  <c r="H20" i="39" s="1"/>
  <c r="I20" i="39" s="1"/>
  <c r="C21" i="39" s="1"/>
  <c r="D21" i="39" s="1"/>
  <c r="G27" i="39"/>
  <c r="B28" i="39"/>
  <c r="X10" i="36"/>
  <c r="W5" i="36"/>
  <c r="BU42" i="34"/>
  <c r="E21" i="39" l="1"/>
  <c r="F21" i="39" s="1"/>
  <c r="H21" i="39" s="1"/>
  <c r="I21" i="39" s="1"/>
  <c r="C22" i="39" s="1"/>
  <c r="D22" i="39"/>
  <c r="E22" i="39"/>
  <c r="F22" i="39" s="1"/>
  <c r="H22" i="39" s="1"/>
  <c r="I22" i="39" s="1"/>
  <c r="C23" i="39" s="1"/>
  <c r="G28" i="39"/>
  <c r="B29" i="39"/>
  <c r="Y10" i="36"/>
  <c r="X5" i="36"/>
  <c r="BV42" i="34"/>
  <c r="D23" i="39" l="1"/>
  <c r="E23" i="39"/>
  <c r="F23" i="39" s="1"/>
  <c r="H23" i="39" s="1"/>
  <c r="I23" i="39" s="1"/>
  <c r="C24" i="39" s="1"/>
  <c r="G29" i="39"/>
  <c r="B30" i="39"/>
  <c r="Z10" i="36"/>
  <c r="Y5" i="36"/>
  <c r="BW42" i="34"/>
  <c r="D24" i="39" l="1"/>
  <c r="E24" i="39"/>
  <c r="F24" i="39" s="1"/>
  <c r="H24" i="39" s="1"/>
  <c r="I24" i="39" s="1"/>
  <c r="C25" i="39" s="1"/>
  <c r="G30" i="39"/>
  <c r="B31" i="39"/>
  <c r="Z5" i="36"/>
  <c r="AA10" i="36"/>
  <c r="BX42" i="34"/>
  <c r="D25" i="39" l="1"/>
  <c r="E25" i="39"/>
  <c r="F25" i="39" s="1"/>
  <c r="H25" i="39" s="1"/>
  <c r="I25" i="39" s="1"/>
  <c r="C26" i="39" s="1"/>
  <c r="G31" i="39"/>
  <c r="B32" i="39"/>
  <c r="AB10" i="36"/>
  <c r="AA5" i="36"/>
  <c r="BY42" i="34"/>
  <c r="D26" i="39" l="1"/>
  <c r="E26" i="39"/>
  <c r="F26" i="39" s="1"/>
  <c r="H26" i="39" s="1"/>
  <c r="I26" i="39" s="1"/>
  <c r="C27" i="39" s="1"/>
  <c r="G32" i="39"/>
  <c r="B33" i="39"/>
  <c r="AC10" i="36"/>
  <c r="AB5" i="36"/>
  <c r="BZ42" i="34"/>
  <c r="D27" i="39" l="1"/>
  <c r="E27" i="39"/>
  <c r="F27" i="39" s="1"/>
  <c r="H27" i="39" s="1"/>
  <c r="I27" i="39" s="1"/>
  <c r="C28" i="39" s="1"/>
  <c r="G33" i="39"/>
  <c r="B34" i="39"/>
  <c r="AD10" i="36"/>
  <c r="AC5" i="36"/>
  <c r="CA42" i="34"/>
  <c r="D28" i="39" l="1"/>
  <c r="E28" i="39"/>
  <c r="F28" i="39" s="1"/>
  <c r="H28" i="39" s="1"/>
  <c r="I28" i="39" s="1"/>
  <c r="C29" i="39" s="1"/>
  <c r="G34" i="39"/>
  <c r="B35" i="39"/>
  <c r="AE10" i="36"/>
  <c r="AD5" i="36"/>
  <c r="CB42" i="34"/>
  <c r="D29" i="39" l="1"/>
  <c r="E29" i="39"/>
  <c r="F29" i="39" s="1"/>
  <c r="H29" i="39" s="1"/>
  <c r="I29" i="39" s="1"/>
  <c r="C30" i="39" s="1"/>
  <c r="G35" i="39"/>
  <c r="B36" i="39"/>
  <c r="AF10" i="36"/>
  <c r="AE5" i="36"/>
  <c r="CC42" i="34"/>
  <c r="D30" i="39" l="1"/>
  <c r="E30" i="39"/>
  <c r="F30" i="39" s="1"/>
  <c r="H30" i="39" s="1"/>
  <c r="I30" i="39" s="1"/>
  <c r="C31" i="39" s="1"/>
  <c r="G36" i="39"/>
  <c r="B37" i="39"/>
  <c r="AG10" i="36"/>
  <c r="AF5" i="36"/>
  <c r="CD42" i="34"/>
  <c r="D31" i="39" l="1"/>
  <c r="E31" i="39"/>
  <c r="F31" i="39" s="1"/>
  <c r="H31" i="39" s="1"/>
  <c r="I31" i="39" s="1"/>
  <c r="C32" i="39" s="1"/>
  <c r="G37" i="39"/>
  <c r="B38" i="39"/>
  <c r="AH10" i="36"/>
  <c r="AG5" i="36"/>
  <c r="CE42" i="34"/>
  <c r="D32" i="39" l="1"/>
  <c r="E32" i="39"/>
  <c r="F32" i="39" s="1"/>
  <c r="H32" i="39" s="1"/>
  <c r="I32" i="39" s="1"/>
  <c r="C33" i="39" s="1"/>
  <c r="G38" i="39"/>
  <c r="B39" i="39"/>
  <c r="AI10" i="36"/>
  <c r="AH5" i="36"/>
  <c r="CF42" i="34"/>
  <c r="D33" i="39" l="1"/>
  <c r="E33" i="39"/>
  <c r="F33" i="39" s="1"/>
  <c r="H33" i="39" s="1"/>
  <c r="I33" i="39" s="1"/>
  <c r="C34" i="39" s="1"/>
  <c r="G39" i="39"/>
  <c r="B40" i="39"/>
  <c r="AJ10" i="36"/>
  <c r="AI5" i="36"/>
  <c r="CG42" i="34"/>
  <c r="D34" i="39" l="1"/>
  <c r="E34" i="39"/>
  <c r="F34" i="39" s="1"/>
  <c r="H34" i="39" s="1"/>
  <c r="I34" i="39" s="1"/>
  <c r="C35" i="39" s="1"/>
  <c r="G40" i="39"/>
  <c r="B41" i="39"/>
  <c r="AK10" i="36"/>
  <c r="AJ5" i="36"/>
  <c r="CH42" i="34"/>
  <c r="D35" i="39" l="1"/>
  <c r="E35" i="39"/>
  <c r="F35" i="39" s="1"/>
  <c r="H35" i="39" s="1"/>
  <c r="I35" i="39" s="1"/>
  <c r="C36" i="39" s="1"/>
  <c r="G41" i="39"/>
  <c r="B42" i="39"/>
  <c r="AL10" i="36"/>
  <c r="AK5" i="36"/>
  <c r="CI42" i="34"/>
  <c r="D36" i="39" l="1"/>
  <c r="E36" i="39"/>
  <c r="F36" i="39" s="1"/>
  <c r="H36" i="39" s="1"/>
  <c r="I36" i="39" s="1"/>
  <c r="C37" i="39" s="1"/>
  <c r="G42" i="39"/>
  <c r="B43" i="39"/>
  <c r="AM10" i="36"/>
  <c r="AL5" i="36"/>
  <c r="CJ42" i="34"/>
  <c r="D37" i="39" l="1"/>
  <c r="E37" i="39"/>
  <c r="F37" i="39" s="1"/>
  <c r="H37" i="39" s="1"/>
  <c r="I37" i="39" s="1"/>
  <c r="C38" i="39" s="1"/>
  <c r="G43" i="39"/>
  <c r="B44" i="39"/>
  <c r="AN10" i="36"/>
  <c r="AM5" i="36"/>
  <c r="CK42" i="34"/>
  <c r="D38" i="39" l="1"/>
  <c r="E38" i="39"/>
  <c r="F38" i="39" s="1"/>
  <c r="H38" i="39" s="1"/>
  <c r="I38" i="39" s="1"/>
  <c r="C39" i="39" s="1"/>
  <c r="G44" i="39"/>
  <c r="B45" i="39"/>
  <c r="AO10" i="36"/>
  <c r="AN5" i="36"/>
  <c r="CL42" i="34"/>
  <c r="D39" i="39" l="1"/>
  <c r="E39" i="39"/>
  <c r="F39" i="39" s="1"/>
  <c r="H39" i="39" s="1"/>
  <c r="I39" i="39" s="1"/>
  <c r="C40" i="39" s="1"/>
  <c r="G45" i="39"/>
  <c r="B46" i="39"/>
  <c r="AP10" i="36"/>
  <c r="AO5" i="36"/>
  <c r="CM42" i="34"/>
  <c r="D40" i="39" l="1"/>
  <c r="E40" i="39"/>
  <c r="F40" i="39" s="1"/>
  <c r="H40" i="39" s="1"/>
  <c r="I40" i="39" s="1"/>
  <c r="C41" i="39" s="1"/>
  <c r="G46" i="39"/>
  <c r="B47" i="39"/>
  <c r="G47" i="39" s="1"/>
  <c r="AQ10" i="36"/>
  <c r="AP5" i="36"/>
  <c r="CN42" i="34"/>
  <c r="D41" i="39" l="1"/>
  <c r="E41" i="39"/>
  <c r="F41" i="39" s="1"/>
  <c r="H41" i="39" s="1"/>
  <c r="I41" i="39" s="1"/>
  <c r="C42" i="39" s="1"/>
  <c r="B48" i="39"/>
  <c r="AR10" i="36"/>
  <c r="AQ5" i="36"/>
  <c r="CO42" i="34"/>
  <c r="B49" i="39" l="1"/>
  <c r="G48" i="39"/>
  <c r="D42" i="39"/>
  <c r="E42" i="39"/>
  <c r="F42" i="39" s="1"/>
  <c r="H42" i="39" s="1"/>
  <c r="I42" i="39" s="1"/>
  <c r="C43" i="39" s="1"/>
  <c r="AS10" i="36"/>
  <c r="AR5" i="36"/>
  <c r="CP42" i="34"/>
  <c r="C49" i="39" l="1"/>
  <c r="B50" i="39"/>
  <c r="D49" i="39"/>
  <c r="F49" i="39" s="1"/>
  <c r="G49" i="39"/>
  <c r="E49" i="39"/>
  <c r="H49" i="39"/>
  <c r="I49" i="39" s="1"/>
  <c r="C50" i="39" s="1"/>
  <c r="D43" i="39"/>
  <c r="E43" i="39"/>
  <c r="AT10" i="36"/>
  <c r="AS5" i="36"/>
  <c r="CQ42" i="34"/>
  <c r="B51" i="39" l="1"/>
  <c r="G50" i="39"/>
  <c r="I50" i="39"/>
  <c r="C51" i="39" s="1"/>
  <c r="E50" i="39"/>
  <c r="D50" i="39"/>
  <c r="F50" i="39" s="1"/>
  <c r="H50" i="39" s="1"/>
  <c r="F43" i="39"/>
  <c r="H43" i="39" s="1"/>
  <c r="I43" i="39" s="1"/>
  <c r="C44" i="39" s="1"/>
  <c r="AU10" i="36"/>
  <c r="AT5" i="36"/>
  <c r="CR42" i="34"/>
  <c r="B52" i="39" l="1"/>
  <c r="G51" i="39"/>
  <c r="I51" i="39"/>
  <c r="C52" i="39" s="1"/>
  <c r="E51" i="39"/>
  <c r="D51" i="39"/>
  <c r="F51" i="39" s="1"/>
  <c r="H51" i="39" s="1"/>
  <c r="D44" i="39"/>
  <c r="E44" i="39"/>
  <c r="AV10" i="36"/>
  <c r="AU5" i="36"/>
  <c r="CS42" i="34"/>
  <c r="F44" i="39" l="1"/>
  <c r="H44" i="39" s="1"/>
  <c r="I44" i="39" s="1"/>
  <c r="C45" i="39" s="1"/>
  <c r="B53" i="39"/>
  <c r="G52" i="39"/>
  <c r="I52" i="39"/>
  <c r="C53" i="39" s="1"/>
  <c r="E52" i="39"/>
  <c r="D52" i="39"/>
  <c r="F52" i="39" s="1"/>
  <c r="H52" i="39" s="1"/>
  <c r="D45" i="39"/>
  <c r="E45" i="39"/>
  <c r="AW10" i="36"/>
  <c r="AV5" i="36"/>
  <c r="CT42" i="34"/>
  <c r="B54" i="39" l="1"/>
  <c r="G53" i="39"/>
  <c r="E53" i="39"/>
  <c r="D53" i="39"/>
  <c r="F53" i="39" s="1"/>
  <c r="H53" i="39" s="1"/>
  <c r="I53" i="39" s="1"/>
  <c r="C54" i="39" s="1"/>
  <c r="F45" i="39"/>
  <c r="H45" i="39" s="1"/>
  <c r="I45" i="39" s="1"/>
  <c r="C46" i="39" s="1"/>
  <c r="AX10" i="36"/>
  <c r="AW5" i="36"/>
  <c r="CU42" i="34"/>
  <c r="B55" i="39" l="1"/>
  <c r="G54" i="39"/>
  <c r="E54" i="39"/>
  <c r="D54" i="39"/>
  <c r="F54" i="39" s="1"/>
  <c r="H54" i="39" s="1"/>
  <c r="I54" i="39" s="1"/>
  <c r="C55" i="39" s="1"/>
  <c r="D46" i="39"/>
  <c r="E46" i="39"/>
  <c r="AX5" i="36"/>
  <c r="AY10" i="36"/>
  <c r="CV42" i="34"/>
  <c r="B56" i="39" l="1"/>
  <c r="G55" i="39"/>
  <c r="E55" i="39"/>
  <c r="D55" i="39"/>
  <c r="F55" i="39" s="1"/>
  <c r="H55" i="39" s="1"/>
  <c r="I55" i="39" s="1"/>
  <c r="C56" i="39" s="1"/>
  <c r="F46" i="39"/>
  <c r="H46" i="39" s="1"/>
  <c r="AZ10" i="36"/>
  <c r="AY5" i="36"/>
  <c r="CW42" i="34"/>
  <c r="B57" i="39" l="1"/>
  <c r="G56" i="39"/>
  <c r="E56" i="39"/>
  <c r="D56" i="39"/>
  <c r="F56" i="39" s="1"/>
  <c r="H56" i="39" s="1"/>
  <c r="I56" i="39" s="1"/>
  <c r="C57" i="39" s="1"/>
  <c r="I46" i="39"/>
  <c r="C47" i="39" s="1"/>
  <c r="BA10" i="36"/>
  <c r="AZ5" i="36"/>
  <c r="CX42" i="34"/>
  <c r="B58" i="39" l="1"/>
  <c r="G57" i="39"/>
  <c r="D57" i="39"/>
  <c r="E57" i="39"/>
  <c r="F57" i="39"/>
  <c r="H57" i="39" s="1"/>
  <c r="I57" i="39" s="1"/>
  <c r="C58" i="39" s="1"/>
  <c r="D47" i="39"/>
  <c r="E47" i="39"/>
  <c r="BB10" i="36"/>
  <c r="BA5" i="36"/>
  <c r="CY42" i="34"/>
  <c r="B59" i="39" l="1"/>
  <c r="G58" i="39"/>
  <c r="D58" i="39"/>
  <c r="E58" i="39"/>
  <c r="F58" i="39"/>
  <c r="H58" i="39" s="1"/>
  <c r="I58" i="39" s="1"/>
  <c r="C59" i="39" s="1"/>
  <c r="F47" i="39"/>
  <c r="H47" i="39" s="1"/>
  <c r="BC10" i="36"/>
  <c r="BB5" i="36"/>
  <c r="CZ42" i="34"/>
  <c r="B60" i="39" l="1"/>
  <c r="G59" i="39"/>
  <c r="D59" i="39"/>
  <c r="F59" i="39" s="1"/>
  <c r="H59" i="39" s="1"/>
  <c r="I59" i="39" s="1"/>
  <c r="C60" i="39" s="1"/>
  <c r="E59" i="39"/>
  <c r="I47" i="39"/>
  <c r="C48" i="39" s="1"/>
  <c r="BD10" i="36"/>
  <c r="BC5" i="36"/>
  <c r="DA42" i="34"/>
  <c r="B61" i="39" l="1"/>
  <c r="G60" i="39"/>
  <c r="D60" i="39"/>
  <c r="E60" i="39"/>
  <c r="F60" i="39"/>
  <c r="H60" i="39" s="1"/>
  <c r="I60" i="39" s="1"/>
  <c r="C61" i="39" s="1"/>
  <c r="D48" i="39"/>
  <c r="E48" i="39"/>
  <c r="BE10" i="36"/>
  <c r="BD5" i="36"/>
  <c r="DB42" i="34"/>
  <c r="B62" i="39" l="1"/>
  <c r="G61" i="39"/>
  <c r="D61" i="39"/>
  <c r="F61" i="39" s="1"/>
  <c r="H61" i="39" s="1"/>
  <c r="I61" i="39" s="1"/>
  <c r="C62" i="39" s="1"/>
  <c r="E61" i="39"/>
  <c r="F48" i="39"/>
  <c r="H48" i="39" s="1"/>
  <c r="BF10" i="36"/>
  <c r="BE5" i="36"/>
  <c r="DC42" i="34"/>
  <c r="B63" i="39" l="1"/>
  <c r="G62" i="39"/>
  <c r="D62" i="39"/>
  <c r="E62" i="39"/>
  <c r="F62" i="39"/>
  <c r="H62" i="39" s="1"/>
  <c r="I62" i="39" s="1"/>
  <c r="C63" i="39" s="1"/>
  <c r="I48" i="39"/>
  <c r="BF5" i="36"/>
  <c r="BG10" i="36"/>
  <c r="DD42" i="34"/>
  <c r="G63" i="39" l="1"/>
  <c r="B64" i="39"/>
  <c r="D63" i="39"/>
  <c r="F63" i="39" s="1"/>
  <c r="H63" i="39" s="1"/>
  <c r="I63" i="39" s="1"/>
  <c r="C64" i="39" s="1"/>
  <c r="E63" i="39"/>
  <c r="BH10" i="36"/>
  <c r="BG5" i="36"/>
  <c r="DE42" i="34"/>
  <c r="G64" i="39" l="1"/>
  <c r="B65" i="39"/>
  <c r="D64" i="39"/>
  <c r="E64" i="39"/>
  <c r="F64" i="39"/>
  <c r="H64" i="39" s="1"/>
  <c r="I64" i="39" s="1"/>
  <c r="C65" i="39" s="1"/>
  <c r="BI10" i="36"/>
  <c r="BH5" i="36"/>
  <c r="DF42" i="34"/>
  <c r="B66" i="39" l="1"/>
  <c r="G65" i="39"/>
  <c r="E65" i="39"/>
  <c r="D65" i="39"/>
  <c r="F65" i="39" s="1"/>
  <c r="H65" i="39" s="1"/>
  <c r="I65" i="39" s="1"/>
  <c r="C66" i="39" s="1"/>
  <c r="BJ10" i="36"/>
  <c r="BI5" i="36"/>
  <c r="DG42" i="34"/>
  <c r="G66" i="39" l="1"/>
  <c r="B67" i="39"/>
  <c r="D66" i="39"/>
  <c r="F66" i="39" s="1"/>
  <c r="H66" i="39" s="1"/>
  <c r="I66" i="39" s="1"/>
  <c r="C67" i="39" s="1"/>
  <c r="E66" i="39"/>
  <c r="BK10" i="36"/>
  <c r="BJ5" i="36"/>
  <c r="DH42" i="34"/>
  <c r="B68" i="39" l="1"/>
  <c r="G67" i="39"/>
  <c r="D67" i="39"/>
  <c r="E67" i="39"/>
  <c r="F67" i="39"/>
  <c r="H67" i="39" s="1"/>
  <c r="I67" i="39" s="1"/>
  <c r="C68" i="39" s="1"/>
  <c r="BL10" i="36"/>
  <c r="BK5" i="36"/>
  <c r="DI42" i="34"/>
  <c r="G68" i="39" l="1"/>
  <c r="B69" i="39"/>
  <c r="E68" i="39"/>
  <c r="D68" i="39"/>
  <c r="F68" i="39" s="1"/>
  <c r="H68" i="39" s="1"/>
  <c r="I68" i="39" s="1"/>
  <c r="C69" i="39" s="1"/>
  <c r="BM10" i="36"/>
  <c r="BL5" i="36"/>
  <c r="DJ42" i="34"/>
  <c r="B70" i="39" l="1"/>
  <c r="G69" i="39"/>
  <c r="D69" i="39"/>
  <c r="E69" i="39"/>
  <c r="F69" i="39"/>
  <c r="H69" i="39" s="1"/>
  <c r="I69" i="39" s="1"/>
  <c r="C70" i="39" s="1"/>
  <c r="BN10" i="36"/>
  <c r="BM5" i="36"/>
  <c r="DK42" i="34"/>
  <c r="B71" i="39" l="1"/>
  <c r="G70" i="39"/>
  <c r="D70" i="39"/>
  <c r="F70" i="39" s="1"/>
  <c r="H70" i="39" s="1"/>
  <c r="I70" i="39" s="1"/>
  <c r="E70" i="39"/>
  <c r="BO10" i="36"/>
  <c r="BN5" i="36"/>
  <c r="DL42" i="34"/>
  <c r="G71" i="39" l="1"/>
  <c r="I71" i="39"/>
  <c r="B72" i="39"/>
  <c r="C71" i="39"/>
  <c r="D71" i="39"/>
  <c r="H71" i="39"/>
  <c r="E71" i="39"/>
  <c r="F71" i="39"/>
  <c r="BP10" i="36"/>
  <c r="BO5" i="36"/>
  <c r="DM42" i="34"/>
  <c r="B73" i="39" l="1"/>
  <c r="G72" i="39"/>
  <c r="I72" i="39"/>
  <c r="C72" i="39"/>
  <c r="H72" i="39"/>
  <c r="E72" i="39"/>
  <c r="D72" i="39"/>
  <c r="F72" i="39"/>
  <c r="BQ10" i="36"/>
  <c r="BP5" i="36"/>
  <c r="DN42" i="34"/>
  <c r="F73" i="39" l="1"/>
  <c r="G73" i="39"/>
  <c r="B74" i="39"/>
  <c r="H73" i="39"/>
  <c r="I73" i="39"/>
  <c r="C73" i="39"/>
  <c r="D73" i="39"/>
  <c r="E73" i="39"/>
  <c r="BR10" i="36"/>
  <c r="BQ5" i="36"/>
  <c r="DO42" i="34"/>
  <c r="G74" i="39" l="1"/>
  <c r="E74" i="39"/>
  <c r="F74" i="39"/>
  <c r="H74" i="39"/>
  <c r="I74" i="39"/>
  <c r="C74" i="39"/>
  <c r="D74" i="39"/>
  <c r="B75" i="39"/>
  <c r="BS10" i="36"/>
  <c r="BR5" i="36"/>
  <c r="DP42" i="34"/>
  <c r="B76" i="39" l="1"/>
  <c r="H75" i="39"/>
  <c r="C75" i="39"/>
  <c r="D75" i="39"/>
  <c r="E75" i="39"/>
  <c r="F75" i="39"/>
  <c r="G75" i="39"/>
  <c r="I75" i="39"/>
  <c r="BT10" i="36"/>
  <c r="BS5" i="36"/>
  <c r="DQ42" i="34"/>
  <c r="G76" i="39" l="1"/>
  <c r="I76" i="39"/>
  <c r="B77" i="39"/>
  <c r="D76" i="39"/>
  <c r="E76" i="39"/>
  <c r="C76" i="39"/>
  <c r="H76" i="39"/>
  <c r="F76" i="39"/>
  <c r="BU10" i="36"/>
  <c r="BT5" i="36"/>
  <c r="DR42" i="34"/>
  <c r="H77" i="39" l="1"/>
  <c r="I77" i="39"/>
  <c r="B78" i="39"/>
  <c r="F77" i="39"/>
  <c r="C77" i="39"/>
  <c r="D77" i="39"/>
  <c r="E77" i="39"/>
  <c r="G77" i="39"/>
  <c r="BV10" i="36"/>
  <c r="BU5" i="36"/>
  <c r="DS42" i="34"/>
  <c r="I78" i="39" l="1"/>
  <c r="F78" i="39"/>
  <c r="B79" i="39"/>
  <c r="C78" i="39"/>
  <c r="D78" i="39"/>
  <c r="G78" i="39"/>
  <c r="E78" i="39"/>
  <c r="H78" i="39"/>
  <c r="BW10" i="36"/>
  <c r="BV5" i="36"/>
  <c r="DT42" i="34"/>
  <c r="B80" i="39" l="1"/>
  <c r="C79" i="39"/>
  <c r="D79" i="39"/>
  <c r="H79" i="39"/>
  <c r="F79" i="39"/>
  <c r="E79" i="39"/>
  <c r="I79" i="39"/>
  <c r="G79" i="39"/>
  <c r="BX10" i="36"/>
  <c r="BW5" i="36"/>
  <c r="DU42" i="34"/>
  <c r="H80" i="39" l="1"/>
  <c r="B81" i="39"/>
  <c r="D80" i="39"/>
  <c r="F80" i="39"/>
  <c r="I80" i="39"/>
  <c r="C80" i="39"/>
  <c r="E80" i="39"/>
  <c r="G80" i="39"/>
  <c r="BY10" i="36"/>
  <c r="BX5" i="36"/>
  <c r="DV42" i="34"/>
  <c r="G81" i="39" l="1"/>
  <c r="I81" i="39"/>
  <c r="B82" i="39"/>
  <c r="D81" i="39"/>
  <c r="H81" i="39"/>
  <c r="C81" i="39"/>
  <c r="E81" i="39"/>
  <c r="F81" i="39"/>
  <c r="BZ10" i="36"/>
  <c r="BY5" i="36"/>
  <c r="DW42" i="34"/>
  <c r="B83" i="39" l="1"/>
  <c r="I82" i="39"/>
  <c r="C82" i="39"/>
  <c r="D82" i="39"/>
  <c r="E82" i="39"/>
  <c r="F82" i="39"/>
  <c r="H82" i="39"/>
  <c r="G82" i="39"/>
  <c r="CA10" i="36"/>
  <c r="BZ5" i="36"/>
  <c r="G83" i="39" l="1"/>
  <c r="I83" i="39"/>
  <c r="B84" i="39"/>
  <c r="C83" i="39"/>
  <c r="D83" i="39"/>
  <c r="H83" i="39"/>
  <c r="E83" i="39"/>
  <c r="F83" i="39"/>
  <c r="CB10" i="36"/>
  <c r="CA5" i="36"/>
  <c r="I84" i="39" l="1"/>
  <c r="H84" i="39"/>
  <c r="B85" i="39"/>
  <c r="E84" i="39"/>
  <c r="C84" i="39"/>
  <c r="D84" i="39"/>
  <c r="F84" i="39"/>
  <c r="G84" i="39"/>
  <c r="CC10" i="36"/>
  <c r="CB5" i="36"/>
  <c r="B86" i="39" l="1"/>
  <c r="E85" i="39"/>
  <c r="G85" i="39"/>
  <c r="H85" i="39"/>
  <c r="C85" i="39"/>
  <c r="D85" i="39"/>
  <c r="F85" i="39"/>
  <c r="I85" i="39"/>
  <c r="CD10" i="36"/>
  <c r="CC5" i="36"/>
  <c r="G86" i="39" l="1"/>
  <c r="I86" i="39"/>
  <c r="B87" i="39"/>
  <c r="D86" i="39"/>
  <c r="E86" i="39"/>
  <c r="C86" i="39"/>
  <c r="F86" i="39"/>
  <c r="H86" i="39"/>
  <c r="CE10" i="36"/>
  <c r="CD5" i="36"/>
  <c r="B88" i="39" l="1"/>
  <c r="F87" i="39"/>
  <c r="I87" i="39"/>
  <c r="C87" i="39"/>
  <c r="D87" i="39"/>
  <c r="G87" i="39"/>
  <c r="E87" i="39"/>
  <c r="H87" i="39"/>
  <c r="CF10" i="36"/>
  <c r="CE5" i="36"/>
  <c r="B89" i="39" l="1"/>
  <c r="G88" i="39"/>
  <c r="H88" i="39"/>
  <c r="C88" i="39"/>
  <c r="D88" i="39"/>
  <c r="F88" i="39"/>
  <c r="I88" i="39"/>
  <c r="E88" i="39"/>
  <c r="CG10" i="36"/>
  <c r="CF5" i="36"/>
  <c r="B90" i="39" l="1"/>
  <c r="G89" i="39"/>
  <c r="H89" i="39"/>
  <c r="C89" i="39"/>
  <c r="D89" i="39"/>
  <c r="F89" i="39"/>
  <c r="I89" i="39"/>
  <c r="E89" i="39"/>
  <c r="CH10" i="36"/>
  <c r="CG5" i="36"/>
  <c r="B91" i="39" l="1"/>
  <c r="G90" i="39"/>
  <c r="H90" i="39"/>
  <c r="C90" i="39"/>
  <c r="D90" i="39"/>
  <c r="F90" i="39"/>
  <c r="I90" i="39"/>
  <c r="E90" i="39"/>
  <c r="CI10" i="36"/>
  <c r="CH5" i="36"/>
  <c r="B92" i="39" l="1"/>
  <c r="I91" i="39"/>
  <c r="C91" i="39"/>
  <c r="D91" i="39"/>
  <c r="F91" i="39"/>
  <c r="G91" i="39"/>
  <c r="H91" i="39"/>
  <c r="E91" i="39"/>
  <c r="CJ10" i="36"/>
  <c r="CI5" i="36"/>
  <c r="B93" i="39" l="1"/>
  <c r="F92" i="39"/>
  <c r="I92" i="39"/>
  <c r="C92" i="39"/>
  <c r="D92" i="39"/>
  <c r="G92" i="39"/>
  <c r="H92" i="39"/>
  <c r="E92" i="39"/>
  <c r="CK10" i="36"/>
  <c r="CJ5" i="36"/>
  <c r="B94" i="39" l="1"/>
  <c r="G93" i="39"/>
  <c r="C93" i="39"/>
  <c r="D93" i="39"/>
  <c r="E93" i="39"/>
  <c r="F93" i="39"/>
  <c r="I93" i="39"/>
  <c r="H93" i="39"/>
  <c r="CL10" i="36"/>
  <c r="CK5" i="36"/>
  <c r="I94" i="39" l="1"/>
  <c r="B95" i="39"/>
  <c r="D94" i="39"/>
  <c r="E94" i="39"/>
  <c r="F94" i="39"/>
  <c r="H94" i="39"/>
  <c r="C94" i="39"/>
  <c r="G94" i="39"/>
  <c r="CM10" i="36"/>
  <c r="CL5" i="36"/>
  <c r="D95" i="39" l="1"/>
  <c r="E95" i="39"/>
  <c r="G95" i="39"/>
  <c r="I95" i="39"/>
  <c r="F95" i="39"/>
  <c r="B96" i="39"/>
  <c r="H95" i="39"/>
  <c r="C95" i="39"/>
  <c r="CN10" i="36"/>
  <c r="CM5" i="36"/>
  <c r="F96" i="39" l="1"/>
  <c r="G96" i="39"/>
  <c r="B97" i="39"/>
  <c r="C96" i="39"/>
  <c r="E96" i="39"/>
  <c r="I96" i="39"/>
  <c r="H96" i="39"/>
  <c r="D96" i="39"/>
  <c r="CO10" i="36"/>
  <c r="CN5" i="36"/>
  <c r="F97" i="39" l="1"/>
  <c r="G97" i="39"/>
  <c r="I97" i="39"/>
  <c r="H97" i="39"/>
  <c r="B98" i="39"/>
  <c r="C97" i="39"/>
  <c r="D97" i="39"/>
  <c r="E97" i="39"/>
  <c r="CP10" i="36"/>
  <c r="CO5" i="36"/>
  <c r="E98" i="39" l="1"/>
  <c r="F98" i="39"/>
  <c r="G98" i="39"/>
  <c r="I98" i="39"/>
  <c r="H98" i="39"/>
  <c r="C98" i="39"/>
  <c r="D98" i="39"/>
  <c r="B99" i="39"/>
  <c r="CQ10" i="36"/>
  <c r="CP5" i="36"/>
  <c r="G99" i="39" l="1"/>
  <c r="H99" i="39"/>
  <c r="C99" i="39"/>
  <c r="D99" i="39"/>
  <c r="E99" i="39"/>
  <c r="I99" i="39"/>
  <c r="B100" i="39"/>
  <c r="F99" i="39"/>
  <c r="CR10" i="36"/>
  <c r="CQ5" i="36"/>
  <c r="G100" i="39" l="1"/>
  <c r="I100" i="39"/>
  <c r="B101" i="39"/>
  <c r="E100" i="39"/>
  <c r="H100" i="39"/>
  <c r="C100" i="39"/>
  <c r="D100" i="39"/>
  <c r="F100" i="39"/>
  <c r="CS10" i="36"/>
  <c r="CR5" i="36"/>
  <c r="G101" i="39" l="1"/>
  <c r="I101" i="39"/>
  <c r="B102" i="39"/>
  <c r="F101" i="39"/>
  <c r="H101" i="39"/>
  <c r="C101" i="39"/>
  <c r="D101" i="39"/>
  <c r="E101" i="39"/>
  <c r="CT10" i="36"/>
  <c r="CS5" i="36"/>
  <c r="G102" i="39" l="1"/>
  <c r="I102" i="39"/>
  <c r="H102" i="39"/>
  <c r="C102" i="39"/>
  <c r="D102" i="39"/>
  <c r="E102" i="39"/>
  <c r="F102" i="39"/>
  <c r="B103" i="39"/>
  <c r="CU10" i="36"/>
  <c r="CT5" i="36"/>
  <c r="F103" i="39" l="1"/>
  <c r="G103" i="39"/>
  <c r="B104" i="39"/>
  <c r="H103" i="39"/>
  <c r="C103" i="39"/>
  <c r="E103" i="39"/>
  <c r="I103" i="39"/>
  <c r="D103" i="39"/>
  <c r="CV10" i="36"/>
  <c r="CU5" i="36"/>
  <c r="F104" i="39" l="1"/>
  <c r="G104" i="39"/>
  <c r="H104" i="39"/>
  <c r="B105" i="39"/>
  <c r="C104" i="39"/>
  <c r="I104" i="39"/>
  <c r="D104" i="39"/>
  <c r="E104" i="39"/>
  <c r="CW10" i="36"/>
  <c r="CV5" i="36"/>
  <c r="G105" i="39" l="1"/>
  <c r="I105" i="39"/>
  <c r="F105" i="39"/>
  <c r="H105" i="39"/>
  <c r="B106" i="39"/>
  <c r="C105" i="39"/>
  <c r="E105" i="39"/>
  <c r="D105" i="39"/>
  <c r="CX10" i="36"/>
  <c r="CW5" i="36"/>
  <c r="F106" i="39" l="1"/>
  <c r="G106" i="39"/>
  <c r="B107" i="39"/>
  <c r="I106" i="39"/>
  <c r="H106" i="39"/>
  <c r="C106" i="39"/>
  <c r="E106" i="39"/>
  <c r="D106" i="39"/>
  <c r="CY10" i="36"/>
  <c r="CX5" i="36"/>
  <c r="G107" i="39" l="1"/>
  <c r="I107" i="39"/>
  <c r="H107" i="39"/>
  <c r="B108" i="39"/>
  <c r="C107" i="39"/>
  <c r="F107" i="39"/>
  <c r="E107" i="39"/>
  <c r="D107" i="39"/>
  <c r="CZ10" i="36"/>
  <c r="CY5" i="36"/>
  <c r="F108" i="39" l="1"/>
  <c r="G108" i="39"/>
  <c r="H108" i="39"/>
  <c r="B109" i="39"/>
  <c r="C108" i="39"/>
  <c r="I108" i="39"/>
  <c r="E108" i="39"/>
  <c r="D108" i="39"/>
  <c r="DA10" i="36"/>
  <c r="CZ5" i="36"/>
  <c r="G109" i="39" l="1"/>
  <c r="I109" i="39"/>
  <c r="H109" i="39"/>
  <c r="B110" i="39"/>
  <c r="C109" i="39"/>
  <c r="D109" i="39"/>
  <c r="E109" i="39"/>
  <c r="F109" i="39"/>
  <c r="DB10" i="36"/>
  <c r="DA5" i="36"/>
  <c r="F110" i="39" l="1"/>
  <c r="G110" i="39"/>
  <c r="I110" i="39"/>
  <c r="H110" i="39"/>
  <c r="B111" i="39"/>
  <c r="C110" i="39"/>
  <c r="D110" i="39"/>
  <c r="E110" i="39"/>
  <c r="DC10" i="36"/>
  <c r="DB5" i="36"/>
  <c r="G111" i="39" l="1"/>
  <c r="I111" i="39"/>
  <c r="B112" i="39"/>
  <c r="D111" i="39"/>
  <c r="F111" i="39"/>
  <c r="H111" i="39"/>
  <c r="C111" i="39"/>
  <c r="E111" i="39"/>
  <c r="DD10" i="36"/>
  <c r="DC5" i="36"/>
  <c r="G112" i="39" l="1"/>
  <c r="I112" i="39"/>
  <c r="H112" i="39"/>
  <c r="B113" i="39"/>
  <c r="C112" i="39"/>
  <c r="D112" i="39"/>
  <c r="E112" i="39"/>
  <c r="F112" i="39"/>
  <c r="DE10" i="36"/>
  <c r="DD5" i="36"/>
  <c r="F113" i="39" l="1"/>
  <c r="I113" i="39"/>
  <c r="B114" i="39"/>
  <c r="C113" i="39"/>
  <c r="G113" i="39"/>
  <c r="H113" i="39"/>
  <c r="E113" i="39"/>
  <c r="D113" i="39"/>
  <c r="DF10" i="36"/>
  <c r="DE5" i="36"/>
  <c r="G114" i="39" l="1"/>
  <c r="I114" i="39"/>
  <c r="H114" i="39"/>
  <c r="D114" i="39"/>
  <c r="F114" i="39"/>
  <c r="B115" i="39"/>
  <c r="C114" i="39"/>
  <c r="E114" i="39"/>
  <c r="DG10" i="36"/>
  <c r="DF5" i="36"/>
  <c r="F115" i="39" l="1"/>
  <c r="G115" i="39"/>
  <c r="B116" i="39"/>
  <c r="H115" i="39"/>
  <c r="C115" i="39"/>
  <c r="D115" i="39"/>
  <c r="E115" i="39"/>
  <c r="I115" i="39"/>
  <c r="DH10" i="36"/>
  <c r="DG5" i="36"/>
  <c r="G116" i="39" l="1"/>
  <c r="I116" i="39"/>
  <c r="H116" i="39"/>
  <c r="B117" i="39"/>
  <c r="C116" i="39"/>
  <c r="D116" i="39"/>
  <c r="E116" i="39"/>
  <c r="F116" i="39"/>
  <c r="DI10" i="36"/>
  <c r="DH5" i="36"/>
  <c r="C117" i="39" l="1"/>
  <c r="H117" i="39"/>
  <c r="B118" i="39"/>
  <c r="D117" i="39"/>
  <c r="E117" i="39"/>
  <c r="F117" i="39"/>
  <c r="G117" i="39"/>
  <c r="I117" i="39"/>
  <c r="DJ10" i="36"/>
  <c r="DI5" i="36"/>
  <c r="C118" i="39" l="1"/>
  <c r="D118" i="39"/>
  <c r="F118" i="39"/>
  <c r="G118" i="39"/>
  <c r="E118" i="39"/>
  <c r="B119" i="39"/>
  <c r="H118" i="39"/>
  <c r="I118" i="39"/>
  <c r="DK10" i="36"/>
  <c r="DJ5" i="36"/>
  <c r="C119" i="39" l="1"/>
  <c r="D119" i="39"/>
  <c r="H119" i="39"/>
  <c r="E119" i="39"/>
  <c r="F119" i="39"/>
  <c r="G119" i="39"/>
  <c r="I119" i="39"/>
  <c r="B120" i="39"/>
  <c r="DL10" i="36"/>
  <c r="DK5" i="36"/>
  <c r="C120" i="39" l="1"/>
  <c r="D120" i="39"/>
  <c r="E120" i="39"/>
  <c r="F120" i="39"/>
  <c r="G120" i="39"/>
  <c r="I120" i="39"/>
  <c r="H120" i="39"/>
  <c r="G26" i="28"/>
  <c r="G57" i="28" s="1"/>
  <c r="G50" i="28"/>
  <c r="G51" i="28" s="1"/>
  <c r="I26" i="28"/>
  <c r="I57" i="28" s="1"/>
  <c r="E26" i="28"/>
  <c r="D50" i="28"/>
  <c r="D51" i="28" s="1"/>
  <c r="D26" i="28"/>
  <c r="I50" i="28"/>
  <c r="I51" i="28" s="1"/>
  <c r="F26" i="28"/>
  <c r="L50" i="28"/>
  <c r="L51" i="28" s="1"/>
  <c r="F50" i="28"/>
  <c r="F51" i="28" s="1"/>
  <c r="C26" i="28"/>
  <c r="K26" i="28"/>
  <c r="K57" i="28" s="1"/>
  <c r="J26" i="28"/>
  <c r="J57" i="28" s="1"/>
  <c r="E50" i="28"/>
  <c r="E51" i="28" s="1"/>
  <c r="J50" i="28"/>
  <c r="J51" i="28" s="1"/>
  <c r="C50" i="28"/>
  <c r="H26" i="28"/>
  <c r="H57" i="28" s="1"/>
  <c r="K50" i="28"/>
  <c r="K51" i="28" s="1"/>
  <c r="L26" i="28"/>
  <c r="L57" i="28" s="1"/>
  <c r="H50" i="28"/>
  <c r="H51" i="28" s="1"/>
  <c r="DM10" i="36"/>
  <c r="DL5" i="36"/>
  <c r="C51" i="28" l="1"/>
  <c r="C56" i="28"/>
  <c r="D56" i="28" s="1"/>
  <c r="E56" i="28" s="1"/>
  <c r="F56" i="28" s="1"/>
  <c r="G56" i="28" s="1"/>
  <c r="H56" i="28" s="1"/>
  <c r="I56" i="28" s="1"/>
  <c r="J56" i="28" s="1"/>
  <c r="K56" i="28" s="1"/>
  <c r="L56" i="28" s="1"/>
  <c r="DN10" i="36"/>
  <c r="DM5" i="36"/>
  <c r="DO10" i="36" l="1"/>
  <c r="DN5" i="36"/>
  <c r="DP10" i="36" l="1"/>
  <c r="DO5" i="36"/>
  <c r="DQ10" i="36" l="1"/>
  <c r="DP5" i="36"/>
  <c r="DR10" i="36" l="1"/>
  <c r="DQ5" i="36"/>
  <c r="DS10" i="36" l="1"/>
  <c r="DR5" i="36"/>
  <c r="DT10" i="36" l="1"/>
  <c r="DS5" i="36"/>
  <c r="DU10" i="36" l="1"/>
  <c r="DT5" i="36"/>
  <c r="DV10" i="36" l="1"/>
  <c r="DU5" i="36"/>
  <c r="DW10" i="36" l="1"/>
  <c r="DV5" i="36"/>
  <c r="DW5" i="36" l="1"/>
  <c r="C20" i="32" l="1"/>
  <c r="C41" i="25"/>
  <c r="DW10" i="31"/>
  <c r="DV10" i="31"/>
  <c r="DU10" i="31"/>
  <c r="DT10" i="31"/>
  <c r="DS10" i="31"/>
  <c r="DR10" i="31"/>
  <c r="DQ10" i="31"/>
  <c r="DP10" i="31"/>
  <c r="DO10" i="31"/>
  <c r="DN10" i="31"/>
  <c r="DM10" i="31"/>
  <c r="DL10" i="31"/>
  <c r="DK10" i="31"/>
  <c r="DJ10" i="31"/>
  <c r="DI10" i="31"/>
  <c r="DH10" i="31"/>
  <c r="DG10" i="31"/>
  <c r="DF10" i="31"/>
  <c r="DE10" i="31"/>
  <c r="DD10" i="31"/>
  <c r="DC10" i="31"/>
  <c r="DB10" i="31"/>
  <c r="DA10" i="31"/>
  <c r="CZ10" i="31"/>
  <c r="CY10" i="31"/>
  <c r="CX10" i="31"/>
  <c r="CW10" i="31"/>
  <c r="CV10" i="31"/>
  <c r="CU10" i="31"/>
  <c r="CT10" i="31"/>
  <c r="CS10" i="31"/>
  <c r="CR10" i="31"/>
  <c r="CQ10" i="31"/>
  <c r="CP10" i="31"/>
  <c r="CO10" i="31"/>
  <c r="CN10" i="31"/>
  <c r="CM10" i="31"/>
  <c r="CL10" i="31"/>
  <c r="CK10" i="31"/>
  <c r="CJ10" i="31"/>
  <c r="CI10" i="31"/>
  <c r="CH10" i="31"/>
  <c r="CG10" i="31"/>
  <c r="CF10" i="31"/>
  <c r="CE10" i="31"/>
  <c r="CD10" i="31"/>
  <c r="CC10" i="31"/>
  <c r="CB10" i="31"/>
  <c r="CA10" i="31"/>
  <c r="BZ10" i="31"/>
  <c r="BY10" i="31"/>
  <c r="BX10" i="31"/>
  <c r="BW10" i="31"/>
  <c r="BV10" i="31"/>
  <c r="BU10" i="31"/>
  <c r="BT10" i="31"/>
  <c r="BS10" i="31"/>
  <c r="BR10" i="31"/>
  <c r="BQ10" i="31"/>
  <c r="BP10" i="31"/>
  <c r="BO10" i="31"/>
  <c r="BN10" i="31"/>
  <c r="BM10" i="31"/>
  <c r="BL10" i="31"/>
  <c r="BK10" i="31"/>
  <c r="BJ10" i="31"/>
  <c r="BI10" i="31"/>
  <c r="BH10" i="31"/>
  <c r="BG10" i="31"/>
  <c r="BF10" i="31"/>
  <c r="BE10" i="31"/>
  <c r="BD10" i="31"/>
  <c r="BC10" i="31"/>
  <c r="BB10" i="31"/>
  <c r="BA10" i="31"/>
  <c r="AZ10" i="31"/>
  <c r="AY10" i="31"/>
  <c r="AX10" i="31"/>
  <c r="AW10" i="31"/>
  <c r="AV10" i="31"/>
  <c r="AU10" i="31"/>
  <c r="AT10" i="31"/>
  <c r="AS10" i="31"/>
  <c r="AR10" i="31"/>
  <c r="AQ10" i="31"/>
  <c r="AP10" i="31"/>
  <c r="AO10" i="31"/>
  <c r="AN10" i="31"/>
  <c r="AM10" i="31"/>
  <c r="AL10" i="31"/>
  <c r="AK10" i="31"/>
  <c r="AJ10" i="31"/>
  <c r="AI10" i="31"/>
  <c r="AH10" i="31"/>
  <c r="AG10" i="31"/>
  <c r="AF10" i="31"/>
  <c r="AE10" i="31"/>
  <c r="AD10" i="31"/>
  <c r="AC10" i="31"/>
  <c r="AB10" i="31"/>
  <c r="AA10" i="31"/>
  <c r="Z10" i="31"/>
  <c r="Y10" i="31"/>
  <c r="X10" i="31"/>
  <c r="W10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H10" i="31"/>
  <c r="G10" i="31"/>
  <c r="F10" i="31"/>
  <c r="E10" i="31"/>
  <c r="D10" i="31"/>
  <c r="C10" i="31"/>
  <c r="DW8" i="31"/>
  <c r="DV8" i="31"/>
  <c r="DU8" i="31"/>
  <c r="DT8" i="31"/>
  <c r="DS8" i="31"/>
  <c r="DR8" i="31"/>
  <c r="DQ8" i="31"/>
  <c r="DP8" i="31"/>
  <c r="DO8" i="31"/>
  <c r="DN8" i="31"/>
  <c r="DM8" i="31"/>
  <c r="DL8" i="31"/>
  <c r="DK8" i="31"/>
  <c r="DJ8" i="31"/>
  <c r="DI8" i="31"/>
  <c r="DH8" i="31"/>
  <c r="DG8" i="31"/>
  <c r="DF8" i="31"/>
  <c r="DE8" i="31"/>
  <c r="DD8" i="31"/>
  <c r="DC8" i="31"/>
  <c r="DB8" i="31"/>
  <c r="DA8" i="31"/>
  <c r="CZ8" i="31"/>
  <c r="CY8" i="31"/>
  <c r="CX8" i="31"/>
  <c r="CW8" i="31"/>
  <c r="CV8" i="31"/>
  <c r="CU8" i="31"/>
  <c r="CT8" i="31"/>
  <c r="CS8" i="31"/>
  <c r="CR8" i="31"/>
  <c r="CQ8" i="31"/>
  <c r="CP8" i="31"/>
  <c r="CO8" i="31"/>
  <c r="CN8" i="31"/>
  <c r="CM8" i="31"/>
  <c r="CL8" i="31"/>
  <c r="CK8" i="31"/>
  <c r="CJ8" i="31"/>
  <c r="CI8" i="31"/>
  <c r="CH8" i="31"/>
  <c r="CG8" i="31"/>
  <c r="CF8" i="31"/>
  <c r="CE8" i="31"/>
  <c r="CD8" i="31"/>
  <c r="CC8" i="31"/>
  <c r="CB8" i="31"/>
  <c r="CA8" i="31"/>
  <c r="BZ8" i="31"/>
  <c r="BY8" i="31"/>
  <c r="BX8" i="31"/>
  <c r="BW8" i="31"/>
  <c r="BV8" i="31"/>
  <c r="BU8" i="31"/>
  <c r="BT8" i="31"/>
  <c r="BS8" i="31"/>
  <c r="BR8" i="31"/>
  <c r="BQ8" i="31"/>
  <c r="BP8" i="31"/>
  <c r="BO8" i="31"/>
  <c r="BN8" i="31"/>
  <c r="BM8" i="31"/>
  <c r="BL8" i="31"/>
  <c r="BK8" i="31"/>
  <c r="BJ8" i="31"/>
  <c r="BI8" i="31"/>
  <c r="BH8" i="31"/>
  <c r="BG8" i="31"/>
  <c r="BF8" i="31"/>
  <c r="BE8" i="31"/>
  <c r="BD8" i="31"/>
  <c r="BC8" i="31"/>
  <c r="BB8" i="31"/>
  <c r="BA8" i="31"/>
  <c r="AZ8" i="31"/>
  <c r="AY8" i="31"/>
  <c r="AX8" i="31"/>
  <c r="AW8" i="31"/>
  <c r="AV8" i="31"/>
  <c r="AU8" i="31"/>
  <c r="AT8" i="31"/>
  <c r="AS8" i="31"/>
  <c r="AR8" i="31"/>
  <c r="AQ8" i="31"/>
  <c r="AP8" i="31"/>
  <c r="AO8" i="31"/>
  <c r="AN8" i="31"/>
  <c r="AM8" i="31"/>
  <c r="AL8" i="31"/>
  <c r="AK8" i="31"/>
  <c r="AJ8" i="31"/>
  <c r="AI8" i="31"/>
  <c r="AH8" i="3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C8" i="31"/>
  <c r="DW7" i="31"/>
  <c r="DV7" i="31"/>
  <c r="DU7" i="31"/>
  <c r="DT7" i="31"/>
  <c r="DS7" i="31"/>
  <c r="DR7" i="31"/>
  <c r="DQ7" i="31"/>
  <c r="DP7" i="31"/>
  <c r="DO7" i="31"/>
  <c r="DN7" i="31"/>
  <c r="DM7" i="31"/>
  <c r="DL7" i="31"/>
  <c r="DK7" i="31"/>
  <c r="DJ7" i="31"/>
  <c r="DI7" i="31"/>
  <c r="DH7" i="31"/>
  <c r="DG7" i="31"/>
  <c r="DF7" i="31"/>
  <c r="DE7" i="31"/>
  <c r="DD7" i="31"/>
  <c r="DC7" i="31"/>
  <c r="DB7" i="31"/>
  <c r="DA7" i="31"/>
  <c r="CZ7" i="31"/>
  <c r="CY7" i="31"/>
  <c r="CX7" i="31"/>
  <c r="CW7" i="31"/>
  <c r="CV7" i="31"/>
  <c r="CU7" i="31"/>
  <c r="CT7" i="31"/>
  <c r="CS7" i="31"/>
  <c r="CR7" i="31"/>
  <c r="CQ7" i="31"/>
  <c r="CP7" i="31"/>
  <c r="CO7" i="31"/>
  <c r="CN7" i="31"/>
  <c r="CM7" i="31"/>
  <c r="CL7" i="31"/>
  <c r="CK7" i="31"/>
  <c r="CJ7" i="31"/>
  <c r="CI7" i="31"/>
  <c r="CH7" i="31"/>
  <c r="CG7" i="31"/>
  <c r="CF7" i="31"/>
  <c r="CE7" i="31"/>
  <c r="CD7" i="31"/>
  <c r="CC7" i="31"/>
  <c r="CB7" i="31"/>
  <c r="CA7" i="31"/>
  <c r="BZ7" i="31"/>
  <c r="BY7" i="31"/>
  <c r="BX7" i="31"/>
  <c r="BW7" i="31"/>
  <c r="BV7" i="31"/>
  <c r="BU7" i="31"/>
  <c r="BT7" i="31"/>
  <c r="BS7" i="31"/>
  <c r="BR7" i="31"/>
  <c r="BQ7" i="31"/>
  <c r="BP7" i="31"/>
  <c r="BO7" i="31"/>
  <c r="BN7" i="31"/>
  <c r="BM7" i="31"/>
  <c r="BL7" i="31"/>
  <c r="BK7" i="31"/>
  <c r="BJ7" i="31"/>
  <c r="BI7" i="31"/>
  <c r="BH7" i="31"/>
  <c r="BG7" i="31"/>
  <c r="BF7" i="31"/>
  <c r="BE7" i="31"/>
  <c r="BD7" i="31"/>
  <c r="BC7" i="31"/>
  <c r="BB7" i="31"/>
  <c r="BA7" i="31"/>
  <c r="AZ7" i="31"/>
  <c r="AY7" i="31"/>
  <c r="AX7" i="31"/>
  <c r="AW7" i="31"/>
  <c r="AV7" i="31"/>
  <c r="AU7" i="31"/>
  <c r="AT7" i="31"/>
  <c r="AS7" i="31"/>
  <c r="AR7" i="31"/>
  <c r="AQ7" i="31"/>
  <c r="AP7" i="31"/>
  <c r="AO7" i="31"/>
  <c r="AN7" i="31"/>
  <c r="AM7" i="31"/>
  <c r="AL7" i="31"/>
  <c r="AK7" i="31"/>
  <c r="AJ7" i="31"/>
  <c r="AI7" i="31"/>
  <c r="AH7" i="31"/>
  <c r="AG7" i="31"/>
  <c r="AF7" i="31"/>
  <c r="AE7" i="31"/>
  <c r="AD7" i="31"/>
  <c r="AC7" i="31"/>
  <c r="AB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C9" i="25"/>
  <c r="C8" i="25"/>
  <c r="E12" i="25"/>
  <c r="F12" i="25" s="1"/>
  <c r="C14" i="25"/>
  <c r="C25" i="31"/>
  <c r="E19" i="37" l="1"/>
  <c r="E21" i="37" s="1"/>
  <c r="F19" i="37"/>
  <c r="F21" i="37" s="1"/>
  <c r="C19" i="37"/>
  <c r="C21" i="37" s="1"/>
  <c r="D19" i="37"/>
  <c r="D21" i="37" s="1"/>
  <c r="C4" i="36"/>
  <c r="C7" i="36" s="1"/>
  <c r="C11" i="36" s="1"/>
  <c r="C13" i="28" s="1"/>
  <c r="E4" i="36"/>
  <c r="E7" i="36" s="1"/>
  <c r="E11" i="36" s="1"/>
  <c r="D4" i="36"/>
  <c r="D7" i="36" s="1"/>
  <c r="D11" i="36" s="1"/>
  <c r="F4" i="36"/>
  <c r="K4" i="36"/>
  <c r="S4" i="36"/>
  <c r="AY4" i="36"/>
  <c r="CE4" i="36"/>
  <c r="DK4" i="36"/>
  <c r="E13" i="25"/>
  <c r="F13" i="25" s="1"/>
  <c r="E14" i="25" s="1"/>
  <c r="D17" i="34"/>
  <c r="AS17" i="34"/>
  <c r="Q17" i="34"/>
  <c r="G17" i="34"/>
  <c r="L17" i="34"/>
  <c r="C17" i="34"/>
  <c r="E17" i="34"/>
  <c r="F17" i="34"/>
  <c r="AI17" i="34"/>
  <c r="AM17" i="34"/>
  <c r="AW17" i="34"/>
  <c r="P17" i="34"/>
  <c r="V17" i="34"/>
  <c r="J17" i="34"/>
  <c r="AD17" i="34"/>
  <c r="AP17" i="34"/>
  <c r="T17" i="34"/>
  <c r="BG17" i="34"/>
  <c r="AR17" i="34"/>
  <c r="AF17" i="34"/>
  <c r="I17" i="34"/>
  <c r="AB17" i="34"/>
  <c r="S17" i="34"/>
  <c r="BC17" i="34"/>
  <c r="BI17" i="34"/>
  <c r="BJ17" i="34"/>
  <c r="BK17" i="34"/>
  <c r="BL17" i="34"/>
  <c r="BM17" i="34"/>
  <c r="BN17" i="34"/>
  <c r="BP17" i="34"/>
  <c r="BQ17" i="34"/>
  <c r="BR17" i="34"/>
  <c r="BS17" i="34"/>
  <c r="BT17" i="34"/>
  <c r="BU17" i="34"/>
  <c r="BV17" i="34"/>
  <c r="BX17" i="34"/>
  <c r="BY17" i="34"/>
  <c r="BZ17" i="34"/>
  <c r="CA17" i="34"/>
  <c r="CB17" i="34"/>
  <c r="CC17" i="34"/>
  <c r="CD17" i="34"/>
  <c r="CE17" i="34"/>
  <c r="CF17" i="34"/>
  <c r="CG17" i="34"/>
  <c r="CH17" i="34"/>
  <c r="CI17" i="34"/>
  <c r="CJ17" i="34"/>
  <c r="CK17" i="34"/>
  <c r="CL17" i="34"/>
  <c r="CM17" i="34"/>
  <c r="CN17" i="34"/>
  <c r="CO17" i="34"/>
  <c r="CP17" i="34"/>
  <c r="CQ17" i="34"/>
  <c r="CR17" i="34"/>
  <c r="CS17" i="34"/>
  <c r="CT17" i="34"/>
  <c r="CU17" i="34"/>
  <c r="CV17" i="34"/>
  <c r="CW17" i="34"/>
  <c r="CX17" i="34"/>
  <c r="CY17" i="34"/>
  <c r="CZ17" i="34"/>
  <c r="DA17" i="34"/>
  <c r="DB17" i="34"/>
  <c r="DC17" i="34"/>
  <c r="DD17" i="34"/>
  <c r="DE17" i="34"/>
  <c r="DF17" i="34"/>
  <c r="DG17" i="34"/>
  <c r="DH17" i="34"/>
  <c r="DI17" i="34"/>
  <c r="DJ17" i="34"/>
  <c r="DK17" i="34"/>
  <c r="DL17" i="34"/>
  <c r="DM17" i="34"/>
  <c r="DN17" i="34"/>
  <c r="DO17" i="34"/>
  <c r="DP17" i="34"/>
  <c r="DQ17" i="34"/>
  <c r="DR17" i="34"/>
  <c r="DS17" i="34"/>
  <c r="DT17" i="34"/>
  <c r="DU17" i="34"/>
  <c r="DV17" i="34"/>
  <c r="DW17" i="34"/>
  <c r="D20" i="32"/>
  <c r="E20" i="32" s="1"/>
  <c r="F20" i="32" s="1"/>
  <c r="G20" i="32" s="1"/>
  <c r="H20" i="32" s="1"/>
  <c r="I20" i="32" s="1"/>
  <c r="J20" i="32" s="1"/>
  <c r="K20" i="32" s="1"/>
  <c r="L20" i="32" s="1"/>
  <c r="M20" i="32" s="1"/>
  <c r="N20" i="32" s="1"/>
  <c r="O20" i="32" s="1"/>
  <c r="P20" i="32" s="1"/>
  <c r="Q20" i="32" s="1"/>
  <c r="R20" i="32" s="1"/>
  <c r="S20" i="32" s="1"/>
  <c r="T20" i="32" s="1"/>
  <c r="U20" i="32" s="1"/>
  <c r="V20" i="32" s="1"/>
  <c r="W20" i="32" s="1"/>
  <c r="X20" i="32" s="1"/>
  <c r="Y20" i="32" s="1"/>
  <c r="Z20" i="32" s="1"/>
  <c r="AA20" i="32" s="1"/>
  <c r="AB20" i="32" s="1"/>
  <c r="AC20" i="32" s="1"/>
  <c r="AD20" i="32" s="1"/>
  <c r="AE20" i="32" s="1"/>
  <c r="AF20" i="32" s="1"/>
  <c r="D25" i="31"/>
  <c r="D6" i="31" s="1"/>
  <c r="D9" i="31" s="1"/>
  <c r="C6" i="31"/>
  <c r="C9" i="31" s="1"/>
  <c r="C10" i="32"/>
  <c r="C11" i="32"/>
  <c r="F14" i="25"/>
  <c r="C5" i="31"/>
  <c r="C11" i="31" s="1"/>
  <c r="M17" i="34" l="1"/>
  <c r="O17" i="34"/>
  <c r="DD4" i="36"/>
  <c r="BX4" i="36"/>
  <c r="AR4" i="36"/>
  <c r="R4" i="36"/>
  <c r="Q19" i="37"/>
  <c r="Q21" i="37" s="1"/>
  <c r="M19" i="37"/>
  <c r="M21" i="37" s="1"/>
  <c r="AO17" i="34"/>
  <c r="N17" i="34"/>
  <c r="DC4" i="36"/>
  <c r="BW4" i="36"/>
  <c r="AQ4" i="36"/>
  <c r="Q4" i="36"/>
  <c r="G4" i="36"/>
  <c r="K19" i="37"/>
  <c r="K21" i="37" s="1"/>
  <c r="AL17" i="34"/>
  <c r="CV4" i="36"/>
  <c r="BP4" i="36"/>
  <c r="AJ4" i="36"/>
  <c r="P4" i="36"/>
  <c r="J4" i="36"/>
  <c r="R19" i="37"/>
  <c r="R21" i="37" s="1"/>
  <c r="G19" i="37"/>
  <c r="G21" i="37" s="1"/>
  <c r="CU4" i="36"/>
  <c r="BO4" i="36"/>
  <c r="AI4" i="36"/>
  <c r="O4" i="36"/>
  <c r="I4" i="36"/>
  <c r="I19" i="37"/>
  <c r="I21" i="37" s="1"/>
  <c r="P19" i="37"/>
  <c r="P21" i="37" s="1"/>
  <c r="AQ17" i="34"/>
  <c r="DT4" i="36"/>
  <c r="CN4" i="36"/>
  <c r="BH4" i="36"/>
  <c r="AB4" i="36"/>
  <c r="N4" i="36"/>
  <c r="H4" i="36"/>
  <c r="J19" i="37"/>
  <c r="J21" i="37" s="1"/>
  <c r="BD17" i="34"/>
  <c r="DS4" i="36"/>
  <c r="CM4" i="36"/>
  <c r="BG4" i="36"/>
  <c r="AA4" i="36"/>
  <c r="M4" i="36"/>
  <c r="L19" i="37"/>
  <c r="L21" i="37" s="1"/>
  <c r="H19" i="37"/>
  <c r="H21" i="37" s="1"/>
  <c r="DL4" i="36"/>
  <c r="CF4" i="36"/>
  <c r="AZ4" i="36"/>
  <c r="T4" i="36"/>
  <c r="L4" i="36"/>
  <c r="N19" i="37"/>
  <c r="N21" i="37" s="1"/>
  <c r="O19" i="37"/>
  <c r="O21" i="37" s="1"/>
  <c r="AU17" i="34"/>
  <c r="AJ17" i="34"/>
  <c r="AV17" i="34"/>
  <c r="DU4" i="36"/>
  <c r="DM4" i="36"/>
  <c r="DE4" i="36"/>
  <c r="CW4" i="36"/>
  <c r="CO4" i="36"/>
  <c r="CG4" i="36"/>
  <c r="BY4" i="36"/>
  <c r="BQ4" i="36"/>
  <c r="BI4" i="36"/>
  <c r="BA4" i="36"/>
  <c r="AS4" i="36"/>
  <c r="AK4" i="36"/>
  <c r="AC4" i="36"/>
  <c r="U4" i="36"/>
  <c r="M7" i="36"/>
  <c r="M6" i="36"/>
  <c r="T19" i="37"/>
  <c r="T21" i="37" s="1"/>
  <c r="AM19" i="37"/>
  <c r="AM21" i="37" s="1"/>
  <c r="AK19" i="37"/>
  <c r="AK21" i="37" s="1"/>
  <c r="BP19" i="37"/>
  <c r="BP21" i="37" s="1"/>
  <c r="R23" i="37"/>
  <c r="R26" i="37" s="1"/>
  <c r="R22" i="37"/>
  <c r="DN19" i="37"/>
  <c r="DN21" i="37" s="1"/>
  <c r="U19" i="37"/>
  <c r="U21" i="37" s="1"/>
  <c r="CY19" i="37"/>
  <c r="CY21" i="37" s="1"/>
  <c r="BS19" i="37"/>
  <c r="BS21" i="37" s="1"/>
  <c r="CP19" i="37"/>
  <c r="CP21" i="37" s="1"/>
  <c r="CB19" i="37"/>
  <c r="CB21" i="37" s="1"/>
  <c r="AE19" i="37"/>
  <c r="AE21" i="37" s="1"/>
  <c r="BB19" i="37"/>
  <c r="BB21" i="37" s="1"/>
  <c r="DA19" i="37"/>
  <c r="DA21" i="37" s="1"/>
  <c r="AQ19" i="37"/>
  <c r="AQ21" i="37" s="1"/>
  <c r="DT7" i="36"/>
  <c r="DT6" i="36"/>
  <c r="DL7" i="36"/>
  <c r="DL6" i="36"/>
  <c r="DD7" i="36"/>
  <c r="DD6" i="36"/>
  <c r="CV7" i="36"/>
  <c r="CV6" i="36"/>
  <c r="CN7" i="36"/>
  <c r="CN6" i="36"/>
  <c r="CF7" i="36"/>
  <c r="CF6" i="36"/>
  <c r="BX7" i="36"/>
  <c r="BX6" i="36"/>
  <c r="BP7" i="36"/>
  <c r="BP6" i="36"/>
  <c r="BH7" i="36"/>
  <c r="BH6" i="36"/>
  <c r="AZ7" i="36"/>
  <c r="AZ6" i="36"/>
  <c r="AR7" i="36"/>
  <c r="AR6" i="36"/>
  <c r="AJ7" i="36"/>
  <c r="AJ6" i="36"/>
  <c r="AB7" i="36"/>
  <c r="AB6" i="36"/>
  <c r="T7" i="36"/>
  <c r="T6" i="36"/>
  <c r="L7" i="36"/>
  <c r="L6" i="36"/>
  <c r="CU19" i="37"/>
  <c r="CU21" i="37" s="1"/>
  <c r="DE19" i="37"/>
  <c r="DE21" i="37" s="1"/>
  <c r="AJ19" i="37"/>
  <c r="AJ21" i="37" s="1"/>
  <c r="D23" i="37"/>
  <c r="D22" i="37"/>
  <c r="D26" i="37" s="1"/>
  <c r="BU19" i="37"/>
  <c r="BU21" i="37" s="1"/>
  <c r="CN19" i="37"/>
  <c r="CN21" i="37" s="1"/>
  <c r="BZ19" i="37"/>
  <c r="BZ21" i="37" s="1"/>
  <c r="DL19" i="37"/>
  <c r="DL21" i="37" s="1"/>
  <c r="F23" i="37"/>
  <c r="F22" i="37"/>
  <c r="F26" i="37" s="1"/>
  <c r="BY19" i="37"/>
  <c r="BY21" i="37" s="1"/>
  <c r="DD19" i="37"/>
  <c r="DD21" i="37" s="1"/>
  <c r="DR19" i="37"/>
  <c r="DR21" i="37" s="1"/>
  <c r="BQ19" i="37"/>
  <c r="BQ21" i="37" s="1"/>
  <c r="AO19" i="37"/>
  <c r="AO21" i="37" s="1"/>
  <c r="DB19" i="37"/>
  <c r="DB21" i="37" s="1"/>
  <c r="AI19" i="37"/>
  <c r="AI21" i="37" s="1"/>
  <c r="AS19" i="37"/>
  <c r="AS21" i="37" s="1"/>
  <c r="BX19" i="37"/>
  <c r="BX21" i="37" s="1"/>
  <c r="DG19" i="37"/>
  <c r="DG21" i="37" s="1"/>
  <c r="I22" i="37"/>
  <c r="I23" i="37"/>
  <c r="BL19" i="37"/>
  <c r="BL21" i="37" s="1"/>
  <c r="CV19" i="37"/>
  <c r="CV21" i="37" s="1"/>
  <c r="AZ19" i="37"/>
  <c r="AZ21" i="37" s="1"/>
  <c r="BN19" i="37"/>
  <c r="BN21" i="37" s="1"/>
  <c r="M23" i="37"/>
  <c r="M22" i="37"/>
  <c r="AR19" i="37"/>
  <c r="AR21" i="37" s="1"/>
  <c r="BF19" i="37"/>
  <c r="BF21" i="37" s="1"/>
  <c r="E22" i="37"/>
  <c r="E26" i="37" s="1"/>
  <c r="E23" i="37"/>
  <c r="CZ19" i="37"/>
  <c r="CZ21" i="37" s="1"/>
  <c r="CS19" i="37"/>
  <c r="CS21" i="37" s="1"/>
  <c r="DC7" i="36"/>
  <c r="DC6" i="36"/>
  <c r="DC11" i="36" s="1"/>
  <c r="CE7" i="36"/>
  <c r="CE6" i="36"/>
  <c r="CE11" i="36" s="1"/>
  <c r="AY7" i="36"/>
  <c r="AY6" i="36"/>
  <c r="AI7" i="36"/>
  <c r="AI6" i="36"/>
  <c r="K7" i="36"/>
  <c r="K6" i="36"/>
  <c r="K11" i="36" s="1"/>
  <c r="AC17" i="34"/>
  <c r="AE17" i="34"/>
  <c r="W17" i="34"/>
  <c r="DR4" i="36"/>
  <c r="DJ4" i="36"/>
  <c r="DB4" i="36"/>
  <c r="CT4" i="36"/>
  <c r="CL4" i="36"/>
  <c r="CD4" i="36"/>
  <c r="BV4" i="36"/>
  <c r="BN4" i="36"/>
  <c r="BF4" i="36"/>
  <c r="AX4" i="36"/>
  <c r="AP4" i="36"/>
  <c r="AH4" i="36"/>
  <c r="Z4" i="36"/>
  <c r="R7" i="36"/>
  <c r="R6" i="36"/>
  <c r="F7" i="36"/>
  <c r="F6" i="36"/>
  <c r="AB19" i="37"/>
  <c r="AB21" i="37" s="1"/>
  <c r="CT19" i="37"/>
  <c r="CT21" i="37" s="1"/>
  <c r="CL19" i="37"/>
  <c r="CL21" i="37" s="1"/>
  <c r="CM19" i="37"/>
  <c r="CM21" i="37" s="1"/>
  <c r="DF19" i="37"/>
  <c r="DF21" i="37" s="1"/>
  <c r="DO19" i="37"/>
  <c r="DO21" i="37" s="1"/>
  <c r="J22" i="37"/>
  <c r="J23" i="37"/>
  <c r="L23" i="37"/>
  <c r="L22" i="37"/>
  <c r="AN19" i="37"/>
  <c r="AN21" i="37" s="1"/>
  <c r="DQ19" i="37"/>
  <c r="DQ21" i="37" s="1"/>
  <c r="AL19" i="37"/>
  <c r="AL21" i="37" s="1"/>
  <c r="X19" i="37"/>
  <c r="X21" i="37" s="1"/>
  <c r="DI19" i="37"/>
  <c r="DI21" i="37" s="1"/>
  <c r="DK19" i="37"/>
  <c r="DK21" i="37" s="1"/>
  <c r="DW19" i="37"/>
  <c r="DW21" i="37" s="1"/>
  <c r="CR19" i="37"/>
  <c r="CR21" i="37" s="1"/>
  <c r="BO7" i="36"/>
  <c r="BO6" i="36"/>
  <c r="BO11" i="36" s="1"/>
  <c r="AA17" i="34"/>
  <c r="BA17" i="34"/>
  <c r="DQ4" i="36"/>
  <c r="DI4" i="36"/>
  <c r="DA4" i="36"/>
  <c r="CS4" i="36"/>
  <c r="CK4" i="36"/>
  <c r="CC4" i="36"/>
  <c r="BU4" i="36"/>
  <c r="BM4" i="36"/>
  <c r="BE4" i="36"/>
  <c r="AW4" i="36"/>
  <c r="AO4" i="36"/>
  <c r="AG4" i="36"/>
  <c r="Y4" i="36"/>
  <c r="Q7" i="36"/>
  <c r="Q6" i="36"/>
  <c r="G7" i="36"/>
  <c r="G6" i="36"/>
  <c r="DC19" i="37"/>
  <c r="DC21" i="37" s="1"/>
  <c r="AH19" i="37"/>
  <c r="AH21" i="37" s="1"/>
  <c r="CC19" i="37"/>
  <c r="CC21" i="37" s="1"/>
  <c r="AA19" i="37"/>
  <c r="AA21" i="37" s="1"/>
  <c r="CE19" i="37"/>
  <c r="CE21" i="37" s="1"/>
  <c r="BJ19" i="37"/>
  <c r="BJ21" i="37" s="1"/>
  <c r="BM19" i="37"/>
  <c r="BM21" i="37" s="1"/>
  <c r="DT19" i="37"/>
  <c r="DT21" i="37" s="1"/>
  <c r="AU19" i="37"/>
  <c r="AU21" i="37" s="1"/>
  <c r="BE19" i="37"/>
  <c r="BE21" i="37" s="1"/>
  <c r="BH19" i="37"/>
  <c r="BH21" i="37" s="1"/>
  <c r="G22" i="37"/>
  <c r="G23" i="37"/>
  <c r="G26" i="37" s="1"/>
  <c r="AW19" i="37"/>
  <c r="AW21" i="37" s="1"/>
  <c r="AY19" i="37"/>
  <c r="AY21" i="37" s="1"/>
  <c r="N23" i="37"/>
  <c r="N26" i="37" s="1"/>
  <c r="N22" i="37"/>
  <c r="CQ19" i="37"/>
  <c r="CQ21" i="37" s="1"/>
  <c r="CU7" i="36"/>
  <c r="CU6" i="36"/>
  <c r="BG7" i="36"/>
  <c r="BG6" i="36"/>
  <c r="AA7" i="36"/>
  <c r="AA6" i="36"/>
  <c r="DP4" i="36"/>
  <c r="DH4" i="36"/>
  <c r="CZ4" i="36"/>
  <c r="CR4" i="36"/>
  <c r="CJ4" i="36"/>
  <c r="CB4" i="36"/>
  <c r="BT4" i="36"/>
  <c r="BL4" i="36"/>
  <c r="BD4" i="36"/>
  <c r="AV4" i="36"/>
  <c r="AN4" i="36"/>
  <c r="AF4" i="36"/>
  <c r="X4" i="36"/>
  <c r="P7" i="36"/>
  <c r="P6" i="36"/>
  <c r="P11" i="36" s="1"/>
  <c r="J7" i="36"/>
  <c r="J6" i="36"/>
  <c r="AP19" i="37"/>
  <c r="AP21" i="37" s="1"/>
  <c r="CK19" i="37"/>
  <c r="CK21" i="37" s="1"/>
  <c r="CX19" i="37"/>
  <c r="CX21" i="37" s="1"/>
  <c r="DV19" i="37"/>
  <c r="DV21" i="37" s="1"/>
  <c r="S19" i="37"/>
  <c r="S21" i="37" s="1"/>
  <c r="AV19" i="37"/>
  <c r="AV21" i="37" s="1"/>
  <c r="CI19" i="37"/>
  <c r="CI21" i="37" s="1"/>
  <c r="CA19" i="37"/>
  <c r="CA21" i="37" s="1"/>
  <c r="AD19" i="37"/>
  <c r="AD21" i="37" s="1"/>
  <c r="AF19" i="37"/>
  <c r="AF21" i="37" s="1"/>
  <c r="K23" i="37"/>
  <c r="K26" i="37" s="1"/>
  <c r="K22" i="37"/>
  <c r="DS19" i="37"/>
  <c r="DS21" i="37" s="1"/>
  <c r="P23" i="37"/>
  <c r="P22" i="37"/>
  <c r="H22" i="37"/>
  <c r="H23" i="37"/>
  <c r="DU19" i="37"/>
  <c r="DU21" i="37" s="1"/>
  <c r="DM19" i="37"/>
  <c r="DM21" i="37" s="1"/>
  <c r="DS7" i="36"/>
  <c r="DS6" i="36"/>
  <c r="BW7" i="36"/>
  <c r="BW6" i="36"/>
  <c r="S7" i="36"/>
  <c r="S6" i="36"/>
  <c r="BW17" i="34"/>
  <c r="BO17" i="34"/>
  <c r="AY17" i="34"/>
  <c r="BB17" i="34"/>
  <c r="BE17" i="34"/>
  <c r="X17" i="34"/>
  <c r="BF17" i="34"/>
  <c r="U17" i="34"/>
  <c r="DW4" i="36"/>
  <c r="DO4" i="36"/>
  <c r="DG4" i="36"/>
  <c r="CY4" i="36"/>
  <c r="CQ4" i="36"/>
  <c r="CI4" i="36"/>
  <c r="CA4" i="36"/>
  <c r="BS4" i="36"/>
  <c r="BK4" i="36"/>
  <c r="BC4" i="36"/>
  <c r="AU4" i="36"/>
  <c r="AM4" i="36"/>
  <c r="AE4" i="36"/>
  <c r="W4" i="36"/>
  <c r="O7" i="36"/>
  <c r="O6" i="36"/>
  <c r="I7" i="36"/>
  <c r="I6" i="36"/>
  <c r="AG19" i="37"/>
  <c r="AG21" i="37" s="1"/>
  <c r="Y19" i="37"/>
  <c r="Y21" i="37" s="1"/>
  <c r="BT19" i="37"/>
  <c r="BT21" i="37" s="1"/>
  <c r="Z19" i="37"/>
  <c r="Z21" i="37" s="1"/>
  <c r="CH19" i="37"/>
  <c r="CH21" i="37" s="1"/>
  <c r="CO19" i="37"/>
  <c r="CO21" i="37" s="1"/>
  <c r="V19" i="37"/>
  <c r="V21" i="37" s="1"/>
  <c r="BR19" i="37"/>
  <c r="BR21" i="37" s="1"/>
  <c r="BO19" i="37"/>
  <c r="BO21" i="37" s="1"/>
  <c r="BC19" i="37"/>
  <c r="BC21" i="37" s="1"/>
  <c r="AT19" i="37"/>
  <c r="AT21" i="37" s="1"/>
  <c r="BG19" i="37"/>
  <c r="BG21" i="37" s="1"/>
  <c r="W19" i="37"/>
  <c r="W21" i="37" s="1"/>
  <c r="DJ19" i="37"/>
  <c r="DJ21" i="37" s="1"/>
  <c r="BI19" i="37"/>
  <c r="BI21" i="37" s="1"/>
  <c r="BA19" i="37"/>
  <c r="BA21" i="37" s="1"/>
  <c r="DK7" i="36"/>
  <c r="DK6" i="36"/>
  <c r="CM7" i="36"/>
  <c r="CM6" i="36"/>
  <c r="AQ7" i="36"/>
  <c r="AQ6" i="36"/>
  <c r="AX17" i="34"/>
  <c r="Z17" i="34"/>
  <c r="Y17" i="34"/>
  <c r="DV4" i="36"/>
  <c r="DN4" i="36"/>
  <c r="DF4" i="36"/>
  <c r="CX4" i="36"/>
  <c r="CP4" i="36"/>
  <c r="CH4" i="36"/>
  <c r="BZ4" i="36"/>
  <c r="BR4" i="36"/>
  <c r="BJ4" i="36"/>
  <c r="BB4" i="36"/>
  <c r="AT4" i="36"/>
  <c r="AL4" i="36"/>
  <c r="AD4" i="36"/>
  <c r="V4" i="36"/>
  <c r="N7" i="36"/>
  <c r="N6" i="36"/>
  <c r="H7" i="36"/>
  <c r="H6" i="36"/>
  <c r="H11" i="36" s="1"/>
  <c r="CF19" i="37"/>
  <c r="CF21" i="37" s="1"/>
  <c r="CJ19" i="37"/>
  <c r="CJ21" i="37" s="1"/>
  <c r="CW19" i="37"/>
  <c r="CW21" i="37" s="1"/>
  <c r="Q22" i="37"/>
  <c r="Q23" i="37"/>
  <c r="Q26" i="37" s="1"/>
  <c r="CD19" i="37"/>
  <c r="CD21" i="37" s="1"/>
  <c r="AC19" i="37"/>
  <c r="AC21" i="37" s="1"/>
  <c r="CG19" i="37"/>
  <c r="CG21" i="37" s="1"/>
  <c r="BW19" i="37"/>
  <c r="BW21" i="37" s="1"/>
  <c r="C23" i="37"/>
  <c r="C22" i="37"/>
  <c r="C26" i="37" s="1"/>
  <c r="C8" i="28" s="1"/>
  <c r="DP19" i="37"/>
  <c r="DP21" i="37" s="1"/>
  <c r="BV19" i="37"/>
  <c r="BV21" i="37" s="1"/>
  <c r="BD19" i="37"/>
  <c r="BD21" i="37" s="1"/>
  <c r="DH19" i="37"/>
  <c r="DH21" i="37" s="1"/>
  <c r="AX19" i="37"/>
  <c r="AX21" i="37" s="1"/>
  <c r="BK19" i="37"/>
  <c r="BK21" i="37" s="1"/>
  <c r="O23" i="37"/>
  <c r="O22" i="37"/>
  <c r="CE26" i="34"/>
  <c r="CE24" i="34"/>
  <c r="CE22" i="34"/>
  <c r="CE27" i="34"/>
  <c r="CE25" i="34"/>
  <c r="CE23" i="34"/>
  <c r="CE19" i="34"/>
  <c r="CE20" i="34"/>
  <c r="CE32" i="34" s="1"/>
  <c r="CE18" i="34"/>
  <c r="CE21" i="34"/>
  <c r="AY26" i="34"/>
  <c r="AY24" i="34"/>
  <c r="AY27" i="34"/>
  <c r="AY25" i="34"/>
  <c r="AY23" i="34"/>
  <c r="AY22" i="34"/>
  <c r="AY34" i="34" s="1"/>
  <c r="AY20" i="34"/>
  <c r="AY18" i="34"/>
  <c r="AY21" i="34"/>
  <c r="AY19" i="34"/>
  <c r="DJ26" i="34"/>
  <c r="DJ24" i="34"/>
  <c r="DJ22" i="34"/>
  <c r="DJ27" i="34"/>
  <c r="DJ39" i="34" s="1"/>
  <c r="DJ25" i="34"/>
  <c r="DJ23" i="34"/>
  <c r="DJ21" i="34"/>
  <c r="DJ20" i="34"/>
  <c r="DJ18" i="34"/>
  <c r="DJ19" i="34"/>
  <c r="DB26" i="34"/>
  <c r="DB24" i="34"/>
  <c r="DB36" i="34" s="1"/>
  <c r="DB22" i="34"/>
  <c r="DB27" i="34"/>
  <c r="DB25" i="34"/>
  <c r="DB23" i="34"/>
  <c r="DB20" i="34"/>
  <c r="DB18" i="34"/>
  <c r="DB21" i="34"/>
  <c r="DB19" i="34"/>
  <c r="DB31" i="34" s="1"/>
  <c r="CT26" i="34"/>
  <c r="CT24" i="34"/>
  <c r="CT22" i="34"/>
  <c r="CT27" i="34"/>
  <c r="CT25" i="34"/>
  <c r="CT23" i="34"/>
  <c r="CT19" i="34"/>
  <c r="CT21" i="34"/>
  <c r="CT20" i="34"/>
  <c r="CT18" i="34"/>
  <c r="CL26" i="34"/>
  <c r="CL24" i="34"/>
  <c r="CL22" i="34"/>
  <c r="CL27" i="34"/>
  <c r="CL25" i="34"/>
  <c r="CL23" i="34"/>
  <c r="CL35" i="34" s="1"/>
  <c r="CL21" i="34"/>
  <c r="CL19" i="34"/>
  <c r="CL20" i="34"/>
  <c r="CL18" i="34"/>
  <c r="CD26" i="34"/>
  <c r="CD24" i="34"/>
  <c r="CD22" i="34"/>
  <c r="CD27" i="34"/>
  <c r="CD39" i="34" s="1"/>
  <c r="CD25" i="34"/>
  <c r="CD23" i="34"/>
  <c r="CD20" i="34"/>
  <c r="CD18" i="34"/>
  <c r="CD21" i="34"/>
  <c r="CD19" i="34"/>
  <c r="BV26" i="34"/>
  <c r="BV24" i="34"/>
  <c r="BV36" i="34" s="1"/>
  <c r="BV22" i="34"/>
  <c r="BV27" i="34"/>
  <c r="BV25" i="34"/>
  <c r="BV23" i="34"/>
  <c r="BV20" i="34"/>
  <c r="BV18" i="34"/>
  <c r="BV19" i="34"/>
  <c r="BV21" i="34"/>
  <c r="BV33" i="34" s="1"/>
  <c r="BN26" i="34"/>
  <c r="BN24" i="34"/>
  <c r="BN27" i="34"/>
  <c r="BN25" i="34"/>
  <c r="BN23" i="34"/>
  <c r="BN21" i="34"/>
  <c r="BN19" i="34"/>
  <c r="BN22" i="34"/>
  <c r="BN34" i="34" s="1"/>
  <c r="BN20" i="34"/>
  <c r="BN18" i="34"/>
  <c r="S26" i="34"/>
  <c r="S24" i="34"/>
  <c r="S27" i="34"/>
  <c r="S25" i="34"/>
  <c r="S23" i="34"/>
  <c r="S19" i="34"/>
  <c r="S31" i="34" s="1"/>
  <c r="S22" i="34"/>
  <c r="S20" i="34"/>
  <c r="S18" i="34"/>
  <c r="S21" i="34"/>
  <c r="AX26" i="34"/>
  <c r="AX24" i="34"/>
  <c r="AX27" i="34"/>
  <c r="AX25" i="34"/>
  <c r="AX37" i="34" s="1"/>
  <c r="AX23" i="34"/>
  <c r="AX19" i="34"/>
  <c r="AX22" i="34"/>
  <c r="AX20" i="34"/>
  <c r="AX18" i="34"/>
  <c r="AX21" i="34"/>
  <c r="Z26" i="34"/>
  <c r="Z24" i="34"/>
  <c r="Z36" i="34" s="1"/>
  <c r="Z27" i="34"/>
  <c r="Z25" i="34"/>
  <c r="Z23" i="34"/>
  <c r="Z21" i="34"/>
  <c r="Z19" i="34"/>
  <c r="Z22" i="34"/>
  <c r="Z20" i="34"/>
  <c r="Z18" i="34"/>
  <c r="Z30" i="34" s="1"/>
  <c r="L27" i="34"/>
  <c r="L25" i="34"/>
  <c r="L23" i="34"/>
  <c r="L24" i="34"/>
  <c r="L22" i="34"/>
  <c r="L20" i="34"/>
  <c r="L18" i="34"/>
  <c r="L26" i="34"/>
  <c r="L38" i="34" s="1"/>
  <c r="L21" i="34"/>
  <c r="L19" i="34"/>
  <c r="G27" i="34"/>
  <c r="G25" i="34"/>
  <c r="G23" i="34"/>
  <c r="G26" i="34"/>
  <c r="G24" i="34"/>
  <c r="G22" i="34"/>
  <c r="G34" i="34" s="1"/>
  <c r="G18" i="34"/>
  <c r="G21" i="34"/>
  <c r="G19" i="34"/>
  <c r="G20" i="34"/>
  <c r="Y26" i="34"/>
  <c r="Y24" i="34"/>
  <c r="Y27" i="34"/>
  <c r="Y21" i="34"/>
  <c r="Y33" i="34" s="1"/>
  <c r="Y19" i="34"/>
  <c r="Y25" i="34"/>
  <c r="Y23" i="34"/>
  <c r="Y22" i="34"/>
  <c r="Y20" i="34"/>
  <c r="Y18" i="34"/>
  <c r="CU26" i="34"/>
  <c r="CU24" i="34"/>
  <c r="CU36" i="34" s="1"/>
  <c r="CU22" i="34"/>
  <c r="CU27" i="34"/>
  <c r="CU25" i="34"/>
  <c r="CU23" i="34"/>
  <c r="CU20" i="34"/>
  <c r="CU18" i="34"/>
  <c r="CU19" i="34"/>
  <c r="CU21" i="34"/>
  <c r="CU33" i="34" s="1"/>
  <c r="U27" i="34"/>
  <c r="U25" i="34"/>
  <c r="U23" i="34"/>
  <c r="U26" i="34"/>
  <c r="U22" i="34"/>
  <c r="U20" i="34"/>
  <c r="U18" i="34"/>
  <c r="U24" i="34"/>
  <c r="U36" i="34" s="1"/>
  <c r="U21" i="34"/>
  <c r="U19" i="34"/>
  <c r="DQ26" i="34"/>
  <c r="DQ24" i="34"/>
  <c r="DQ22" i="34"/>
  <c r="DQ27" i="34"/>
  <c r="DQ21" i="34"/>
  <c r="DQ19" i="34"/>
  <c r="DQ31" i="34" s="1"/>
  <c r="DQ25" i="34"/>
  <c r="DQ23" i="34"/>
  <c r="DQ20" i="34"/>
  <c r="DQ18" i="34"/>
  <c r="DI26" i="34"/>
  <c r="DI24" i="34"/>
  <c r="DI22" i="34"/>
  <c r="DI25" i="34"/>
  <c r="DI21" i="34"/>
  <c r="DI19" i="34"/>
  <c r="DI23" i="34"/>
  <c r="DI27" i="34"/>
  <c r="DI20" i="34"/>
  <c r="DI18" i="34"/>
  <c r="DA26" i="34"/>
  <c r="DA24" i="34"/>
  <c r="DA36" i="34" s="1"/>
  <c r="DA22" i="34"/>
  <c r="DA23" i="34"/>
  <c r="DA21" i="34"/>
  <c r="DA19" i="34"/>
  <c r="DA25" i="34"/>
  <c r="DA27" i="34"/>
  <c r="DA20" i="34"/>
  <c r="DA18" i="34"/>
  <c r="DA30" i="34" s="1"/>
  <c r="CS26" i="34"/>
  <c r="CS24" i="34"/>
  <c r="CS22" i="34"/>
  <c r="CS21" i="34"/>
  <c r="CS19" i="34"/>
  <c r="CS23" i="34"/>
  <c r="CS25" i="34"/>
  <c r="CS20" i="34"/>
  <c r="CS32" i="34" s="1"/>
  <c r="CS18" i="34"/>
  <c r="CS27" i="34"/>
  <c r="CK26" i="34"/>
  <c r="CK24" i="34"/>
  <c r="CK22" i="34"/>
  <c r="CK27" i="34"/>
  <c r="CK21" i="34"/>
  <c r="CK19" i="34"/>
  <c r="CK31" i="34" s="1"/>
  <c r="CK25" i="34"/>
  <c r="CK23" i="34"/>
  <c r="CK20" i="34"/>
  <c r="CK18" i="34"/>
  <c r="CC26" i="34"/>
  <c r="CC24" i="34"/>
  <c r="CC22" i="34"/>
  <c r="CC25" i="34"/>
  <c r="CC21" i="34"/>
  <c r="CC19" i="34"/>
  <c r="CC23" i="34"/>
  <c r="CC27" i="34"/>
  <c r="CC20" i="34"/>
  <c r="CC18" i="34"/>
  <c r="BU26" i="34"/>
  <c r="BU24" i="34"/>
  <c r="BU36" i="34" s="1"/>
  <c r="BU22" i="34"/>
  <c r="BU23" i="34"/>
  <c r="BU21" i="34"/>
  <c r="BU19" i="34"/>
  <c r="BU25" i="34"/>
  <c r="BU27" i="34"/>
  <c r="BU20" i="34"/>
  <c r="BU18" i="34"/>
  <c r="BU30" i="34" s="1"/>
  <c r="BM26" i="34"/>
  <c r="BM24" i="34"/>
  <c r="BM21" i="34"/>
  <c r="BM19" i="34"/>
  <c r="BM23" i="34"/>
  <c r="BM25" i="34"/>
  <c r="BM22" i="34"/>
  <c r="BM20" i="34"/>
  <c r="BM32" i="34" s="1"/>
  <c r="BM18" i="34"/>
  <c r="BM27" i="34"/>
  <c r="AB27" i="34"/>
  <c r="AB25" i="34"/>
  <c r="AB23" i="34"/>
  <c r="AB22" i="34"/>
  <c r="AB20" i="34"/>
  <c r="AB18" i="34"/>
  <c r="AB30" i="34" s="1"/>
  <c r="AB24" i="34"/>
  <c r="AB21" i="34"/>
  <c r="AB19" i="34"/>
  <c r="AB26" i="34"/>
  <c r="T27" i="34"/>
  <c r="T25" i="34"/>
  <c r="T23" i="34"/>
  <c r="T24" i="34"/>
  <c r="T36" i="34" s="1"/>
  <c r="T26" i="34"/>
  <c r="T22" i="34"/>
  <c r="T20" i="34"/>
  <c r="T18" i="34"/>
  <c r="T21" i="34"/>
  <c r="T19" i="34"/>
  <c r="AW26" i="34"/>
  <c r="AW24" i="34"/>
  <c r="AW36" i="34" s="1"/>
  <c r="AW25" i="34"/>
  <c r="AW21" i="34"/>
  <c r="AW19" i="34"/>
  <c r="AW27" i="34"/>
  <c r="AW22" i="34"/>
  <c r="AW20" i="34"/>
  <c r="AW18" i="34"/>
  <c r="AW23" i="34"/>
  <c r="AW35" i="34" s="1"/>
  <c r="AU27" i="34"/>
  <c r="AU25" i="34"/>
  <c r="AU23" i="34"/>
  <c r="AU26" i="34"/>
  <c r="AU24" i="34"/>
  <c r="AU22" i="34"/>
  <c r="AU21" i="34"/>
  <c r="AU19" i="34"/>
  <c r="AU31" i="34" s="1"/>
  <c r="AU20" i="34"/>
  <c r="AU18" i="34"/>
  <c r="AJ27" i="34"/>
  <c r="AJ25" i="34"/>
  <c r="AJ23" i="34"/>
  <c r="AJ22" i="34"/>
  <c r="AJ20" i="34"/>
  <c r="AJ18" i="34"/>
  <c r="AJ30" i="34" s="1"/>
  <c r="AJ24" i="34"/>
  <c r="AJ26" i="34"/>
  <c r="AJ21" i="34"/>
  <c r="AJ19" i="34"/>
  <c r="AV26" i="34"/>
  <c r="AV24" i="34"/>
  <c r="AV25" i="34"/>
  <c r="AV21" i="34"/>
  <c r="AV33" i="34" s="1"/>
  <c r="AV19" i="34"/>
  <c r="AV23" i="34"/>
  <c r="AV27" i="34"/>
  <c r="AV22" i="34"/>
  <c r="AV20" i="34"/>
  <c r="AV18" i="34"/>
  <c r="BW26" i="34"/>
  <c r="BW24" i="34"/>
  <c r="BW36" i="34" s="1"/>
  <c r="BW22" i="34"/>
  <c r="BW27" i="34"/>
  <c r="BW25" i="34"/>
  <c r="BW23" i="34"/>
  <c r="BW21" i="34"/>
  <c r="BW19" i="34"/>
  <c r="BW20" i="34"/>
  <c r="BW18" i="34"/>
  <c r="BW30" i="34" s="1"/>
  <c r="BB27" i="34"/>
  <c r="BB25" i="34"/>
  <c r="BB23" i="34"/>
  <c r="BB26" i="34"/>
  <c r="BB24" i="34"/>
  <c r="BB20" i="34"/>
  <c r="BB21" i="34"/>
  <c r="BB19" i="34"/>
  <c r="BB31" i="34" s="1"/>
  <c r="BB22" i="34"/>
  <c r="BB18" i="34"/>
  <c r="DP26" i="34"/>
  <c r="DP24" i="34"/>
  <c r="DP22" i="34"/>
  <c r="DP27" i="34"/>
  <c r="DP21" i="34"/>
  <c r="DP19" i="34"/>
  <c r="DP31" i="34" s="1"/>
  <c r="DP25" i="34"/>
  <c r="DP23" i="34"/>
  <c r="DP20" i="34"/>
  <c r="DP18" i="34"/>
  <c r="DH26" i="34"/>
  <c r="DH24" i="34"/>
  <c r="DH22" i="34"/>
  <c r="DH25" i="34"/>
  <c r="DH37" i="34" s="1"/>
  <c r="DH21" i="34"/>
  <c r="DH19" i="34"/>
  <c r="DH27" i="34"/>
  <c r="DH20" i="34"/>
  <c r="DH18" i="34"/>
  <c r="DH23" i="34"/>
  <c r="CZ26" i="34"/>
  <c r="CZ24" i="34"/>
  <c r="CZ36" i="34" s="1"/>
  <c r="CZ22" i="34"/>
  <c r="CZ23" i="34"/>
  <c r="CZ21" i="34"/>
  <c r="CZ19" i="34"/>
  <c r="CZ25" i="34"/>
  <c r="CZ27" i="34"/>
  <c r="CZ20" i="34"/>
  <c r="CZ18" i="34"/>
  <c r="CZ30" i="34" s="1"/>
  <c r="CR26" i="34"/>
  <c r="CR24" i="34"/>
  <c r="CR22" i="34"/>
  <c r="CR21" i="34"/>
  <c r="CR19" i="34"/>
  <c r="CR23" i="34"/>
  <c r="CR25" i="34"/>
  <c r="CR20" i="34"/>
  <c r="CR32" i="34" s="1"/>
  <c r="CR18" i="34"/>
  <c r="CR27" i="34"/>
  <c r="CJ26" i="34"/>
  <c r="CJ24" i="34"/>
  <c r="CJ22" i="34"/>
  <c r="CJ25" i="34"/>
  <c r="CJ27" i="34"/>
  <c r="CJ21" i="34"/>
  <c r="CJ33" i="34" s="1"/>
  <c r="CJ19" i="34"/>
  <c r="CJ23" i="34"/>
  <c r="CJ20" i="34"/>
  <c r="CJ18" i="34"/>
  <c r="CB26" i="34"/>
  <c r="CB24" i="34"/>
  <c r="CB22" i="34"/>
  <c r="CB25" i="34"/>
  <c r="CB37" i="34" s="1"/>
  <c r="CB21" i="34"/>
  <c r="CB19" i="34"/>
  <c r="CB27" i="34"/>
  <c r="CB23" i="34"/>
  <c r="CB20" i="34"/>
  <c r="CB18" i="34"/>
  <c r="BT26" i="34"/>
  <c r="BT24" i="34"/>
  <c r="BT36" i="34" s="1"/>
  <c r="BT22" i="34"/>
  <c r="BT23" i="34"/>
  <c r="BT21" i="34"/>
  <c r="BT19" i="34"/>
  <c r="BT25" i="34"/>
  <c r="BT27" i="34"/>
  <c r="BT20" i="34"/>
  <c r="BT18" i="34"/>
  <c r="BT30" i="34" s="1"/>
  <c r="BL26" i="34"/>
  <c r="BL24" i="34"/>
  <c r="BL21" i="34"/>
  <c r="BL19" i="34"/>
  <c r="BL27" i="34"/>
  <c r="BL23" i="34"/>
  <c r="BL25" i="34"/>
  <c r="BL22" i="34"/>
  <c r="BL34" i="34" s="1"/>
  <c r="BL20" i="34"/>
  <c r="BL18" i="34"/>
  <c r="I26" i="34"/>
  <c r="I24" i="34"/>
  <c r="I23" i="34"/>
  <c r="I21" i="34"/>
  <c r="I19" i="34"/>
  <c r="I25" i="34"/>
  <c r="I37" i="34" s="1"/>
  <c r="I27" i="34"/>
  <c r="I22" i="34"/>
  <c r="I20" i="34"/>
  <c r="I18" i="34"/>
  <c r="AP26" i="34"/>
  <c r="AP24" i="34"/>
  <c r="AP27" i="34"/>
  <c r="AP25" i="34"/>
  <c r="AP37" i="34" s="1"/>
  <c r="AP23" i="34"/>
  <c r="AP22" i="34"/>
  <c r="AP20" i="34"/>
  <c r="AP18" i="34"/>
  <c r="AP21" i="34"/>
  <c r="AP19" i="34"/>
  <c r="AM27" i="34"/>
  <c r="AM25" i="34"/>
  <c r="AM37" i="34" s="1"/>
  <c r="AM23" i="34"/>
  <c r="AM26" i="34"/>
  <c r="AM24" i="34"/>
  <c r="AM21" i="34"/>
  <c r="AM19" i="34"/>
  <c r="AM18" i="34"/>
  <c r="AM22" i="34"/>
  <c r="AM20" i="34"/>
  <c r="AM32" i="34" s="1"/>
  <c r="M27" i="34"/>
  <c r="M25" i="34"/>
  <c r="M23" i="34"/>
  <c r="M24" i="34"/>
  <c r="M22" i="34"/>
  <c r="M20" i="34"/>
  <c r="M18" i="34"/>
  <c r="M26" i="34"/>
  <c r="M38" i="34" s="1"/>
  <c r="M21" i="34"/>
  <c r="M19" i="34"/>
  <c r="AQ26" i="34"/>
  <c r="AQ24" i="34"/>
  <c r="AQ27" i="34"/>
  <c r="AQ25" i="34"/>
  <c r="AQ23" i="34"/>
  <c r="AQ22" i="34"/>
  <c r="AQ34" i="34" s="1"/>
  <c r="AQ20" i="34"/>
  <c r="AQ18" i="34"/>
  <c r="AQ21" i="34"/>
  <c r="AQ19" i="34"/>
  <c r="AS27" i="34"/>
  <c r="AS25" i="34"/>
  <c r="AS23" i="34"/>
  <c r="AS24" i="34"/>
  <c r="AS22" i="34"/>
  <c r="AS20" i="34"/>
  <c r="AS18" i="34"/>
  <c r="AS26" i="34"/>
  <c r="AS21" i="34"/>
  <c r="AS19" i="34"/>
  <c r="CM26" i="34"/>
  <c r="CM24" i="34"/>
  <c r="CM36" i="34" s="1"/>
  <c r="CM22" i="34"/>
  <c r="CM27" i="34"/>
  <c r="CM25" i="34"/>
  <c r="CM23" i="34"/>
  <c r="CM20" i="34"/>
  <c r="CM18" i="34"/>
  <c r="CM21" i="34"/>
  <c r="CM19" i="34"/>
  <c r="CM31" i="34" s="1"/>
  <c r="BE26" i="34"/>
  <c r="BE24" i="34"/>
  <c r="BE27" i="34"/>
  <c r="BE21" i="34"/>
  <c r="BE19" i="34"/>
  <c r="BE25" i="34"/>
  <c r="BE23" i="34"/>
  <c r="BE22" i="34"/>
  <c r="BE34" i="34" s="1"/>
  <c r="BE20" i="34"/>
  <c r="BE18" i="34"/>
  <c r="DW27" i="34"/>
  <c r="DW25" i="34"/>
  <c r="DW23" i="34"/>
  <c r="DW26" i="34"/>
  <c r="DW24" i="34"/>
  <c r="DW22" i="34"/>
  <c r="DW34" i="34" s="1"/>
  <c r="DW20" i="34"/>
  <c r="DW21" i="34"/>
  <c r="DW19" i="34"/>
  <c r="DW18" i="34"/>
  <c r="DO27" i="34"/>
  <c r="DO25" i="34"/>
  <c r="DO23" i="34"/>
  <c r="DO26" i="34"/>
  <c r="DO38" i="34" s="1"/>
  <c r="DO24" i="34"/>
  <c r="DO22" i="34"/>
  <c r="DO20" i="34"/>
  <c r="DO21" i="34"/>
  <c r="DO19" i="34"/>
  <c r="DO18" i="34"/>
  <c r="DG27" i="34"/>
  <c r="DG25" i="34"/>
  <c r="DG37" i="34" s="1"/>
  <c r="DG23" i="34"/>
  <c r="DG26" i="34"/>
  <c r="DG24" i="34"/>
  <c r="DG22" i="34"/>
  <c r="DG18" i="34"/>
  <c r="DG21" i="34"/>
  <c r="DG19" i="34"/>
  <c r="DG20" i="34"/>
  <c r="DG32" i="34" s="1"/>
  <c r="CY27" i="34"/>
  <c r="CY25" i="34"/>
  <c r="CY23" i="34"/>
  <c r="CY26" i="34"/>
  <c r="CY24" i="34"/>
  <c r="CY22" i="34"/>
  <c r="CY21" i="34"/>
  <c r="CY19" i="34"/>
  <c r="CY31" i="34" s="1"/>
  <c r="CY20" i="34"/>
  <c r="CY18" i="34"/>
  <c r="CQ27" i="34"/>
  <c r="CQ25" i="34"/>
  <c r="CQ23" i="34"/>
  <c r="CQ26" i="34"/>
  <c r="CQ24" i="34"/>
  <c r="CQ22" i="34"/>
  <c r="CQ34" i="34" s="1"/>
  <c r="CQ18" i="34"/>
  <c r="CQ21" i="34"/>
  <c r="CQ19" i="34"/>
  <c r="CQ20" i="34"/>
  <c r="CI27" i="34"/>
  <c r="CI25" i="34"/>
  <c r="CI23" i="34"/>
  <c r="CI26" i="34"/>
  <c r="CI38" i="34" s="1"/>
  <c r="CI24" i="34"/>
  <c r="CI22" i="34"/>
  <c r="CI20" i="34"/>
  <c r="CI21" i="34"/>
  <c r="CI19" i="34"/>
  <c r="CI18" i="34"/>
  <c r="CA27" i="34"/>
  <c r="CA25" i="34"/>
  <c r="CA37" i="34" s="1"/>
  <c r="CA23" i="34"/>
  <c r="CA26" i="34"/>
  <c r="CA24" i="34"/>
  <c r="CA22" i="34"/>
  <c r="CA20" i="34"/>
  <c r="CA18" i="34"/>
  <c r="CA21" i="34"/>
  <c r="CA19" i="34"/>
  <c r="CA31" i="34" s="1"/>
  <c r="BS27" i="34"/>
  <c r="BS25" i="34"/>
  <c r="BS23" i="34"/>
  <c r="BS26" i="34"/>
  <c r="BS24" i="34"/>
  <c r="BS22" i="34"/>
  <c r="BS21" i="34"/>
  <c r="BS19" i="34"/>
  <c r="BS31" i="34" s="1"/>
  <c r="BS18" i="34"/>
  <c r="BS20" i="34"/>
  <c r="BK27" i="34"/>
  <c r="BK25" i="34"/>
  <c r="BK23" i="34"/>
  <c r="BK26" i="34"/>
  <c r="BK24" i="34"/>
  <c r="BK20" i="34"/>
  <c r="BK32" i="34" s="1"/>
  <c r="BK21" i="34"/>
  <c r="BK19" i="34"/>
  <c r="BK22" i="34"/>
  <c r="BK18" i="34"/>
  <c r="AF26" i="34"/>
  <c r="AF24" i="34"/>
  <c r="AF27" i="34"/>
  <c r="AF21" i="34"/>
  <c r="AF33" i="34" s="1"/>
  <c r="AF19" i="34"/>
  <c r="AF23" i="34"/>
  <c r="AF25" i="34"/>
  <c r="AF22" i="34"/>
  <c r="AF20" i="34"/>
  <c r="AF18" i="34"/>
  <c r="AD27" i="34"/>
  <c r="AD25" i="34"/>
  <c r="AD37" i="34" s="1"/>
  <c r="AD23" i="34"/>
  <c r="AD26" i="34"/>
  <c r="AD24" i="34"/>
  <c r="AD20" i="34"/>
  <c r="AD22" i="34"/>
  <c r="AD21" i="34"/>
  <c r="AD19" i="34"/>
  <c r="AD18" i="34"/>
  <c r="AD30" i="34" s="1"/>
  <c r="AI26" i="34"/>
  <c r="AI24" i="34"/>
  <c r="AI27" i="34"/>
  <c r="AI25" i="34"/>
  <c r="AI23" i="34"/>
  <c r="AI19" i="34"/>
  <c r="AI22" i="34"/>
  <c r="AI20" i="34"/>
  <c r="AI32" i="34" s="1"/>
  <c r="AI18" i="34"/>
  <c r="AI21" i="34"/>
  <c r="AO26" i="34"/>
  <c r="AO24" i="34"/>
  <c r="AO23" i="34"/>
  <c r="AO21" i="34"/>
  <c r="AO19" i="34"/>
  <c r="AO25" i="34"/>
  <c r="AO37" i="34" s="1"/>
  <c r="AO27" i="34"/>
  <c r="AO22" i="34"/>
  <c r="AO20" i="34"/>
  <c r="AO18" i="34"/>
  <c r="BD26" i="34"/>
  <c r="BD24" i="34"/>
  <c r="BD27" i="34"/>
  <c r="BD21" i="34"/>
  <c r="BD33" i="34" s="1"/>
  <c r="BD19" i="34"/>
  <c r="BD25" i="34"/>
  <c r="BD23" i="34"/>
  <c r="BD22" i="34"/>
  <c r="BD20" i="34"/>
  <c r="BD18" i="34"/>
  <c r="O27" i="34"/>
  <c r="O25" i="34"/>
  <c r="O37" i="34" s="1"/>
  <c r="O23" i="34"/>
  <c r="O26" i="34"/>
  <c r="O24" i="34"/>
  <c r="O20" i="34"/>
  <c r="O21" i="34"/>
  <c r="O19" i="34"/>
  <c r="O22" i="34"/>
  <c r="O18" i="34"/>
  <c r="O30" i="34" s="1"/>
  <c r="DK26" i="34"/>
  <c r="DK24" i="34"/>
  <c r="DK22" i="34"/>
  <c r="DK27" i="34"/>
  <c r="DK25" i="34"/>
  <c r="DK23" i="34"/>
  <c r="DK21" i="34"/>
  <c r="DK20" i="34"/>
  <c r="DK18" i="34"/>
  <c r="DK19" i="34"/>
  <c r="BF26" i="34"/>
  <c r="BF24" i="34"/>
  <c r="BF27" i="34"/>
  <c r="BF25" i="34"/>
  <c r="BF23" i="34"/>
  <c r="BF21" i="34"/>
  <c r="BF33" i="34" s="1"/>
  <c r="BF22" i="34"/>
  <c r="BF20" i="34"/>
  <c r="BF18" i="34"/>
  <c r="BF19" i="34"/>
  <c r="DV27" i="34"/>
  <c r="DV25" i="34"/>
  <c r="DV23" i="34"/>
  <c r="DV26" i="34"/>
  <c r="DV38" i="34" s="1"/>
  <c r="DV24" i="34"/>
  <c r="DV22" i="34"/>
  <c r="DV20" i="34"/>
  <c r="DV21" i="34"/>
  <c r="DV19" i="34"/>
  <c r="DV18" i="34"/>
  <c r="DN27" i="34"/>
  <c r="DN25" i="34"/>
  <c r="DN37" i="34" s="1"/>
  <c r="DN23" i="34"/>
  <c r="DN26" i="34"/>
  <c r="DN24" i="34"/>
  <c r="DN22" i="34"/>
  <c r="DN18" i="34"/>
  <c r="DN21" i="34"/>
  <c r="DN19" i="34"/>
  <c r="DN20" i="34"/>
  <c r="DN32" i="34" s="1"/>
  <c r="DF27" i="34"/>
  <c r="DF25" i="34"/>
  <c r="DF23" i="34"/>
  <c r="DF26" i="34"/>
  <c r="DF24" i="34"/>
  <c r="DF22" i="34"/>
  <c r="DF20" i="34"/>
  <c r="DF21" i="34"/>
  <c r="DF33" i="34" s="1"/>
  <c r="DF19" i="34"/>
  <c r="DF18" i="34"/>
  <c r="CX27" i="34"/>
  <c r="CX25" i="34"/>
  <c r="CX23" i="34"/>
  <c r="CX26" i="34"/>
  <c r="CX24" i="34"/>
  <c r="CX22" i="34"/>
  <c r="CX34" i="34" s="1"/>
  <c r="CX18" i="34"/>
  <c r="CX21" i="34"/>
  <c r="CX19" i="34"/>
  <c r="CX20" i="34"/>
  <c r="CP27" i="34"/>
  <c r="CP25" i="34"/>
  <c r="CP23" i="34"/>
  <c r="CP26" i="34"/>
  <c r="CP38" i="34" s="1"/>
  <c r="CP24" i="34"/>
  <c r="CP22" i="34"/>
  <c r="CP20" i="34"/>
  <c r="CP21" i="34"/>
  <c r="CP19" i="34"/>
  <c r="CP18" i="34"/>
  <c r="CH27" i="34"/>
  <c r="CH25" i="34"/>
  <c r="CH37" i="34" s="1"/>
  <c r="CH23" i="34"/>
  <c r="CH26" i="34"/>
  <c r="CH24" i="34"/>
  <c r="CH22" i="34"/>
  <c r="CH21" i="34"/>
  <c r="CH19" i="34"/>
  <c r="CH18" i="34"/>
  <c r="CH20" i="34"/>
  <c r="CH32" i="34" s="1"/>
  <c r="BZ27" i="34"/>
  <c r="BZ25" i="34"/>
  <c r="BZ23" i="34"/>
  <c r="BZ26" i="34"/>
  <c r="BZ24" i="34"/>
  <c r="BZ22" i="34"/>
  <c r="BZ21" i="34"/>
  <c r="BZ19" i="34"/>
  <c r="BZ31" i="34" s="1"/>
  <c r="BZ20" i="34"/>
  <c r="BZ18" i="34"/>
  <c r="BR27" i="34"/>
  <c r="BR25" i="34"/>
  <c r="BR23" i="34"/>
  <c r="BR26" i="34"/>
  <c r="BR24" i="34"/>
  <c r="BR22" i="34"/>
  <c r="BR34" i="34" s="1"/>
  <c r="BR20" i="34"/>
  <c r="BR18" i="34"/>
  <c r="BR21" i="34"/>
  <c r="BR19" i="34"/>
  <c r="BJ27" i="34"/>
  <c r="BJ25" i="34"/>
  <c r="BJ23" i="34"/>
  <c r="BJ26" i="34"/>
  <c r="BJ38" i="34" s="1"/>
  <c r="BJ24" i="34"/>
  <c r="BJ22" i="34"/>
  <c r="BJ18" i="34"/>
  <c r="BJ21" i="34"/>
  <c r="BJ19" i="34"/>
  <c r="BJ20" i="34"/>
  <c r="AC27" i="34"/>
  <c r="AC25" i="34"/>
  <c r="AC37" i="34" s="1"/>
  <c r="AC23" i="34"/>
  <c r="AC22" i="34"/>
  <c r="AC20" i="34"/>
  <c r="AC18" i="34"/>
  <c r="AC26" i="34"/>
  <c r="AC24" i="34"/>
  <c r="AC21" i="34"/>
  <c r="AC19" i="34"/>
  <c r="AC31" i="34" s="1"/>
  <c r="J26" i="34"/>
  <c r="J24" i="34"/>
  <c r="J27" i="34"/>
  <c r="J25" i="34"/>
  <c r="J23" i="34"/>
  <c r="J22" i="34"/>
  <c r="J20" i="34"/>
  <c r="J18" i="34"/>
  <c r="J30" i="34" s="1"/>
  <c r="J19" i="34"/>
  <c r="J21" i="34"/>
  <c r="F27" i="34"/>
  <c r="F25" i="34"/>
  <c r="F23" i="34"/>
  <c r="F26" i="34"/>
  <c r="F24" i="34"/>
  <c r="F18" i="34"/>
  <c r="F30" i="34" s="1"/>
  <c r="F21" i="34"/>
  <c r="F19" i="34"/>
  <c r="F22" i="34"/>
  <c r="F20" i="34"/>
  <c r="AE27" i="34"/>
  <c r="AE25" i="34"/>
  <c r="AE23" i="34"/>
  <c r="AE26" i="34"/>
  <c r="AE38" i="34" s="1"/>
  <c r="AE24" i="34"/>
  <c r="AE18" i="34"/>
  <c r="AE21" i="34"/>
  <c r="AE19" i="34"/>
  <c r="AE22" i="34"/>
  <c r="AE20" i="34"/>
  <c r="W27" i="34"/>
  <c r="W25" i="34"/>
  <c r="W37" i="34" s="1"/>
  <c r="W23" i="34"/>
  <c r="W26" i="34"/>
  <c r="W24" i="34"/>
  <c r="W22" i="34"/>
  <c r="W20" i="34"/>
  <c r="W21" i="34"/>
  <c r="W19" i="34"/>
  <c r="W18" i="34"/>
  <c r="W30" i="34" s="1"/>
  <c r="N27" i="34"/>
  <c r="N25" i="34"/>
  <c r="N23" i="34"/>
  <c r="N26" i="34"/>
  <c r="N24" i="34"/>
  <c r="N22" i="34"/>
  <c r="N20" i="34"/>
  <c r="N21" i="34"/>
  <c r="N33" i="34" s="1"/>
  <c r="N19" i="34"/>
  <c r="N18" i="34"/>
  <c r="DC26" i="34"/>
  <c r="DC24" i="34"/>
  <c r="DC22" i="34"/>
  <c r="DC27" i="34"/>
  <c r="DC25" i="34"/>
  <c r="DC23" i="34"/>
  <c r="DC35" i="34" s="1"/>
  <c r="DC19" i="34"/>
  <c r="DC20" i="34"/>
  <c r="DC18" i="34"/>
  <c r="DC21" i="34"/>
  <c r="X26" i="34"/>
  <c r="X24" i="34"/>
  <c r="X27" i="34"/>
  <c r="X21" i="34"/>
  <c r="X33" i="34" s="1"/>
  <c r="X19" i="34"/>
  <c r="X23" i="34"/>
  <c r="X22" i="34"/>
  <c r="X20" i="34"/>
  <c r="X18" i="34"/>
  <c r="X25" i="34"/>
  <c r="DU27" i="34"/>
  <c r="DU25" i="34"/>
  <c r="DU37" i="34" s="1"/>
  <c r="DU23" i="34"/>
  <c r="DU20" i="34"/>
  <c r="DU18" i="34"/>
  <c r="DU22" i="34"/>
  <c r="DU26" i="34"/>
  <c r="DU24" i="34"/>
  <c r="DU21" i="34"/>
  <c r="DU19" i="34"/>
  <c r="DU31" i="34" s="1"/>
  <c r="DM27" i="34"/>
  <c r="DM25" i="34"/>
  <c r="DM23" i="34"/>
  <c r="DM26" i="34"/>
  <c r="DM20" i="34"/>
  <c r="DM18" i="34"/>
  <c r="DM24" i="34"/>
  <c r="DM22" i="34"/>
  <c r="DM34" i="34" s="1"/>
  <c r="DM21" i="34"/>
  <c r="DM19" i="34"/>
  <c r="DE27" i="34"/>
  <c r="DE25" i="34"/>
  <c r="DE23" i="34"/>
  <c r="DE24" i="34"/>
  <c r="DE20" i="34"/>
  <c r="DE18" i="34"/>
  <c r="DE30" i="34" s="1"/>
  <c r="DE26" i="34"/>
  <c r="DE22" i="34"/>
  <c r="DE21" i="34"/>
  <c r="DE19" i="34"/>
  <c r="CW27" i="34"/>
  <c r="CW25" i="34"/>
  <c r="CW23" i="34"/>
  <c r="CW22" i="34"/>
  <c r="CW34" i="34" s="1"/>
  <c r="CW20" i="34"/>
  <c r="CW18" i="34"/>
  <c r="CW24" i="34"/>
  <c r="CW26" i="34"/>
  <c r="CW21" i="34"/>
  <c r="CW19" i="34"/>
  <c r="CO27" i="34"/>
  <c r="CO25" i="34"/>
  <c r="CO37" i="34" s="1"/>
  <c r="CO23" i="34"/>
  <c r="CO20" i="34"/>
  <c r="CO18" i="34"/>
  <c r="CO26" i="34"/>
  <c r="CO22" i="34"/>
  <c r="CO24" i="34"/>
  <c r="CO21" i="34"/>
  <c r="CO19" i="34"/>
  <c r="CO31" i="34" s="1"/>
  <c r="CG27" i="34"/>
  <c r="CG25" i="34"/>
  <c r="CG23" i="34"/>
  <c r="CG26" i="34"/>
  <c r="CG20" i="34"/>
  <c r="CG18" i="34"/>
  <c r="CG24" i="34"/>
  <c r="CG22" i="34"/>
  <c r="CG34" i="34" s="1"/>
  <c r="CG21" i="34"/>
  <c r="CG19" i="34"/>
  <c r="BY27" i="34"/>
  <c r="BY25" i="34"/>
  <c r="BY23" i="34"/>
  <c r="BY24" i="34"/>
  <c r="BY20" i="34"/>
  <c r="BY18" i="34"/>
  <c r="BY30" i="34" s="1"/>
  <c r="BY22" i="34"/>
  <c r="BY26" i="34"/>
  <c r="BY21" i="34"/>
  <c r="BY19" i="34"/>
  <c r="BQ27" i="34"/>
  <c r="BQ25" i="34"/>
  <c r="BQ23" i="34"/>
  <c r="BQ22" i="34"/>
  <c r="BQ34" i="34" s="1"/>
  <c r="BQ20" i="34"/>
  <c r="BQ18" i="34"/>
  <c r="BQ24" i="34"/>
  <c r="BQ26" i="34"/>
  <c r="BQ21" i="34"/>
  <c r="BQ19" i="34"/>
  <c r="BI27" i="34"/>
  <c r="BI25" i="34"/>
  <c r="BI37" i="34" s="1"/>
  <c r="BI23" i="34"/>
  <c r="BI22" i="34"/>
  <c r="BI20" i="34"/>
  <c r="BI18" i="34"/>
  <c r="BI26" i="34"/>
  <c r="BI24" i="34"/>
  <c r="BI21" i="34"/>
  <c r="BI19" i="34"/>
  <c r="BI31" i="34" s="1"/>
  <c r="AR27" i="34"/>
  <c r="AR25" i="34"/>
  <c r="AR23" i="34"/>
  <c r="AR24" i="34"/>
  <c r="AR22" i="34"/>
  <c r="AR20" i="34"/>
  <c r="AR18" i="34"/>
  <c r="AR26" i="34"/>
  <c r="AR38" i="34" s="1"/>
  <c r="AR21" i="34"/>
  <c r="AR19" i="34"/>
  <c r="V27" i="34"/>
  <c r="V25" i="34"/>
  <c r="V23" i="34"/>
  <c r="V26" i="34"/>
  <c r="V24" i="34"/>
  <c r="V21" i="34"/>
  <c r="V33" i="34" s="1"/>
  <c r="V19" i="34"/>
  <c r="V20" i="34"/>
  <c r="V18" i="34"/>
  <c r="V22" i="34"/>
  <c r="E27" i="34"/>
  <c r="E25" i="34"/>
  <c r="E23" i="34"/>
  <c r="E22" i="34"/>
  <c r="E34" i="34" s="1"/>
  <c r="E20" i="34"/>
  <c r="E18" i="34"/>
  <c r="E24" i="34"/>
  <c r="E26" i="34"/>
  <c r="E21" i="34"/>
  <c r="E19" i="34"/>
  <c r="AA26" i="34"/>
  <c r="AA24" i="34"/>
  <c r="AA36" i="34" s="1"/>
  <c r="AA27" i="34"/>
  <c r="AA25" i="34"/>
  <c r="AA23" i="34"/>
  <c r="AA21" i="34"/>
  <c r="AA22" i="34"/>
  <c r="AA20" i="34"/>
  <c r="AA18" i="34"/>
  <c r="AA19" i="34"/>
  <c r="AA31" i="34" s="1"/>
  <c r="BA27" i="34"/>
  <c r="BA25" i="34"/>
  <c r="BA23" i="34"/>
  <c r="BA26" i="34"/>
  <c r="BA22" i="34"/>
  <c r="BA20" i="34"/>
  <c r="BA18" i="34"/>
  <c r="BA24" i="34"/>
  <c r="BA36" i="34" s="1"/>
  <c r="BA21" i="34"/>
  <c r="BA19" i="34"/>
  <c r="D27" i="34"/>
  <c r="D25" i="34"/>
  <c r="D23" i="34"/>
  <c r="D22" i="34"/>
  <c r="D20" i="34"/>
  <c r="D18" i="34"/>
  <c r="D30" i="34" s="1"/>
  <c r="D24" i="34"/>
  <c r="D26" i="34"/>
  <c r="D21" i="34"/>
  <c r="D19" i="34"/>
  <c r="DS26" i="34"/>
  <c r="DS24" i="34"/>
  <c r="DS22" i="34"/>
  <c r="DS27" i="34"/>
  <c r="DS39" i="34" s="1"/>
  <c r="DS25" i="34"/>
  <c r="DS23" i="34"/>
  <c r="DS20" i="34"/>
  <c r="DS18" i="34"/>
  <c r="DS19" i="34"/>
  <c r="DS21" i="34"/>
  <c r="BO26" i="34"/>
  <c r="BO24" i="34"/>
  <c r="BO36" i="34" s="1"/>
  <c r="BO27" i="34"/>
  <c r="BO25" i="34"/>
  <c r="BO23" i="34"/>
  <c r="BO22" i="34"/>
  <c r="BO20" i="34"/>
  <c r="BO18" i="34"/>
  <c r="BO19" i="34"/>
  <c r="BO21" i="34"/>
  <c r="BO33" i="34" s="1"/>
  <c r="DR26" i="34"/>
  <c r="DR24" i="34"/>
  <c r="DR22" i="34"/>
  <c r="DR27" i="34"/>
  <c r="DR25" i="34"/>
  <c r="DR23" i="34"/>
  <c r="DR21" i="34"/>
  <c r="DR19" i="34"/>
  <c r="DR31" i="34" s="1"/>
  <c r="DR20" i="34"/>
  <c r="DR18" i="34"/>
  <c r="DT27" i="34"/>
  <c r="DT25" i="34"/>
  <c r="DT23" i="34"/>
  <c r="DT20" i="34"/>
  <c r="DT18" i="34"/>
  <c r="DT22" i="34"/>
  <c r="DT34" i="34" s="1"/>
  <c r="DT26" i="34"/>
  <c r="DT24" i="34"/>
  <c r="DT21" i="34"/>
  <c r="DT19" i="34"/>
  <c r="DL27" i="34"/>
  <c r="DL25" i="34"/>
  <c r="DL23" i="34"/>
  <c r="DL24" i="34"/>
  <c r="DL36" i="34" s="1"/>
  <c r="DL26" i="34"/>
  <c r="DL20" i="34"/>
  <c r="DL18" i="34"/>
  <c r="DL22" i="34"/>
  <c r="DL21" i="34"/>
  <c r="DL19" i="34"/>
  <c r="DD27" i="34"/>
  <c r="DD25" i="34"/>
  <c r="DD37" i="34" s="1"/>
  <c r="DD23" i="34"/>
  <c r="DD24" i="34"/>
  <c r="DD20" i="34"/>
  <c r="DD18" i="34"/>
  <c r="DD26" i="34"/>
  <c r="DD21" i="34"/>
  <c r="DD19" i="34"/>
  <c r="DD22" i="34"/>
  <c r="DD34" i="34" s="1"/>
  <c r="CV27" i="34"/>
  <c r="CV25" i="34"/>
  <c r="CV23" i="34"/>
  <c r="CV22" i="34"/>
  <c r="CV20" i="34"/>
  <c r="CV18" i="34"/>
  <c r="CV24" i="34"/>
  <c r="CV26" i="34"/>
  <c r="CV38" i="34" s="1"/>
  <c r="CV21" i="34"/>
  <c r="CV19" i="34"/>
  <c r="CN27" i="34"/>
  <c r="CN25" i="34"/>
  <c r="CN23" i="34"/>
  <c r="CN20" i="34"/>
  <c r="CN18" i="34"/>
  <c r="CN22" i="34"/>
  <c r="CN34" i="34" s="1"/>
  <c r="CN26" i="34"/>
  <c r="CN24" i="34"/>
  <c r="CN21" i="34"/>
  <c r="CN19" i="34"/>
  <c r="CF27" i="34"/>
  <c r="CF25" i="34"/>
  <c r="CF23" i="34"/>
  <c r="CF26" i="34"/>
  <c r="CF38" i="34" s="1"/>
  <c r="CF20" i="34"/>
  <c r="CF18" i="34"/>
  <c r="CF22" i="34"/>
  <c r="CF21" i="34"/>
  <c r="CF19" i="34"/>
  <c r="CF24" i="34"/>
  <c r="BX27" i="34"/>
  <c r="BX25" i="34"/>
  <c r="BX37" i="34" s="1"/>
  <c r="BX23" i="34"/>
  <c r="BX22" i="34"/>
  <c r="BX24" i="34"/>
  <c r="BX20" i="34"/>
  <c r="BX18" i="34"/>
  <c r="BX26" i="34"/>
  <c r="BX21" i="34"/>
  <c r="BX19" i="34"/>
  <c r="BX31" i="34" s="1"/>
  <c r="BP27" i="34"/>
  <c r="BP25" i="34"/>
  <c r="BP23" i="34"/>
  <c r="BP22" i="34"/>
  <c r="BP20" i="34"/>
  <c r="BP18" i="34"/>
  <c r="BP24" i="34"/>
  <c r="BP26" i="34"/>
  <c r="BP38" i="34" s="1"/>
  <c r="BP21" i="34"/>
  <c r="BP19" i="34"/>
  <c r="BC27" i="34"/>
  <c r="BC25" i="34"/>
  <c r="BC23" i="34"/>
  <c r="BC26" i="34"/>
  <c r="BC24" i="34"/>
  <c r="BC22" i="34"/>
  <c r="BC34" i="34" s="1"/>
  <c r="BC18" i="34"/>
  <c r="BC21" i="34"/>
  <c r="BC19" i="34"/>
  <c r="BC20" i="34"/>
  <c r="BG26" i="34"/>
  <c r="BG24" i="34"/>
  <c r="BG27" i="34"/>
  <c r="BG25" i="34"/>
  <c r="BG37" i="34" s="1"/>
  <c r="BG23" i="34"/>
  <c r="BG21" i="34"/>
  <c r="BG22" i="34"/>
  <c r="BG20" i="34"/>
  <c r="BG18" i="34"/>
  <c r="BG19" i="34"/>
  <c r="P26" i="34"/>
  <c r="P24" i="34"/>
  <c r="P36" i="34" s="1"/>
  <c r="P23" i="34"/>
  <c r="P25" i="34"/>
  <c r="P21" i="34"/>
  <c r="P19" i="34"/>
  <c r="P27" i="34"/>
  <c r="P22" i="34"/>
  <c r="P20" i="34"/>
  <c r="P18" i="34"/>
  <c r="P30" i="34" s="1"/>
  <c r="C25" i="34"/>
  <c r="C24" i="34"/>
  <c r="C26" i="34"/>
  <c r="C19" i="34"/>
  <c r="C27" i="34"/>
  <c r="C23" i="34"/>
  <c r="C20" i="34"/>
  <c r="C21" i="34"/>
  <c r="C33" i="34" s="1"/>
  <c r="C22" i="34"/>
  <c r="C18" i="34"/>
  <c r="AL27" i="34"/>
  <c r="AL25" i="34"/>
  <c r="AL23" i="34"/>
  <c r="AL26" i="34"/>
  <c r="AL24" i="34"/>
  <c r="AL18" i="34"/>
  <c r="AL30" i="34" s="1"/>
  <c r="AL21" i="34"/>
  <c r="AL19" i="34"/>
  <c r="AL22" i="34"/>
  <c r="AL20" i="34"/>
  <c r="Q26" i="34"/>
  <c r="Q24" i="34"/>
  <c r="Q25" i="34"/>
  <c r="Q21" i="34"/>
  <c r="Q33" i="34" s="1"/>
  <c r="Q19" i="34"/>
  <c r="Q27" i="34"/>
  <c r="Q22" i="34"/>
  <c r="Q20" i="34"/>
  <c r="Q18" i="34"/>
  <c r="Q23" i="34"/>
  <c r="E25" i="31"/>
  <c r="E6" i="31" s="1"/>
  <c r="DK38" i="34"/>
  <c r="DK36" i="34"/>
  <c r="DK34" i="34"/>
  <c r="DK39" i="34"/>
  <c r="DK37" i="34"/>
  <c r="DK35" i="34"/>
  <c r="DK33" i="34"/>
  <c r="DK31" i="34"/>
  <c r="DK32" i="34"/>
  <c r="DK30" i="34"/>
  <c r="AY38" i="34"/>
  <c r="AY36" i="34"/>
  <c r="AY39" i="34"/>
  <c r="AY37" i="34"/>
  <c r="AY35" i="34"/>
  <c r="AY33" i="34"/>
  <c r="AY31" i="34"/>
  <c r="AY32" i="34"/>
  <c r="AY30" i="34"/>
  <c r="DR38" i="34"/>
  <c r="DR36" i="34"/>
  <c r="DR34" i="34"/>
  <c r="DR39" i="34"/>
  <c r="DR37" i="34"/>
  <c r="DR35" i="34"/>
  <c r="DR33" i="34"/>
  <c r="DR32" i="34"/>
  <c r="DR30" i="34"/>
  <c r="DJ38" i="34"/>
  <c r="DJ36" i="34"/>
  <c r="DJ34" i="34"/>
  <c r="DJ37" i="34"/>
  <c r="DJ35" i="34"/>
  <c r="DJ33" i="34"/>
  <c r="DJ31" i="34"/>
  <c r="DJ32" i="34"/>
  <c r="DJ30" i="34"/>
  <c r="DB38" i="34"/>
  <c r="DB34" i="34"/>
  <c r="DB39" i="34"/>
  <c r="DB37" i="34"/>
  <c r="DB35" i="34"/>
  <c r="DB33" i="34"/>
  <c r="DB32" i="34"/>
  <c r="DB30" i="34"/>
  <c r="CT38" i="34"/>
  <c r="CT36" i="34"/>
  <c r="CT34" i="34"/>
  <c r="CT39" i="34"/>
  <c r="CT37" i="34"/>
  <c r="CT35" i="34"/>
  <c r="CT33" i="34"/>
  <c r="CT31" i="34"/>
  <c r="CT32" i="34"/>
  <c r="CT30" i="34"/>
  <c r="CL38" i="34"/>
  <c r="CL36" i="34"/>
  <c r="CL34" i="34"/>
  <c r="CL39" i="34"/>
  <c r="CL37" i="34"/>
  <c r="CL33" i="34"/>
  <c r="CL31" i="34"/>
  <c r="CL32" i="34"/>
  <c r="CL30" i="34"/>
  <c r="CD38" i="34"/>
  <c r="CD36" i="34"/>
  <c r="CD34" i="34"/>
  <c r="CD37" i="34"/>
  <c r="CD35" i="34"/>
  <c r="CD33" i="34"/>
  <c r="CD31" i="34"/>
  <c r="CD32" i="34"/>
  <c r="CD30" i="34"/>
  <c r="BV38" i="34"/>
  <c r="BV34" i="34"/>
  <c r="BV39" i="34"/>
  <c r="BV37" i="34"/>
  <c r="BV35" i="34"/>
  <c r="BV31" i="34"/>
  <c r="BV32" i="34"/>
  <c r="BV30" i="34"/>
  <c r="BN38" i="34"/>
  <c r="BN36" i="34"/>
  <c r="BN39" i="34"/>
  <c r="BN37" i="34"/>
  <c r="BN35" i="34"/>
  <c r="BN33" i="34"/>
  <c r="BN31" i="34"/>
  <c r="BN32" i="34"/>
  <c r="BN30" i="34"/>
  <c r="S38" i="34"/>
  <c r="S36" i="34"/>
  <c r="S39" i="34"/>
  <c r="S37" i="34"/>
  <c r="S35" i="34"/>
  <c r="S33" i="34"/>
  <c r="S34" i="34"/>
  <c r="S32" i="34"/>
  <c r="S30" i="34"/>
  <c r="AX38" i="34"/>
  <c r="AX36" i="34"/>
  <c r="AX39" i="34"/>
  <c r="AX35" i="34"/>
  <c r="AX33" i="34"/>
  <c r="AX31" i="34"/>
  <c r="AX34" i="34"/>
  <c r="AX32" i="34"/>
  <c r="AX30" i="34"/>
  <c r="Z38" i="34"/>
  <c r="Z39" i="34"/>
  <c r="Z37" i="34"/>
  <c r="Z35" i="34"/>
  <c r="Z33" i="34"/>
  <c r="Z31" i="34"/>
  <c r="Z34" i="34"/>
  <c r="Z32" i="34"/>
  <c r="L39" i="34"/>
  <c r="L37" i="34"/>
  <c r="L35" i="34"/>
  <c r="L33" i="34"/>
  <c r="L31" i="34"/>
  <c r="L36" i="34"/>
  <c r="L34" i="34"/>
  <c r="L32" i="34"/>
  <c r="L30" i="34"/>
  <c r="G39" i="34"/>
  <c r="G37" i="34"/>
  <c r="G35" i="34"/>
  <c r="G38" i="34"/>
  <c r="G36" i="34"/>
  <c r="G32" i="34"/>
  <c r="G30" i="34"/>
  <c r="G33" i="34"/>
  <c r="G31" i="34"/>
  <c r="Y38" i="34"/>
  <c r="Y36" i="34"/>
  <c r="Y39" i="34"/>
  <c r="Y37" i="34"/>
  <c r="Y35" i="34"/>
  <c r="Y34" i="34"/>
  <c r="Y30" i="34"/>
  <c r="Y31" i="34"/>
  <c r="Y32" i="34"/>
  <c r="DS38" i="34"/>
  <c r="DS36" i="34"/>
  <c r="DS34" i="34"/>
  <c r="DS37" i="34"/>
  <c r="DS35" i="34"/>
  <c r="DS33" i="34"/>
  <c r="DS31" i="34"/>
  <c r="DS32" i="34"/>
  <c r="DS30" i="34"/>
  <c r="BO38" i="34"/>
  <c r="BO39" i="34"/>
  <c r="BO37" i="34"/>
  <c r="BO35" i="34"/>
  <c r="BO31" i="34"/>
  <c r="BO34" i="34"/>
  <c r="BO32" i="34"/>
  <c r="BO30" i="34"/>
  <c r="DI38" i="34"/>
  <c r="DI36" i="34"/>
  <c r="DI34" i="34"/>
  <c r="DI39" i="34"/>
  <c r="DI37" i="34"/>
  <c r="DI35" i="34"/>
  <c r="DI30" i="34"/>
  <c r="DI33" i="34"/>
  <c r="DI31" i="34"/>
  <c r="DI32" i="34"/>
  <c r="DA38" i="34"/>
  <c r="DA34" i="34"/>
  <c r="DA39" i="34"/>
  <c r="DA37" i="34"/>
  <c r="DA35" i="34"/>
  <c r="DA32" i="34"/>
  <c r="DA33" i="34"/>
  <c r="DA31" i="34"/>
  <c r="CS38" i="34"/>
  <c r="CS36" i="34"/>
  <c r="CS34" i="34"/>
  <c r="CS39" i="34"/>
  <c r="CS37" i="34"/>
  <c r="CS35" i="34"/>
  <c r="CS33" i="34"/>
  <c r="CS31" i="34"/>
  <c r="CS30" i="34"/>
  <c r="CK38" i="34"/>
  <c r="CK36" i="34"/>
  <c r="CK34" i="34"/>
  <c r="CK39" i="34"/>
  <c r="CK37" i="34"/>
  <c r="CK35" i="34"/>
  <c r="CK33" i="34"/>
  <c r="CK32" i="34"/>
  <c r="CK30" i="34"/>
  <c r="CC38" i="34"/>
  <c r="CC36" i="34"/>
  <c r="CC34" i="34"/>
  <c r="CC39" i="34"/>
  <c r="CC37" i="34"/>
  <c r="CC35" i="34"/>
  <c r="CC33" i="34"/>
  <c r="CC31" i="34"/>
  <c r="CC32" i="34"/>
  <c r="CC30" i="34"/>
  <c r="BU38" i="34"/>
  <c r="BU34" i="34"/>
  <c r="BU39" i="34"/>
  <c r="BU37" i="34"/>
  <c r="BU35" i="34"/>
  <c r="BU33" i="34"/>
  <c r="BU31" i="34"/>
  <c r="BU32" i="34"/>
  <c r="BM38" i="34"/>
  <c r="BM36" i="34"/>
  <c r="BM39" i="34"/>
  <c r="BM37" i="34"/>
  <c r="BM35" i="34"/>
  <c r="BM30" i="34"/>
  <c r="BM33" i="34"/>
  <c r="BM31" i="34"/>
  <c r="BM34" i="34"/>
  <c r="AB39" i="34"/>
  <c r="AB37" i="34"/>
  <c r="AB35" i="34"/>
  <c r="AB33" i="34"/>
  <c r="AB31" i="34"/>
  <c r="AB36" i="34"/>
  <c r="AB38" i="34"/>
  <c r="AB34" i="34"/>
  <c r="AB32" i="34"/>
  <c r="T39" i="34"/>
  <c r="T37" i="34"/>
  <c r="T35" i="34"/>
  <c r="T33" i="34"/>
  <c r="T31" i="34"/>
  <c r="T38" i="34"/>
  <c r="T34" i="34"/>
  <c r="T32" i="34"/>
  <c r="T30" i="34"/>
  <c r="AW38" i="34"/>
  <c r="AW39" i="34"/>
  <c r="AW37" i="34"/>
  <c r="AW34" i="34"/>
  <c r="AW33" i="34"/>
  <c r="AW31" i="34"/>
  <c r="AW32" i="34"/>
  <c r="AW30" i="34"/>
  <c r="AU39" i="34"/>
  <c r="AU37" i="34"/>
  <c r="AU35" i="34"/>
  <c r="AU38" i="34"/>
  <c r="AU36" i="34"/>
  <c r="AU34" i="34"/>
  <c r="AU32" i="34"/>
  <c r="AU30" i="34"/>
  <c r="AU33" i="34"/>
  <c r="AJ39" i="34"/>
  <c r="AJ37" i="34"/>
  <c r="AJ35" i="34"/>
  <c r="AJ33" i="34"/>
  <c r="AJ31" i="34"/>
  <c r="AJ36" i="34"/>
  <c r="AJ38" i="34"/>
  <c r="AJ34" i="34"/>
  <c r="AJ32" i="34"/>
  <c r="AV38" i="34"/>
  <c r="AV36" i="34"/>
  <c r="AV37" i="34"/>
  <c r="AV34" i="34"/>
  <c r="AV32" i="34"/>
  <c r="AV30" i="34"/>
  <c r="AV39" i="34"/>
  <c r="AV31" i="34"/>
  <c r="AV35" i="34"/>
  <c r="CU38" i="34"/>
  <c r="CU34" i="34"/>
  <c r="CU39" i="34"/>
  <c r="CU37" i="34"/>
  <c r="CU35" i="34"/>
  <c r="CU31" i="34"/>
  <c r="CU32" i="34"/>
  <c r="CU30" i="34"/>
  <c r="X38" i="34"/>
  <c r="X36" i="34"/>
  <c r="X34" i="34"/>
  <c r="X32" i="34"/>
  <c r="X30" i="34"/>
  <c r="X35" i="34"/>
  <c r="X37" i="34"/>
  <c r="X39" i="34"/>
  <c r="X31" i="34"/>
  <c r="DP38" i="34"/>
  <c r="DP36" i="34"/>
  <c r="DP34" i="34"/>
  <c r="DP39" i="34"/>
  <c r="DP32" i="34"/>
  <c r="DP30" i="34"/>
  <c r="DP37" i="34"/>
  <c r="DP33" i="34"/>
  <c r="DP35" i="34"/>
  <c r="DH38" i="34"/>
  <c r="DH36" i="34"/>
  <c r="DH34" i="34"/>
  <c r="DH32" i="34"/>
  <c r="DH30" i="34"/>
  <c r="DH39" i="34"/>
  <c r="DH33" i="34"/>
  <c r="DH31" i="34"/>
  <c r="DH35" i="34"/>
  <c r="CZ38" i="34"/>
  <c r="CZ34" i="34"/>
  <c r="CZ35" i="34"/>
  <c r="CZ32" i="34"/>
  <c r="CZ37" i="34"/>
  <c r="CZ39" i="34"/>
  <c r="CZ33" i="34"/>
  <c r="CZ31" i="34"/>
  <c r="CR38" i="34"/>
  <c r="CR36" i="34"/>
  <c r="CR34" i="34"/>
  <c r="CR30" i="34"/>
  <c r="CR35" i="34"/>
  <c r="CR37" i="34"/>
  <c r="CR39" i="34"/>
  <c r="CR33" i="34"/>
  <c r="CR31" i="34"/>
  <c r="CJ38" i="34"/>
  <c r="CJ36" i="34"/>
  <c r="CJ34" i="34"/>
  <c r="CJ32" i="34"/>
  <c r="CJ30" i="34"/>
  <c r="CJ35" i="34"/>
  <c r="CJ37" i="34"/>
  <c r="CJ39" i="34"/>
  <c r="CJ31" i="34"/>
  <c r="CB38" i="34"/>
  <c r="CB36" i="34"/>
  <c r="CB34" i="34"/>
  <c r="CB32" i="34"/>
  <c r="CB30" i="34"/>
  <c r="CB35" i="34"/>
  <c r="CB33" i="34"/>
  <c r="CB31" i="34"/>
  <c r="CB39" i="34"/>
  <c r="BT38" i="34"/>
  <c r="BT34" i="34"/>
  <c r="BT32" i="34"/>
  <c r="BT35" i="34"/>
  <c r="BT33" i="34"/>
  <c r="BT31" i="34"/>
  <c r="BT37" i="34"/>
  <c r="BT39" i="34"/>
  <c r="BL38" i="34"/>
  <c r="BL36" i="34"/>
  <c r="BL32" i="34"/>
  <c r="BL30" i="34"/>
  <c r="BL33" i="34"/>
  <c r="BL31" i="34"/>
  <c r="BL35" i="34"/>
  <c r="BL37" i="34"/>
  <c r="BL39" i="34"/>
  <c r="I38" i="34"/>
  <c r="I36" i="34"/>
  <c r="I39" i="34"/>
  <c r="I35" i="34"/>
  <c r="I33" i="34"/>
  <c r="I31" i="34"/>
  <c r="I30" i="34"/>
  <c r="I34" i="34"/>
  <c r="I32" i="34"/>
  <c r="AP38" i="34"/>
  <c r="AP36" i="34"/>
  <c r="AP39" i="34"/>
  <c r="AP35" i="34"/>
  <c r="AP33" i="34"/>
  <c r="AP31" i="34"/>
  <c r="AP34" i="34"/>
  <c r="AP32" i="34"/>
  <c r="AP30" i="34"/>
  <c r="AM39" i="34"/>
  <c r="AM35" i="34"/>
  <c r="AM38" i="34"/>
  <c r="AM36" i="34"/>
  <c r="AM34" i="34"/>
  <c r="AM30" i="34"/>
  <c r="AM33" i="34"/>
  <c r="AM31" i="34"/>
  <c r="M39" i="34"/>
  <c r="M37" i="34"/>
  <c r="M35" i="34"/>
  <c r="M36" i="34"/>
  <c r="M34" i="34"/>
  <c r="M32" i="34"/>
  <c r="M30" i="34"/>
  <c r="M33" i="34"/>
  <c r="M31" i="34"/>
  <c r="AQ38" i="34"/>
  <c r="AQ36" i="34"/>
  <c r="AQ39" i="34"/>
  <c r="AQ37" i="34"/>
  <c r="AQ35" i="34"/>
  <c r="AQ33" i="34"/>
  <c r="AQ31" i="34"/>
  <c r="AQ32" i="34"/>
  <c r="AQ30" i="34"/>
  <c r="AS39" i="34"/>
  <c r="AS37" i="34"/>
  <c r="AS35" i="34"/>
  <c r="AS38" i="34"/>
  <c r="AS36" i="34"/>
  <c r="AS34" i="34"/>
  <c r="AS32" i="34"/>
  <c r="AS30" i="34"/>
  <c r="AS33" i="34"/>
  <c r="AS31" i="34"/>
  <c r="DC38" i="34"/>
  <c r="DC36" i="34"/>
  <c r="DC34" i="34"/>
  <c r="DC39" i="34"/>
  <c r="DC37" i="34"/>
  <c r="DC33" i="34"/>
  <c r="DC31" i="34"/>
  <c r="DC32" i="34"/>
  <c r="DC30" i="34"/>
  <c r="BB39" i="34"/>
  <c r="BB37" i="34"/>
  <c r="BB35" i="34"/>
  <c r="BB38" i="34"/>
  <c r="BB36" i="34"/>
  <c r="BB34" i="34"/>
  <c r="BB32" i="34"/>
  <c r="BB30" i="34"/>
  <c r="BB33" i="34"/>
  <c r="DQ38" i="34"/>
  <c r="DQ36" i="34"/>
  <c r="DQ34" i="34"/>
  <c r="DQ39" i="34"/>
  <c r="DQ37" i="34"/>
  <c r="DQ35" i="34"/>
  <c r="DQ33" i="34"/>
  <c r="DQ32" i="34"/>
  <c r="DQ30" i="34"/>
  <c r="DW39" i="34"/>
  <c r="DW37" i="34"/>
  <c r="DW35" i="34"/>
  <c r="DW38" i="34"/>
  <c r="DW36" i="34"/>
  <c r="DW32" i="34"/>
  <c r="DW30" i="34"/>
  <c r="DW33" i="34"/>
  <c r="DW31" i="34"/>
  <c r="DO39" i="34"/>
  <c r="DO37" i="34"/>
  <c r="DO35" i="34"/>
  <c r="DO36" i="34"/>
  <c r="DO34" i="34"/>
  <c r="DO32" i="34"/>
  <c r="DO30" i="34"/>
  <c r="DO33" i="34"/>
  <c r="DO31" i="34"/>
  <c r="DG39" i="34"/>
  <c r="DG35" i="34"/>
  <c r="DG38" i="34"/>
  <c r="DG36" i="34"/>
  <c r="DG34" i="34"/>
  <c r="DG30" i="34"/>
  <c r="DG33" i="34"/>
  <c r="DG31" i="34"/>
  <c r="CY39" i="34"/>
  <c r="CY37" i="34"/>
  <c r="CY35" i="34"/>
  <c r="CY38" i="34"/>
  <c r="CY36" i="34"/>
  <c r="CY34" i="34"/>
  <c r="CY32" i="34"/>
  <c r="CY30" i="34"/>
  <c r="CY33" i="34"/>
  <c r="CQ39" i="34"/>
  <c r="CQ37" i="34"/>
  <c r="CQ35" i="34"/>
  <c r="CQ38" i="34"/>
  <c r="CQ36" i="34"/>
  <c r="CQ32" i="34"/>
  <c r="CQ30" i="34"/>
  <c r="CQ33" i="34"/>
  <c r="CQ31" i="34"/>
  <c r="CI39" i="34"/>
  <c r="CI37" i="34"/>
  <c r="CI35" i="34"/>
  <c r="CI36" i="34"/>
  <c r="CI34" i="34"/>
  <c r="CI32" i="34"/>
  <c r="CI30" i="34"/>
  <c r="CI33" i="34"/>
  <c r="CI31" i="34"/>
  <c r="CA39" i="34"/>
  <c r="CA35" i="34"/>
  <c r="CA38" i="34"/>
  <c r="CA36" i="34"/>
  <c r="CA34" i="34"/>
  <c r="CA32" i="34"/>
  <c r="CA30" i="34"/>
  <c r="CA33" i="34"/>
  <c r="BS39" i="34"/>
  <c r="BS37" i="34"/>
  <c r="BS35" i="34"/>
  <c r="BS38" i="34"/>
  <c r="BS36" i="34"/>
  <c r="BS34" i="34"/>
  <c r="BS32" i="34"/>
  <c r="BS30" i="34"/>
  <c r="BS33" i="34"/>
  <c r="BK39" i="34"/>
  <c r="BK37" i="34"/>
  <c r="BK35" i="34"/>
  <c r="BK38" i="34"/>
  <c r="BK36" i="34"/>
  <c r="BK34" i="34"/>
  <c r="BK30" i="34"/>
  <c r="BK33" i="34"/>
  <c r="BK31" i="34"/>
  <c r="AF38" i="34"/>
  <c r="AF36" i="34"/>
  <c r="AF34" i="34"/>
  <c r="AF32" i="34"/>
  <c r="AF30" i="34"/>
  <c r="AF35" i="34"/>
  <c r="AF37" i="34"/>
  <c r="AF39" i="34"/>
  <c r="AF31" i="34"/>
  <c r="AD39" i="34"/>
  <c r="AD35" i="34"/>
  <c r="AD38" i="34"/>
  <c r="AD36" i="34"/>
  <c r="AD34" i="34"/>
  <c r="AD32" i="34"/>
  <c r="AD33" i="34"/>
  <c r="AD31" i="34"/>
  <c r="AI38" i="34"/>
  <c r="AI36" i="34"/>
  <c r="AI39" i="34"/>
  <c r="AI37" i="34"/>
  <c r="AI35" i="34"/>
  <c r="AI33" i="34"/>
  <c r="AI31" i="34"/>
  <c r="AI34" i="34"/>
  <c r="AI30" i="34"/>
  <c r="AO38" i="34"/>
  <c r="AO36" i="34"/>
  <c r="AO39" i="34"/>
  <c r="AO35" i="34"/>
  <c r="AO32" i="34"/>
  <c r="AO33" i="34"/>
  <c r="AO31" i="34"/>
  <c r="AO34" i="34"/>
  <c r="AO30" i="34"/>
  <c r="BD38" i="34"/>
  <c r="BD36" i="34"/>
  <c r="BD39" i="34"/>
  <c r="BD34" i="34"/>
  <c r="BD32" i="34"/>
  <c r="BD30" i="34"/>
  <c r="BD37" i="34"/>
  <c r="BD31" i="34"/>
  <c r="BD35" i="34"/>
  <c r="O39" i="34"/>
  <c r="O35" i="34"/>
  <c r="O38" i="34"/>
  <c r="O36" i="34"/>
  <c r="O34" i="34"/>
  <c r="O32" i="34"/>
  <c r="O33" i="34"/>
  <c r="O31" i="34"/>
  <c r="BW38" i="34"/>
  <c r="BW34" i="34"/>
  <c r="BW39" i="34"/>
  <c r="BW37" i="34"/>
  <c r="BW35" i="34"/>
  <c r="BW33" i="34"/>
  <c r="BW31" i="34"/>
  <c r="BW32" i="34"/>
  <c r="BE38" i="34"/>
  <c r="BE36" i="34"/>
  <c r="BE39" i="34"/>
  <c r="BE37" i="34"/>
  <c r="BE35" i="34"/>
  <c r="BE33" i="34"/>
  <c r="BE31" i="34"/>
  <c r="BE30" i="34"/>
  <c r="BE32" i="34"/>
  <c r="DV39" i="34"/>
  <c r="DV37" i="34"/>
  <c r="DV35" i="34"/>
  <c r="DV36" i="34"/>
  <c r="DV34" i="34"/>
  <c r="DV32" i="34"/>
  <c r="DV30" i="34"/>
  <c r="DV33" i="34"/>
  <c r="DV31" i="34"/>
  <c r="DN39" i="34"/>
  <c r="DN35" i="34"/>
  <c r="DN38" i="34"/>
  <c r="DN36" i="34"/>
  <c r="DN34" i="34"/>
  <c r="DN30" i="34"/>
  <c r="DN33" i="34"/>
  <c r="DN31" i="34"/>
  <c r="DF39" i="34"/>
  <c r="DF37" i="34"/>
  <c r="DF35" i="34"/>
  <c r="DF38" i="34"/>
  <c r="DF36" i="34"/>
  <c r="DF34" i="34"/>
  <c r="DF32" i="34"/>
  <c r="DF30" i="34"/>
  <c r="DF31" i="34"/>
  <c r="CX39" i="34"/>
  <c r="CX37" i="34"/>
  <c r="CX35" i="34"/>
  <c r="CX38" i="34"/>
  <c r="CX36" i="34"/>
  <c r="CX32" i="34"/>
  <c r="CX30" i="34"/>
  <c r="CX33" i="34"/>
  <c r="CX31" i="34"/>
  <c r="CP39" i="34"/>
  <c r="CP37" i="34"/>
  <c r="CP35" i="34"/>
  <c r="CP36" i="34"/>
  <c r="CP34" i="34"/>
  <c r="CP32" i="34"/>
  <c r="CP30" i="34"/>
  <c r="CP33" i="34"/>
  <c r="CP31" i="34"/>
  <c r="CH39" i="34"/>
  <c r="CH35" i="34"/>
  <c r="CH38" i="34"/>
  <c r="CH36" i="34"/>
  <c r="CH34" i="34"/>
  <c r="CH30" i="34"/>
  <c r="CH33" i="34"/>
  <c r="CH31" i="34"/>
  <c r="BZ39" i="34"/>
  <c r="BZ37" i="34"/>
  <c r="BZ35" i="34"/>
  <c r="BZ38" i="34"/>
  <c r="BZ36" i="34"/>
  <c r="BZ34" i="34"/>
  <c r="BZ32" i="34"/>
  <c r="BZ30" i="34"/>
  <c r="BZ33" i="34"/>
  <c r="BR39" i="34"/>
  <c r="BR37" i="34"/>
  <c r="BR35" i="34"/>
  <c r="BR38" i="34"/>
  <c r="BR36" i="34"/>
  <c r="BR32" i="34"/>
  <c r="BR30" i="34"/>
  <c r="BR33" i="34"/>
  <c r="BR31" i="34"/>
  <c r="BJ39" i="34"/>
  <c r="BJ37" i="34"/>
  <c r="BJ35" i="34"/>
  <c r="BJ36" i="34"/>
  <c r="BJ34" i="34"/>
  <c r="BJ32" i="34"/>
  <c r="BJ30" i="34"/>
  <c r="BJ33" i="34"/>
  <c r="BJ31" i="34"/>
  <c r="AC39" i="34"/>
  <c r="AC35" i="34"/>
  <c r="AC38" i="34"/>
  <c r="AC36" i="34"/>
  <c r="AC33" i="34"/>
  <c r="AC34" i="34"/>
  <c r="AC32" i="34"/>
  <c r="AC30" i="34"/>
  <c r="J38" i="34"/>
  <c r="J36" i="34"/>
  <c r="J39" i="34"/>
  <c r="J37" i="34"/>
  <c r="J35" i="34"/>
  <c r="J33" i="34"/>
  <c r="J31" i="34"/>
  <c r="J34" i="34"/>
  <c r="J32" i="34"/>
  <c r="F39" i="34"/>
  <c r="F37" i="34"/>
  <c r="F35" i="34"/>
  <c r="F38" i="34"/>
  <c r="F36" i="34"/>
  <c r="F34" i="34"/>
  <c r="F32" i="34"/>
  <c r="F33" i="34"/>
  <c r="F31" i="34"/>
  <c r="AE39" i="34"/>
  <c r="AE37" i="34"/>
  <c r="AE35" i="34"/>
  <c r="AE36" i="34"/>
  <c r="AE34" i="34"/>
  <c r="AE32" i="34"/>
  <c r="AE30" i="34"/>
  <c r="AE33" i="34"/>
  <c r="AE31" i="34"/>
  <c r="W39" i="34"/>
  <c r="W35" i="34"/>
  <c r="W38" i="34"/>
  <c r="W36" i="34"/>
  <c r="W34" i="34"/>
  <c r="W32" i="34"/>
  <c r="W33" i="34"/>
  <c r="W31" i="34"/>
  <c r="N39" i="34"/>
  <c r="N37" i="34"/>
  <c r="N35" i="34"/>
  <c r="N38" i="34"/>
  <c r="N36" i="34"/>
  <c r="N34" i="34"/>
  <c r="N32" i="34"/>
  <c r="N30" i="34"/>
  <c r="N31" i="34"/>
  <c r="CM38" i="34"/>
  <c r="CM34" i="34"/>
  <c r="CM39" i="34"/>
  <c r="CM37" i="34"/>
  <c r="CM35" i="34"/>
  <c r="CM33" i="34"/>
  <c r="CM32" i="34"/>
  <c r="CM30" i="34"/>
  <c r="BF38" i="34"/>
  <c r="BF36" i="34"/>
  <c r="BF39" i="34"/>
  <c r="BF37" i="34"/>
  <c r="BF35" i="34"/>
  <c r="BF31" i="34"/>
  <c r="BF34" i="34"/>
  <c r="BF32" i="34"/>
  <c r="BF30" i="34"/>
  <c r="DU39" i="34"/>
  <c r="DU35" i="34"/>
  <c r="DU38" i="34"/>
  <c r="DU36" i="34"/>
  <c r="DU34" i="34"/>
  <c r="DU32" i="34"/>
  <c r="DU30" i="34"/>
  <c r="DU33" i="34"/>
  <c r="DM39" i="34"/>
  <c r="DM37" i="34"/>
  <c r="DM35" i="34"/>
  <c r="DM38" i="34"/>
  <c r="DM36" i="34"/>
  <c r="DM33" i="34"/>
  <c r="DM31" i="34"/>
  <c r="DM32" i="34"/>
  <c r="DM30" i="34"/>
  <c r="DE39" i="34"/>
  <c r="DE37" i="34"/>
  <c r="DE35" i="34"/>
  <c r="DE38" i="34"/>
  <c r="DE36" i="34"/>
  <c r="DE34" i="34"/>
  <c r="DE32" i="34"/>
  <c r="DE33" i="34"/>
  <c r="DE31" i="34"/>
  <c r="CW39" i="34"/>
  <c r="CW37" i="34"/>
  <c r="CW35" i="34"/>
  <c r="CW38" i="34"/>
  <c r="CW36" i="34"/>
  <c r="CW31" i="34"/>
  <c r="CW32" i="34"/>
  <c r="CW30" i="34"/>
  <c r="CW33" i="34"/>
  <c r="CO39" i="34"/>
  <c r="CO35" i="34"/>
  <c r="CO38" i="34"/>
  <c r="CO36" i="34"/>
  <c r="CO34" i="34"/>
  <c r="CO33" i="34"/>
  <c r="CO32" i="34"/>
  <c r="CO30" i="34"/>
  <c r="CG39" i="34"/>
  <c r="CG37" i="34"/>
  <c r="CG35" i="34"/>
  <c r="CG38" i="34"/>
  <c r="CG36" i="34"/>
  <c r="CG32" i="34"/>
  <c r="CG30" i="34"/>
  <c r="CG31" i="34"/>
  <c r="CG33" i="34"/>
  <c r="BY39" i="34"/>
  <c r="BY37" i="34"/>
  <c r="BY35" i="34"/>
  <c r="BY38" i="34"/>
  <c r="BY36" i="34"/>
  <c r="BY34" i="34"/>
  <c r="BY33" i="34"/>
  <c r="BY32" i="34"/>
  <c r="BY31" i="34"/>
  <c r="BQ39" i="34"/>
  <c r="BQ37" i="34"/>
  <c r="BQ35" i="34"/>
  <c r="BQ38" i="34"/>
  <c r="BQ36" i="34"/>
  <c r="BQ31" i="34"/>
  <c r="BQ32" i="34"/>
  <c r="BQ30" i="34"/>
  <c r="BQ33" i="34"/>
  <c r="BI39" i="34"/>
  <c r="BI35" i="34"/>
  <c r="BI38" i="34"/>
  <c r="BI36" i="34"/>
  <c r="BI34" i="34"/>
  <c r="BI32" i="34"/>
  <c r="BI30" i="34"/>
  <c r="BI33" i="34"/>
  <c r="AR39" i="34"/>
  <c r="AR37" i="34"/>
  <c r="AR35" i="34"/>
  <c r="AR36" i="34"/>
  <c r="AR33" i="34"/>
  <c r="AR31" i="34"/>
  <c r="AR34" i="34"/>
  <c r="AR32" i="34"/>
  <c r="AR30" i="34"/>
  <c r="V39" i="34"/>
  <c r="V37" i="34"/>
  <c r="V35" i="34"/>
  <c r="V38" i="34"/>
  <c r="V36" i="34"/>
  <c r="V34" i="34"/>
  <c r="V32" i="34"/>
  <c r="V30" i="34"/>
  <c r="V31" i="34"/>
  <c r="E39" i="34"/>
  <c r="E37" i="34"/>
  <c r="E35" i="34"/>
  <c r="E38" i="34"/>
  <c r="E36" i="34"/>
  <c r="E31" i="34"/>
  <c r="E32" i="34"/>
  <c r="E30" i="34"/>
  <c r="E33" i="34"/>
  <c r="AA38" i="34"/>
  <c r="AA39" i="34"/>
  <c r="AA37" i="34"/>
  <c r="AA35" i="34"/>
  <c r="AA33" i="34"/>
  <c r="AA34" i="34"/>
  <c r="AA32" i="34"/>
  <c r="AA30" i="34"/>
  <c r="BA39" i="34"/>
  <c r="BA37" i="34"/>
  <c r="BA35" i="34"/>
  <c r="BA38" i="34"/>
  <c r="BA34" i="34"/>
  <c r="BA32" i="34"/>
  <c r="BA30" i="34"/>
  <c r="BA31" i="34"/>
  <c r="BA33" i="34"/>
  <c r="D39" i="34"/>
  <c r="D37" i="34"/>
  <c r="D35" i="34"/>
  <c r="D33" i="34"/>
  <c r="D31" i="34"/>
  <c r="D34" i="34"/>
  <c r="D32" i="34"/>
  <c r="D36" i="34"/>
  <c r="D38" i="34"/>
  <c r="CE38" i="34"/>
  <c r="CE36" i="34"/>
  <c r="CE34" i="34"/>
  <c r="CE39" i="34"/>
  <c r="CE37" i="34"/>
  <c r="CE35" i="34"/>
  <c r="CE33" i="34"/>
  <c r="CE31" i="34"/>
  <c r="CE30" i="34"/>
  <c r="U39" i="34"/>
  <c r="U37" i="34"/>
  <c r="U35" i="34"/>
  <c r="U38" i="34"/>
  <c r="U33" i="34"/>
  <c r="U31" i="34"/>
  <c r="U34" i="34"/>
  <c r="U32" i="34"/>
  <c r="U30" i="34"/>
  <c r="DT39" i="34"/>
  <c r="DT37" i="34"/>
  <c r="DT35" i="34"/>
  <c r="DT33" i="34"/>
  <c r="DT31" i="34"/>
  <c r="DT32" i="34"/>
  <c r="DT30" i="34"/>
  <c r="DT38" i="34"/>
  <c r="DT36" i="34"/>
  <c r="DL39" i="34"/>
  <c r="DL37" i="34"/>
  <c r="DL35" i="34"/>
  <c r="DL38" i="34"/>
  <c r="DL33" i="34"/>
  <c r="DL31" i="34"/>
  <c r="DL32" i="34"/>
  <c r="DL30" i="34"/>
  <c r="DL34" i="34"/>
  <c r="DD39" i="34"/>
  <c r="DD35" i="34"/>
  <c r="DD36" i="34"/>
  <c r="DD33" i="34"/>
  <c r="DD31" i="34"/>
  <c r="DD38" i="34"/>
  <c r="DD32" i="34"/>
  <c r="DD30" i="34"/>
  <c r="CV39" i="34"/>
  <c r="CV37" i="34"/>
  <c r="CV35" i="34"/>
  <c r="CV34" i="34"/>
  <c r="CV33" i="34"/>
  <c r="CV31" i="34"/>
  <c r="CV36" i="34"/>
  <c r="CV32" i="34"/>
  <c r="CV30" i="34"/>
  <c r="CN39" i="34"/>
  <c r="CN37" i="34"/>
  <c r="CN35" i="34"/>
  <c r="CN33" i="34"/>
  <c r="CN31" i="34"/>
  <c r="CN36" i="34"/>
  <c r="CN38" i="34"/>
  <c r="CN32" i="34"/>
  <c r="CN30" i="34"/>
  <c r="CF39" i="34"/>
  <c r="CF37" i="34"/>
  <c r="CF35" i="34"/>
  <c r="CF33" i="34"/>
  <c r="CF31" i="34"/>
  <c r="CF34" i="34"/>
  <c r="CF36" i="34"/>
  <c r="CF32" i="34"/>
  <c r="CF30" i="34"/>
  <c r="BX39" i="34"/>
  <c r="BX35" i="34"/>
  <c r="BX33" i="34"/>
  <c r="BX34" i="34"/>
  <c r="BX36" i="34"/>
  <c r="BX32" i="34"/>
  <c r="BX30" i="34"/>
  <c r="BX38" i="34"/>
  <c r="BP39" i="34"/>
  <c r="BP37" i="34"/>
  <c r="BP35" i="34"/>
  <c r="BP33" i="34"/>
  <c r="BP31" i="34"/>
  <c r="BP34" i="34"/>
  <c r="BP32" i="34"/>
  <c r="BP30" i="34"/>
  <c r="BP36" i="34"/>
  <c r="BC39" i="34"/>
  <c r="BC37" i="34"/>
  <c r="BC35" i="34"/>
  <c r="BC38" i="34"/>
  <c r="BC36" i="34"/>
  <c r="BC32" i="34"/>
  <c r="BC30" i="34"/>
  <c r="BC33" i="34"/>
  <c r="BC31" i="34"/>
  <c r="BG38" i="34"/>
  <c r="BG36" i="34"/>
  <c r="BG39" i="34"/>
  <c r="BG35" i="34"/>
  <c r="BG33" i="34"/>
  <c r="BG31" i="34"/>
  <c r="BG34" i="34"/>
  <c r="BG32" i="34"/>
  <c r="BG30" i="34"/>
  <c r="P38" i="34"/>
  <c r="P34" i="34"/>
  <c r="P32" i="34"/>
  <c r="P35" i="34"/>
  <c r="P37" i="34"/>
  <c r="P33" i="34"/>
  <c r="P31" i="34"/>
  <c r="P39" i="34"/>
  <c r="C34" i="34"/>
  <c r="C35" i="34"/>
  <c r="C36" i="34"/>
  <c r="C37" i="34"/>
  <c r="C38" i="34"/>
  <c r="C31" i="34"/>
  <c r="C39" i="34"/>
  <c r="C32" i="34"/>
  <c r="C30" i="34"/>
  <c r="AL39" i="34"/>
  <c r="AL37" i="34"/>
  <c r="AL35" i="34"/>
  <c r="AL38" i="34"/>
  <c r="AL36" i="34"/>
  <c r="AL34" i="34"/>
  <c r="AL32" i="34"/>
  <c r="AL33" i="34"/>
  <c r="AL31" i="34"/>
  <c r="Q38" i="34"/>
  <c r="Q36" i="34"/>
  <c r="Q39" i="34"/>
  <c r="Q37" i="34"/>
  <c r="Q35" i="34"/>
  <c r="Q30" i="34"/>
  <c r="Q32" i="34"/>
  <c r="Q31" i="34"/>
  <c r="Q34" i="34"/>
  <c r="AH17" i="34"/>
  <c r="BH17" i="34"/>
  <c r="K17" i="34"/>
  <c r="R17" i="34"/>
  <c r="AG17" i="34"/>
  <c r="H17" i="34"/>
  <c r="AN17" i="34"/>
  <c r="AK17" i="34"/>
  <c r="AZ17" i="34"/>
  <c r="AT17" i="34"/>
  <c r="D5" i="31"/>
  <c r="D12" i="31" s="1"/>
  <c r="D13" i="31" s="1"/>
  <c r="D14" i="31" s="1"/>
  <c r="E10" i="32"/>
  <c r="D11" i="32"/>
  <c r="I11" i="32"/>
  <c r="K11" i="32"/>
  <c r="F11" i="32"/>
  <c r="L10" i="32"/>
  <c r="AE10" i="32"/>
  <c r="AC10" i="32"/>
  <c r="M11" i="32"/>
  <c r="AB11" i="32"/>
  <c r="S11" i="32"/>
  <c r="J11" i="32"/>
  <c r="K10" i="32"/>
  <c r="Q11" i="32"/>
  <c r="AD11" i="32"/>
  <c r="Q10" i="32"/>
  <c r="Q12" i="32" s="1"/>
  <c r="Q16" i="32" s="1"/>
  <c r="L11" i="32"/>
  <c r="N10" i="32"/>
  <c r="J10" i="32"/>
  <c r="P11" i="32"/>
  <c r="E11" i="32"/>
  <c r="E13" i="32" s="1"/>
  <c r="E17" i="32" s="1"/>
  <c r="AE11" i="32"/>
  <c r="I10" i="32"/>
  <c r="W10" i="32"/>
  <c r="F10" i="32"/>
  <c r="Y11" i="32"/>
  <c r="D10" i="32"/>
  <c r="X10" i="32"/>
  <c r="W11" i="32"/>
  <c r="R10" i="32"/>
  <c r="R13" i="32" s="1"/>
  <c r="R17" i="32" s="1"/>
  <c r="U10" i="32"/>
  <c r="P10" i="32"/>
  <c r="G10" i="32"/>
  <c r="O11" i="32"/>
  <c r="X11" i="32"/>
  <c r="N11" i="32"/>
  <c r="T11" i="32"/>
  <c r="O10" i="32"/>
  <c r="AC11" i="32"/>
  <c r="M10" i="32"/>
  <c r="H10" i="32"/>
  <c r="Z11" i="32"/>
  <c r="G11" i="32"/>
  <c r="V11" i="32"/>
  <c r="H11" i="32"/>
  <c r="Y10" i="32"/>
  <c r="V10" i="32"/>
  <c r="V13" i="32" s="1"/>
  <c r="V17" i="32" s="1"/>
  <c r="Z10" i="32"/>
  <c r="U11" i="32"/>
  <c r="AA11" i="32"/>
  <c r="R11" i="32"/>
  <c r="S10" i="32"/>
  <c r="T10" i="32"/>
  <c r="AA10" i="32"/>
  <c r="AB10" i="32"/>
  <c r="AD10" i="32"/>
  <c r="J12" i="32"/>
  <c r="J16" i="32" s="1"/>
  <c r="C13" i="32"/>
  <c r="C17" i="32" s="1"/>
  <c r="C12" i="32"/>
  <c r="C16" i="32" s="1"/>
  <c r="AG20" i="32"/>
  <c r="AF11" i="32"/>
  <c r="AF10" i="32"/>
  <c r="C12" i="31"/>
  <c r="C13" i="31" s="1"/>
  <c r="C14" i="31" s="1"/>
  <c r="F25" i="31"/>
  <c r="E9" i="31"/>
  <c r="E5" i="31"/>
  <c r="F32" i="27"/>
  <c r="E32" i="27"/>
  <c r="D32" i="27"/>
  <c r="C32" i="27"/>
  <c r="F25" i="27"/>
  <c r="E25" i="27"/>
  <c r="D25" i="27"/>
  <c r="C25" i="27"/>
  <c r="F19" i="27"/>
  <c r="E19" i="27"/>
  <c r="D19" i="27"/>
  <c r="C19" i="27"/>
  <c r="F13" i="27"/>
  <c r="E13" i="27"/>
  <c r="D13" i="27"/>
  <c r="C13" i="27"/>
  <c r="C4" i="27"/>
  <c r="H5" i="26"/>
  <c r="G5" i="26"/>
  <c r="F5" i="26"/>
  <c r="E5" i="26"/>
  <c r="D5" i="26"/>
  <c r="C5" i="26"/>
  <c r="C41" i="27" l="1"/>
  <c r="D41" i="27"/>
  <c r="D5" i="27" s="1"/>
  <c r="E41" i="27"/>
  <c r="E5" i="27" s="1"/>
  <c r="F41" i="27"/>
  <c r="F5" i="27" s="1"/>
  <c r="C5" i="27"/>
  <c r="D4" i="27"/>
  <c r="E4" i="27" s="1"/>
  <c r="F4" i="27" s="1"/>
  <c r="G4" i="27" s="1"/>
  <c r="I25" i="27"/>
  <c r="I32" i="27"/>
  <c r="CM11" i="36"/>
  <c r="R11" i="36"/>
  <c r="AB11" i="36"/>
  <c r="BH11" i="36"/>
  <c r="CN11" i="36"/>
  <c r="DT11" i="36"/>
  <c r="U12" i="32"/>
  <c r="U16" i="32" s="1"/>
  <c r="BW11" i="36"/>
  <c r="AA11" i="36"/>
  <c r="G11" i="36"/>
  <c r="T11" i="36"/>
  <c r="AZ11" i="36"/>
  <c r="CF11" i="36"/>
  <c r="DL11" i="36"/>
  <c r="AI11" i="36"/>
  <c r="AQ11" i="36"/>
  <c r="O11" i="36"/>
  <c r="S11" i="36"/>
  <c r="AJ11" i="36"/>
  <c r="BP11" i="36"/>
  <c r="CV11" i="36"/>
  <c r="M11" i="36"/>
  <c r="DH23" i="37"/>
  <c r="DH26" i="37" s="1"/>
  <c r="DH22" i="37"/>
  <c r="AC23" i="37"/>
  <c r="AC26" i="37" s="1"/>
  <c r="AC22" i="37"/>
  <c r="BJ7" i="36"/>
  <c r="BJ6" i="36"/>
  <c r="DV7" i="36"/>
  <c r="DV6" i="36"/>
  <c r="DK11" i="36"/>
  <c r="BC23" i="37"/>
  <c r="BC26" i="37" s="1"/>
  <c r="BC22" i="37"/>
  <c r="Y22" i="37"/>
  <c r="Y23" i="37"/>
  <c r="Y26" i="37" s="1"/>
  <c r="AM7" i="36"/>
  <c r="AM6" i="36"/>
  <c r="CY7" i="36"/>
  <c r="CY6" i="36"/>
  <c r="DS11" i="36"/>
  <c r="DS22" i="37"/>
  <c r="DS23" i="37"/>
  <c r="DS26" i="37" s="1"/>
  <c r="S22" i="37"/>
  <c r="S23" i="37"/>
  <c r="S26" i="37" s="1"/>
  <c r="CB7" i="36"/>
  <c r="CB6" i="36"/>
  <c r="BG11" i="36"/>
  <c r="AW22" i="37"/>
  <c r="AW23" i="37"/>
  <c r="AW26" i="37" s="1"/>
  <c r="BJ23" i="37"/>
  <c r="BJ26" i="37" s="1"/>
  <c r="BJ22" i="37"/>
  <c r="Q11" i="36"/>
  <c r="BU7" i="36"/>
  <c r="BU6" i="36"/>
  <c r="AL22" i="37"/>
  <c r="AL23" i="37"/>
  <c r="AL26" i="37" s="1"/>
  <c r="DF22" i="37"/>
  <c r="DF23" i="37"/>
  <c r="DF26" i="37" s="1"/>
  <c r="CD7" i="36"/>
  <c r="CD6" i="36"/>
  <c r="AR23" i="37"/>
  <c r="AR26" i="37" s="1"/>
  <c r="AR22" i="37"/>
  <c r="DR22" i="37"/>
  <c r="DR23" i="37"/>
  <c r="DR26" i="37" s="1"/>
  <c r="BU22" i="37"/>
  <c r="BU23" i="37"/>
  <c r="BU26" i="37" s="1"/>
  <c r="AE22" i="37"/>
  <c r="AE23" i="37"/>
  <c r="AE26" i="37" s="1"/>
  <c r="AC7" i="36"/>
  <c r="AC6" i="36"/>
  <c r="CO7" i="36"/>
  <c r="CO6" i="36"/>
  <c r="BD23" i="37"/>
  <c r="BD26" i="37" s="1"/>
  <c r="BD22" i="37"/>
  <c r="CD23" i="37"/>
  <c r="CD26" i="37" s="1"/>
  <c r="CD22" i="37"/>
  <c r="N11" i="36"/>
  <c r="BR7" i="36"/>
  <c r="BR6" i="36"/>
  <c r="BO23" i="37"/>
  <c r="BO26" i="37" s="1"/>
  <c r="BO22" i="37"/>
  <c r="AG23" i="37"/>
  <c r="AG26" i="37" s="1"/>
  <c r="AG22" i="37"/>
  <c r="AU7" i="36"/>
  <c r="AU6" i="36"/>
  <c r="DG7" i="36"/>
  <c r="DG6" i="36"/>
  <c r="DV22" i="37"/>
  <c r="DV23" i="37"/>
  <c r="DV26" i="37" s="1"/>
  <c r="X7" i="36"/>
  <c r="X6" i="36"/>
  <c r="CJ7" i="36"/>
  <c r="CJ6" i="36"/>
  <c r="CE22" i="37"/>
  <c r="CE23" i="37"/>
  <c r="CE26" i="37" s="1"/>
  <c r="CC7" i="36"/>
  <c r="CC6" i="36"/>
  <c r="DQ22" i="37"/>
  <c r="DQ23" i="37"/>
  <c r="DQ26" i="37" s="1"/>
  <c r="CM23" i="37"/>
  <c r="CM26" i="37" s="1"/>
  <c r="CM22" i="37"/>
  <c r="Z7" i="36"/>
  <c r="Z6" i="36"/>
  <c r="CL7" i="36"/>
  <c r="CL6" i="36"/>
  <c r="DG23" i="37"/>
  <c r="DG26" i="37" s="1"/>
  <c r="DG22" i="37"/>
  <c r="DD23" i="37"/>
  <c r="DD26" i="37" s="1"/>
  <c r="DD22" i="37"/>
  <c r="CB22" i="37"/>
  <c r="CB23" i="37"/>
  <c r="CB26" i="37" s="1"/>
  <c r="BP23" i="37"/>
  <c r="BP26" i="37" s="1"/>
  <c r="BP22" i="37"/>
  <c r="AK7" i="36"/>
  <c r="AK6" i="36"/>
  <c r="CW7" i="36"/>
  <c r="CW6" i="36"/>
  <c r="BV23" i="37"/>
  <c r="BV26" i="37" s="1"/>
  <c r="BV22" i="37"/>
  <c r="BZ7" i="36"/>
  <c r="BZ6" i="36"/>
  <c r="BA23" i="37"/>
  <c r="BA26" i="37" s="1"/>
  <c r="BA22" i="37"/>
  <c r="BR23" i="37"/>
  <c r="BR26" i="37" s="1"/>
  <c r="BR22" i="37"/>
  <c r="I11" i="36"/>
  <c r="BC7" i="36"/>
  <c r="BC6" i="36"/>
  <c r="DO7" i="36"/>
  <c r="DO6" i="36"/>
  <c r="DM23" i="37"/>
  <c r="DM26" i="37" s="1"/>
  <c r="DM22" i="37"/>
  <c r="CX23" i="37"/>
  <c r="CX26" i="37" s="1"/>
  <c r="CX22" i="37"/>
  <c r="AF7" i="36"/>
  <c r="AF6" i="36"/>
  <c r="AF11" i="36" s="1"/>
  <c r="CR7" i="36"/>
  <c r="CR6" i="36"/>
  <c r="CR11" i="36" s="1"/>
  <c r="CU11" i="36"/>
  <c r="AA22" i="37"/>
  <c r="AA23" i="37"/>
  <c r="AA26" i="37" s="1"/>
  <c r="Y7" i="36"/>
  <c r="Y6" i="36"/>
  <c r="CK7" i="36"/>
  <c r="CK6" i="36"/>
  <c r="AN22" i="37"/>
  <c r="AN23" i="37"/>
  <c r="AN26" i="37" s="1"/>
  <c r="CL23" i="37"/>
  <c r="CL26" i="37" s="1"/>
  <c r="CL22" i="37"/>
  <c r="AH7" i="36"/>
  <c r="AH6" i="36"/>
  <c r="AH11" i="36" s="1"/>
  <c r="CT7" i="36"/>
  <c r="CT6" i="36"/>
  <c r="M26" i="37"/>
  <c r="BX23" i="37"/>
  <c r="BX26" i="37" s="1"/>
  <c r="BX22" i="37"/>
  <c r="BY23" i="37"/>
  <c r="BY26" i="37" s="1"/>
  <c r="BY22" i="37"/>
  <c r="CP23" i="37"/>
  <c r="CP26" i="37" s="1"/>
  <c r="CP22" i="37"/>
  <c r="AK23" i="37"/>
  <c r="AK26" i="37" s="1"/>
  <c r="AK22" i="37"/>
  <c r="AS7" i="36"/>
  <c r="AS6" i="36"/>
  <c r="DE7" i="36"/>
  <c r="DE6" i="36"/>
  <c r="DP22" i="37"/>
  <c r="DP23" i="37"/>
  <c r="DP26" i="37" s="1"/>
  <c r="V7" i="36"/>
  <c r="V6" i="36"/>
  <c r="CH7" i="36"/>
  <c r="CH6" i="36"/>
  <c r="BI22" i="37"/>
  <c r="BI23" i="37"/>
  <c r="BI26" i="37" s="1"/>
  <c r="V22" i="37"/>
  <c r="V23" i="37"/>
  <c r="V26" i="37" s="1"/>
  <c r="BK7" i="36"/>
  <c r="BK6" i="36"/>
  <c r="DW7" i="36"/>
  <c r="DW6" i="36"/>
  <c r="DU23" i="37"/>
  <c r="DU26" i="37" s="1"/>
  <c r="DU22" i="37"/>
  <c r="AF22" i="37"/>
  <c r="AF23" i="37"/>
  <c r="AF26" i="37" s="1"/>
  <c r="CK23" i="37"/>
  <c r="CK26" i="37" s="1"/>
  <c r="CK22" i="37"/>
  <c r="AN7" i="36"/>
  <c r="AN6" i="36"/>
  <c r="CZ7" i="36"/>
  <c r="CZ6" i="36"/>
  <c r="BH23" i="37"/>
  <c r="BH26" i="37" s="1"/>
  <c r="BH22" i="37"/>
  <c r="CC22" i="37"/>
  <c r="CC23" i="37"/>
  <c r="CC26" i="37" s="1"/>
  <c r="AG7" i="36"/>
  <c r="AG6" i="36"/>
  <c r="CS7" i="36"/>
  <c r="CS6" i="36"/>
  <c r="CR22" i="37"/>
  <c r="CR23" i="37"/>
  <c r="CR26" i="37" s="1"/>
  <c r="CT23" i="37"/>
  <c r="CT26" i="37" s="1"/>
  <c r="CT22" i="37"/>
  <c r="AP7" i="36"/>
  <c r="AP6" i="36"/>
  <c r="DB7" i="36"/>
  <c r="DB6" i="36"/>
  <c r="CS22" i="37"/>
  <c r="CS23" i="37"/>
  <c r="CS26" i="37" s="1"/>
  <c r="BN23" i="37"/>
  <c r="BN26" i="37" s="1"/>
  <c r="BN22" i="37"/>
  <c r="AS23" i="37"/>
  <c r="AS26" i="37" s="1"/>
  <c r="AS22" i="37"/>
  <c r="AJ23" i="37"/>
  <c r="AJ26" i="37" s="1"/>
  <c r="AJ22" i="37"/>
  <c r="BS23" i="37"/>
  <c r="BS26" i="37" s="1"/>
  <c r="BS22" i="37"/>
  <c r="AM22" i="37"/>
  <c r="AM23" i="37"/>
  <c r="AM26" i="37" s="1"/>
  <c r="BA7" i="36"/>
  <c r="BA6" i="36"/>
  <c r="DM7" i="36"/>
  <c r="DM6" i="36"/>
  <c r="CW23" i="37"/>
  <c r="CW26" i="37" s="1"/>
  <c r="CW22" i="37"/>
  <c r="AD7" i="36"/>
  <c r="AD6" i="36"/>
  <c r="CP7" i="36"/>
  <c r="CP6" i="36"/>
  <c r="DJ22" i="37"/>
  <c r="DJ23" i="37"/>
  <c r="DJ26" i="37" s="1"/>
  <c r="CO22" i="37"/>
  <c r="CO23" i="37"/>
  <c r="CO26" i="37" s="1"/>
  <c r="BS7" i="36"/>
  <c r="BS6" i="36"/>
  <c r="H26" i="37"/>
  <c r="AD23" i="37"/>
  <c r="AD26" i="37" s="1"/>
  <c r="AD22" i="37"/>
  <c r="AP22" i="37"/>
  <c r="AP23" i="37"/>
  <c r="AP26" i="37" s="1"/>
  <c r="AV7" i="36"/>
  <c r="AV6" i="36"/>
  <c r="AV11" i="36" s="1"/>
  <c r="DH7" i="36"/>
  <c r="DH6" i="36"/>
  <c r="CQ22" i="37"/>
  <c r="CQ23" i="37"/>
  <c r="CQ26" i="37" s="1"/>
  <c r="BE23" i="37"/>
  <c r="BE26" i="37" s="1"/>
  <c r="BE22" i="37"/>
  <c r="AH23" i="37"/>
  <c r="AH26" i="37" s="1"/>
  <c r="AH22" i="37"/>
  <c r="AO7" i="36"/>
  <c r="AO6" i="36"/>
  <c r="DA7" i="36"/>
  <c r="DA6" i="36"/>
  <c r="DA11" i="36" s="1"/>
  <c r="DW22" i="37"/>
  <c r="DW23" i="37"/>
  <c r="DW26" i="37" s="1"/>
  <c r="L26" i="37"/>
  <c r="AB23" i="37"/>
  <c r="AB26" i="37" s="1"/>
  <c r="AB22" i="37"/>
  <c r="AX7" i="36"/>
  <c r="AX6" i="36"/>
  <c r="DJ7" i="36"/>
  <c r="DJ6" i="36"/>
  <c r="CZ23" i="37"/>
  <c r="CZ26" i="37" s="1"/>
  <c r="CZ22" i="37"/>
  <c r="AZ22" i="37"/>
  <c r="AZ23" i="37"/>
  <c r="AZ26" i="37" s="1"/>
  <c r="AI23" i="37"/>
  <c r="AI26" i="37" s="1"/>
  <c r="AI22" i="37"/>
  <c r="DE23" i="37"/>
  <c r="DE26" i="37" s="1"/>
  <c r="DE22" i="37"/>
  <c r="CY23" i="37"/>
  <c r="CY26" i="37" s="1"/>
  <c r="CY22" i="37"/>
  <c r="T22" i="37"/>
  <c r="T23" i="37"/>
  <c r="T26" i="37" s="1"/>
  <c r="BI7" i="36"/>
  <c r="BI6" i="36"/>
  <c r="DU7" i="36"/>
  <c r="DU6" i="36"/>
  <c r="O26" i="37"/>
  <c r="CJ22" i="37"/>
  <c r="CJ23" i="37"/>
  <c r="CJ26" i="37" s="1"/>
  <c r="AL7" i="36"/>
  <c r="AL6" i="36"/>
  <c r="CX7" i="36"/>
  <c r="CX6" i="36"/>
  <c r="CX11" i="36" s="1"/>
  <c r="W22" i="37"/>
  <c r="W23" i="37"/>
  <c r="W26" i="37" s="1"/>
  <c r="CH22" i="37"/>
  <c r="CH23" i="37"/>
  <c r="CH26" i="37" s="1"/>
  <c r="CA7" i="36"/>
  <c r="CA6" i="36"/>
  <c r="CA22" i="37"/>
  <c r="CA23" i="37"/>
  <c r="CA26" i="37" s="1"/>
  <c r="J11" i="36"/>
  <c r="BD7" i="36"/>
  <c r="BD6" i="36"/>
  <c r="DP7" i="36"/>
  <c r="DP6" i="36"/>
  <c r="AU23" i="37"/>
  <c r="AU26" i="37" s="1"/>
  <c r="AU22" i="37"/>
  <c r="DC22" i="37"/>
  <c r="DC23" i="37"/>
  <c r="DC26" i="37" s="1"/>
  <c r="AW7" i="36"/>
  <c r="AW6" i="36"/>
  <c r="DI7" i="36"/>
  <c r="DI6" i="36"/>
  <c r="DK23" i="37"/>
  <c r="DK26" i="37" s="1"/>
  <c r="DK22" i="37"/>
  <c r="J26" i="37"/>
  <c r="F11" i="36"/>
  <c r="BF7" i="36"/>
  <c r="BF6" i="36"/>
  <c r="DR7" i="36"/>
  <c r="DR6" i="36"/>
  <c r="AY11" i="36"/>
  <c r="CV23" i="37"/>
  <c r="CV26" i="37" s="1"/>
  <c r="CV22" i="37"/>
  <c r="DB23" i="37"/>
  <c r="DB26" i="37" s="1"/>
  <c r="DB22" i="37"/>
  <c r="DL23" i="37"/>
  <c r="DL26" i="37" s="1"/>
  <c r="DL22" i="37"/>
  <c r="CU22" i="37"/>
  <c r="CU23" i="37"/>
  <c r="CU26" i="37" s="1"/>
  <c r="AQ22" i="37"/>
  <c r="AQ23" i="37"/>
  <c r="AQ26" i="37" s="1"/>
  <c r="U23" i="37"/>
  <c r="U26" i="37" s="1"/>
  <c r="U22" i="37"/>
  <c r="BQ7" i="36"/>
  <c r="BQ6" i="36"/>
  <c r="BQ11" i="36" s="1"/>
  <c r="BK22" i="37"/>
  <c r="BK23" i="37"/>
  <c r="BK26" i="37" s="1"/>
  <c r="BW22" i="37"/>
  <c r="BW23" i="37"/>
  <c r="BW26" i="37" s="1"/>
  <c r="CF22" i="37"/>
  <c r="CF23" i="37"/>
  <c r="CF26" i="37" s="1"/>
  <c r="AT7" i="36"/>
  <c r="AT6" i="36"/>
  <c r="AT11" i="36" s="1"/>
  <c r="DF7" i="36"/>
  <c r="DF6" i="36"/>
  <c r="BG23" i="37"/>
  <c r="BG26" i="37" s="1"/>
  <c r="BG22" i="37"/>
  <c r="Z22" i="37"/>
  <c r="Z23" i="37"/>
  <c r="Z26" i="37" s="1"/>
  <c r="W7" i="36"/>
  <c r="W6" i="36"/>
  <c r="W11" i="36" s="1"/>
  <c r="CI7" i="36"/>
  <c r="CI6" i="36"/>
  <c r="CI22" i="37"/>
  <c r="CI23" i="37"/>
  <c r="CI26" i="37" s="1"/>
  <c r="BL7" i="36"/>
  <c r="BL6" i="36"/>
  <c r="BL11" i="36" s="1"/>
  <c r="DT23" i="37"/>
  <c r="DT26" i="37" s="1"/>
  <c r="DT22" i="37"/>
  <c r="BE7" i="36"/>
  <c r="BE6" i="36"/>
  <c r="DQ7" i="36"/>
  <c r="DQ6" i="36"/>
  <c r="DQ11" i="36" s="1"/>
  <c r="DI22" i="37"/>
  <c r="DI23" i="37"/>
  <c r="DI26" i="37" s="1"/>
  <c r="BN7" i="36"/>
  <c r="BN6" i="36"/>
  <c r="BN11" i="36" s="1"/>
  <c r="BL22" i="37"/>
  <c r="BL23" i="37"/>
  <c r="BL26" i="37" s="1"/>
  <c r="AO22" i="37"/>
  <c r="AO23" i="37"/>
  <c r="AO26" i="37" s="1"/>
  <c r="BZ23" i="37"/>
  <c r="BZ26" i="37" s="1"/>
  <c r="BZ22" i="37"/>
  <c r="DA22" i="37"/>
  <c r="DA23" i="37"/>
  <c r="DA26" i="37" s="1"/>
  <c r="DN23" i="37"/>
  <c r="DN26" i="37" s="1"/>
  <c r="DN22" i="37"/>
  <c r="BY7" i="36"/>
  <c r="BY6" i="36"/>
  <c r="AX22" i="37"/>
  <c r="AX23" i="37"/>
  <c r="AX26" i="37" s="1"/>
  <c r="CG23" i="37"/>
  <c r="CG26" i="37" s="1"/>
  <c r="CG22" i="37"/>
  <c r="BB7" i="36"/>
  <c r="BB6" i="36"/>
  <c r="DN7" i="36"/>
  <c r="DN6" i="36"/>
  <c r="AT22" i="37"/>
  <c r="AT23" i="37"/>
  <c r="AT26" i="37" s="1"/>
  <c r="BT22" i="37"/>
  <c r="BT23" i="37"/>
  <c r="BT26" i="37" s="1"/>
  <c r="AE7" i="36"/>
  <c r="AE6" i="36"/>
  <c r="CQ7" i="36"/>
  <c r="CQ6" i="36"/>
  <c r="P26" i="37"/>
  <c r="AV23" i="37"/>
  <c r="AV26" i="37" s="1"/>
  <c r="AV22" i="37"/>
  <c r="BT7" i="36"/>
  <c r="BT6" i="36"/>
  <c r="AY23" i="37"/>
  <c r="AY26" i="37" s="1"/>
  <c r="AY22" i="37"/>
  <c r="BM23" i="37"/>
  <c r="BM26" i="37" s="1"/>
  <c r="I8" i="28" s="1"/>
  <c r="BM22" i="37"/>
  <c r="BM7" i="36"/>
  <c r="BM6" i="36"/>
  <c r="X22" i="37"/>
  <c r="X23" i="37"/>
  <c r="X26" i="37" s="1"/>
  <c r="DO22" i="37"/>
  <c r="DO23" i="37"/>
  <c r="DO26" i="37" s="1"/>
  <c r="BV7" i="36"/>
  <c r="BV6" i="36"/>
  <c r="BF23" i="37"/>
  <c r="BF26" i="37" s="1"/>
  <c r="BF22" i="37"/>
  <c r="I26" i="37"/>
  <c r="D8" i="28" s="1"/>
  <c r="BQ22" i="37"/>
  <c r="BQ23" i="37"/>
  <c r="BQ26" i="37" s="1"/>
  <c r="CN23" i="37"/>
  <c r="CN26" i="37" s="1"/>
  <c r="CN22" i="37"/>
  <c r="L11" i="36"/>
  <c r="AR11" i="36"/>
  <c r="BX11" i="36"/>
  <c r="DD11" i="36"/>
  <c r="BB22" i="37"/>
  <c r="BB23" i="37"/>
  <c r="BB26" i="37" s="1"/>
  <c r="U7" i="36"/>
  <c r="U6" i="36"/>
  <c r="U11" i="36" s="1"/>
  <c r="CG7" i="36"/>
  <c r="CG6" i="36"/>
  <c r="AD13" i="32"/>
  <c r="AD17" i="32" s="1"/>
  <c r="Y12" i="32"/>
  <c r="Y16" i="32" s="1"/>
  <c r="AD12" i="32"/>
  <c r="AD16" i="32" s="1"/>
  <c r="AE13" i="32"/>
  <c r="AE17" i="32" s="1"/>
  <c r="AC12" i="32"/>
  <c r="AC16" i="32" s="1"/>
  <c r="Y13" i="32"/>
  <c r="Y17" i="32" s="1"/>
  <c r="AT27" i="34"/>
  <c r="AT39" i="34" s="1"/>
  <c r="AT25" i="34"/>
  <c r="AT23" i="34"/>
  <c r="AT35" i="34" s="1"/>
  <c r="AT26" i="34"/>
  <c r="AT38" i="34" s="1"/>
  <c r="AT24" i="34"/>
  <c r="AT36" i="34" s="1"/>
  <c r="AT22" i="34"/>
  <c r="AT21" i="34"/>
  <c r="AT19" i="34"/>
  <c r="AT31" i="34" s="1"/>
  <c r="AT18" i="34"/>
  <c r="AT20" i="34"/>
  <c r="BH27" i="34"/>
  <c r="BH39" i="34" s="1"/>
  <c r="BH25" i="34"/>
  <c r="BH37" i="34" s="1"/>
  <c r="BH23" i="34"/>
  <c r="BH26" i="34"/>
  <c r="BH22" i="34"/>
  <c r="BH34" i="34" s="1"/>
  <c r="BH20" i="34"/>
  <c r="BH32" i="34" s="1"/>
  <c r="BH18" i="34"/>
  <c r="BH24" i="34"/>
  <c r="BH21" i="34"/>
  <c r="BH19" i="34"/>
  <c r="BH31" i="34" s="1"/>
  <c r="AZ27" i="34"/>
  <c r="AZ25" i="34"/>
  <c r="AZ23" i="34"/>
  <c r="AZ26" i="34"/>
  <c r="AZ38" i="34" s="1"/>
  <c r="AZ22" i="34"/>
  <c r="AZ20" i="34"/>
  <c r="AZ18" i="34"/>
  <c r="AZ24" i="34"/>
  <c r="AZ21" i="34"/>
  <c r="AZ19" i="34"/>
  <c r="AH26" i="34"/>
  <c r="AH38" i="34" s="1"/>
  <c r="AH24" i="34"/>
  <c r="AH36" i="34" s="1"/>
  <c r="AH27" i="34"/>
  <c r="AH25" i="34"/>
  <c r="AH23" i="34"/>
  <c r="AH35" i="34" s="1"/>
  <c r="AH19" i="34"/>
  <c r="AH31" i="34" s="1"/>
  <c r="AH21" i="34"/>
  <c r="AH33" i="34" s="1"/>
  <c r="AH22" i="34"/>
  <c r="AH20" i="34"/>
  <c r="AH18" i="34"/>
  <c r="AH30" i="34" s="1"/>
  <c r="AK27" i="34"/>
  <c r="AK39" i="34" s="1"/>
  <c r="AK25" i="34"/>
  <c r="AK23" i="34"/>
  <c r="AK22" i="34"/>
  <c r="AK34" i="34" s="1"/>
  <c r="AK20" i="34"/>
  <c r="AK32" i="34" s="1"/>
  <c r="AK18" i="34"/>
  <c r="AK24" i="34"/>
  <c r="AK26" i="34"/>
  <c r="AK38" i="34" s="1"/>
  <c r="AK21" i="34"/>
  <c r="AK19" i="34"/>
  <c r="AN26" i="34"/>
  <c r="AN38" i="34" s="1"/>
  <c r="AN24" i="34"/>
  <c r="AN36" i="34" s="1"/>
  <c r="AN23" i="34"/>
  <c r="AN35" i="34" s="1"/>
  <c r="AN21" i="34"/>
  <c r="AN19" i="34"/>
  <c r="AN25" i="34"/>
  <c r="AN37" i="34" s="1"/>
  <c r="AN27" i="34"/>
  <c r="AN39" i="34" s="1"/>
  <c r="AN22" i="34"/>
  <c r="AN20" i="34"/>
  <c r="AN18" i="34"/>
  <c r="AN30" i="34" s="1"/>
  <c r="H26" i="34"/>
  <c r="H24" i="34"/>
  <c r="H23" i="34"/>
  <c r="H35" i="34" s="1"/>
  <c r="H21" i="34"/>
  <c r="H33" i="34" s="1"/>
  <c r="H19" i="34"/>
  <c r="H25" i="34"/>
  <c r="H27" i="34"/>
  <c r="H22" i="34"/>
  <c r="H34" i="34" s="1"/>
  <c r="H20" i="34"/>
  <c r="H18" i="34"/>
  <c r="K26" i="34"/>
  <c r="K38" i="34" s="1"/>
  <c r="K24" i="34"/>
  <c r="K36" i="34" s="1"/>
  <c r="K27" i="34"/>
  <c r="K25" i="34"/>
  <c r="K23" i="34"/>
  <c r="K22" i="34"/>
  <c r="K34" i="34" s="1"/>
  <c r="K20" i="34"/>
  <c r="K18" i="34"/>
  <c r="K21" i="34"/>
  <c r="K33" i="34" s="1"/>
  <c r="K19" i="34"/>
  <c r="K31" i="34" s="1"/>
  <c r="AG26" i="34"/>
  <c r="AG24" i="34"/>
  <c r="AG21" i="34"/>
  <c r="AG19" i="34"/>
  <c r="AG31" i="34" s="1"/>
  <c r="AG23" i="34"/>
  <c r="AG27" i="34"/>
  <c r="AG25" i="34"/>
  <c r="AG37" i="34" s="1"/>
  <c r="AG22" i="34"/>
  <c r="AG34" i="34" s="1"/>
  <c r="AG20" i="34"/>
  <c r="AG32" i="34" s="1"/>
  <c r="AG18" i="34"/>
  <c r="R26" i="34"/>
  <c r="R38" i="34" s="1"/>
  <c r="R24" i="34"/>
  <c r="R27" i="34"/>
  <c r="R25" i="34"/>
  <c r="R23" i="34"/>
  <c r="R22" i="34"/>
  <c r="R34" i="34" s="1"/>
  <c r="R20" i="34"/>
  <c r="R18" i="34"/>
  <c r="R21" i="34"/>
  <c r="R33" i="34" s="1"/>
  <c r="R19" i="34"/>
  <c r="AE12" i="32"/>
  <c r="AE16" i="32" s="1"/>
  <c r="AC13" i="32"/>
  <c r="AC17" i="32" s="1"/>
  <c r="Q13" i="32"/>
  <c r="Q17" i="32" s="1"/>
  <c r="Q21" i="32" s="1"/>
  <c r="D11" i="31"/>
  <c r="I12" i="32"/>
  <c r="I16" i="32" s="1"/>
  <c r="AA12" i="32"/>
  <c r="AA16" i="32" s="1"/>
  <c r="AB12" i="32"/>
  <c r="AB16" i="32" s="1"/>
  <c r="O13" i="32"/>
  <c r="O17" i="32" s="1"/>
  <c r="AT37" i="34"/>
  <c r="AT34" i="34"/>
  <c r="AT32" i="34"/>
  <c r="AT30" i="34"/>
  <c r="AT33" i="34"/>
  <c r="BH35" i="34"/>
  <c r="BH33" i="34"/>
  <c r="BH30" i="34"/>
  <c r="BH38" i="34"/>
  <c r="BH36" i="34"/>
  <c r="AH39" i="34"/>
  <c r="AH37" i="34"/>
  <c r="AH34" i="34"/>
  <c r="AH32" i="34"/>
  <c r="AK37" i="34"/>
  <c r="AK35" i="34"/>
  <c r="AK36" i="34"/>
  <c r="AK30" i="34"/>
  <c r="AK33" i="34"/>
  <c r="AK31" i="34"/>
  <c r="AN34" i="34"/>
  <c r="AN32" i="34"/>
  <c r="AN33" i="34"/>
  <c r="AN31" i="34"/>
  <c r="H38" i="34"/>
  <c r="H36" i="34"/>
  <c r="H32" i="34"/>
  <c r="H30" i="34"/>
  <c r="H31" i="34"/>
  <c r="H37" i="34"/>
  <c r="H39" i="34"/>
  <c r="AZ39" i="34"/>
  <c r="AZ37" i="34"/>
  <c r="AZ35" i="34"/>
  <c r="AZ33" i="34"/>
  <c r="AZ31" i="34"/>
  <c r="AZ34" i="34"/>
  <c r="AZ32" i="34"/>
  <c r="AZ30" i="34"/>
  <c r="AZ36" i="34"/>
  <c r="AG38" i="34"/>
  <c r="AG36" i="34"/>
  <c r="AG39" i="34"/>
  <c r="AG35" i="34"/>
  <c r="AG33" i="34"/>
  <c r="AG30" i="34"/>
  <c r="R36" i="34"/>
  <c r="R39" i="34"/>
  <c r="R37" i="34"/>
  <c r="R35" i="34"/>
  <c r="R31" i="34"/>
  <c r="R32" i="34"/>
  <c r="R30" i="34"/>
  <c r="K39" i="34"/>
  <c r="K37" i="34"/>
  <c r="K35" i="34"/>
  <c r="K32" i="34"/>
  <c r="K30" i="34"/>
  <c r="Z13" i="32"/>
  <c r="Z17" i="32" s="1"/>
  <c r="G12" i="32"/>
  <c r="G16" i="32" s="1"/>
  <c r="AB13" i="32"/>
  <c r="AB17" i="32" s="1"/>
  <c r="O12" i="32"/>
  <c r="O16" i="32" s="1"/>
  <c r="Z12" i="32"/>
  <c r="Z16" i="32" s="1"/>
  <c r="AA13" i="32"/>
  <c r="AA17" i="32" s="1"/>
  <c r="X12" i="32"/>
  <c r="X16" i="32" s="1"/>
  <c r="R12" i="32"/>
  <c r="R16" i="32" s="1"/>
  <c r="D13" i="32"/>
  <c r="D17" i="32" s="1"/>
  <c r="N13" i="32"/>
  <c r="N17" i="32" s="1"/>
  <c r="P13" i="32"/>
  <c r="P17" i="32" s="1"/>
  <c r="V12" i="32"/>
  <c r="V16" i="32" s="1"/>
  <c r="S12" i="32"/>
  <c r="S16" i="32" s="1"/>
  <c r="I13" i="32"/>
  <c r="I17" i="32" s="1"/>
  <c r="X13" i="32"/>
  <c r="X17" i="32" s="1"/>
  <c r="S13" i="32"/>
  <c r="S17" i="32" s="1"/>
  <c r="P12" i="32"/>
  <c r="P16" i="32" s="1"/>
  <c r="D12" i="32"/>
  <c r="D16" i="32" s="1"/>
  <c r="J13" i="32"/>
  <c r="J17" i="32" s="1"/>
  <c r="N12" i="32"/>
  <c r="N16" i="32" s="1"/>
  <c r="L13" i="32"/>
  <c r="L17" i="32" s="1"/>
  <c r="F13" i="32"/>
  <c r="F17" i="32" s="1"/>
  <c r="BW43" i="34"/>
  <c r="L12" i="32"/>
  <c r="L16" i="32" s="1"/>
  <c r="M12" i="32"/>
  <c r="M16" i="32" s="1"/>
  <c r="U13" i="32"/>
  <c r="U17" i="32" s="1"/>
  <c r="M13" i="32"/>
  <c r="M17" i="32" s="1"/>
  <c r="G13" i="32"/>
  <c r="G17" i="32" s="1"/>
  <c r="X43" i="34"/>
  <c r="DA43" i="34"/>
  <c r="F12" i="32"/>
  <c r="F16" i="32" s="1"/>
  <c r="N43" i="34"/>
  <c r="BQ43" i="34"/>
  <c r="BM43" i="34"/>
  <c r="K12" i="32"/>
  <c r="K16" i="32" s="1"/>
  <c r="T13" i="32"/>
  <c r="T17" i="32" s="1"/>
  <c r="BJ43" i="34"/>
  <c r="DV43" i="34"/>
  <c r="M43" i="34"/>
  <c r="BB43" i="34"/>
  <c r="AJ43" i="34"/>
  <c r="P43" i="34"/>
  <c r="T12" i="32"/>
  <c r="T16" i="32" s="1"/>
  <c r="DR43" i="34"/>
  <c r="AR43" i="34"/>
  <c r="AA43" i="34"/>
  <c r="BP43" i="34"/>
  <c r="H12" i="32"/>
  <c r="H16" i="32" s="1"/>
  <c r="E12" i="32"/>
  <c r="E16" i="32" s="1"/>
  <c r="BZ43" i="34"/>
  <c r="AD43" i="34"/>
  <c r="S43" i="34"/>
  <c r="DC43" i="34"/>
  <c r="BS43" i="34"/>
  <c r="CY43" i="34"/>
  <c r="AQ43" i="34"/>
  <c r="W12" i="32"/>
  <c r="W16" i="32" s="1"/>
  <c r="W13" i="32"/>
  <c r="W17" i="32" s="1"/>
  <c r="K13" i="32"/>
  <c r="K17" i="32" s="1"/>
  <c r="H13" i="32"/>
  <c r="H17" i="32" s="1"/>
  <c r="CO43" i="34"/>
  <c r="AO43" i="34"/>
  <c r="BN43" i="34"/>
  <c r="BR43" i="34"/>
  <c r="DF43" i="34"/>
  <c r="DB43" i="34"/>
  <c r="DM43" i="34"/>
  <c r="AS43" i="34"/>
  <c r="AU43" i="34"/>
  <c r="CI43" i="34"/>
  <c r="I43" i="34"/>
  <c r="AE43" i="34"/>
  <c r="CZ43" i="34"/>
  <c r="V43" i="34"/>
  <c r="BD43" i="34"/>
  <c r="CC43" i="34"/>
  <c r="BG43" i="34"/>
  <c r="DT43" i="34"/>
  <c r="Y21" i="32"/>
  <c r="AC21" i="32"/>
  <c r="AB43" i="34"/>
  <c r="D43" i="34"/>
  <c r="DU43" i="34"/>
  <c r="CP43" i="34"/>
  <c r="AV43" i="34"/>
  <c r="G43" i="34"/>
  <c r="CB43" i="34"/>
  <c r="DQ43" i="34"/>
  <c r="U43" i="34"/>
  <c r="AF43" i="34"/>
  <c r="CD43" i="34"/>
  <c r="CM43" i="34"/>
  <c r="L43" i="34"/>
  <c r="CF43" i="34"/>
  <c r="CV43" i="34"/>
  <c r="DP43" i="34"/>
  <c r="AC43" i="34"/>
  <c r="CS43" i="34"/>
  <c r="C21" i="32"/>
  <c r="BY43" i="34"/>
  <c r="DE43" i="34"/>
  <c r="F43" i="34"/>
  <c r="AL43" i="34"/>
  <c r="CA43" i="34"/>
  <c r="BL43" i="34"/>
  <c r="CR43" i="34"/>
  <c r="BU43" i="34"/>
  <c r="AI43" i="34"/>
  <c r="CG43" i="34"/>
  <c r="BE43" i="34"/>
  <c r="CH43" i="34"/>
  <c r="DO43" i="34"/>
  <c r="BT43" i="34"/>
  <c r="Q43" i="34"/>
  <c r="AM43" i="34"/>
  <c r="DI43" i="34"/>
  <c r="Z43" i="34"/>
  <c r="AX43" i="34"/>
  <c r="BV43" i="34"/>
  <c r="CT43" i="34"/>
  <c r="BF43" i="34"/>
  <c r="CE43" i="34"/>
  <c r="DK43" i="34"/>
  <c r="BX43" i="34"/>
  <c r="CN43" i="34"/>
  <c r="DL43" i="34"/>
  <c r="BI43" i="34"/>
  <c r="CX43" i="34"/>
  <c r="BC43" i="34"/>
  <c r="W43" i="34"/>
  <c r="BK43" i="34"/>
  <c r="CQ43" i="34"/>
  <c r="DW43" i="34"/>
  <c r="Y43" i="34"/>
  <c r="DH43" i="34"/>
  <c r="CK43" i="34"/>
  <c r="DJ43" i="34"/>
  <c r="DS43" i="34"/>
  <c r="C43" i="34"/>
  <c r="C9" i="28" s="1"/>
  <c r="BA43" i="34"/>
  <c r="CW43" i="34"/>
  <c r="AP43" i="34"/>
  <c r="CJ43" i="34"/>
  <c r="CL43" i="34"/>
  <c r="E43" i="34"/>
  <c r="AY43" i="34"/>
  <c r="BO43" i="34"/>
  <c r="CU43" i="34"/>
  <c r="J43" i="34"/>
  <c r="T43" i="34"/>
  <c r="AW43" i="34"/>
  <c r="DD43" i="34"/>
  <c r="DN43" i="34"/>
  <c r="O43" i="34"/>
  <c r="DG43" i="34"/>
  <c r="AF13" i="32"/>
  <c r="AF17" i="32" s="1"/>
  <c r="AF12" i="32"/>
  <c r="AF16" i="32" s="1"/>
  <c r="AH20" i="32"/>
  <c r="AG11" i="32"/>
  <c r="AG10" i="32"/>
  <c r="F6" i="31"/>
  <c r="F9" i="31" s="1"/>
  <c r="E11" i="31"/>
  <c r="E12" i="31"/>
  <c r="E13" i="31" s="1"/>
  <c r="E14" i="31" s="1"/>
  <c r="C15" i="31"/>
  <c r="C20" i="31" s="1"/>
  <c r="D15" i="31"/>
  <c r="G25" i="31"/>
  <c r="F5" i="31"/>
  <c r="I13" i="27"/>
  <c r="I19" i="27"/>
  <c r="C4" i="26"/>
  <c r="D4" i="26" s="1"/>
  <c r="E4" i="26" s="1"/>
  <c r="F4" i="26" s="1"/>
  <c r="G4" i="26" s="1"/>
  <c r="H4" i="26" s="1"/>
  <c r="C17" i="25"/>
  <c r="F20" i="25" s="1"/>
  <c r="I41" i="27" l="1"/>
  <c r="K43" i="28"/>
  <c r="K46" i="28" s="1"/>
  <c r="C43" i="28"/>
  <c r="C46" i="28" s="1"/>
  <c r="J43" i="28"/>
  <c r="J46" i="28" s="1"/>
  <c r="I43" i="28"/>
  <c r="I46" i="28" s="1"/>
  <c r="H43" i="28"/>
  <c r="H46" i="28" s="1"/>
  <c r="G43" i="28"/>
  <c r="G46" i="28" s="1"/>
  <c r="F43" i="28"/>
  <c r="F46" i="28" s="1"/>
  <c r="E43" i="28"/>
  <c r="E46" i="28" s="1"/>
  <c r="L43" i="28"/>
  <c r="L46" i="28" s="1"/>
  <c r="D43" i="28"/>
  <c r="D46" i="28" s="1"/>
  <c r="BC11" i="36"/>
  <c r="AM11" i="36"/>
  <c r="CD11" i="36"/>
  <c r="BJ11" i="36"/>
  <c r="BK11" i="36"/>
  <c r="V11" i="36"/>
  <c r="DO11" i="36"/>
  <c r="CL11" i="36"/>
  <c r="BU11" i="36"/>
  <c r="CB11" i="36"/>
  <c r="E8" i="28"/>
  <c r="CC11" i="36"/>
  <c r="BM11" i="36"/>
  <c r="CO11" i="36"/>
  <c r="Y11" i="36"/>
  <c r="J8" i="28"/>
  <c r="AC11" i="36"/>
  <c r="DV11" i="36"/>
  <c r="AE11" i="36"/>
  <c r="BB11" i="36"/>
  <c r="BI11" i="36"/>
  <c r="AX11" i="36"/>
  <c r="CP11" i="36"/>
  <c r="BA11" i="36"/>
  <c r="H13" i="28" s="1"/>
  <c r="AP11" i="36"/>
  <c r="AG11" i="36"/>
  <c r="AN11" i="36"/>
  <c r="DW11" i="36"/>
  <c r="CH11" i="36"/>
  <c r="AS11" i="36"/>
  <c r="CW11" i="36"/>
  <c r="CJ11" i="36"/>
  <c r="AU11" i="36"/>
  <c r="BT11" i="36"/>
  <c r="BE11" i="36"/>
  <c r="CI11" i="36"/>
  <c r="DF11" i="36"/>
  <c r="CA11" i="36"/>
  <c r="AL11" i="36"/>
  <c r="AO11" i="36"/>
  <c r="G13" i="28" s="1"/>
  <c r="DH11" i="36"/>
  <c r="DR11" i="36"/>
  <c r="DI11" i="36"/>
  <c r="DP11" i="36"/>
  <c r="BS11" i="36"/>
  <c r="AD11" i="36"/>
  <c r="H8" i="28"/>
  <c r="AK11" i="36"/>
  <c r="X11" i="36"/>
  <c r="I13" i="28"/>
  <c r="K8" i="28"/>
  <c r="CT11" i="36"/>
  <c r="CK11" i="36"/>
  <c r="BZ11" i="36"/>
  <c r="CG11" i="36"/>
  <c r="BF11" i="36"/>
  <c r="AW11" i="36"/>
  <c r="BD11" i="36"/>
  <c r="F8" i="28"/>
  <c r="BV11" i="36"/>
  <c r="L8" i="28"/>
  <c r="CQ11" i="36"/>
  <c r="DN11" i="36"/>
  <c r="BY11" i="36"/>
  <c r="G8" i="28"/>
  <c r="D13" i="28"/>
  <c r="DU11" i="36"/>
  <c r="DJ11" i="36"/>
  <c r="DM11" i="36"/>
  <c r="DB11" i="36"/>
  <c r="CS11" i="36"/>
  <c r="CZ11" i="36"/>
  <c r="DE11" i="36"/>
  <c r="Z11" i="36"/>
  <c r="DG11" i="36"/>
  <c r="BR11" i="36"/>
  <c r="CY11" i="36"/>
  <c r="AD21" i="32"/>
  <c r="AB21" i="32"/>
  <c r="AE21" i="32"/>
  <c r="R21" i="32"/>
  <c r="X21" i="32"/>
  <c r="O21" i="32"/>
  <c r="Z21" i="32"/>
  <c r="J21" i="32"/>
  <c r="P21" i="32"/>
  <c r="AA21" i="32"/>
  <c r="S21" i="32"/>
  <c r="I9" i="28"/>
  <c r="I21" i="32"/>
  <c r="J9" i="28"/>
  <c r="N21" i="32"/>
  <c r="V21" i="32"/>
  <c r="K9" i="28"/>
  <c r="U21" i="32"/>
  <c r="L9" i="28"/>
  <c r="K21" i="32"/>
  <c r="AT43" i="34"/>
  <c r="H43" i="34"/>
  <c r="BH43" i="34"/>
  <c r="H9" i="28" s="1"/>
  <c r="AZ43" i="34"/>
  <c r="AH43" i="34"/>
  <c r="K43" i="34"/>
  <c r="R43" i="34"/>
  <c r="E9" i="28" s="1"/>
  <c r="AK43" i="34"/>
  <c r="AN43" i="34"/>
  <c r="AG43" i="34"/>
  <c r="F21" i="32"/>
  <c r="D21" i="32"/>
  <c r="G21" i="32"/>
  <c r="T21" i="32"/>
  <c r="L21" i="32"/>
  <c r="H21" i="32"/>
  <c r="M21" i="32"/>
  <c r="E21" i="32"/>
  <c r="W21" i="32"/>
  <c r="AF21" i="32"/>
  <c r="AG12" i="32"/>
  <c r="AG16" i="32" s="1"/>
  <c r="AG13" i="32"/>
  <c r="AG17" i="32" s="1"/>
  <c r="AI20" i="32"/>
  <c r="AH11" i="32"/>
  <c r="AH10" i="32"/>
  <c r="G6" i="31"/>
  <c r="G9" i="31" s="1"/>
  <c r="C22" i="31"/>
  <c r="D16" i="31"/>
  <c r="D19" i="31" s="1"/>
  <c r="D20" i="31"/>
  <c r="C16" i="31"/>
  <c r="C17" i="31" s="1"/>
  <c r="C21" i="31"/>
  <c r="D21" i="31"/>
  <c r="F11" i="31"/>
  <c r="F12" i="31"/>
  <c r="F13" i="31" s="1"/>
  <c r="F14" i="31" s="1"/>
  <c r="E15" i="31"/>
  <c r="E21" i="31" s="1"/>
  <c r="H25" i="31"/>
  <c r="G5" i="31"/>
  <c r="F19" i="25"/>
  <c r="F22" i="25"/>
  <c r="F21" i="25"/>
  <c r="D9" i="28" l="1"/>
  <c r="F9" i="28"/>
  <c r="E13" i="28"/>
  <c r="L13" i="28"/>
  <c r="K13" i="28"/>
  <c r="J13" i="28"/>
  <c r="F13" i="28"/>
  <c r="G9" i="28"/>
  <c r="AG21" i="32"/>
  <c r="AH12" i="32"/>
  <c r="AH16" i="32" s="1"/>
  <c r="AH13" i="32"/>
  <c r="AH17" i="32" s="1"/>
  <c r="AJ20" i="32"/>
  <c r="AI11" i="32"/>
  <c r="AI10" i="32"/>
  <c r="H6" i="31"/>
  <c r="H9" i="31" s="1"/>
  <c r="D22" i="31"/>
  <c r="C19" i="31"/>
  <c r="C18" i="31"/>
  <c r="C26" i="31" s="1"/>
  <c r="D18" i="31"/>
  <c r="D17" i="31"/>
  <c r="E16" i="31"/>
  <c r="E17" i="31" s="1"/>
  <c r="E20" i="31"/>
  <c r="F15" i="31"/>
  <c r="G12" i="31"/>
  <c r="G13" i="31" s="1"/>
  <c r="G14" i="31" s="1"/>
  <c r="G11" i="31"/>
  <c r="H5" i="31"/>
  <c r="I25" i="31"/>
  <c r="AH21" i="32" l="1"/>
  <c r="AI12" i="32"/>
  <c r="AI16" i="32" s="1"/>
  <c r="AI13" i="32"/>
  <c r="AI17" i="32" s="1"/>
  <c r="AK20" i="32"/>
  <c r="AJ11" i="32"/>
  <c r="AJ10" i="32"/>
  <c r="E19" i="31"/>
  <c r="E18" i="31"/>
  <c r="I6" i="31"/>
  <c r="I9" i="31" s="1"/>
  <c r="D26" i="31"/>
  <c r="E22" i="31"/>
  <c r="F20" i="31"/>
  <c r="F22" i="31" s="1"/>
  <c r="F16" i="31"/>
  <c r="F18" i="31" s="1"/>
  <c r="F21" i="31"/>
  <c r="H11" i="31"/>
  <c r="H12" i="31"/>
  <c r="H13" i="31" s="1"/>
  <c r="H14" i="31" s="1"/>
  <c r="G15" i="31"/>
  <c r="G21" i="31" s="1"/>
  <c r="J25" i="31"/>
  <c r="I5" i="31"/>
  <c r="AI21" i="32" l="1"/>
  <c r="AJ12" i="32"/>
  <c r="AJ16" i="32" s="1"/>
  <c r="AJ13" i="32"/>
  <c r="AJ17" i="32" s="1"/>
  <c r="E26" i="31"/>
  <c r="AL20" i="32"/>
  <c r="AK11" i="32"/>
  <c r="AK10" i="32"/>
  <c r="J6" i="31"/>
  <c r="J9" i="31" s="1"/>
  <c r="F26" i="31"/>
  <c r="F17" i="31"/>
  <c r="G20" i="31"/>
  <c r="F19" i="31"/>
  <c r="G16" i="31"/>
  <c r="G18" i="31" s="1"/>
  <c r="H15" i="31"/>
  <c r="I11" i="31"/>
  <c r="I12" i="31"/>
  <c r="I13" i="31" s="1"/>
  <c r="I14" i="31" s="1"/>
  <c r="J5" i="31"/>
  <c r="K25" i="31"/>
  <c r="AJ21" i="32" l="1"/>
  <c r="AK13" i="32"/>
  <c r="AK17" i="32" s="1"/>
  <c r="AK12" i="32"/>
  <c r="AK16" i="32" s="1"/>
  <c r="AM20" i="32"/>
  <c r="AL10" i="32"/>
  <c r="AL11" i="32"/>
  <c r="G17" i="31"/>
  <c r="K6" i="31"/>
  <c r="K9" i="31" s="1"/>
  <c r="G22" i="31"/>
  <c r="G26" i="31" s="1"/>
  <c r="G19" i="31"/>
  <c r="H20" i="31"/>
  <c r="H16" i="31"/>
  <c r="H17" i="31" s="1"/>
  <c r="H21" i="31"/>
  <c r="I15" i="31"/>
  <c r="I21" i="31" s="1"/>
  <c r="J11" i="31"/>
  <c r="J12" i="31"/>
  <c r="J13" i="31" s="1"/>
  <c r="J14" i="31" s="1"/>
  <c r="K5" i="31"/>
  <c r="L25" i="31"/>
  <c r="AK21" i="32" l="1"/>
  <c r="AL13" i="32"/>
  <c r="AL17" i="32" s="1"/>
  <c r="AL12" i="32"/>
  <c r="AL16" i="32" s="1"/>
  <c r="AN20" i="32"/>
  <c r="AM11" i="32"/>
  <c r="AM10" i="32"/>
  <c r="L6" i="31"/>
  <c r="L9" i="31" s="1"/>
  <c r="H22" i="31"/>
  <c r="H18" i="31"/>
  <c r="H19" i="31"/>
  <c r="I20" i="31"/>
  <c r="I16" i="31"/>
  <c r="I19" i="31" s="1"/>
  <c r="K11" i="31"/>
  <c r="K12" i="31"/>
  <c r="K13" i="31" s="1"/>
  <c r="K14" i="31" s="1"/>
  <c r="J15" i="31"/>
  <c r="J21" i="31" s="1"/>
  <c r="L5" i="31"/>
  <c r="M25" i="31"/>
  <c r="AL21" i="32" l="1"/>
  <c r="AM13" i="32"/>
  <c r="AM17" i="32" s="1"/>
  <c r="AM12" i="32"/>
  <c r="AM16" i="32" s="1"/>
  <c r="AO20" i="32"/>
  <c r="AN11" i="32"/>
  <c r="AN10" i="32"/>
  <c r="M6" i="31"/>
  <c r="M9" i="31" s="1"/>
  <c r="J20" i="31"/>
  <c r="J22" i="31" s="1"/>
  <c r="I22" i="31"/>
  <c r="H26" i="31"/>
  <c r="I18" i="31"/>
  <c r="I17" i="31"/>
  <c r="J16" i="31"/>
  <c r="J18" i="31" s="1"/>
  <c r="K15" i="31"/>
  <c r="L11" i="31"/>
  <c r="L12" i="31"/>
  <c r="L13" i="31" s="1"/>
  <c r="L14" i="31" s="1"/>
  <c r="M5" i="31"/>
  <c r="N25" i="31"/>
  <c r="AM21" i="32" l="1"/>
  <c r="AN13" i="32"/>
  <c r="AN17" i="32" s="1"/>
  <c r="AN12" i="32"/>
  <c r="AN16" i="32" s="1"/>
  <c r="K20" i="31"/>
  <c r="K22" i="31" s="1"/>
  <c r="J19" i="31"/>
  <c r="J26" i="31"/>
  <c r="AP20" i="32"/>
  <c r="AO10" i="32"/>
  <c r="AO11" i="32"/>
  <c r="N6" i="31"/>
  <c r="N9" i="31" s="1"/>
  <c r="J17" i="31"/>
  <c r="I26" i="31"/>
  <c r="K16" i="31"/>
  <c r="K17" i="31" s="1"/>
  <c r="K21" i="31"/>
  <c r="M11" i="31"/>
  <c r="M12" i="31"/>
  <c r="M13" i="31" s="1"/>
  <c r="M14" i="31" s="1"/>
  <c r="L15" i="31"/>
  <c r="N5" i="31"/>
  <c r="O25" i="31"/>
  <c r="C12" i="17"/>
  <c r="C11" i="17"/>
  <c r="C10" i="17"/>
  <c r="C8" i="17"/>
  <c r="C9" i="17" s="1"/>
  <c r="C13" i="17" s="1"/>
  <c r="C14" i="17" s="1"/>
  <c r="G15" i="5"/>
  <c r="G14" i="5"/>
  <c r="G13" i="5"/>
  <c r="G12" i="5"/>
  <c r="G11" i="5"/>
  <c r="G10" i="5"/>
  <c r="G9" i="5"/>
  <c r="G8" i="5"/>
  <c r="G7" i="5"/>
  <c r="C4" i="5"/>
  <c r="AN21" i="32" l="1"/>
  <c r="AO12" i="32"/>
  <c r="AO16" i="32" s="1"/>
  <c r="AO13" i="32"/>
  <c r="AO17" i="32" s="1"/>
  <c r="L20" i="31"/>
  <c r="L22" i="31" s="1"/>
  <c r="AQ20" i="32"/>
  <c r="AP11" i="32"/>
  <c r="AP10" i="32"/>
  <c r="O6" i="31"/>
  <c r="O9" i="31" s="1"/>
  <c r="K18" i="31"/>
  <c r="K26" i="31" s="1"/>
  <c r="K19" i="31"/>
  <c r="L16" i="31"/>
  <c r="L17" i="31" s="1"/>
  <c r="L21" i="31"/>
  <c r="N11" i="31"/>
  <c r="N12" i="31"/>
  <c r="N13" i="31" s="1"/>
  <c r="N14" i="31" s="1"/>
  <c r="M15" i="31"/>
  <c r="P25" i="31"/>
  <c r="O5" i="31"/>
  <c r="AO21" i="32" l="1"/>
  <c r="AP12" i="32"/>
  <c r="AP16" i="32" s="1"/>
  <c r="AP13" i="32"/>
  <c r="AP17" i="32" s="1"/>
  <c r="M20" i="31"/>
  <c r="M22" i="31" s="1"/>
  <c r="L19" i="31"/>
  <c r="AR20" i="32"/>
  <c r="AQ11" i="32"/>
  <c r="AQ10" i="32"/>
  <c r="P6" i="31"/>
  <c r="P9" i="31" s="1"/>
  <c r="L18" i="31"/>
  <c r="L26" i="31" s="1"/>
  <c r="M16" i="31"/>
  <c r="M17" i="31" s="1"/>
  <c r="M21" i="31"/>
  <c r="N15" i="31"/>
  <c r="O11" i="31"/>
  <c r="O12" i="31"/>
  <c r="O13" i="31" s="1"/>
  <c r="O14" i="31" s="1"/>
  <c r="Q25" i="31"/>
  <c r="P5" i="31"/>
  <c r="AP21" i="32" l="1"/>
  <c r="AQ12" i="32"/>
  <c r="AQ16" i="32" s="1"/>
  <c r="AQ13" i="32"/>
  <c r="AQ17" i="32" s="1"/>
  <c r="N20" i="31"/>
  <c r="N22" i="31" s="1"/>
  <c r="AS20" i="32"/>
  <c r="AR11" i="32"/>
  <c r="AR10" i="32"/>
  <c r="Q6" i="31"/>
  <c r="Q9" i="31" s="1"/>
  <c r="M18" i="31"/>
  <c r="M26" i="31" s="1"/>
  <c r="M19" i="31"/>
  <c r="N16" i="31"/>
  <c r="N18" i="31" s="1"/>
  <c r="N21" i="31"/>
  <c r="O15" i="31"/>
  <c r="P11" i="31"/>
  <c r="P12" i="31"/>
  <c r="P13" i="31" s="1"/>
  <c r="P14" i="31" s="1"/>
  <c r="R25" i="31"/>
  <c r="Q5" i="31"/>
  <c r="AQ21" i="32" l="1"/>
  <c r="AR12" i="32"/>
  <c r="AR16" i="32" s="1"/>
  <c r="AR13" i="32"/>
  <c r="AR17" i="32" s="1"/>
  <c r="N26" i="31"/>
  <c r="O20" i="31"/>
  <c r="O22" i="31" s="1"/>
  <c r="AT20" i="32"/>
  <c r="AS11" i="32"/>
  <c r="AS10" i="32"/>
  <c r="R6" i="31"/>
  <c r="R9" i="31" s="1"/>
  <c r="O16" i="31"/>
  <c r="O19" i="31" s="1"/>
  <c r="O21" i="31"/>
  <c r="N17" i="31"/>
  <c r="N19" i="31"/>
  <c r="P15" i="31"/>
  <c r="Q11" i="31"/>
  <c r="Q12" i="31"/>
  <c r="Q13" i="31" s="1"/>
  <c r="Q14" i="31" s="1"/>
  <c r="R5" i="31"/>
  <c r="S25" i="31"/>
  <c r="AR21" i="32" l="1"/>
  <c r="AS13" i="32"/>
  <c r="AS17" i="32" s="1"/>
  <c r="AS12" i="32"/>
  <c r="AS16" i="32" s="1"/>
  <c r="P20" i="31"/>
  <c r="P22" i="31" s="1"/>
  <c r="O18" i="31"/>
  <c r="O26" i="31" s="1"/>
  <c r="O17" i="31"/>
  <c r="AU20" i="32"/>
  <c r="AT11" i="32"/>
  <c r="AT10" i="32"/>
  <c r="S6" i="31"/>
  <c r="S9" i="31" s="1"/>
  <c r="P16" i="31"/>
  <c r="P17" i="31" s="1"/>
  <c r="P21" i="31"/>
  <c r="R11" i="31"/>
  <c r="R12" i="31"/>
  <c r="R13" i="31" s="1"/>
  <c r="R14" i="31" s="1"/>
  <c r="Q15" i="31"/>
  <c r="T25" i="31"/>
  <c r="S5" i="31"/>
  <c r="AS21" i="32" l="1"/>
  <c r="Q20" i="31"/>
  <c r="Q22" i="31" s="1"/>
  <c r="AT13" i="32"/>
  <c r="AT17" i="32" s="1"/>
  <c r="AT12" i="32"/>
  <c r="AT16" i="32" s="1"/>
  <c r="P19" i="31"/>
  <c r="P18" i="31"/>
  <c r="P26" i="31" s="1"/>
  <c r="AV20" i="32"/>
  <c r="AU11" i="32"/>
  <c r="AU10" i="32"/>
  <c r="T6" i="31"/>
  <c r="T9" i="31" s="1"/>
  <c r="Q16" i="31"/>
  <c r="Q18" i="31" s="1"/>
  <c r="Q26" i="31" s="1"/>
  <c r="Q21" i="31"/>
  <c r="R15" i="31"/>
  <c r="S12" i="31"/>
  <c r="S13" i="31" s="1"/>
  <c r="S14" i="31" s="1"/>
  <c r="S11" i="31"/>
  <c r="T5" i="31"/>
  <c r="U25" i="31"/>
  <c r="R20" i="31" l="1"/>
  <c r="R22" i="31" s="1"/>
  <c r="AT21" i="32"/>
  <c r="AU13" i="32"/>
  <c r="AU17" i="32" s="1"/>
  <c r="AU12" i="32"/>
  <c r="AU16" i="32" s="1"/>
  <c r="Q19" i="31"/>
  <c r="Q17" i="31"/>
  <c r="AW20" i="32"/>
  <c r="AV11" i="32"/>
  <c r="AV10" i="32"/>
  <c r="U6" i="31"/>
  <c r="U9" i="31" s="1"/>
  <c r="R16" i="31"/>
  <c r="R17" i="31" s="1"/>
  <c r="R21" i="31"/>
  <c r="T11" i="31"/>
  <c r="T12" i="31"/>
  <c r="T13" i="31" s="1"/>
  <c r="T14" i="31" s="1"/>
  <c r="S15" i="31"/>
  <c r="U5" i="31"/>
  <c r="V25" i="31"/>
  <c r="S20" i="31" l="1"/>
  <c r="S22" i="31" s="1"/>
  <c r="AU21" i="32"/>
  <c r="AV13" i="32"/>
  <c r="AV17" i="32" s="1"/>
  <c r="AV12" i="32"/>
  <c r="AV16" i="32" s="1"/>
  <c r="AX20" i="32"/>
  <c r="AW11" i="32"/>
  <c r="AW10" i="32"/>
  <c r="V6" i="31"/>
  <c r="V9" i="31" s="1"/>
  <c r="S16" i="31"/>
  <c r="S18" i="31" s="1"/>
  <c r="S21" i="31"/>
  <c r="R19" i="31"/>
  <c r="R18" i="31"/>
  <c r="R26" i="31" s="1"/>
  <c r="U11" i="31"/>
  <c r="U12" i="31"/>
  <c r="U13" i="31" s="1"/>
  <c r="U14" i="31" s="1"/>
  <c r="T15" i="31"/>
  <c r="V5" i="31"/>
  <c r="W25" i="31"/>
  <c r="S26" i="31" l="1"/>
  <c r="T20" i="31"/>
  <c r="T22" i="31" s="1"/>
  <c r="AV21" i="32"/>
  <c r="AW12" i="32"/>
  <c r="AW16" i="32" s="1"/>
  <c r="AW13" i="32"/>
  <c r="AW17" i="32" s="1"/>
  <c r="S19" i="31"/>
  <c r="S17" i="31"/>
  <c r="AY20" i="32"/>
  <c r="AX11" i="32"/>
  <c r="AX10" i="32"/>
  <c r="W6" i="31"/>
  <c r="W9" i="31" s="1"/>
  <c r="T16" i="31"/>
  <c r="T19" i="31" s="1"/>
  <c r="T21" i="31"/>
  <c r="V11" i="31"/>
  <c r="V12" i="31"/>
  <c r="V13" i="31" s="1"/>
  <c r="V14" i="31" s="1"/>
  <c r="U15" i="31"/>
  <c r="U20" i="31" s="1"/>
  <c r="U22" i="31" s="1"/>
  <c r="X25" i="31"/>
  <c r="W5" i="31"/>
  <c r="AW21" i="32" l="1"/>
  <c r="AX12" i="32"/>
  <c r="AX16" i="32" s="1"/>
  <c r="AX13" i="32"/>
  <c r="AX17" i="32" s="1"/>
  <c r="AZ20" i="32"/>
  <c r="AY11" i="32"/>
  <c r="AY10" i="32"/>
  <c r="X6" i="31"/>
  <c r="X9" i="31" s="1"/>
  <c r="U16" i="31"/>
  <c r="U19" i="31" s="1"/>
  <c r="U21" i="31"/>
  <c r="T18" i="31"/>
  <c r="T26" i="31" s="1"/>
  <c r="T17" i="31"/>
  <c r="V15" i="31"/>
  <c r="V20" i="31" s="1"/>
  <c r="V22" i="31" s="1"/>
  <c r="W12" i="31"/>
  <c r="W13" i="31" s="1"/>
  <c r="W14" i="31" s="1"/>
  <c r="W11" i="31"/>
  <c r="Y25" i="31"/>
  <c r="X5" i="31"/>
  <c r="AX21" i="32" l="1"/>
  <c r="AY12" i="32"/>
  <c r="AY16" i="32" s="1"/>
  <c r="AY13" i="32"/>
  <c r="AY17" i="32" s="1"/>
  <c r="U17" i="31"/>
  <c r="U18" i="31"/>
  <c r="U26" i="31" s="1"/>
  <c r="BA20" i="32"/>
  <c r="AZ11" i="32"/>
  <c r="AZ10" i="32"/>
  <c r="Y6" i="31"/>
  <c r="Y9" i="31" s="1"/>
  <c r="V16" i="31"/>
  <c r="V19" i="31" s="1"/>
  <c r="V21" i="31"/>
  <c r="W15" i="31"/>
  <c r="W20" i="31" s="1"/>
  <c r="W22" i="31" s="1"/>
  <c r="X11" i="31"/>
  <c r="X12" i="31"/>
  <c r="X13" i="31" s="1"/>
  <c r="X14" i="31" s="1"/>
  <c r="Y5" i="31"/>
  <c r="Z25" i="31"/>
  <c r="AY21" i="32" l="1"/>
  <c r="AZ12" i="32"/>
  <c r="AZ16" i="32" s="1"/>
  <c r="AZ13" i="32"/>
  <c r="AZ17" i="32" s="1"/>
  <c r="BB20" i="32"/>
  <c r="BA11" i="32"/>
  <c r="BA10" i="32"/>
  <c r="Z6" i="31"/>
  <c r="Z9" i="31" s="1"/>
  <c r="V18" i="31"/>
  <c r="V26" i="31" s="1"/>
  <c r="V17" i="31"/>
  <c r="W16" i="31"/>
  <c r="W19" i="31" s="1"/>
  <c r="W21" i="31"/>
  <c r="Y11" i="31"/>
  <c r="Y12" i="31"/>
  <c r="Y13" i="31" s="1"/>
  <c r="Y14" i="31" s="1"/>
  <c r="X15" i="31"/>
  <c r="X20" i="31" s="1"/>
  <c r="X22" i="31" s="1"/>
  <c r="Z5" i="31"/>
  <c r="AA25" i="31"/>
  <c r="AZ21" i="32" l="1"/>
  <c r="BA13" i="32"/>
  <c r="BA17" i="32" s="1"/>
  <c r="BA12" i="32"/>
  <c r="BA16" i="32" s="1"/>
  <c r="BC20" i="32"/>
  <c r="BB10" i="32"/>
  <c r="BB11" i="32"/>
  <c r="AA6" i="31"/>
  <c r="AA9" i="31" s="1"/>
  <c r="W18" i="31"/>
  <c r="W26" i="31" s="1"/>
  <c r="W17" i="31"/>
  <c r="X16" i="31"/>
  <c r="X18" i="31" s="1"/>
  <c r="X26" i="31" s="1"/>
  <c r="X21" i="31"/>
  <c r="Z12" i="31"/>
  <c r="Z13" i="31" s="1"/>
  <c r="Z14" i="31" s="1"/>
  <c r="Z11" i="31"/>
  <c r="Y15" i="31"/>
  <c r="Y20" i="31" s="1"/>
  <c r="Y22" i="31" s="1"/>
  <c r="AA5" i="31"/>
  <c r="AB25" i="31"/>
  <c r="BA21" i="32" l="1"/>
  <c r="BB13" i="32"/>
  <c r="BB17" i="32" s="1"/>
  <c r="BB12" i="32"/>
  <c r="BB16" i="32" s="1"/>
  <c r="BD20" i="32"/>
  <c r="BC11" i="32"/>
  <c r="BC10" i="32"/>
  <c r="AB6" i="31"/>
  <c r="AB9" i="31" s="1"/>
  <c r="X17" i="31"/>
  <c r="Y16" i="31"/>
  <c r="Y17" i="31" s="1"/>
  <c r="Y21" i="31"/>
  <c r="X19" i="31"/>
  <c r="AA12" i="31"/>
  <c r="AA13" i="31" s="1"/>
  <c r="AA14" i="31" s="1"/>
  <c r="AA11" i="31"/>
  <c r="Z15" i="31"/>
  <c r="Z20" i="31" s="1"/>
  <c r="Z22" i="31" s="1"/>
  <c r="AB5" i="31"/>
  <c r="AC25" i="31"/>
  <c r="BB21" i="32" l="1"/>
  <c r="BC13" i="32"/>
  <c r="BC17" i="32" s="1"/>
  <c r="BC12" i="32"/>
  <c r="BC16" i="32" s="1"/>
  <c r="Y18" i="31"/>
  <c r="Y26" i="31" s="1"/>
  <c r="BE20" i="32"/>
  <c r="BD11" i="32"/>
  <c r="BD10" i="32"/>
  <c r="Y19" i="31"/>
  <c r="AC6" i="31"/>
  <c r="AC9" i="31" s="1"/>
  <c r="Z16" i="31"/>
  <c r="Z17" i="31" s="1"/>
  <c r="Z21" i="31"/>
  <c r="AC5" i="31"/>
  <c r="AC12" i="31" s="1"/>
  <c r="AC13" i="31" s="1"/>
  <c r="AB11" i="31"/>
  <c r="AB12" i="31"/>
  <c r="AB13" i="31" s="1"/>
  <c r="AB14" i="31" s="1"/>
  <c r="AA15" i="31"/>
  <c r="AA20" i="31" s="1"/>
  <c r="AA22" i="31" s="1"/>
  <c r="AD25" i="31"/>
  <c r="BC21" i="32" l="1"/>
  <c r="BD13" i="32"/>
  <c r="BD17" i="32" s="1"/>
  <c r="BD12" i="32"/>
  <c r="BD16" i="32" s="1"/>
  <c r="Z18" i="31"/>
  <c r="Z26" i="31" s="1"/>
  <c r="BF20" i="32"/>
  <c r="BE11" i="32"/>
  <c r="BE10" i="32"/>
  <c r="AC14" i="31"/>
  <c r="AC15" i="31" s="1"/>
  <c r="AD6" i="31"/>
  <c r="AD9" i="31" s="1"/>
  <c r="Z19" i="31"/>
  <c r="AA16" i="31"/>
  <c r="AA18" i="31" s="1"/>
  <c r="AA26" i="31" s="1"/>
  <c r="AA21" i="31"/>
  <c r="AC11" i="31"/>
  <c r="AB15" i="31"/>
  <c r="AB20" i="31" s="1"/>
  <c r="AD5" i="31"/>
  <c r="AE25" i="31"/>
  <c r="BD21" i="32" l="1"/>
  <c r="BE12" i="32"/>
  <c r="BE16" i="32" s="1"/>
  <c r="BE13" i="32"/>
  <c r="BE17" i="32" s="1"/>
  <c r="AA17" i="31"/>
  <c r="BG20" i="32"/>
  <c r="BF11" i="32"/>
  <c r="BF10" i="32"/>
  <c r="AE6" i="31"/>
  <c r="AE9" i="31" s="1"/>
  <c r="AC20" i="31"/>
  <c r="AC22" i="31" s="1"/>
  <c r="AB22" i="31"/>
  <c r="AA19" i="31"/>
  <c r="AC16" i="31"/>
  <c r="AC18" i="31" s="1"/>
  <c r="AC21" i="31"/>
  <c r="AB16" i="31"/>
  <c r="AB17" i="31" s="1"/>
  <c r="AB21" i="31"/>
  <c r="AF25" i="31"/>
  <c r="AD11" i="31"/>
  <c r="AD12" i="31"/>
  <c r="AD13" i="31" s="1"/>
  <c r="AD14" i="31" s="1"/>
  <c r="AE5" i="31"/>
  <c r="BE21" i="32" l="1"/>
  <c r="BF12" i="32"/>
  <c r="BF16" i="32" s="1"/>
  <c r="BF13" i="32"/>
  <c r="BF17" i="32" s="1"/>
  <c r="AC26" i="31"/>
  <c r="BH20" i="32"/>
  <c r="BG11" i="32"/>
  <c r="BG10" i="32"/>
  <c r="AF6" i="31"/>
  <c r="AF9" i="31" s="1"/>
  <c r="AC19" i="31"/>
  <c r="AC17" i="31"/>
  <c r="AB18" i="31"/>
  <c r="AB26" i="31" s="1"/>
  <c r="AB19" i="31"/>
  <c r="AG25" i="31"/>
  <c r="AF5" i="31"/>
  <c r="AF11" i="31" s="1"/>
  <c r="AD15" i="31"/>
  <c r="AD20" i="31" s="1"/>
  <c r="AD22" i="31" s="1"/>
  <c r="AE11" i="31"/>
  <c r="AE12" i="31"/>
  <c r="AE13" i="31" s="1"/>
  <c r="AE14" i="31" s="1"/>
  <c r="BF21" i="32" l="1"/>
  <c r="BG12" i="32"/>
  <c r="BG16" i="32" s="1"/>
  <c r="BG13" i="32"/>
  <c r="BG17" i="32" s="1"/>
  <c r="BI20" i="32"/>
  <c r="BH11" i="32"/>
  <c r="BH10" i="32"/>
  <c r="AG6" i="31"/>
  <c r="AG9" i="31" s="1"/>
  <c r="AH25" i="31"/>
  <c r="AH5" i="31" s="1"/>
  <c r="AG5" i="31"/>
  <c r="AG12" i="31" s="1"/>
  <c r="AG13" i="31" s="1"/>
  <c r="AF12" i="31"/>
  <c r="AF13" i="31" s="1"/>
  <c r="AF14" i="31" s="1"/>
  <c r="AF15" i="31" s="1"/>
  <c r="AD16" i="31"/>
  <c r="AD17" i="31" s="1"/>
  <c r="AD21" i="31"/>
  <c r="AE15" i="31"/>
  <c r="AE20" i="31" s="1"/>
  <c r="BG21" i="32" l="1"/>
  <c r="BH12" i="32"/>
  <c r="BH16" i="32" s="1"/>
  <c r="BH13" i="32"/>
  <c r="BH17" i="32" s="1"/>
  <c r="AG14" i="31"/>
  <c r="AG15" i="31" s="1"/>
  <c r="AI25" i="31"/>
  <c r="AJ25" i="31" s="1"/>
  <c r="AG11" i="31"/>
  <c r="BI11" i="32"/>
  <c r="BJ20" i="32"/>
  <c r="BI10" i="32"/>
  <c r="AH6" i="31"/>
  <c r="AH9" i="31" s="1"/>
  <c r="AF20" i="31"/>
  <c r="AF22" i="31" s="1"/>
  <c r="AE22" i="31"/>
  <c r="AD18" i="31"/>
  <c r="AD26" i="31" s="1"/>
  <c r="AD19" i="31"/>
  <c r="AF16" i="31"/>
  <c r="AF17" i="31" s="1"/>
  <c r="AF21" i="31"/>
  <c r="AE16" i="31"/>
  <c r="AE17" i="31" s="1"/>
  <c r="AE21" i="31"/>
  <c r="AH12" i="31"/>
  <c r="AH13" i="31" s="1"/>
  <c r="AH11" i="31"/>
  <c r="BH21" i="32" l="1"/>
  <c r="BI13" i="32"/>
  <c r="BI17" i="32" s="1"/>
  <c r="BI12" i="32"/>
  <c r="BI16" i="32" s="1"/>
  <c r="AI6" i="31"/>
  <c r="AI9" i="31" s="1"/>
  <c r="AI5" i="31"/>
  <c r="AI11" i="31" s="1"/>
  <c r="AG20" i="31"/>
  <c r="AG22" i="31" s="1"/>
  <c r="BK20" i="32"/>
  <c r="BJ11" i="32"/>
  <c r="BJ10" i="32"/>
  <c r="AJ6" i="31"/>
  <c r="AJ9" i="31" s="1"/>
  <c r="AH14" i="31"/>
  <c r="AH15" i="31" s="1"/>
  <c r="AF18" i="31"/>
  <c r="AF26" i="31" s="1"/>
  <c r="AE18" i="31"/>
  <c r="AE26" i="31" s="1"/>
  <c r="AE19" i="31"/>
  <c r="AF19" i="31"/>
  <c r="AG16" i="31"/>
  <c r="AG19" i="31" s="1"/>
  <c r="AG21" i="31"/>
  <c r="AK25" i="31"/>
  <c r="AJ5" i="31"/>
  <c r="BI21" i="32" l="1"/>
  <c r="BJ13" i="32"/>
  <c r="BJ17" i="32" s="1"/>
  <c r="BJ12" i="32"/>
  <c r="BJ16" i="32" s="1"/>
  <c r="AH20" i="31"/>
  <c r="AH22" i="31" s="1"/>
  <c r="AI12" i="31"/>
  <c r="AI13" i="31" s="1"/>
  <c r="AI14" i="31" s="1"/>
  <c r="AI15" i="31" s="1"/>
  <c r="BL20" i="32"/>
  <c r="BK10" i="32"/>
  <c r="BK11" i="32"/>
  <c r="AK6" i="31"/>
  <c r="AK9" i="31" s="1"/>
  <c r="AG17" i="31"/>
  <c r="AG18" i="31"/>
  <c r="AG26" i="31" s="1"/>
  <c r="AH16" i="31"/>
  <c r="AH18" i="31" s="1"/>
  <c r="AH21" i="31"/>
  <c r="AJ12" i="31"/>
  <c r="AJ13" i="31" s="1"/>
  <c r="AJ14" i="31" s="1"/>
  <c r="AJ11" i="31"/>
  <c r="AL25" i="31"/>
  <c r="AK5" i="31"/>
  <c r="BJ21" i="32" l="1"/>
  <c r="BK13" i="32"/>
  <c r="BK17" i="32" s="1"/>
  <c r="BK12" i="32"/>
  <c r="BK16" i="32" s="1"/>
  <c r="AH26" i="31"/>
  <c r="AI20" i="31"/>
  <c r="AI22" i="31" s="1"/>
  <c r="BM20" i="32"/>
  <c r="BL11" i="32"/>
  <c r="BL10" i="32"/>
  <c r="AL6" i="31"/>
  <c r="AL9" i="31" s="1"/>
  <c r="AH17" i="31"/>
  <c r="AH19" i="31"/>
  <c r="AI16" i="31"/>
  <c r="AI18" i="31" s="1"/>
  <c r="AI21" i="31"/>
  <c r="AJ15" i="31"/>
  <c r="AK11" i="31"/>
  <c r="AK12" i="31"/>
  <c r="AK13" i="31" s="1"/>
  <c r="AK14" i="31" s="1"/>
  <c r="AM25" i="31"/>
  <c r="AL5" i="31"/>
  <c r="BK21" i="32" l="1"/>
  <c r="BL13" i="32"/>
  <c r="BL17" i="32" s="1"/>
  <c r="BL12" i="32"/>
  <c r="BL16" i="32" s="1"/>
  <c r="AJ20" i="31"/>
  <c r="AJ22" i="31" s="1"/>
  <c r="AI26" i="31"/>
  <c r="AI19" i="31"/>
  <c r="BN20" i="32"/>
  <c r="BM11" i="32"/>
  <c r="BM10" i="32"/>
  <c r="AM6" i="31"/>
  <c r="AM9" i="31" s="1"/>
  <c r="AJ16" i="31"/>
  <c r="AJ19" i="31" s="1"/>
  <c r="AJ21" i="31"/>
  <c r="AI17" i="31"/>
  <c r="AK15" i="31"/>
  <c r="AL11" i="31"/>
  <c r="AL12" i="31"/>
  <c r="AL13" i="31" s="1"/>
  <c r="AL14" i="31" s="1"/>
  <c r="AM5" i="31"/>
  <c r="AN25" i="31"/>
  <c r="BL21" i="32" l="1"/>
  <c r="BM12" i="32"/>
  <c r="BM16" i="32" s="1"/>
  <c r="BM13" i="32"/>
  <c r="BM17" i="32" s="1"/>
  <c r="AK20" i="31"/>
  <c r="AK22" i="31" s="1"/>
  <c r="AJ18" i="31"/>
  <c r="AJ26" i="31" s="1"/>
  <c r="BO20" i="32"/>
  <c r="BN11" i="32"/>
  <c r="BN10" i="32"/>
  <c r="AN6" i="31"/>
  <c r="AN9" i="31" s="1"/>
  <c r="AJ17" i="31"/>
  <c r="AK16" i="31"/>
  <c r="AK17" i="31" s="1"/>
  <c r="AK21" i="31"/>
  <c r="AM12" i="31"/>
  <c r="AM13" i="31" s="1"/>
  <c r="AM14" i="31" s="1"/>
  <c r="AM11" i="31"/>
  <c r="AL15" i="31"/>
  <c r="AO25" i="31"/>
  <c r="AN5" i="31"/>
  <c r="BM21" i="32" l="1"/>
  <c r="BN12" i="32"/>
  <c r="BN16" i="32" s="1"/>
  <c r="BN13" i="32"/>
  <c r="BN17" i="32" s="1"/>
  <c r="AL20" i="31"/>
  <c r="AL22" i="31" s="1"/>
  <c r="BP20" i="32"/>
  <c r="BO11" i="32"/>
  <c r="BO10" i="32"/>
  <c r="AK19" i="31"/>
  <c r="AK18" i="31"/>
  <c r="AK26" i="31" s="1"/>
  <c r="AO6" i="31"/>
  <c r="AO9" i="31" s="1"/>
  <c r="AL16" i="31"/>
  <c r="AL19" i="31" s="1"/>
  <c r="AL21" i="31"/>
  <c r="AM15" i="31"/>
  <c r="AN11" i="31"/>
  <c r="AN12" i="31"/>
  <c r="AN13" i="31" s="1"/>
  <c r="AN14" i="31" s="1"/>
  <c r="AO5" i="31"/>
  <c r="AP25" i="31"/>
  <c r="BN21" i="32" l="1"/>
  <c r="BO12" i="32"/>
  <c r="BO16" i="32" s="1"/>
  <c r="BO13" i="32"/>
  <c r="BO17" i="32" s="1"/>
  <c r="AM20" i="31"/>
  <c r="AM22" i="31" s="1"/>
  <c r="AL17" i="31"/>
  <c r="AL18" i="31"/>
  <c r="AL26" i="31" s="1"/>
  <c r="BQ20" i="32"/>
  <c r="BP11" i="32"/>
  <c r="BP10" i="32"/>
  <c r="AP6" i="31"/>
  <c r="AP9" i="31" s="1"/>
  <c r="AM16" i="31"/>
  <c r="AM19" i="31" s="1"/>
  <c r="AM21" i="31"/>
  <c r="AO11" i="31"/>
  <c r="AO12" i="31"/>
  <c r="AO13" i="31" s="1"/>
  <c r="AO14" i="31" s="1"/>
  <c r="AN15" i="31"/>
  <c r="AQ25" i="31"/>
  <c r="AP5" i="31"/>
  <c r="AN20" i="31" l="1"/>
  <c r="AN22" i="31" s="1"/>
  <c r="BO21" i="32"/>
  <c r="BP12" i="32"/>
  <c r="BP16" i="32" s="1"/>
  <c r="BP13" i="32"/>
  <c r="BP17" i="32" s="1"/>
  <c r="BR20" i="32"/>
  <c r="BQ11" i="32"/>
  <c r="BQ10" i="32"/>
  <c r="AQ6" i="31"/>
  <c r="AQ9" i="31" s="1"/>
  <c r="AM18" i="31"/>
  <c r="AM26" i="31" s="1"/>
  <c r="AM17" i="31"/>
  <c r="AN16" i="31"/>
  <c r="AN17" i="31" s="1"/>
  <c r="AN21" i="31"/>
  <c r="AO15" i="31"/>
  <c r="AP11" i="31"/>
  <c r="AP12" i="31"/>
  <c r="AP13" i="31" s="1"/>
  <c r="AP14" i="31" s="1"/>
  <c r="AR25" i="31"/>
  <c r="AQ5" i="31"/>
  <c r="AO20" i="31" l="1"/>
  <c r="AO22" i="31" s="1"/>
  <c r="BP21" i="32"/>
  <c r="BQ13" i="32"/>
  <c r="BQ17" i="32" s="1"/>
  <c r="BQ12" i="32"/>
  <c r="BQ16" i="32" s="1"/>
  <c r="BS20" i="32"/>
  <c r="BR11" i="32"/>
  <c r="BR10" i="32"/>
  <c r="AN19" i="31"/>
  <c r="AN18" i="31"/>
  <c r="AN26" i="31" s="1"/>
  <c r="AR6" i="31"/>
  <c r="AR9" i="31" s="1"/>
  <c r="AO16" i="31"/>
  <c r="AO17" i="31" s="1"/>
  <c r="AO21" i="31"/>
  <c r="AP15" i="31"/>
  <c r="AQ12" i="31"/>
  <c r="AQ13" i="31" s="1"/>
  <c r="AQ14" i="31" s="1"/>
  <c r="AQ11" i="31"/>
  <c r="AS25" i="31"/>
  <c r="AR5" i="31"/>
  <c r="AP20" i="31" l="1"/>
  <c r="AP22" i="31" s="1"/>
  <c r="BQ21" i="32"/>
  <c r="BR13" i="32"/>
  <c r="BR17" i="32" s="1"/>
  <c r="BR12" i="32"/>
  <c r="BR16" i="32" s="1"/>
  <c r="BT20" i="32"/>
  <c r="BS10" i="32"/>
  <c r="BS11" i="32"/>
  <c r="AS6" i="31"/>
  <c r="AS9" i="31" s="1"/>
  <c r="AO19" i="31"/>
  <c r="AO18" i="31"/>
  <c r="AO26" i="31" s="1"/>
  <c r="AP16" i="31"/>
  <c r="AP17" i="31" s="1"/>
  <c r="AP21" i="31"/>
  <c r="AQ15" i="31"/>
  <c r="AR11" i="31"/>
  <c r="AR12" i="31"/>
  <c r="AR13" i="31" s="1"/>
  <c r="AR14" i="31" s="1"/>
  <c r="AT25" i="31"/>
  <c r="AS5" i="31"/>
  <c r="AQ20" i="31" l="1"/>
  <c r="AQ22" i="31" s="1"/>
  <c r="BR21" i="32"/>
  <c r="BS13" i="32"/>
  <c r="BS17" i="32" s="1"/>
  <c r="BS12" i="32"/>
  <c r="BS16" i="32" s="1"/>
  <c r="AP19" i="31"/>
  <c r="BU20" i="32"/>
  <c r="BT11" i="32"/>
  <c r="BT10" i="32"/>
  <c r="AT6" i="31"/>
  <c r="AT9" i="31" s="1"/>
  <c r="AP18" i="31"/>
  <c r="AP26" i="31" s="1"/>
  <c r="AQ16" i="31"/>
  <c r="AQ17" i="31" s="1"/>
  <c r="AQ21" i="31"/>
  <c r="AR15" i="31"/>
  <c r="AS11" i="31"/>
  <c r="AS12" i="31"/>
  <c r="AS13" i="31" s="1"/>
  <c r="AS14" i="31" s="1"/>
  <c r="AU25" i="31"/>
  <c r="AT5" i="31"/>
  <c r="AR20" i="31" l="1"/>
  <c r="AR22" i="31" s="1"/>
  <c r="BS21" i="32"/>
  <c r="BT13" i="32"/>
  <c r="BT17" i="32" s="1"/>
  <c r="BT12" i="32"/>
  <c r="BT16" i="32" s="1"/>
  <c r="BV20" i="32"/>
  <c r="BU11" i="32"/>
  <c r="BU10" i="32"/>
  <c r="AU6" i="31"/>
  <c r="AU9" i="31" s="1"/>
  <c r="AQ19" i="31"/>
  <c r="AQ18" i="31"/>
  <c r="AQ26" i="31" s="1"/>
  <c r="AR16" i="31"/>
  <c r="AR19" i="31" s="1"/>
  <c r="AR21" i="31"/>
  <c r="AS15" i="31"/>
  <c r="AT11" i="31"/>
  <c r="AT12" i="31"/>
  <c r="AT13" i="31" s="1"/>
  <c r="AT14" i="31" s="1"/>
  <c r="AU5" i="31"/>
  <c r="AV25" i="31"/>
  <c r="AS20" i="31" l="1"/>
  <c r="AS22" i="31" s="1"/>
  <c r="BT21" i="32"/>
  <c r="BU12" i="32"/>
  <c r="BU16" i="32" s="1"/>
  <c r="BU13" i="32"/>
  <c r="BU17" i="32" s="1"/>
  <c r="AR18" i="31"/>
  <c r="AR26" i="31" s="1"/>
  <c r="BW20" i="32"/>
  <c r="BV11" i="32"/>
  <c r="BV10" i="32"/>
  <c r="AV6" i="31"/>
  <c r="AV9" i="31" s="1"/>
  <c r="AR17" i="31"/>
  <c r="AS16" i="31"/>
  <c r="AS19" i="31" s="1"/>
  <c r="AS21" i="31"/>
  <c r="AU11" i="31"/>
  <c r="AU12" i="31"/>
  <c r="AU13" i="31" s="1"/>
  <c r="AU14" i="31" s="1"/>
  <c r="AT15" i="31"/>
  <c r="AV5" i="31"/>
  <c r="AW25" i="31"/>
  <c r="AT20" i="31" l="1"/>
  <c r="AT22" i="31" s="1"/>
  <c r="BU21" i="32"/>
  <c r="BV12" i="32"/>
  <c r="BV16" i="32" s="1"/>
  <c r="BV13" i="32"/>
  <c r="BV17" i="32" s="1"/>
  <c r="BX20" i="32"/>
  <c r="BW11" i="32"/>
  <c r="BW10" i="32"/>
  <c r="AW6" i="31"/>
  <c r="AW9" i="31" s="1"/>
  <c r="AS18" i="31"/>
  <c r="AS26" i="31" s="1"/>
  <c r="AS17" i="31"/>
  <c r="AT16" i="31"/>
  <c r="AT19" i="31" s="1"/>
  <c r="AT21" i="31"/>
  <c r="AV11" i="31"/>
  <c r="AV12" i="31"/>
  <c r="AV13" i="31" s="1"/>
  <c r="AV14" i="31" s="1"/>
  <c r="AU15" i="31"/>
  <c r="AX25" i="31"/>
  <c r="AW5" i="31"/>
  <c r="AU20" i="31" l="1"/>
  <c r="AU22" i="31" s="1"/>
  <c r="BV21" i="32"/>
  <c r="BW12" i="32"/>
  <c r="BW16" i="32" s="1"/>
  <c r="BW13" i="32"/>
  <c r="BW17" i="32" s="1"/>
  <c r="AT18" i="31"/>
  <c r="AT26" i="31" s="1"/>
  <c r="AT17" i="31"/>
  <c r="BY20" i="32"/>
  <c r="BX11" i="32"/>
  <c r="BX10" i="32"/>
  <c r="AX6" i="31"/>
  <c r="AX9" i="31" s="1"/>
  <c r="AU16" i="31"/>
  <c r="AU19" i="31" s="1"/>
  <c r="AU21" i="31"/>
  <c r="AV15" i="31"/>
  <c r="AV20" i="31" s="1"/>
  <c r="AV22" i="31" s="1"/>
  <c r="AW11" i="31"/>
  <c r="AW12" i="31"/>
  <c r="AW13" i="31" s="1"/>
  <c r="AW14" i="31" s="1"/>
  <c r="AX5" i="31"/>
  <c r="AY25" i="31"/>
  <c r="BW21" i="32" l="1"/>
  <c r="BX12" i="32"/>
  <c r="BX16" i="32" s="1"/>
  <c r="BX13" i="32"/>
  <c r="BX17" i="32" s="1"/>
  <c r="BZ20" i="32"/>
  <c r="BY11" i="32"/>
  <c r="BY10" i="32"/>
  <c r="AY6" i="31"/>
  <c r="AY9" i="31" s="1"/>
  <c r="AU17" i="31"/>
  <c r="AV16" i="31"/>
  <c r="AV18" i="31" s="1"/>
  <c r="AV26" i="31" s="1"/>
  <c r="AV21" i="31"/>
  <c r="AU18" i="31"/>
  <c r="AU26" i="31" s="1"/>
  <c r="AX11" i="31"/>
  <c r="AX12" i="31"/>
  <c r="AX13" i="31" s="1"/>
  <c r="AX14" i="31" s="1"/>
  <c r="AW15" i="31"/>
  <c r="AW20" i="31" s="1"/>
  <c r="AW22" i="31" s="1"/>
  <c r="AZ25" i="31"/>
  <c r="AY5" i="31"/>
  <c r="BX21" i="32" l="1"/>
  <c r="BY13" i="32"/>
  <c r="BY17" i="32" s="1"/>
  <c r="BY12" i="32"/>
  <c r="BY16" i="32" s="1"/>
  <c r="CA20" i="32"/>
  <c r="BZ11" i="32"/>
  <c r="BZ10" i="32"/>
  <c r="AZ6" i="31"/>
  <c r="AZ9" i="31" s="1"/>
  <c r="AW16" i="31"/>
  <c r="AW17" i="31" s="1"/>
  <c r="AW21" i="31"/>
  <c r="AV17" i="31"/>
  <c r="AV19" i="31"/>
  <c r="AX15" i="31"/>
  <c r="AX20" i="31" s="1"/>
  <c r="AX22" i="31" s="1"/>
  <c r="AY12" i="31"/>
  <c r="AY13" i="31" s="1"/>
  <c r="AY14" i="31" s="1"/>
  <c r="AY11" i="31"/>
  <c r="BA25" i="31"/>
  <c r="AZ5" i="31"/>
  <c r="BY21" i="32" l="1"/>
  <c r="BZ13" i="32"/>
  <c r="BZ17" i="32" s="1"/>
  <c r="BZ12" i="32"/>
  <c r="BZ16" i="32" s="1"/>
  <c r="CB20" i="32"/>
  <c r="CA11" i="32"/>
  <c r="CA10" i="32"/>
  <c r="BA6" i="31"/>
  <c r="BA9" i="31" s="1"/>
  <c r="AW19" i="31"/>
  <c r="AX16" i="31"/>
  <c r="AX18" i="31" s="1"/>
  <c r="AX26" i="31" s="1"/>
  <c r="AX21" i="31"/>
  <c r="AW18" i="31"/>
  <c r="AW26" i="31" s="1"/>
  <c r="AY15" i="31"/>
  <c r="AY20" i="31" s="1"/>
  <c r="AY22" i="31" s="1"/>
  <c r="AZ11" i="31"/>
  <c r="AZ12" i="31"/>
  <c r="AZ13" i="31" s="1"/>
  <c r="AZ14" i="31" s="1"/>
  <c r="BA5" i="31"/>
  <c r="BB25" i="31"/>
  <c r="BZ21" i="32" l="1"/>
  <c r="CA13" i="32"/>
  <c r="CA17" i="32" s="1"/>
  <c r="CA12" i="32"/>
  <c r="CA16" i="32" s="1"/>
  <c r="CC20" i="32"/>
  <c r="CB11" i="32"/>
  <c r="CB10" i="32"/>
  <c r="AX17" i="31"/>
  <c r="AX19" i="31"/>
  <c r="BB6" i="31"/>
  <c r="BB9" i="31" s="1"/>
  <c r="AY16" i="31"/>
  <c r="AY18" i="31" s="1"/>
  <c r="AY26" i="31" s="1"/>
  <c r="AY21" i="31"/>
  <c r="BA11" i="31"/>
  <c r="BA12" i="31"/>
  <c r="BA13" i="31" s="1"/>
  <c r="BA14" i="31" s="1"/>
  <c r="AZ15" i="31"/>
  <c r="AZ20" i="31" s="1"/>
  <c r="AZ22" i="31" s="1"/>
  <c r="BC25" i="31"/>
  <c r="BB5" i="31"/>
  <c r="CA21" i="32" l="1"/>
  <c r="CB13" i="32"/>
  <c r="CB17" i="32" s="1"/>
  <c r="CB12" i="32"/>
  <c r="CB16" i="32" s="1"/>
  <c r="CD20" i="32"/>
  <c r="CC10" i="32"/>
  <c r="CC11" i="32"/>
  <c r="BC6" i="31"/>
  <c r="BC9" i="31" s="1"/>
  <c r="AZ16" i="31"/>
  <c r="AZ19" i="31" s="1"/>
  <c r="AZ21" i="31"/>
  <c r="AY17" i="31"/>
  <c r="AY19" i="31"/>
  <c r="BA15" i="31"/>
  <c r="BA20" i="31" s="1"/>
  <c r="BA22" i="31" s="1"/>
  <c r="BB11" i="31"/>
  <c r="BB12" i="31"/>
  <c r="BB13" i="31" s="1"/>
  <c r="BB14" i="31" s="1"/>
  <c r="BC5" i="31"/>
  <c r="BD25" i="31"/>
  <c r="CB21" i="32" l="1"/>
  <c r="CC12" i="32"/>
  <c r="CC16" i="32" s="1"/>
  <c r="CC13" i="32"/>
  <c r="CC17" i="32" s="1"/>
  <c r="CE20" i="32"/>
  <c r="CD11" i="32"/>
  <c r="CD10" i="32"/>
  <c r="BD6" i="31"/>
  <c r="BD9" i="31" s="1"/>
  <c r="AZ17" i="31"/>
  <c r="AZ18" i="31"/>
  <c r="AZ26" i="31" s="1"/>
  <c r="BA16" i="31"/>
  <c r="BA17" i="31" s="1"/>
  <c r="BA21" i="31"/>
  <c r="BC12" i="31"/>
  <c r="BC13" i="31" s="1"/>
  <c r="BC14" i="31" s="1"/>
  <c r="BC11" i="31"/>
  <c r="BB15" i="31"/>
  <c r="BB20" i="31" s="1"/>
  <c r="BB22" i="31" s="1"/>
  <c r="BD5" i="31"/>
  <c r="BE25" i="31"/>
  <c r="CC21" i="32" l="1"/>
  <c r="CD12" i="32"/>
  <c r="CD16" i="32" s="1"/>
  <c r="CD13" i="32"/>
  <c r="CD17" i="32" s="1"/>
  <c r="CF20" i="32"/>
  <c r="CE11" i="32"/>
  <c r="CE10" i="32"/>
  <c r="BE6" i="31"/>
  <c r="BE9" i="31" s="1"/>
  <c r="BA18" i="31"/>
  <c r="BA26" i="31" s="1"/>
  <c r="BB16" i="31"/>
  <c r="BB19" i="31" s="1"/>
  <c r="BB21" i="31"/>
  <c r="BA19" i="31"/>
  <c r="BD11" i="31"/>
  <c r="BD12" i="31"/>
  <c r="BD13" i="31" s="1"/>
  <c r="BD14" i="31" s="1"/>
  <c r="BC15" i="31"/>
  <c r="BC20" i="31" s="1"/>
  <c r="BC22" i="31" s="1"/>
  <c r="BE5" i="31"/>
  <c r="BF25" i="31"/>
  <c r="CD21" i="32" l="1"/>
  <c r="CE12" i="32"/>
  <c r="CE16" i="32" s="1"/>
  <c r="CE13" i="32"/>
  <c r="CE17" i="32" s="1"/>
  <c r="CG20" i="32"/>
  <c r="CF11" i="32"/>
  <c r="CF10" i="32"/>
  <c r="BB18" i="31"/>
  <c r="BB26" i="31" s="1"/>
  <c r="BF6" i="31"/>
  <c r="BF9" i="31" s="1"/>
  <c r="BB17" i="31"/>
  <c r="BC16" i="31"/>
  <c r="BC19" i="31" s="1"/>
  <c r="BC21" i="31"/>
  <c r="BD15" i="31"/>
  <c r="BD20" i="31" s="1"/>
  <c r="BD22" i="31" s="1"/>
  <c r="BE11" i="31"/>
  <c r="BE12" i="31"/>
  <c r="BE13" i="31" s="1"/>
  <c r="BE14" i="31" s="1"/>
  <c r="BG25" i="31"/>
  <c r="BF5" i="31"/>
  <c r="CE21" i="32" l="1"/>
  <c r="CF12" i="32"/>
  <c r="CF16" i="32" s="1"/>
  <c r="CF13" i="32"/>
  <c r="CF17" i="32" s="1"/>
  <c r="BC18" i="31"/>
  <c r="BC26" i="31" s="1"/>
  <c r="BC17" i="31"/>
  <c r="CH20" i="32"/>
  <c r="CG11" i="32"/>
  <c r="CG10" i="32"/>
  <c r="BG6" i="31"/>
  <c r="BG9" i="31" s="1"/>
  <c r="BD16" i="31"/>
  <c r="BD18" i="31" s="1"/>
  <c r="BD26" i="31" s="1"/>
  <c r="BD21" i="31"/>
  <c r="BE15" i="31"/>
  <c r="BE20" i="31" s="1"/>
  <c r="BE22" i="31" s="1"/>
  <c r="BF12" i="31"/>
  <c r="BF13" i="31" s="1"/>
  <c r="BF14" i="31" s="1"/>
  <c r="BF11" i="31"/>
  <c r="BH25" i="31"/>
  <c r="BG5" i="31"/>
  <c r="CF21" i="32" l="1"/>
  <c r="CG13" i="32"/>
  <c r="CG17" i="32" s="1"/>
  <c r="CG12" i="32"/>
  <c r="CG16" i="32" s="1"/>
  <c r="CI20" i="32"/>
  <c r="CH10" i="32"/>
  <c r="CH11" i="32"/>
  <c r="BH6" i="31"/>
  <c r="BH9" i="31" s="1"/>
  <c r="BD17" i="31"/>
  <c r="BD19" i="31"/>
  <c r="BE16" i="31"/>
  <c r="BE17" i="31" s="1"/>
  <c r="BE21" i="31"/>
  <c r="BF15" i="31"/>
  <c r="BF20" i="31" s="1"/>
  <c r="BF22" i="31" s="1"/>
  <c r="BG12" i="31"/>
  <c r="BG13" i="31" s="1"/>
  <c r="BG14" i="31" s="1"/>
  <c r="BG11" i="31"/>
  <c r="BI25" i="31"/>
  <c r="BH5" i="31"/>
  <c r="CG21" i="32" l="1"/>
  <c r="CH13" i="32"/>
  <c r="CH17" i="32" s="1"/>
  <c r="CH12" i="32"/>
  <c r="CH16" i="32" s="1"/>
  <c r="BE19" i="31"/>
  <c r="BE18" i="31"/>
  <c r="BE26" i="31" s="1"/>
  <c r="CJ20" i="32"/>
  <c r="CI10" i="32"/>
  <c r="CI11" i="32"/>
  <c r="BI6" i="31"/>
  <c r="BI9" i="31" s="1"/>
  <c r="BF16" i="31"/>
  <c r="BF18" i="31" s="1"/>
  <c r="BF26" i="31" s="1"/>
  <c r="BF21" i="31"/>
  <c r="BG15" i="31"/>
  <c r="BG20" i="31" s="1"/>
  <c r="BG22" i="31" s="1"/>
  <c r="BH11" i="31"/>
  <c r="BH12" i="31"/>
  <c r="BH13" i="31" s="1"/>
  <c r="BH14" i="31" s="1"/>
  <c r="BJ25" i="31"/>
  <c r="BI5" i="31"/>
  <c r="CH21" i="32" l="1"/>
  <c r="CI13" i="32"/>
  <c r="CI17" i="32" s="1"/>
  <c r="CI12" i="32"/>
  <c r="CI16" i="32" s="1"/>
  <c r="BF19" i="31"/>
  <c r="BF17" i="31"/>
  <c r="CK20" i="32"/>
  <c r="CJ11" i="32"/>
  <c r="CJ10" i="32"/>
  <c r="BJ6" i="31"/>
  <c r="BJ9" i="31" s="1"/>
  <c r="BG16" i="31"/>
  <c r="BG18" i="31" s="1"/>
  <c r="BG26" i="31" s="1"/>
  <c r="BG21" i="31"/>
  <c r="BH15" i="31"/>
  <c r="BH20" i="31" s="1"/>
  <c r="BH22" i="31" s="1"/>
  <c r="BI11" i="31"/>
  <c r="BI12" i="31"/>
  <c r="BI13" i="31" s="1"/>
  <c r="BI14" i="31" s="1"/>
  <c r="BK25" i="31"/>
  <c r="BJ5" i="31"/>
  <c r="CI21" i="32" l="1"/>
  <c r="CJ13" i="32"/>
  <c r="CJ17" i="32" s="1"/>
  <c r="CJ12" i="32"/>
  <c r="CJ16" i="32" s="1"/>
  <c r="BG17" i="31"/>
  <c r="BG19" i="31"/>
  <c r="CL20" i="32"/>
  <c r="CK11" i="32"/>
  <c r="CK10" i="32"/>
  <c r="BK6" i="31"/>
  <c r="BK9" i="31" s="1"/>
  <c r="BH16" i="31"/>
  <c r="BH17" i="31" s="1"/>
  <c r="BH21" i="31"/>
  <c r="BI15" i="31"/>
  <c r="BI20" i="31" s="1"/>
  <c r="BI22" i="31" s="1"/>
  <c r="BJ11" i="31"/>
  <c r="BJ12" i="31"/>
  <c r="BJ13" i="31" s="1"/>
  <c r="BJ14" i="31" s="1"/>
  <c r="BK5" i="31"/>
  <c r="BL25" i="31"/>
  <c r="CJ21" i="32" l="1"/>
  <c r="CK12" i="32"/>
  <c r="CK16" i="32" s="1"/>
  <c r="CK13" i="32"/>
  <c r="CK17" i="32" s="1"/>
  <c r="BH19" i="31"/>
  <c r="BH18" i="31"/>
  <c r="BH26" i="31" s="1"/>
  <c r="CM20" i="32"/>
  <c r="CL11" i="32"/>
  <c r="CL10" i="32"/>
  <c r="BL6" i="31"/>
  <c r="BL9" i="31" s="1"/>
  <c r="BI16" i="31"/>
  <c r="BI18" i="31" s="1"/>
  <c r="BI26" i="31" s="1"/>
  <c r="BI21" i="31"/>
  <c r="BK11" i="31"/>
  <c r="BK12" i="31"/>
  <c r="BK13" i="31" s="1"/>
  <c r="BK14" i="31" s="1"/>
  <c r="BJ15" i="31"/>
  <c r="BJ20" i="31" s="1"/>
  <c r="BJ22" i="31" s="1"/>
  <c r="BL5" i="31"/>
  <c r="BM25" i="31"/>
  <c r="CK21" i="32" l="1"/>
  <c r="CL12" i="32"/>
  <c r="CL16" i="32" s="1"/>
  <c r="CL13" i="32"/>
  <c r="CL17" i="32" s="1"/>
  <c r="BI17" i="31"/>
  <c r="CN20" i="32"/>
  <c r="CM11" i="32"/>
  <c r="CM10" i="32"/>
  <c r="BM6" i="31"/>
  <c r="BM9" i="31" s="1"/>
  <c r="BI19" i="31"/>
  <c r="BJ16" i="31"/>
  <c r="BJ17" i="31" s="1"/>
  <c r="BJ21" i="31"/>
  <c r="BL11" i="31"/>
  <c r="BL12" i="31"/>
  <c r="BL13" i="31" s="1"/>
  <c r="BL14" i="31" s="1"/>
  <c r="BK15" i="31"/>
  <c r="BK20" i="31" s="1"/>
  <c r="BK22" i="31" s="1"/>
  <c r="BM5" i="31"/>
  <c r="BN25" i="31"/>
  <c r="CL21" i="32" l="1"/>
  <c r="CM12" i="32"/>
  <c r="CM16" i="32" s="1"/>
  <c r="CM13" i="32"/>
  <c r="CM17" i="32" s="1"/>
  <c r="CO20" i="32"/>
  <c r="CN11" i="32"/>
  <c r="CN10" i="32"/>
  <c r="BJ19" i="31"/>
  <c r="BJ18" i="31"/>
  <c r="BJ26" i="31" s="1"/>
  <c r="BN6" i="31"/>
  <c r="BN9" i="31" s="1"/>
  <c r="BK16" i="31"/>
  <c r="BK19" i="31" s="1"/>
  <c r="BK21" i="31"/>
  <c r="BL15" i="31"/>
  <c r="BL20" i="31" s="1"/>
  <c r="BL22" i="31" s="1"/>
  <c r="BM11" i="31"/>
  <c r="BM12" i="31"/>
  <c r="BM13" i="31" s="1"/>
  <c r="BM14" i="31" s="1"/>
  <c r="BO25" i="31"/>
  <c r="BN5" i="31"/>
  <c r="CM21" i="32" l="1"/>
  <c r="CN12" i="32"/>
  <c r="CN16" i="32" s="1"/>
  <c r="CN13" i="32"/>
  <c r="CN17" i="32" s="1"/>
  <c r="BK18" i="31"/>
  <c r="BK26" i="31" s="1"/>
  <c r="CO11" i="32"/>
  <c r="CP20" i="32"/>
  <c r="CO10" i="32"/>
  <c r="BO6" i="31"/>
  <c r="BO9" i="31" s="1"/>
  <c r="BK17" i="31"/>
  <c r="BL16" i="31"/>
  <c r="BL18" i="31" s="1"/>
  <c r="BL26" i="31" s="1"/>
  <c r="BL21" i="31"/>
  <c r="BM15" i="31"/>
  <c r="BM20" i="31" s="1"/>
  <c r="BM22" i="31" s="1"/>
  <c r="BN12" i="31"/>
  <c r="BN13" i="31" s="1"/>
  <c r="BN14" i="31" s="1"/>
  <c r="BN11" i="31"/>
  <c r="BP25" i="31"/>
  <c r="BO5" i="31"/>
  <c r="CN21" i="32" l="1"/>
  <c r="CO13" i="32"/>
  <c r="CO17" i="32" s="1"/>
  <c r="CO12" i="32"/>
  <c r="CO16" i="32" s="1"/>
  <c r="CQ20" i="32"/>
  <c r="CP11" i="32"/>
  <c r="CP10" i="32"/>
  <c r="BL17" i="31"/>
  <c r="BL19" i="31"/>
  <c r="BP6" i="31"/>
  <c r="BP9" i="31" s="1"/>
  <c r="BM16" i="31"/>
  <c r="BM18" i="31" s="1"/>
  <c r="BM26" i="31" s="1"/>
  <c r="BM21" i="31"/>
  <c r="BN15" i="31"/>
  <c r="BN20" i="31" s="1"/>
  <c r="BN22" i="31" s="1"/>
  <c r="BO12" i="31"/>
  <c r="BO13" i="31" s="1"/>
  <c r="BO14" i="31" s="1"/>
  <c r="BO11" i="31"/>
  <c r="BQ25" i="31"/>
  <c r="BP5" i="31"/>
  <c r="CO21" i="32" l="1"/>
  <c r="CP13" i="32"/>
  <c r="CP17" i="32" s="1"/>
  <c r="CP12" i="32"/>
  <c r="CP16" i="32" s="1"/>
  <c r="BM19" i="31"/>
  <c r="BM17" i="31"/>
  <c r="CR20" i="32"/>
  <c r="CQ11" i="32"/>
  <c r="CQ10" i="32"/>
  <c r="BQ6" i="31"/>
  <c r="BQ9" i="31" s="1"/>
  <c r="BN16" i="31"/>
  <c r="BN18" i="31" s="1"/>
  <c r="BN26" i="31" s="1"/>
  <c r="BN21" i="31"/>
  <c r="BO15" i="31"/>
  <c r="BO20" i="31" s="1"/>
  <c r="BO22" i="31" s="1"/>
  <c r="BP12" i="31"/>
  <c r="BP13" i="31" s="1"/>
  <c r="BP14" i="31" s="1"/>
  <c r="BP11" i="31"/>
  <c r="BR25" i="31"/>
  <c r="BQ5" i="31"/>
  <c r="CP21" i="32" l="1"/>
  <c r="CQ13" i="32"/>
  <c r="CQ17" i="32" s="1"/>
  <c r="CQ12" i="32"/>
  <c r="CQ16" i="32" s="1"/>
  <c r="BN17" i="31"/>
  <c r="CS20" i="32"/>
  <c r="CR11" i="32"/>
  <c r="CR10" i="32"/>
  <c r="BR6" i="31"/>
  <c r="BR9" i="31" s="1"/>
  <c r="BN19" i="31"/>
  <c r="BO16" i="31"/>
  <c r="BO18" i="31" s="1"/>
  <c r="BO26" i="31" s="1"/>
  <c r="BO21" i="31"/>
  <c r="BP15" i="31"/>
  <c r="BP20" i="31" s="1"/>
  <c r="BP22" i="31" s="1"/>
  <c r="BQ11" i="31"/>
  <c r="BQ12" i="31"/>
  <c r="BQ13" i="31" s="1"/>
  <c r="BQ14" i="31" s="1"/>
  <c r="BS25" i="31"/>
  <c r="BR5" i="31"/>
  <c r="CQ21" i="32" l="1"/>
  <c r="CR13" i="32"/>
  <c r="CR17" i="32" s="1"/>
  <c r="CR12" i="32"/>
  <c r="CR16" i="32" s="1"/>
  <c r="CT20" i="32"/>
  <c r="CS11" i="32"/>
  <c r="CS10" i="32"/>
  <c r="BO19" i="31"/>
  <c r="BS6" i="31"/>
  <c r="BS9" i="31" s="1"/>
  <c r="BP16" i="31"/>
  <c r="BP19" i="31" s="1"/>
  <c r="BP21" i="31"/>
  <c r="BO17" i="31"/>
  <c r="BQ15" i="31"/>
  <c r="BQ20" i="31" s="1"/>
  <c r="BQ22" i="31" s="1"/>
  <c r="BR11" i="31"/>
  <c r="BR12" i="31"/>
  <c r="BR13" i="31" s="1"/>
  <c r="BR14" i="31" s="1"/>
  <c r="BS5" i="31"/>
  <c r="BT25" i="31"/>
  <c r="CR21" i="32" l="1"/>
  <c r="CS12" i="32"/>
  <c r="CS16" i="32" s="1"/>
  <c r="CS13" i="32"/>
  <c r="CS17" i="32" s="1"/>
  <c r="CU20" i="32"/>
  <c r="CT11" i="32"/>
  <c r="CT10" i="32"/>
  <c r="BP18" i="31"/>
  <c r="BP26" i="31" s="1"/>
  <c r="BP17" i="31"/>
  <c r="BT6" i="31"/>
  <c r="BT9" i="31" s="1"/>
  <c r="BQ16" i="31"/>
  <c r="BQ19" i="31" s="1"/>
  <c r="BQ21" i="31"/>
  <c r="BS12" i="31"/>
  <c r="BS13" i="31" s="1"/>
  <c r="BS14" i="31" s="1"/>
  <c r="BS11" i="31"/>
  <c r="BR15" i="31"/>
  <c r="BR20" i="31" s="1"/>
  <c r="BR22" i="31" s="1"/>
  <c r="BU25" i="31"/>
  <c r="BT5" i="31"/>
  <c r="CS21" i="32" l="1"/>
  <c r="CT12" i="32"/>
  <c r="CT16" i="32" s="1"/>
  <c r="CT13" i="32"/>
  <c r="CT17" i="32" s="1"/>
  <c r="BQ17" i="31"/>
  <c r="CV20" i="32"/>
  <c r="CU11" i="32"/>
  <c r="CU10" i="32"/>
  <c r="BU6" i="31"/>
  <c r="BU9" i="31" s="1"/>
  <c r="BQ18" i="31"/>
  <c r="BQ26" i="31" s="1"/>
  <c r="BR16" i="31"/>
  <c r="BR19" i="31" s="1"/>
  <c r="BR21" i="31"/>
  <c r="BS15" i="31"/>
  <c r="BS20" i="31" s="1"/>
  <c r="BS22" i="31" s="1"/>
  <c r="BT11" i="31"/>
  <c r="BT12" i="31"/>
  <c r="BT13" i="31" s="1"/>
  <c r="BT14" i="31" s="1"/>
  <c r="BV25" i="31"/>
  <c r="BU5" i="31"/>
  <c r="CT21" i="32" l="1"/>
  <c r="CU12" i="32"/>
  <c r="CU16" i="32" s="1"/>
  <c r="CU13" i="32"/>
  <c r="CU17" i="32" s="1"/>
  <c r="CW20" i="32"/>
  <c r="CV11" i="32"/>
  <c r="CV10" i="32"/>
  <c r="BR18" i="31"/>
  <c r="BR26" i="31" s="1"/>
  <c r="BR17" i="31"/>
  <c r="BV6" i="31"/>
  <c r="BV9" i="31" s="1"/>
  <c r="BS16" i="31"/>
  <c r="BS18" i="31" s="1"/>
  <c r="BS26" i="31" s="1"/>
  <c r="BS21" i="31"/>
  <c r="BT15" i="31"/>
  <c r="BT20" i="31" s="1"/>
  <c r="BT22" i="31" s="1"/>
  <c r="BU11" i="31"/>
  <c r="BU12" i="31"/>
  <c r="BU13" i="31" s="1"/>
  <c r="BU14" i="31" s="1"/>
  <c r="BW25" i="31"/>
  <c r="BV5" i="31"/>
  <c r="CU21" i="32" l="1"/>
  <c r="CV12" i="32"/>
  <c r="CV16" i="32" s="1"/>
  <c r="CV13" i="32"/>
  <c r="CV17" i="32" s="1"/>
  <c r="CX20" i="32"/>
  <c r="CW11" i="32"/>
  <c r="CW10" i="32"/>
  <c r="BW6" i="31"/>
  <c r="BW9" i="31" s="1"/>
  <c r="BS17" i="31"/>
  <c r="BS19" i="31"/>
  <c r="BT16" i="31"/>
  <c r="BT17" i="31" s="1"/>
  <c r="BT21" i="31"/>
  <c r="BU15" i="31"/>
  <c r="BU20" i="31" s="1"/>
  <c r="BU22" i="31" s="1"/>
  <c r="BV11" i="31"/>
  <c r="BV12" i="31"/>
  <c r="BV13" i="31" s="1"/>
  <c r="BV14" i="31" s="1"/>
  <c r="BX25" i="31"/>
  <c r="BW5" i="31"/>
  <c r="CV21" i="32" l="1"/>
  <c r="CW13" i="32"/>
  <c r="CW17" i="32" s="1"/>
  <c r="CW12" i="32"/>
  <c r="CW16" i="32" s="1"/>
  <c r="CY20" i="32"/>
  <c r="CX11" i="32"/>
  <c r="CX10" i="32"/>
  <c r="BX6" i="31"/>
  <c r="BX9" i="31" s="1"/>
  <c r="BT19" i="31"/>
  <c r="BT18" i="31"/>
  <c r="BT26" i="31" s="1"/>
  <c r="BU16" i="31"/>
  <c r="BU18" i="31" s="1"/>
  <c r="BU26" i="31" s="1"/>
  <c r="BU21" i="31"/>
  <c r="BV15" i="31"/>
  <c r="BV20" i="31" s="1"/>
  <c r="BV22" i="31" s="1"/>
  <c r="BW11" i="31"/>
  <c r="BW12" i="31"/>
  <c r="BW13" i="31" s="1"/>
  <c r="BW14" i="31" s="1"/>
  <c r="BY25" i="31"/>
  <c r="BX5" i="31"/>
  <c r="CW21" i="32" l="1"/>
  <c r="CX13" i="32"/>
  <c r="CX17" i="32" s="1"/>
  <c r="CX12" i="32"/>
  <c r="CX16" i="32" s="1"/>
  <c r="CZ20" i="32"/>
  <c r="CY10" i="32"/>
  <c r="CY11" i="32"/>
  <c r="BY6" i="31"/>
  <c r="BY9" i="31" s="1"/>
  <c r="BU19" i="31"/>
  <c r="BU17" i="31"/>
  <c r="BV16" i="31"/>
  <c r="BV18" i="31" s="1"/>
  <c r="BV26" i="31" s="1"/>
  <c r="BV21" i="31"/>
  <c r="BW15" i="31"/>
  <c r="BW20" i="31" s="1"/>
  <c r="BW22" i="31" s="1"/>
  <c r="BX11" i="31"/>
  <c r="BX12" i="31"/>
  <c r="BX13" i="31" s="1"/>
  <c r="BX14" i="31" s="1"/>
  <c r="BZ25" i="31"/>
  <c r="BY5" i="31"/>
  <c r="CX21" i="32" l="1"/>
  <c r="CY13" i="32"/>
  <c r="CY17" i="32" s="1"/>
  <c r="CY12" i="32"/>
  <c r="CY16" i="32" s="1"/>
  <c r="BV17" i="31"/>
  <c r="DA20" i="32"/>
  <c r="CZ11" i="32"/>
  <c r="CZ10" i="32"/>
  <c r="BZ6" i="31"/>
  <c r="BZ9" i="31" s="1"/>
  <c r="BV19" i="31"/>
  <c r="BW16" i="31"/>
  <c r="BW18" i="31" s="1"/>
  <c r="BW26" i="31" s="1"/>
  <c r="BW21" i="31"/>
  <c r="BX15" i="31"/>
  <c r="BX20" i="31" s="1"/>
  <c r="BX22" i="31" s="1"/>
  <c r="BY11" i="31"/>
  <c r="BY12" i="31"/>
  <c r="BY13" i="31" s="1"/>
  <c r="BY14" i="31" s="1"/>
  <c r="CA25" i="31"/>
  <c r="BZ5" i="31"/>
  <c r="CY21" i="32" l="1"/>
  <c r="CZ13" i="32"/>
  <c r="CZ17" i="32" s="1"/>
  <c r="CZ12" i="32"/>
  <c r="CZ16" i="32" s="1"/>
  <c r="DB20" i="32"/>
  <c r="DA10" i="32"/>
  <c r="DA11" i="32"/>
  <c r="CA6" i="31"/>
  <c r="CA9" i="31" s="1"/>
  <c r="BW17" i="31"/>
  <c r="BW19" i="31"/>
  <c r="BX16" i="31"/>
  <c r="BX18" i="31" s="1"/>
  <c r="BX26" i="31" s="1"/>
  <c r="BX21" i="31"/>
  <c r="BY15" i="31"/>
  <c r="BY20" i="31" s="1"/>
  <c r="BY22" i="31" s="1"/>
  <c r="BZ11" i="31"/>
  <c r="BZ12" i="31"/>
  <c r="BZ13" i="31" s="1"/>
  <c r="BZ14" i="31" s="1"/>
  <c r="CA5" i="31"/>
  <c r="CB25" i="31"/>
  <c r="CZ21" i="32" l="1"/>
  <c r="DA12" i="32"/>
  <c r="DA16" i="32" s="1"/>
  <c r="DA13" i="32"/>
  <c r="DA17" i="32" s="1"/>
  <c r="BX17" i="31"/>
  <c r="DC20" i="32"/>
  <c r="DB11" i="32"/>
  <c r="DB10" i="32"/>
  <c r="BX19" i="31"/>
  <c r="CB6" i="31"/>
  <c r="CB9" i="31" s="1"/>
  <c r="BY16" i="31"/>
  <c r="BY19" i="31" s="1"/>
  <c r="BY21" i="31"/>
  <c r="CA11" i="31"/>
  <c r="CA12" i="31"/>
  <c r="CA13" i="31" s="1"/>
  <c r="CA14" i="31" s="1"/>
  <c r="BZ15" i="31"/>
  <c r="BZ20" i="31" s="1"/>
  <c r="BZ22" i="31" s="1"/>
  <c r="CC25" i="31"/>
  <c r="CB5" i="31"/>
  <c r="DA21" i="32" l="1"/>
  <c r="DB12" i="32"/>
  <c r="DB16" i="32" s="1"/>
  <c r="DB13" i="32"/>
  <c r="DB17" i="32" s="1"/>
  <c r="BY17" i="31"/>
  <c r="BY18" i="31"/>
  <c r="BY26" i="31" s="1"/>
  <c r="DD20" i="32"/>
  <c r="DC11" i="32"/>
  <c r="DC10" i="32"/>
  <c r="CC6" i="31"/>
  <c r="CC9" i="31" s="1"/>
  <c r="BZ16" i="31"/>
  <c r="BZ19" i="31" s="1"/>
  <c r="BZ21" i="31"/>
  <c r="CA15" i="31"/>
  <c r="CA20" i="31" s="1"/>
  <c r="CA22" i="31" s="1"/>
  <c r="CB11" i="31"/>
  <c r="CB12" i="31"/>
  <c r="CB13" i="31" s="1"/>
  <c r="CB14" i="31" s="1"/>
  <c r="CC5" i="31"/>
  <c r="CD25" i="31"/>
  <c r="DB21" i="32" l="1"/>
  <c r="DC12" i="32"/>
  <c r="DC16" i="32" s="1"/>
  <c r="DC13" i="32"/>
  <c r="DC17" i="32" s="1"/>
  <c r="BZ18" i="31"/>
  <c r="BZ26" i="31" s="1"/>
  <c r="DE20" i="32"/>
  <c r="DD11" i="32"/>
  <c r="DD10" i="32"/>
  <c r="CD6" i="31"/>
  <c r="CD9" i="31" s="1"/>
  <c r="BZ17" i="31"/>
  <c r="CA16" i="31"/>
  <c r="CA18" i="31" s="1"/>
  <c r="CA26" i="31" s="1"/>
  <c r="CA21" i="31"/>
  <c r="CC11" i="31"/>
  <c r="CC12" i="31"/>
  <c r="CC13" i="31" s="1"/>
  <c r="CC14" i="31" s="1"/>
  <c r="CB15" i="31"/>
  <c r="CB20" i="31" s="1"/>
  <c r="CB22" i="31" s="1"/>
  <c r="CE25" i="31"/>
  <c r="CD5" i="31"/>
  <c r="DC21" i="32" l="1"/>
  <c r="DD12" i="32"/>
  <c r="DD16" i="32" s="1"/>
  <c r="DD13" i="32"/>
  <c r="DD17" i="32" s="1"/>
  <c r="DF20" i="32"/>
  <c r="DE11" i="32"/>
  <c r="DE10" i="32"/>
  <c r="CA17" i="31"/>
  <c r="CA19" i="31"/>
  <c r="CE6" i="31"/>
  <c r="CE9" i="31" s="1"/>
  <c r="CB16" i="31"/>
  <c r="CB19" i="31" s="1"/>
  <c r="CB21" i="31"/>
  <c r="CC15" i="31"/>
  <c r="CC20" i="31" s="1"/>
  <c r="CC22" i="31" s="1"/>
  <c r="CD11" i="31"/>
  <c r="CD12" i="31"/>
  <c r="CD13" i="31" s="1"/>
  <c r="CD14" i="31" s="1"/>
  <c r="CF25" i="31"/>
  <c r="CE5" i="31"/>
  <c r="DD21" i="32" l="1"/>
  <c r="DE13" i="32"/>
  <c r="DE17" i="32" s="1"/>
  <c r="DE12" i="32"/>
  <c r="DE16" i="32" s="1"/>
  <c r="CB18" i="31"/>
  <c r="CB26" i="31" s="1"/>
  <c r="DG20" i="32"/>
  <c r="DF11" i="32"/>
  <c r="DF10" i="32"/>
  <c r="CF6" i="31"/>
  <c r="CF9" i="31" s="1"/>
  <c r="CB17" i="31"/>
  <c r="CC16" i="31"/>
  <c r="CC19" i="31" s="1"/>
  <c r="CC21" i="31"/>
  <c r="CD15" i="31"/>
  <c r="CD20" i="31" s="1"/>
  <c r="CD22" i="31" s="1"/>
  <c r="CE12" i="31"/>
  <c r="CE13" i="31" s="1"/>
  <c r="CE14" i="31" s="1"/>
  <c r="CE11" i="31"/>
  <c r="CG25" i="31"/>
  <c r="CF5" i="31"/>
  <c r="DE21" i="32" l="1"/>
  <c r="DF13" i="32"/>
  <c r="DF17" i="32" s="1"/>
  <c r="DF12" i="32"/>
  <c r="DF16" i="32" s="1"/>
  <c r="DH20" i="32"/>
  <c r="DG10" i="32"/>
  <c r="DG11" i="32"/>
  <c r="CC17" i="31"/>
  <c r="CC18" i="31"/>
  <c r="CC26" i="31" s="1"/>
  <c r="CG6" i="31"/>
  <c r="CG9" i="31" s="1"/>
  <c r="CD16" i="31"/>
  <c r="CD19" i="31" s="1"/>
  <c r="CD21" i="31"/>
  <c r="CE15" i="31"/>
  <c r="CE20" i="31" s="1"/>
  <c r="CE22" i="31" s="1"/>
  <c r="CF11" i="31"/>
  <c r="CF12" i="31"/>
  <c r="CF13" i="31" s="1"/>
  <c r="CF14" i="31" s="1"/>
  <c r="CH25" i="31"/>
  <c r="CG5" i="31"/>
  <c r="DF21" i="32" l="1"/>
  <c r="DG13" i="32"/>
  <c r="DG17" i="32" s="1"/>
  <c r="DG12" i="32"/>
  <c r="DG16" i="32" s="1"/>
  <c r="CD18" i="31"/>
  <c r="CD26" i="31" s="1"/>
  <c r="CD17" i="31"/>
  <c r="DI20" i="32"/>
  <c r="DH11" i="32"/>
  <c r="DH10" i="32"/>
  <c r="CH6" i="31"/>
  <c r="CH9" i="31" s="1"/>
  <c r="CE16" i="31"/>
  <c r="CE18" i="31" s="1"/>
  <c r="CE26" i="31" s="1"/>
  <c r="CE21" i="31"/>
  <c r="CF15" i="31"/>
  <c r="CF20" i="31" s="1"/>
  <c r="CF22" i="31" s="1"/>
  <c r="CG11" i="31"/>
  <c r="CG12" i="31"/>
  <c r="CG13" i="31" s="1"/>
  <c r="CG14" i="31" s="1"/>
  <c r="CI25" i="31"/>
  <c r="CH5" i="31"/>
  <c r="DG21" i="32" l="1"/>
  <c r="DH13" i="32"/>
  <c r="DH17" i="32" s="1"/>
  <c r="DH12" i="32"/>
  <c r="DH16" i="32" s="1"/>
  <c r="CE17" i="31"/>
  <c r="DJ20" i="32"/>
  <c r="DI11" i="32"/>
  <c r="DI10" i="32"/>
  <c r="CI6" i="31"/>
  <c r="CI9" i="31" s="1"/>
  <c r="CE19" i="31"/>
  <c r="CF16" i="31"/>
  <c r="CF17" i="31" s="1"/>
  <c r="CF21" i="31"/>
  <c r="CG15" i="31"/>
  <c r="CG20" i="31" s="1"/>
  <c r="CG22" i="31" s="1"/>
  <c r="CH11" i="31"/>
  <c r="CH12" i="31"/>
  <c r="CH13" i="31" s="1"/>
  <c r="CH14" i="31" s="1"/>
  <c r="CI5" i="31"/>
  <c r="CJ25" i="31"/>
  <c r="DH21" i="32" l="1"/>
  <c r="DI12" i="32"/>
  <c r="DI16" i="32" s="1"/>
  <c r="DI13" i="32"/>
  <c r="DI17" i="32" s="1"/>
  <c r="DK20" i="32"/>
  <c r="DJ11" i="32"/>
  <c r="DJ10" i="32"/>
  <c r="CF19" i="31"/>
  <c r="CJ6" i="31"/>
  <c r="CJ9" i="31" s="1"/>
  <c r="CF18" i="31"/>
  <c r="CF26" i="31" s="1"/>
  <c r="CG16" i="31"/>
  <c r="CG17" i="31" s="1"/>
  <c r="CG21" i="31"/>
  <c r="CI12" i="31"/>
  <c r="CI13" i="31" s="1"/>
  <c r="CI14" i="31" s="1"/>
  <c r="CI11" i="31"/>
  <c r="CH15" i="31"/>
  <c r="CH20" i="31" s="1"/>
  <c r="CH22" i="31" s="1"/>
  <c r="CK25" i="31"/>
  <c r="CJ5" i="31"/>
  <c r="DI21" i="32" l="1"/>
  <c r="DJ12" i="32"/>
  <c r="DJ16" i="32" s="1"/>
  <c r="DJ13" i="32"/>
  <c r="DJ17" i="32" s="1"/>
  <c r="CG19" i="31"/>
  <c r="CG18" i="31"/>
  <c r="CG26" i="31" s="1"/>
  <c r="DL20" i="32"/>
  <c r="DK11" i="32"/>
  <c r="DK10" i="32"/>
  <c r="CK6" i="31"/>
  <c r="CK9" i="31" s="1"/>
  <c r="CH16" i="31"/>
  <c r="CH17" i="31" s="1"/>
  <c r="CH21" i="31"/>
  <c r="CI15" i="31"/>
  <c r="CI20" i="31" s="1"/>
  <c r="CI22" i="31" s="1"/>
  <c r="CJ11" i="31"/>
  <c r="CJ12" i="31"/>
  <c r="CJ13" i="31" s="1"/>
  <c r="CJ14" i="31" s="1"/>
  <c r="CK5" i="31"/>
  <c r="CL25" i="31"/>
  <c r="DJ21" i="32" l="1"/>
  <c r="DK12" i="32"/>
  <c r="DK16" i="32" s="1"/>
  <c r="DK13" i="32"/>
  <c r="DK17" i="32" s="1"/>
  <c r="DM20" i="32"/>
  <c r="DL11" i="32"/>
  <c r="DL10" i="32"/>
  <c r="CL6" i="31"/>
  <c r="CL9" i="31" s="1"/>
  <c r="CH19" i="31"/>
  <c r="CH18" i="31"/>
  <c r="CH26" i="31" s="1"/>
  <c r="CI16" i="31"/>
  <c r="CI17" i="31" s="1"/>
  <c r="CI21" i="31"/>
  <c r="CK11" i="31"/>
  <c r="CK12" i="31"/>
  <c r="CK13" i="31" s="1"/>
  <c r="CK14" i="31" s="1"/>
  <c r="CJ15" i="31"/>
  <c r="CJ20" i="31" s="1"/>
  <c r="CJ22" i="31" s="1"/>
  <c r="CM25" i="31"/>
  <c r="CL5" i="31"/>
  <c r="DK21" i="32" l="1"/>
  <c r="DL12" i="32"/>
  <c r="DL16" i="32" s="1"/>
  <c r="DL13" i="32"/>
  <c r="DL17" i="32" s="1"/>
  <c r="DN20" i="32"/>
  <c r="DM11" i="32"/>
  <c r="DM10" i="32"/>
  <c r="CM6" i="31"/>
  <c r="CM9" i="31" s="1"/>
  <c r="CI19" i="31"/>
  <c r="CI18" i="31"/>
  <c r="CI26" i="31" s="1"/>
  <c r="CJ16" i="31"/>
  <c r="CJ19" i="31" s="1"/>
  <c r="CJ21" i="31"/>
  <c r="CK15" i="31"/>
  <c r="CK20" i="31" s="1"/>
  <c r="CK22" i="31" s="1"/>
  <c r="CL12" i="31"/>
  <c r="CL13" i="31" s="1"/>
  <c r="CL14" i="31" s="1"/>
  <c r="CL11" i="31"/>
  <c r="CN25" i="31"/>
  <c r="CM5" i="31"/>
  <c r="DL21" i="32" l="1"/>
  <c r="DM13" i="32"/>
  <c r="DM17" i="32" s="1"/>
  <c r="DM12" i="32"/>
  <c r="DM16" i="32" s="1"/>
  <c r="DO20" i="32"/>
  <c r="DN11" i="32"/>
  <c r="DN10" i="32"/>
  <c r="CN6" i="31"/>
  <c r="CN9" i="31" s="1"/>
  <c r="CJ18" i="31"/>
  <c r="CJ26" i="31" s="1"/>
  <c r="CJ17" i="31"/>
  <c r="CK16" i="31"/>
  <c r="CK18" i="31" s="1"/>
  <c r="CK26" i="31" s="1"/>
  <c r="CK21" i="31"/>
  <c r="CL15" i="31"/>
  <c r="CL20" i="31" s="1"/>
  <c r="CL22" i="31" s="1"/>
  <c r="CM12" i="31"/>
  <c r="CM13" i="31" s="1"/>
  <c r="CM14" i="31" s="1"/>
  <c r="CM11" i="31"/>
  <c r="CO25" i="31"/>
  <c r="CN5" i="31"/>
  <c r="DM21" i="32" l="1"/>
  <c r="DN13" i="32"/>
  <c r="DN17" i="32" s="1"/>
  <c r="DN12" i="32"/>
  <c r="DN16" i="32" s="1"/>
  <c r="CK19" i="31"/>
  <c r="DP20" i="32"/>
  <c r="DO11" i="32"/>
  <c r="DO10" i="32"/>
  <c r="CO6" i="31"/>
  <c r="CO9" i="31" s="1"/>
  <c r="CK17" i="31"/>
  <c r="CL16" i="31"/>
  <c r="CL18" i="31" s="1"/>
  <c r="CL26" i="31" s="1"/>
  <c r="CL21" i="31"/>
  <c r="CM15" i="31"/>
  <c r="CM20" i="31" s="1"/>
  <c r="CM22" i="31" s="1"/>
  <c r="CN11" i="31"/>
  <c r="CN12" i="31"/>
  <c r="CN13" i="31" s="1"/>
  <c r="CN14" i="31" s="1"/>
  <c r="CP25" i="31"/>
  <c r="CO5" i="31"/>
  <c r="DN21" i="32" l="1"/>
  <c r="DO13" i="32"/>
  <c r="DO17" i="32" s="1"/>
  <c r="DO12" i="32"/>
  <c r="DO16" i="32" s="1"/>
  <c r="DQ20" i="32"/>
  <c r="DP11" i="32"/>
  <c r="DP10" i="32"/>
  <c r="CL17" i="31"/>
  <c r="CL19" i="31"/>
  <c r="CP6" i="31"/>
  <c r="CP9" i="31" s="1"/>
  <c r="CM16" i="31"/>
  <c r="CM18" i="31" s="1"/>
  <c r="CM26" i="31" s="1"/>
  <c r="CM21" i="31"/>
  <c r="CN15" i="31"/>
  <c r="CN20" i="31" s="1"/>
  <c r="CN22" i="31" s="1"/>
  <c r="CO11" i="31"/>
  <c r="CO12" i="31"/>
  <c r="CO13" i="31" s="1"/>
  <c r="CO14" i="31" s="1"/>
  <c r="CQ25" i="31"/>
  <c r="CP5" i="31"/>
  <c r="DO21" i="32" l="1"/>
  <c r="DP13" i="32"/>
  <c r="DP17" i="32" s="1"/>
  <c r="DP12" i="32"/>
  <c r="DP16" i="32" s="1"/>
  <c r="DR20" i="32"/>
  <c r="DQ10" i="32"/>
  <c r="DQ11" i="32"/>
  <c r="CQ6" i="31"/>
  <c r="CQ9" i="31" s="1"/>
  <c r="CM17" i="31"/>
  <c r="CM19" i="31"/>
  <c r="CN16" i="31"/>
  <c r="CN19" i="31" s="1"/>
  <c r="CN21" i="31"/>
  <c r="CO15" i="31"/>
  <c r="CO20" i="31" s="1"/>
  <c r="CO22" i="31" s="1"/>
  <c r="CP11" i="31"/>
  <c r="CP12" i="31"/>
  <c r="CP13" i="31" s="1"/>
  <c r="CP14" i="31" s="1"/>
  <c r="CQ5" i="31"/>
  <c r="CR25" i="31"/>
  <c r="DP21" i="32" l="1"/>
  <c r="DQ12" i="32"/>
  <c r="DQ16" i="32" s="1"/>
  <c r="DQ13" i="32"/>
  <c r="DQ17" i="32" s="1"/>
  <c r="CN18" i="31"/>
  <c r="CN26" i="31" s="1"/>
  <c r="DS20" i="32"/>
  <c r="DR11" i="32"/>
  <c r="DR10" i="32"/>
  <c r="CR6" i="31"/>
  <c r="CR9" i="31" s="1"/>
  <c r="CN17" i="31"/>
  <c r="CO16" i="31"/>
  <c r="CO17" i="31" s="1"/>
  <c r="CO21" i="31"/>
  <c r="CQ11" i="31"/>
  <c r="CQ12" i="31"/>
  <c r="CQ13" i="31" s="1"/>
  <c r="CQ14" i="31" s="1"/>
  <c r="CP15" i="31"/>
  <c r="CP20" i="31" s="1"/>
  <c r="CP22" i="31" s="1"/>
  <c r="CR5" i="31"/>
  <c r="CS25" i="31"/>
  <c r="DQ21" i="32" l="1"/>
  <c r="DR12" i="32"/>
  <c r="DR16" i="32" s="1"/>
  <c r="DR13" i="32"/>
  <c r="DR17" i="32" s="1"/>
  <c r="DT20" i="32"/>
  <c r="DS11" i="32"/>
  <c r="DS10" i="32"/>
  <c r="CS6" i="31"/>
  <c r="CS9" i="31" s="1"/>
  <c r="CO19" i="31"/>
  <c r="CO18" i="31"/>
  <c r="CO26" i="31" s="1"/>
  <c r="CP16" i="31"/>
  <c r="CP19" i="31" s="1"/>
  <c r="CP21" i="31"/>
  <c r="CR11" i="31"/>
  <c r="CR12" i="31"/>
  <c r="CR13" i="31" s="1"/>
  <c r="CR14" i="31" s="1"/>
  <c r="CQ15" i="31"/>
  <c r="CQ20" i="31" s="1"/>
  <c r="CQ22" i="31" s="1"/>
  <c r="CS5" i="31"/>
  <c r="CT25" i="31"/>
  <c r="DR21" i="32" l="1"/>
  <c r="DS12" i="32"/>
  <c r="DS16" i="32" s="1"/>
  <c r="DS13" i="32"/>
  <c r="DS17" i="32" s="1"/>
  <c r="DU20" i="32"/>
  <c r="DT11" i="32"/>
  <c r="DT10" i="32"/>
  <c r="CT6" i="31"/>
  <c r="CT9" i="31" s="1"/>
  <c r="CP18" i="31"/>
  <c r="CP26" i="31" s="1"/>
  <c r="CP17" i="31"/>
  <c r="CQ16" i="31"/>
  <c r="CQ19" i="31" s="1"/>
  <c r="CQ21" i="31"/>
  <c r="CS11" i="31"/>
  <c r="CS12" i="31"/>
  <c r="CS13" i="31" s="1"/>
  <c r="CS14" i="31" s="1"/>
  <c r="CR15" i="31"/>
  <c r="CR20" i="31" s="1"/>
  <c r="CR22" i="31" s="1"/>
  <c r="CU25" i="31"/>
  <c r="CT5" i="31"/>
  <c r="DS21" i="32" l="1"/>
  <c r="DT12" i="32"/>
  <c r="DT16" i="32" s="1"/>
  <c r="DT13" i="32"/>
  <c r="DT17" i="32" s="1"/>
  <c r="DU11" i="32"/>
  <c r="DU10" i="32"/>
  <c r="DV20" i="32"/>
  <c r="CU6" i="31"/>
  <c r="CU9" i="31" s="1"/>
  <c r="CQ18" i="31"/>
  <c r="CQ26" i="31" s="1"/>
  <c r="CQ17" i="31"/>
  <c r="CR16" i="31"/>
  <c r="CR18" i="31" s="1"/>
  <c r="CR26" i="31" s="1"/>
  <c r="CR21" i="31"/>
  <c r="CS15" i="31"/>
  <c r="CS20" i="31" s="1"/>
  <c r="CS22" i="31" s="1"/>
  <c r="CT12" i="31"/>
  <c r="CT13" i="31" s="1"/>
  <c r="CT14" i="31" s="1"/>
  <c r="CT11" i="31"/>
  <c r="CV25" i="31"/>
  <c r="CU5" i="31"/>
  <c r="DT21" i="32" l="1"/>
  <c r="DU13" i="32"/>
  <c r="DU17" i="32" s="1"/>
  <c r="DU12" i="32"/>
  <c r="DU16" i="32" s="1"/>
  <c r="CR17" i="31"/>
  <c r="DW20" i="32"/>
  <c r="DV11" i="32"/>
  <c r="DV10" i="32"/>
  <c r="CV6" i="31"/>
  <c r="CV9" i="31" s="1"/>
  <c r="CR19" i="31"/>
  <c r="CS16" i="31"/>
  <c r="CS18" i="31" s="1"/>
  <c r="CS26" i="31" s="1"/>
  <c r="CS21" i="31"/>
  <c r="CT15" i="31"/>
  <c r="CT20" i="31" s="1"/>
  <c r="CT22" i="31" s="1"/>
  <c r="CU12" i="31"/>
  <c r="CU13" i="31" s="1"/>
  <c r="CU14" i="31" s="1"/>
  <c r="CU11" i="31"/>
  <c r="CW25" i="31"/>
  <c r="CV5" i="31"/>
  <c r="DU21" i="32" l="1"/>
  <c r="K7" i="28"/>
  <c r="C7" i="28"/>
  <c r="I7" i="28"/>
  <c r="J7" i="28"/>
  <c r="G7" i="28"/>
  <c r="H7" i="28"/>
  <c r="L7" i="28"/>
  <c r="E7" i="28"/>
  <c r="D7" i="28"/>
  <c r="DV13" i="32"/>
  <c r="DV17" i="32" s="1"/>
  <c r="DV12" i="32"/>
  <c r="DV16" i="32" s="1"/>
  <c r="CS19" i="31"/>
  <c r="DW11" i="32"/>
  <c r="DW10" i="32"/>
  <c r="CW6" i="31"/>
  <c r="CW9" i="31" s="1"/>
  <c r="CS17" i="31"/>
  <c r="CT16" i="31"/>
  <c r="CT18" i="31" s="1"/>
  <c r="CT26" i="31" s="1"/>
  <c r="CT21" i="31"/>
  <c r="CU15" i="31"/>
  <c r="CU20" i="31" s="1"/>
  <c r="CU22" i="31" s="1"/>
  <c r="CV12" i="31"/>
  <c r="CV13" i="31" s="1"/>
  <c r="CV14" i="31" s="1"/>
  <c r="CV11" i="31"/>
  <c r="CX25" i="31"/>
  <c r="CW5" i="31"/>
  <c r="DV21" i="32" l="1"/>
  <c r="DW13" i="32"/>
  <c r="DW17" i="32" s="1"/>
  <c r="DW12" i="32"/>
  <c r="DW16" i="32" s="1"/>
  <c r="CX6" i="31"/>
  <c r="CX9" i="31" s="1"/>
  <c r="CT17" i="31"/>
  <c r="CT19" i="31"/>
  <c r="CU16" i="31"/>
  <c r="CU17" i="31" s="1"/>
  <c r="CU21" i="31"/>
  <c r="CV15" i="31"/>
  <c r="CV20" i="31" s="1"/>
  <c r="CV22" i="31" s="1"/>
  <c r="CW11" i="31"/>
  <c r="CW12" i="31"/>
  <c r="CW13" i="31" s="1"/>
  <c r="CW14" i="31" s="1"/>
  <c r="CY25" i="31"/>
  <c r="CX5" i="31"/>
  <c r="DW21" i="32" l="1"/>
  <c r="F7" i="28" s="1"/>
  <c r="CY6" i="31"/>
  <c r="CY9" i="31" s="1"/>
  <c r="CU19" i="31"/>
  <c r="CU18" i="31"/>
  <c r="CU26" i="31" s="1"/>
  <c r="CV16" i="31"/>
  <c r="CV17" i="31" s="1"/>
  <c r="CV21" i="31"/>
  <c r="CW15" i="31"/>
  <c r="CW20" i="31" s="1"/>
  <c r="CW22" i="31" s="1"/>
  <c r="CX11" i="31"/>
  <c r="CX12" i="31"/>
  <c r="CX13" i="31" s="1"/>
  <c r="CX14" i="31" s="1"/>
  <c r="CY5" i="31"/>
  <c r="CZ25" i="31"/>
  <c r="CZ6" i="31" l="1"/>
  <c r="CZ9" i="31" s="1"/>
  <c r="CV18" i="31"/>
  <c r="CV26" i="31" s="1"/>
  <c r="CV19" i="31"/>
  <c r="CW16" i="31"/>
  <c r="CW18" i="31" s="1"/>
  <c r="CW26" i="31" s="1"/>
  <c r="CW21" i="31"/>
  <c r="CY12" i="31"/>
  <c r="CY13" i="31" s="1"/>
  <c r="CY14" i="31" s="1"/>
  <c r="CY11" i="31"/>
  <c r="CX15" i="31"/>
  <c r="CX20" i="31" s="1"/>
  <c r="CX22" i="31" s="1"/>
  <c r="CZ5" i="31"/>
  <c r="DA25" i="31"/>
  <c r="CW17" i="31" l="1"/>
  <c r="DA6" i="31"/>
  <c r="DA9" i="31" s="1"/>
  <c r="CW19" i="31"/>
  <c r="CX16" i="31"/>
  <c r="CX19" i="31" s="1"/>
  <c r="CX21" i="31"/>
  <c r="CZ11" i="31"/>
  <c r="CZ12" i="31"/>
  <c r="CZ13" i="31" s="1"/>
  <c r="CZ14" i="31" s="1"/>
  <c r="CY15" i="31"/>
  <c r="CY20" i="31" s="1"/>
  <c r="CY22" i="31" s="1"/>
  <c r="DB25" i="31"/>
  <c r="DA5" i="31"/>
  <c r="CX18" i="31" l="1"/>
  <c r="CX26" i="31" s="1"/>
  <c r="CX17" i="31"/>
  <c r="DB6" i="31"/>
  <c r="DB9" i="31" s="1"/>
  <c r="CY16" i="31"/>
  <c r="CY19" i="31" s="1"/>
  <c r="CY21" i="31"/>
  <c r="CZ15" i="31"/>
  <c r="CZ20" i="31" s="1"/>
  <c r="CZ22" i="31" s="1"/>
  <c r="DA11" i="31"/>
  <c r="DA12" i="31"/>
  <c r="DA13" i="31" s="1"/>
  <c r="DA14" i="31" s="1"/>
  <c r="DC25" i="31"/>
  <c r="DB5" i="31"/>
  <c r="CY17" i="31" l="1"/>
  <c r="CY18" i="31"/>
  <c r="CY26" i="31" s="1"/>
  <c r="DC6" i="31"/>
  <c r="DC9" i="31" s="1"/>
  <c r="CZ16" i="31"/>
  <c r="CZ19" i="31" s="1"/>
  <c r="CZ21" i="31"/>
  <c r="DA15" i="31"/>
  <c r="DA20" i="31" s="1"/>
  <c r="DA22" i="31" s="1"/>
  <c r="DB11" i="31"/>
  <c r="DB12" i="31"/>
  <c r="DB13" i="31" s="1"/>
  <c r="DB14" i="31" s="1"/>
  <c r="DD25" i="31"/>
  <c r="DC5" i="31"/>
  <c r="CZ17" i="31" l="1"/>
  <c r="CZ18" i="31"/>
  <c r="CZ26" i="31" s="1"/>
  <c r="DD6" i="31"/>
  <c r="DD9" i="31" s="1"/>
  <c r="DA16" i="31"/>
  <c r="DA18" i="31" s="1"/>
  <c r="DA26" i="31" s="1"/>
  <c r="DA21" i="31"/>
  <c r="DB15" i="31"/>
  <c r="DB20" i="31" s="1"/>
  <c r="DB22" i="31" s="1"/>
  <c r="DC11" i="31"/>
  <c r="DC12" i="31"/>
  <c r="DC13" i="31" s="1"/>
  <c r="DC14" i="31" s="1"/>
  <c r="DE25" i="31"/>
  <c r="DD5" i="31"/>
  <c r="DE6" i="31" l="1"/>
  <c r="DE9" i="31" s="1"/>
  <c r="DA19" i="31"/>
  <c r="DA17" i="31"/>
  <c r="DB16" i="31"/>
  <c r="DB18" i="31" s="1"/>
  <c r="DB26" i="31" s="1"/>
  <c r="DB21" i="31"/>
  <c r="DC15" i="31"/>
  <c r="DC20" i="31" s="1"/>
  <c r="DC22" i="31" s="1"/>
  <c r="DD11" i="31"/>
  <c r="DD12" i="31"/>
  <c r="DD13" i="31" s="1"/>
  <c r="DD14" i="31" s="1"/>
  <c r="DF25" i="31"/>
  <c r="DE5" i="31"/>
  <c r="DF6" i="31" l="1"/>
  <c r="DF9" i="31" s="1"/>
  <c r="DB17" i="31"/>
  <c r="DB19" i="31"/>
  <c r="DC16" i="31"/>
  <c r="DC18" i="31" s="1"/>
  <c r="DC26" i="31" s="1"/>
  <c r="DC21" i="31"/>
  <c r="DD15" i="31"/>
  <c r="DD20" i="31" s="1"/>
  <c r="DD22" i="31" s="1"/>
  <c r="DE11" i="31"/>
  <c r="DE12" i="31"/>
  <c r="DE13" i="31" s="1"/>
  <c r="DE14" i="31" s="1"/>
  <c r="DG25" i="31"/>
  <c r="DF5" i="31"/>
  <c r="DG6" i="31" l="1"/>
  <c r="DG9" i="31" s="1"/>
  <c r="DC17" i="31"/>
  <c r="DC19" i="31"/>
  <c r="DD16" i="31"/>
  <c r="DD17" i="31" s="1"/>
  <c r="DD21" i="31"/>
  <c r="DE15" i="31"/>
  <c r="DE20" i="31" s="1"/>
  <c r="DE22" i="31" s="1"/>
  <c r="DF11" i="31"/>
  <c r="DF12" i="31"/>
  <c r="DF13" i="31" s="1"/>
  <c r="DF14" i="31" s="1"/>
  <c r="DG5" i="31"/>
  <c r="DH25" i="31"/>
  <c r="DD18" i="31" l="1"/>
  <c r="DD26" i="31" s="1"/>
  <c r="DH6" i="31"/>
  <c r="DH9" i="31" s="1"/>
  <c r="DD19" i="31"/>
  <c r="DE16" i="31"/>
  <c r="DE19" i="31" s="1"/>
  <c r="DE21" i="31"/>
  <c r="DG11" i="31"/>
  <c r="DG12" i="31"/>
  <c r="DG13" i="31" s="1"/>
  <c r="DG14" i="31" s="1"/>
  <c r="DF15" i="31"/>
  <c r="DF20" i="31" s="1"/>
  <c r="DF22" i="31" s="1"/>
  <c r="DH5" i="31"/>
  <c r="DI25" i="31"/>
  <c r="DI6" i="31" l="1"/>
  <c r="DI9" i="31" s="1"/>
  <c r="DE18" i="31"/>
  <c r="DE26" i="31" s="1"/>
  <c r="DE17" i="31"/>
  <c r="DF16" i="31"/>
  <c r="DF18" i="31" s="1"/>
  <c r="DF26" i="31" s="1"/>
  <c r="DF21" i="31"/>
  <c r="DH11" i="31"/>
  <c r="DH12" i="31"/>
  <c r="DH13" i="31" s="1"/>
  <c r="DH14" i="31" s="1"/>
  <c r="DG15" i="31"/>
  <c r="DG20" i="31" s="1"/>
  <c r="DG22" i="31" s="1"/>
  <c r="DI5" i="31"/>
  <c r="DJ25" i="31"/>
  <c r="DJ6" i="31" l="1"/>
  <c r="DJ9" i="31" s="1"/>
  <c r="DF17" i="31"/>
  <c r="DF19" i="31"/>
  <c r="DG16" i="31"/>
  <c r="DG19" i="31" s="1"/>
  <c r="DG21" i="31"/>
  <c r="DI11" i="31"/>
  <c r="DI12" i="31"/>
  <c r="DI13" i="31" s="1"/>
  <c r="DI14" i="31" s="1"/>
  <c r="DH15" i="31"/>
  <c r="DH20" i="31" s="1"/>
  <c r="DH22" i="31" s="1"/>
  <c r="DK25" i="31"/>
  <c r="DJ5" i="31"/>
  <c r="DK6" i="31" l="1"/>
  <c r="DK9" i="31" s="1"/>
  <c r="DG18" i="31"/>
  <c r="DG26" i="31" s="1"/>
  <c r="DG17" i="31"/>
  <c r="DH16" i="31"/>
  <c r="DH18" i="31" s="1"/>
  <c r="DH26" i="31" s="1"/>
  <c r="DH21" i="31"/>
  <c r="DI15" i="31"/>
  <c r="DI20" i="31" s="1"/>
  <c r="DI22" i="31" s="1"/>
  <c r="DJ11" i="31"/>
  <c r="DJ12" i="31"/>
  <c r="DJ13" i="31" s="1"/>
  <c r="DJ14" i="31" s="1"/>
  <c r="DL25" i="31"/>
  <c r="DK5" i="31"/>
  <c r="DL6" i="31" l="1"/>
  <c r="DL9" i="31" s="1"/>
  <c r="DH17" i="31"/>
  <c r="DH19" i="31"/>
  <c r="DI16" i="31"/>
  <c r="DI18" i="31" s="1"/>
  <c r="DI26" i="31" s="1"/>
  <c r="DI21" i="31"/>
  <c r="DJ15" i="31"/>
  <c r="DJ20" i="31" s="1"/>
  <c r="DJ22" i="31" s="1"/>
  <c r="DK12" i="31"/>
  <c r="DK13" i="31" s="1"/>
  <c r="DK14" i="31" s="1"/>
  <c r="DK11" i="31"/>
  <c r="DM25" i="31"/>
  <c r="DL5" i="31"/>
  <c r="DI19" i="31" l="1"/>
  <c r="DM6" i="31"/>
  <c r="DM9" i="31" s="1"/>
  <c r="DI17" i="31"/>
  <c r="DJ16" i="31"/>
  <c r="DJ17" i="31" s="1"/>
  <c r="DJ21" i="31"/>
  <c r="DK15" i="31"/>
  <c r="DK20" i="31" s="1"/>
  <c r="DK22" i="31" s="1"/>
  <c r="DL11" i="31"/>
  <c r="DL12" i="31"/>
  <c r="DL13" i="31" s="1"/>
  <c r="DL14" i="31" s="1"/>
  <c r="DN25" i="31"/>
  <c r="DM5" i="31"/>
  <c r="DN6" i="31" l="1"/>
  <c r="DN9" i="31" s="1"/>
  <c r="DJ19" i="31"/>
  <c r="DJ18" i="31"/>
  <c r="DJ26" i="31" s="1"/>
  <c r="DK16" i="31"/>
  <c r="DK18" i="31" s="1"/>
  <c r="DK26" i="31" s="1"/>
  <c r="DK21" i="31"/>
  <c r="DL15" i="31"/>
  <c r="DL20" i="31" s="1"/>
  <c r="DL22" i="31" s="1"/>
  <c r="DM11" i="31"/>
  <c r="DM12" i="31"/>
  <c r="DM13" i="31" s="1"/>
  <c r="DM14" i="31" s="1"/>
  <c r="DO25" i="31"/>
  <c r="DN5" i="31"/>
  <c r="DK17" i="31" l="1"/>
  <c r="DO6" i="31"/>
  <c r="DO9" i="31" s="1"/>
  <c r="DK19" i="31"/>
  <c r="DL16" i="31"/>
  <c r="DL19" i="31" s="1"/>
  <c r="DL21" i="31"/>
  <c r="DM15" i="31"/>
  <c r="DM20" i="31" s="1"/>
  <c r="DM22" i="31" s="1"/>
  <c r="DN11" i="31"/>
  <c r="DN12" i="31"/>
  <c r="DN13" i="31" s="1"/>
  <c r="DN14" i="31" s="1"/>
  <c r="DO5" i="31"/>
  <c r="DP25" i="31"/>
  <c r="DP6" i="31" l="1"/>
  <c r="DP9" i="31" s="1"/>
  <c r="DL18" i="31"/>
  <c r="DL26" i="31" s="1"/>
  <c r="DL17" i="31"/>
  <c r="DM16" i="31"/>
  <c r="DM18" i="31" s="1"/>
  <c r="DM26" i="31" s="1"/>
  <c r="DM21" i="31"/>
  <c r="DO12" i="31"/>
  <c r="DO13" i="31" s="1"/>
  <c r="DO14" i="31" s="1"/>
  <c r="DO11" i="31"/>
  <c r="DN15" i="31"/>
  <c r="DN20" i="31" s="1"/>
  <c r="DN22" i="31" s="1"/>
  <c r="DQ25" i="31"/>
  <c r="DP5" i="31"/>
  <c r="DM17" i="31" l="1"/>
  <c r="DM19" i="31"/>
  <c r="DQ6" i="31"/>
  <c r="DQ9" i="31" s="1"/>
  <c r="DN16" i="31"/>
  <c r="DN19" i="31" s="1"/>
  <c r="DN21" i="31"/>
  <c r="DO15" i="31"/>
  <c r="DO20" i="31" s="1"/>
  <c r="DO22" i="31" s="1"/>
  <c r="DP11" i="31"/>
  <c r="DP12" i="31"/>
  <c r="DP13" i="31" s="1"/>
  <c r="DP14" i="31" s="1"/>
  <c r="DQ5" i="31"/>
  <c r="DR25" i="31"/>
  <c r="DR6" i="31" l="1"/>
  <c r="DR9" i="31" s="1"/>
  <c r="DN18" i="31"/>
  <c r="DN26" i="31" s="1"/>
  <c r="DN17" i="31"/>
  <c r="DO16" i="31"/>
  <c r="DO19" i="31" s="1"/>
  <c r="DO21" i="31"/>
  <c r="DP15" i="31"/>
  <c r="DP20" i="31" s="1"/>
  <c r="DP22" i="31" s="1"/>
  <c r="DQ11" i="31"/>
  <c r="DQ12" i="31"/>
  <c r="DQ13" i="31" s="1"/>
  <c r="DQ14" i="31" s="1"/>
  <c r="DS25" i="31"/>
  <c r="DR5" i="31"/>
  <c r="DO18" i="31" l="1"/>
  <c r="DO26" i="31" s="1"/>
  <c r="DS6" i="31"/>
  <c r="DS9" i="31" s="1"/>
  <c r="DO17" i="31"/>
  <c r="DP16" i="31"/>
  <c r="DP18" i="31" s="1"/>
  <c r="DP26" i="31" s="1"/>
  <c r="DP21" i="31"/>
  <c r="DQ15" i="31"/>
  <c r="DQ20" i="31" s="1"/>
  <c r="DQ22" i="31" s="1"/>
  <c r="DR12" i="31"/>
  <c r="DR13" i="31" s="1"/>
  <c r="DR14" i="31" s="1"/>
  <c r="DR11" i="31"/>
  <c r="DT25" i="31"/>
  <c r="DS5" i="31"/>
  <c r="DP17" i="31" l="1"/>
  <c r="DP19" i="31"/>
  <c r="DT6" i="31"/>
  <c r="DT9" i="31" s="1"/>
  <c r="DQ16" i="31"/>
  <c r="DQ18" i="31" s="1"/>
  <c r="DQ26" i="31" s="1"/>
  <c r="DQ21" i="31"/>
  <c r="DR15" i="31"/>
  <c r="DR20" i="31" s="1"/>
  <c r="DR22" i="31" s="1"/>
  <c r="DS11" i="31"/>
  <c r="DS12" i="31"/>
  <c r="DS13" i="31" s="1"/>
  <c r="DS14" i="31" s="1"/>
  <c r="DU25" i="31"/>
  <c r="DT5" i="31"/>
  <c r="DQ19" i="31" l="1"/>
  <c r="DU6" i="31"/>
  <c r="DU9" i="31" s="1"/>
  <c r="DQ17" i="31"/>
  <c r="DR16" i="31"/>
  <c r="DR18" i="31" s="1"/>
  <c r="DR26" i="31" s="1"/>
  <c r="DR21" i="31"/>
  <c r="DS15" i="31"/>
  <c r="DS20" i="31" s="1"/>
  <c r="DS22" i="31" s="1"/>
  <c r="DT11" i="31"/>
  <c r="DT12" i="31"/>
  <c r="DT13" i="31" s="1"/>
  <c r="DT14" i="31" s="1"/>
  <c r="DV25" i="31"/>
  <c r="DU5" i="31"/>
  <c r="DV6" i="31" l="1"/>
  <c r="DV9" i="31" s="1"/>
  <c r="DR17" i="31"/>
  <c r="DR19" i="31"/>
  <c r="DS16" i="31"/>
  <c r="DS19" i="31" s="1"/>
  <c r="DS21" i="31"/>
  <c r="DT15" i="31"/>
  <c r="DT20" i="31" s="1"/>
  <c r="DT22" i="31" s="1"/>
  <c r="DU11" i="31"/>
  <c r="DU12" i="31"/>
  <c r="DU13" i="31" s="1"/>
  <c r="DU14" i="31" s="1"/>
  <c r="DW25" i="31"/>
  <c r="DV5" i="31"/>
  <c r="DW6" i="31" l="1"/>
  <c r="I6" i="28"/>
  <c r="I10" i="28" s="1"/>
  <c r="K6" i="28"/>
  <c r="K10" i="28" s="1"/>
  <c r="E6" i="28"/>
  <c r="E10" i="28" s="1"/>
  <c r="G6" i="28"/>
  <c r="G10" i="28" s="1"/>
  <c r="H6" i="28"/>
  <c r="H10" i="28" s="1"/>
  <c r="J6" i="28"/>
  <c r="J10" i="28" s="1"/>
  <c r="L6" i="28"/>
  <c r="L10" i="28" s="1"/>
  <c r="F6" i="28"/>
  <c r="F10" i="28" s="1"/>
  <c r="C6" i="28"/>
  <c r="C10" i="28" s="1"/>
  <c r="DS17" i="31"/>
  <c r="DS18" i="31"/>
  <c r="DS26" i="31" s="1"/>
  <c r="DT16" i="31"/>
  <c r="DT19" i="31" s="1"/>
  <c r="DT21" i="31"/>
  <c r="DU15" i="31"/>
  <c r="DU20" i="31" s="1"/>
  <c r="DU22" i="31" s="1"/>
  <c r="DV11" i="31"/>
  <c r="DV12" i="31"/>
  <c r="DV13" i="31" s="1"/>
  <c r="DV14" i="31" s="1"/>
  <c r="DW5" i="31"/>
  <c r="DW9" i="31"/>
  <c r="L15" i="28" l="1"/>
  <c r="L14" i="28"/>
  <c r="H15" i="28"/>
  <c r="H14" i="28"/>
  <c r="J15" i="28"/>
  <c r="J14" i="28"/>
  <c r="G15" i="28"/>
  <c r="G14" i="28"/>
  <c r="E15" i="28"/>
  <c r="E14" i="28"/>
  <c r="C14" i="28"/>
  <c r="C15" i="28"/>
  <c r="I14" i="28"/>
  <c r="I15" i="28"/>
  <c r="K15" i="28"/>
  <c r="K14" i="28"/>
  <c r="F15" i="28"/>
  <c r="F14" i="28"/>
  <c r="DT18" i="31"/>
  <c r="DT26" i="31" s="1"/>
  <c r="DT17" i="31"/>
  <c r="DU16" i="31"/>
  <c r="DU19" i="31" s="1"/>
  <c r="DU21" i="31"/>
  <c r="DW11" i="31"/>
  <c r="DW12" i="31"/>
  <c r="DW13" i="31" s="1"/>
  <c r="DW14" i="31" s="1"/>
  <c r="DV15" i="31"/>
  <c r="DV20" i="31" s="1"/>
  <c r="DV22" i="31" s="1"/>
  <c r="F16" i="28" l="1"/>
  <c r="F18" i="28" s="1"/>
  <c r="F57" i="28" s="1"/>
  <c r="E16" i="28"/>
  <c r="E18" i="28" s="1"/>
  <c r="E57" i="28" s="1"/>
  <c r="L16" i="28"/>
  <c r="L18" i="28" s="1"/>
  <c r="C16" i="28"/>
  <c r="C18" i="28" s="1"/>
  <c r="C57" i="28" s="1"/>
  <c r="I16" i="28"/>
  <c r="I18" i="28" s="1"/>
  <c r="H16" i="28"/>
  <c r="H18" i="28" s="1"/>
  <c r="K16" i="28"/>
  <c r="K18" i="28" s="1"/>
  <c r="G16" i="28"/>
  <c r="G18" i="28" s="1"/>
  <c r="J16" i="28"/>
  <c r="J18" i="28" s="1"/>
  <c r="DU18" i="31"/>
  <c r="DU26" i="31" s="1"/>
  <c r="DU17" i="31"/>
  <c r="DV16" i="31"/>
  <c r="DV19" i="31" s="1"/>
  <c r="DV21" i="31"/>
  <c r="DW15" i="31"/>
  <c r="DW20" i="31" s="1"/>
  <c r="DW22" i="31" s="1"/>
  <c r="I19" i="28" l="1"/>
  <c r="I23" i="28"/>
  <c r="C19" i="28"/>
  <c r="C23" i="28"/>
  <c r="K19" i="28"/>
  <c r="K23" i="28"/>
  <c r="L19" i="28"/>
  <c r="L23" i="28"/>
  <c r="H23" i="28"/>
  <c r="H19" i="28"/>
  <c r="E23" i="28"/>
  <c r="E19" i="28"/>
  <c r="G23" i="28"/>
  <c r="G19" i="28"/>
  <c r="J19" i="28"/>
  <c r="J23" i="28"/>
  <c r="F23" i="28"/>
  <c r="F19" i="28"/>
  <c r="DV17" i="31"/>
  <c r="DV18" i="31"/>
  <c r="DV26" i="31" s="1"/>
  <c r="DW16" i="31"/>
  <c r="DW17" i="31" s="1"/>
  <c r="DW21" i="31"/>
  <c r="L28" i="28" l="1"/>
  <c r="L31" i="28" s="1"/>
  <c r="L24" i="28"/>
  <c r="J28" i="28"/>
  <c r="J31" i="28" s="1"/>
  <c r="J24" i="28"/>
  <c r="C28" i="28"/>
  <c r="C31" i="28" s="1"/>
  <c r="C24" i="28"/>
  <c r="G28" i="28"/>
  <c r="G31" i="28" s="1"/>
  <c r="G24" i="28"/>
  <c r="E28" i="28"/>
  <c r="E31" i="28" s="1"/>
  <c r="E24" i="28"/>
  <c r="I28" i="28"/>
  <c r="I31" i="28" s="1"/>
  <c r="I24" i="28"/>
  <c r="K28" i="28"/>
  <c r="K31" i="28" s="1"/>
  <c r="K24" i="28"/>
  <c r="F24" i="28"/>
  <c r="F28" i="28"/>
  <c r="F31" i="28" s="1"/>
  <c r="H28" i="28"/>
  <c r="H31" i="28" s="1"/>
  <c r="H24" i="28"/>
  <c r="DW18" i="31"/>
  <c r="DW26" i="31" s="1"/>
  <c r="D6" i="28" s="1"/>
  <c r="D10" i="28" s="1"/>
  <c r="DW19" i="31"/>
  <c r="K29" i="28" l="1"/>
  <c r="K33" i="28"/>
  <c r="K37" i="28" s="1"/>
  <c r="K39" i="28" s="1"/>
  <c r="K53" i="28" s="1"/>
  <c r="I33" i="28"/>
  <c r="I37" i="28" s="1"/>
  <c r="I39" i="28" s="1"/>
  <c r="I53" i="28" s="1"/>
  <c r="I29" i="28"/>
  <c r="J33" i="28"/>
  <c r="J37" i="28" s="1"/>
  <c r="J39" i="28" s="1"/>
  <c r="J53" i="28" s="1"/>
  <c r="J29" i="28"/>
  <c r="F29" i="28"/>
  <c r="F33" i="28"/>
  <c r="F37" i="28" s="1"/>
  <c r="F39" i="28" s="1"/>
  <c r="F53" i="28" s="1"/>
  <c r="G29" i="28"/>
  <c r="G33" i="28"/>
  <c r="G37" i="28" s="1"/>
  <c r="G39" i="28" s="1"/>
  <c r="G53" i="28" s="1"/>
  <c r="C33" i="28"/>
  <c r="C29" i="28"/>
  <c r="H33" i="28"/>
  <c r="H37" i="28" s="1"/>
  <c r="H39" i="28" s="1"/>
  <c r="H53" i="28" s="1"/>
  <c r="H29" i="28"/>
  <c r="E33" i="28"/>
  <c r="E37" i="28" s="1"/>
  <c r="E39" i="28" s="1"/>
  <c r="E53" i="28" s="1"/>
  <c r="E29" i="28"/>
  <c r="L29" i="28"/>
  <c r="L33" i="28"/>
  <c r="L37" i="28" s="1"/>
  <c r="L39" i="28" s="1"/>
  <c r="L53" i="28" s="1"/>
  <c r="D15" i="28"/>
  <c r="D14" i="28"/>
  <c r="C37" i="28" l="1"/>
  <c r="C39" i="28" s="1"/>
  <c r="C53" i="28" s="1"/>
  <c r="C55" i="28" s="1"/>
  <c r="J34" i="28"/>
  <c r="E34" i="28"/>
  <c r="F34" i="28"/>
  <c r="H34" i="28"/>
  <c r="C34" i="28"/>
  <c r="I34" i="28"/>
  <c r="L34" i="28"/>
  <c r="G34" i="28"/>
  <c r="K34" i="28"/>
  <c r="D16" i="28"/>
  <c r="D18" i="28" s="1"/>
  <c r="D57" i="28" s="1"/>
  <c r="D19" i="28" l="1"/>
  <c r="D23" i="28"/>
  <c r="D28" i="28" l="1"/>
  <c r="D31" i="28" s="1"/>
  <c r="D24" i="28"/>
  <c r="D33" i="28" l="1"/>
  <c r="D37" i="28" s="1"/>
  <c r="D39" i="28" s="1"/>
  <c r="D53" i="28" s="1"/>
  <c r="D55" i="28" s="1"/>
  <c r="E55" i="28" s="1"/>
  <c r="F55" i="28" s="1"/>
  <c r="G55" i="28" s="1"/>
  <c r="H55" i="28" s="1"/>
  <c r="I55" i="28" s="1"/>
  <c r="J55" i="28" s="1"/>
  <c r="K55" i="28" s="1"/>
  <c r="L55" i="28" s="1"/>
  <c r="D29" i="28"/>
  <c r="D34" i="28" l="1"/>
</calcChain>
</file>

<file path=xl/sharedStrings.xml><?xml version="1.0" encoding="utf-8"?>
<sst xmlns="http://schemas.openxmlformats.org/spreadsheetml/2006/main" count="516" uniqueCount="338">
  <si>
    <t>Darwin Mine</t>
  </si>
  <si>
    <t>Metal</t>
  </si>
  <si>
    <t>% per Ton</t>
  </si>
  <si>
    <t>Tungsten</t>
  </si>
  <si>
    <t>Zinc</t>
  </si>
  <si>
    <t>Prices</t>
  </si>
  <si>
    <t>TPD</t>
  </si>
  <si>
    <t>Start Date</t>
  </si>
  <si>
    <t>Zinc Liquid Assumptions</t>
  </si>
  <si>
    <t>Zinc Content</t>
  </si>
  <si>
    <t>Zinc Powder Assumptions</t>
  </si>
  <si>
    <t>Bags Per Day</t>
  </si>
  <si>
    <t>Price Per Bag</t>
  </si>
  <si>
    <t>Total Cost per Ton</t>
  </si>
  <si>
    <t>Description</t>
  </si>
  <si>
    <t>Cost Per Ton</t>
  </si>
  <si>
    <t>Category</t>
  </si>
  <si>
    <t>Total</t>
  </si>
  <si>
    <t>Month</t>
  </si>
  <si>
    <t>Labor Underground</t>
  </si>
  <si>
    <t>Labor</t>
  </si>
  <si>
    <t>Container Freight</t>
  </si>
  <si>
    <t>Powder &amp; Steel</t>
  </si>
  <si>
    <t>Explosives</t>
  </si>
  <si>
    <t>Corporate Costs</t>
  </si>
  <si>
    <t>Ventilation</t>
  </si>
  <si>
    <t>Utilities</t>
  </si>
  <si>
    <t>Development Drilling</t>
  </si>
  <si>
    <t>Safety Labor</t>
  </si>
  <si>
    <t>Mine Supplies</t>
  </si>
  <si>
    <t>Smelter Fees</t>
  </si>
  <si>
    <t>Crushing</t>
  </si>
  <si>
    <t>Transportation</t>
  </si>
  <si>
    <t>Maintenance</t>
  </si>
  <si>
    <t>Consumables</t>
  </si>
  <si>
    <t>Transport Fine Ore</t>
  </si>
  <si>
    <t>Crushing Electric &amp; Water</t>
  </si>
  <si>
    <t>Milling</t>
  </si>
  <si>
    <t>Milling Maintenance</t>
  </si>
  <si>
    <t>Chemicals</t>
  </si>
  <si>
    <t>Tailing Treatment</t>
  </si>
  <si>
    <t>Bags</t>
  </si>
  <si>
    <t>Mill Electric &amp; Water</t>
  </si>
  <si>
    <t>Security/Lab</t>
  </si>
  <si>
    <t>Trucking</t>
  </si>
  <si>
    <t>G&amp;A/Other/Contingency</t>
  </si>
  <si>
    <t xml:space="preserve">Other </t>
  </si>
  <si>
    <t>Marketing Costs</t>
  </si>
  <si>
    <t>CAPEX</t>
  </si>
  <si>
    <t>Taxes</t>
  </si>
  <si>
    <t>Mining Costs</t>
  </si>
  <si>
    <t>Royalties</t>
  </si>
  <si>
    <t>Revenues</t>
  </si>
  <si>
    <t>EBITDA</t>
  </si>
  <si>
    <t>Interest</t>
  </si>
  <si>
    <t>Depreciation</t>
  </si>
  <si>
    <t>FCF</t>
  </si>
  <si>
    <t>G&amp;A</t>
  </si>
  <si>
    <t>Total Revenue</t>
  </si>
  <si>
    <t>Operating Costs</t>
  </si>
  <si>
    <t>Production</t>
  </si>
  <si>
    <t>Oz</t>
  </si>
  <si>
    <t>Critical Minerals</t>
  </si>
  <si>
    <t>Amount</t>
  </si>
  <si>
    <t>Funding Date</t>
  </si>
  <si>
    <t>Revenue Per Ton</t>
  </si>
  <si>
    <t>Tons</t>
  </si>
  <si>
    <t>Darwin Mine - Ag Products</t>
  </si>
  <si>
    <t>Lbs</t>
  </si>
  <si>
    <t>Bag Weight</t>
  </si>
  <si>
    <t>Bag Revenue</t>
  </si>
  <si>
    <t>%</t>
  </si>
  <si>
    <t>Startup Costs</t>
  </si>
  <si>
    <t>Wanderin Star Startup (mths)</t>
  </si>
  <si>
    <t>Darwin Startup (mths)</t>
  </si>
  <si>
    <t xml:space="preserve">Wandering Star Ore </t>
  </si>
  <si>
    <t>Mineral</t>
  </si>
  <si>
    <t>Recovery</t>
  </si>
  <si>
    <t>Tonnage</t>
  </si>
  <si>
    <t>Wandering Star</t>
  </si>
  <si>
    <t>Inyoag Assumptions</t>
  </si>
  <si>
    <t>SECTION 1 — MINING EXTRACTION &amp; UNDERGROUND OPS</t>
  </si>
  <si>
    <t xml:space="preserve">  Underground Equipment (drills, hoist, cars, locomotives, lighting)</t>
  </si>
  <si>
    <t xml:space="preserve">  Underground Equipment — Additional</t>
  </si>
  <si>
    <t xml:space="preserve">  Development — Underground (drifting, raise rehab, scaling)</t>
  </si>
  <si>
    <t xml:space="preserve">  Development — Shaft Sinking</t>
  </si>
  <si>
    <t xml:space="preserve">  Mining Extraction Subtotal</t>
  </si>
  <si>
    <t>SECTION 2 — MINING SUPPORT SYSTEMS</t>
  </si>
  <si>
    <t xml:space="preserve">  Water System (well, pipe, tank, monitoring)</t>
  </si>
  <si>
    <t xml:space="preserve">  Air System (cooling, receivers, materials)</t>
  </si>
  <si>
    <t xml:space="preserve">  Electrical System (high voltage, solar plant, labor, materials)</t>
  </si>
  <si>
    <t xml:space="preserve">  Mining Support Systems Subtotal</t>
  </si>
  <si>
    <t>SECTION 3 — MINING FACILITIES &amp; INFRASTRUCTURE</t>
  </si>
  <si>
    <t xml:space="preserve">  Facility Upgrades (dump pocket, lamp house, charging facility, lab)</t>
  </si>
  <si>
    <t xml:space="preserve">  Road Improvements &amp; Site Paving</t>
  </si>
  <si>
    <t xml:space="preserve">  Site Support Equipment (mules, vehicles, equipment)</t>
  </si>
  <si>
    <t xml:space="preserve">  Facilities &amp; Infrastructure Subtotal</t>
  </si>
  <si>
    <t>SECTION 4 — PROCESSING &amp; BENEFICIATION</t>
  </si>
  <si>
    <t xml:space="preserve">  Mill Equipment</t>
  </si>
  <si>
    <t xml:space="preserve">  Cryogenic Dryer &amp; Bagging System</t>
  </si>
  <si>
    <t xml:space="preserve">  Mill Tailings Management (underground dry compacted)</t>
  </si>
  <si>
    <t xml:space="preserve">  Camp Water Supply (supporting operations)</t>
  </si>
  <si>
    <t xml:space="preserve">  Processing &amp; Beneficiation Subtotal</t>
  </si>
  <si>
    <t>Total Budget</t>
  </si>
  <si>
    <t>Cost Category</t>
  </si>
  <si>
    <t>1. PERMITTING &amp; RECLAMATION BOND</t>
  </si>
  <si>
    <t>2. RAIL CONSTRUCTION &amp; DUMP POCKET</t>
  </si>
  <si>
    <t>3. UTILITIES (ELECTRICAL, WATER, AIR VENTILATION)</t>
  </si>
  <si>
    <t>4. OPERATIONAL DEVELOPMENT &amp; STARTUP</t>
  </si>
  <si>
    <t>Additional Use Permit (Inyo County Planning Dept)</t>
  </si>
  <si>
    <t>Air Quality Permit (Great Basin Unified APCD)</t>
  </si>
  <si>
    <t>Reclamation Bond preparation and filing</t>
  </si>
  <si>
    <t>Reclamation Bond</t>
  </si>
  <si>
    <t>Environmental baseline documentation</t>
  </si>
  <si>
    <t>Legal and regulatory consulting fees</t>
  </si>
  <si>
    <t>BLM right-of-way amendments (ore transport)</t>
  </si>
  <si>
    <t>Permitting contingency</t>
  </si>
  <si>
    <t>Rail receiving infrastructure — engineering and design</t>
  </si>
  <si>
    <t>Rail materials procurement</t>
  </si>
  <si>
    <t>Rail installation labor and equipment</t>
  </si>
  <si>
    <t>Dump pocket construction — design</t>
  </si>
  <si>
    <t>Dump pocket construction — materials and labor</t>
  </si>
  <si>
    <t>Equipment testing and commissioning</t>
  </si>
  <si>
    <t>Electrical system — design and permitting</t>
  </si>
  <si>
    <t>Electrical system — materials (transformers, wiring, panels)</t>
  </si>
  <si>
    <t>Electrical system — installation labor</t>
  </si>
  <si>
    <t>Water system — well assessment and pipe installation</t>
  </si>
  <si>
    <t>Water system — tanks and storage</t>
  </si>
  <si>
    <t>Air ventilation — underground fan and duct installation</t>
  </si>
  <si>
    <t>Utilities contingency</t>
  </si>
  <si>
    <t>Site mobilization and initial equipment setup</t>
  </si>
  <si>
    <t>Underground access rehabilitation (decline inspection/repair)</t>
  </si>
  <si>
    <t>Safety systems installation (MSHA compliance)</t>
  </si>
  <si>
    <t>Initial explosives inventory and storage setup</t>
  </si>
  <si>
    <t>Equipment operator training and certification</t>
  </si>
  <si>
    <t>Trial mining and system commissioning (first ore)</t>
  </si>
  <si>
    <t>Site management and supervision (pre-production)</t>
  </si>
  <si>
    <t>Ore transport trial runs and logistics setup</t>
  </si>
  <si>
    <t>Operational contingency</t>
  </si>
  <si>
    <t>M1</t>
  </si>
  <si>
    <t>M2</t>
  </si>
  <si>
    <t>M3</t>
  </si>
  <si>
    <t>M4</t>
  </si>
  <si>
    <t>M5</t>
  </si>
  <si>
    <t>M6</t>
  </si>
  <si>
    <t>Permitting</t>
  </si>
  <si>
    <t>Rail Infrastructure</t>
  </si>
  <si>
    <t>Wandering Star - CAPEX</t>
  </si>
  <si>
    <t>Darwin - CAPEX</t>
  </si>
  <si>
    <t>Tungsten Model</t>
  </si>
  <si>
    <t>APT Price — Low ($/MTU)</t>
  </si>
  <si>
    <t>Low case APT benchmark</t>
  </si>
  <si>
    <t>APT Price — Mid ($/MTU)</t>
  </si>
  <si>
    <t>Mid case APT benchmark</t>
  </si>
  <si>
    <t>APT Price — High ($/MTU)</t>
  </si>
  <si>
    <t>High case APT benchmark</t>
  </si>
  <si>
    <t>Sodium Tungstate Factor</t>
  </si>
  <si>
    <t>Per Kennametal agreement (74% of APT)</t>
  </si>
  <si>
    <t>Phase 1 — Ore/Day (tons)</t>
  </si>
  <si>
    <t>Short tons per day</t>
  </si>
  <si>
    <t>Phase 1 — Duration (months)</t>
  </si>
  <si>
    <t>Phase 2 — Ore/Day (tons)</t>
  </si>
  <si>
    <t>Phase 2 — Duration (months)</t>
  </si>
  <si>
    <t>Phase 3 — Ore/Day (tons)</t>
  </si>
  <si>
    <t>Short tons per day — ongoing</t>
  </si>
  <si>
    <t>Short Tons → Metric Tonnes</t>
  </si>
  <si>
    <t>1 short ton = 0.9072 metric tonnes</t>
  </si>
  <si>
    <t>MTU Definition</t>
  </si>
  <si>
    <t>1 MTU = 10 kg WO₃</t>
  </si>
  <si>
    <t>Pricing</t>
  </si>
  <si>
    <t>Conversion</t>
  </si>
  <si>
    <t>Inyoag - Tungsten Model</t>
  </si>
  <si>
    <t>Production Level</t>
  </si>
  <si>
    <t>Operating Days</t>
  </si>
  <si>
    <t>Phase I (mths)</t>
  </si>
  <si>
    <t>Phase II (mths)</t>
  </si>
  <si>
    <t>Phase III (mths)</t>
  </si>
  <si>
    <t>Production Ramp</t>
  </si>
  <si>
    <t>Months</t>
  </si>
  <si>
    <t>End Date</t>
  </si>
  <si>
    <t>Wandering Star Production</t>
  </si>
  <si>
    <t>Wandering Star Start</t>
  </si>
  <si>
    <t>Darwin Start</t>
  </si>
  <si>
    <t>Ore Throughput (tons/day)</t>
  </si>
  <si>
    <t>Ore Mined (short tons)</t>
  </si>
  <si>
    <t>Ore Mined (metric tonnes)</t>
  </si>
  <si>
    <t>WO₃ Equivalent (kg)</t>
  </si>
  <si>
    <t>MTUs (WO₃ kg ÷ 10)</t>
  </si>
  <si>
    <t>Revenue — Low  ($2,800/MTU)</t>
  </si>
  <si>
    <t>Revenue — Mid  ($3,040/MTU)</t>
  </si>
  <si>
    <t>Revenue — High ($3,280/MTU)</t>
  </si>
  <si>
    <t>WO₃ Conversion Factor</t>
  </si>
  <si>
    <t>W → WO₃ molecular weight ratio (231.84/183.84)</t>
  </si>
  <si>
    <t>Concentrate Production</t>
  </si>
  <si>
    <t>kg</t>
  </si>
  <si>
    <t>Concentrate Discount</t>
  </si>
  <si>
    <t>Total Discount</t>
  </si>
  <si>
    <t>Concentrate Factor</t>
  </si>
  <si>
    <t>Revenue - Earned</t>
  </si>
  <si>
    <t>Tungsten Produced (kg)</t>
  </si>
  <si>
    <t>Revenue Mid</t>
  </si>
  <si>
    <t>Inyoag - Metals Model</t>
  </si>
  <si>
    <t>Darwin - Major Metals</t>
  </si>
  <si>
    <t>Weighted Production</t>
  </si>
  <si>
    <t>Darwin p/t</t>
  </si>
  <si>
    <t>WS p/t</t>
  </si>
  <si>
    <t>Weighted</t>
  </si>
  <si>
    <t>Production Data</t>
  </si>
  <si>
    <t>Revenue</t>
  </si>
  <si>
    <t>Price</t>
  </si>
  <si>
    <t>tn</t>
  </si>
  <si>
    <t>Ca</t>
  </si>
  <si>
    <t>Mining Costs - WS</t>
  </si>
  <si>
    <t>Mining Costs - Darwin</t>
  </si>
  <si>
    <t>Total Operating Costs</t>
  </si>
  <si>
    <t>Critical Minerals Model</t>
  </si>
  <si>
    <t>Darwin</t>
  </si>
  <si>
    <t>Blended</t>
  </si>
  <si>
    <t>WS Costs</t>
  </si>
  <si>
    <t>Darwin Costs</t>
  </si>
  <si>
    <t>CAPEX - WS</t>
  </si>
  <si>
    <t>CAPEX - Darwin</t>
  </si>
  <si>
    <t>Inyoag - Mining Costs</t>
  </si>
  <si>
    <t>Inyoag - Zinc Agriculture</t>
  </si>
  <si>
    <t>Inyoag - Critical Minerals Model</t>
  </si>
  <si>
    <t>50/50 Costs</t>
  </si>
  <si>
    <t>Lbs per Bag</t>
  </si>
  <si>
    <t>Darwin Zinc</t>
  </si>
  <si>
    <t>WS Zinc</t>
  </si>
  <si>
    <t>Zn Production (tpm)</t>
  </si>
  <si>
    <t>Liquid Revenue</t>
  </si>
  <si>
    <t>Zn Per Bag</t>
  </si>
  <si>
    <t>Price Per Ton</t>
  </si>
  <si>
    <t>Inyoag - Commodity Price Assumptions</t>
  </si>
  <si>
    <t>Powder Revenue</t>
  </si>
  <si>
    <t>Monthly Costs</t>
  </si>
  <si>
    <t>Cost</t>
  </si>
  <si>
    <t>Silver &amp; Copper</t>
  </si>
  <si>
    <t>Zinc Ag</t>
  </si>
  <si>
    <t>EBIT</t>
  </si>
  <si>
    <t>Interest Expense</t>
  </si>
  <si>
    <t>EBT</t>
  </si>
  <si>
    <t>Net Income</t>
  </si>
  <si>
    <t>Inyoag - Pro Forma</t>
  </si>
  <si>
    <t>Inyoag - D&amp;A Schedule</t>
  </si>
  <si>
    <t>Asset Category</t>
  </si>
  <si>
    <t>Total CapEx ($)</t>
  </si>
  <si>
    <t>1. Permitting &amp; Reclamation Bond</t>
  </si>
  <si>
    <t>SL</t>
  </si>
  <si>
    <t>IRC §197 / Rev. Proc. 87-56 — permits &amp; intangibles, 15-yr straight-line</t>
  </si>
  <si>
    <t>2. Rail Construction &amp; Dump Pocket</t>
  </si>
  <si>
    <t>DDB</t>
  </si>
  <si>
    <t>MACRS Asset Class 00.3 — land improvements &amp; rail; 7-yr 200% DDB</t>
  </si>
  <si>
    <t>3. Utilities (Electrical, Water, Air)</t>
  </si>
  <si>
    <t>MACRS Asset Class 00.3 — electrical &amp; mechanical systems; 7-yr DDB</t>
  </si>
  <si>
    <t>4. Operational Development &amp; Startup</t>
  </si>
  <si>
    <t>MACRS Asset Class 10.0 — mining; 7-yr DDB per Rev. Proc. 87-56</t>
  </si>
  <si>
    <t>Underground Equipment (drills, hoist, locos, lighting)</t>
  </si>
  <si>
    <t>MACRS Asset Class 10.0 — mining machinery; 7-yr 200% DDB</t>
  </si>
  <si>
    <t>Underground Development (drifting, shaft, raise rehab)</t>
  </si>
  <si>
    <t>MACRS Asset Class 10.0 — mine development; 10-yr 200% DDB</t>
  </si>
  <si>
    <t>Mining Support Systems (Water, Air, Electrical)</t>
  </si>
  <si>
    <t>MACRS Asset Class 00.3/10.0 — mechanical &amp; electrical; 7-yr DDB</t>
  </si>
  <si>
    <t>Facilities &amp; Infrastructure (roads, buildings, upgrades)</t>
  </si>
  <si>
    <t>MACRS Asset Class 00.3 — land improvements &amp; structures; 15-yr SL</t>
  </si>
  <si>
    <t>Processing &amp; Beneficiation (mill, dryer, tailings, water)</t>
  </si>
  <si>
    <t>MACRS Asset Class 10.0 — processing equipment; 7-yr DDB</t>
  </si>
  <si>
    <t>Years</t>
  </si>
  <si>
    <t>WANDERING STAR</t>
  </si>
  <si>
    <t>DARWIN MINE</t>
  </si>
  <si>
    <t>Total Loan</t>
  </si>
  <si>
    <t>IO</t>
  </si>
  <si>
    <t>Type</t>
  </si>
  <si>
    <t>Rate</t>
  </si>
  <si>
    <t>Maturity</t>
  </si>
  <si>
    <t>Maturity Date</t>
  </si>
  <si>
    <t>Principal</t>
  </si>
  <si>
    <t>Ending Principal</t>
  </si>
  <si>
    <t>Loan Proceeds</t>
  </si>
  <si>
    <t>Balloon Payment</t>
  </si>
  <si>
    <t>Amortizing</t>
  </si>
  <si>
    <t>Monthly Payment</t>
  </si>
  <si>
    <t>Cash Flow</t>
  </si>
  <si>
    <t>Total Principal</t>
  </si>
  <si>
    <t>Investing Activities</t>
  </si>
  <si>
    <t>Financing Activities</t>
  </si>
  <si>
    <t>Investing CF</t>
  </si>
  <si>
    <t>Operating CF</t>
  </si>
  <si>
    <t>Financing CF</t>
  </si>
  <si>
    <t>Cumulative FCF</t>
  </si>
  <si>
    <t>Loan Balance</t>
  </si>
  <si>
    <t>DSCR</t>
  </si>
  <si>
    <t>Darwin % WO₃</t>
  </si>
  <si>
    <t>Blended WO₃</t>
  </si>
  <si>
    <t>Wandering Star % WO₃</t>
  </si>
  <si>
    <t>Contained WO₃ (metric tonnes)</t>
  </si>
  <si>
    <t>Note</t>
  </si>
  <si>
    <t>On-Going CAPEX</t>
  </si>
  <si>
    <t>pt</t>
  </si>
  <si>
    <t>Sustainable CAPEX</t>
  </si>
  <si>
    <t>Private &amp; Confidential</t>
  </si>
  <si>
    <t>Current Price</t>
  </si>
  <si>
    <t>Location</t>
  </si>
  <si>
    <t>SECTION 5 - EXPLORATION AND DRILLING</t>
  </si>
  <si>
    <t>Enginnering</t>
  </si>
  <si>
    <t>Drilling</t>
  </si>
  <si>
    <t>Geology</t>
  </si>
  <si>
    <t>Equipment</t>
  </si>
  <si>
    <t>Exploration and Drlling Subtotal</t>
  </si>
  <si>
    <t xml:space="preserve">Permitting </t>
  </si>
  <si>
    <t>Rail Construction</t>
  </si>
  <si>
    <t>Operational Setup</t>
  </si>
  <si>
    <t>Mining Extraction and Underground Ops</t>
  </si>
  <si>
    <t>Mining Support Systems</t>
  </si>
  <si>
    <t>Mining Facilities Infrastructure</t>
  </si>
  <si>
    <t>Processing and Benefication</t>
  </si>
  <si>
    <t>Exploration and Drilling</t>
  </si>
  <si>
    <t>Operational Support</t>
  </si>
  <si>
    <t>Working Capital</t>
  </si>
  <si>
    <t>Combined - CAPEX</t>
  </si>
  <si>
    <t>Totals</t>
  </si>
  <si>
    <t>Copper</t>
  </si>
  <si>
    <t>Silver</t>
  </si>
  <si>
    <t>Gold</t>
  </si>
  <si>
    <t>Lead</t>
  </si>
  <si>
    <t>CAPEX - OTHER</t>
  </si>
  <si>
    <t>Germanium</t>
  </si>
  <si>
    <t>Hafnium</t>
  </si>
  <si>
    <t>Gallium</t>
  </si>
  <si>
    <t>Indium</t>
  </si>
  <si>
    <t>Nickel</t>
  </si>
  <si>
    <t>Cadmium</t>
  </si>
  <si>
    <t>Cobalt</t>
  </si>
  <si>
    <t>Magnesium</t>
  </si>
  <si>
    <t>Rubidium</t>
  </si>
  <si>
    <t>Tellurium</t>
  </si>
  <si>
    <t>indium</t>
  </si>
  <si>
    <t>Price Change Assumption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</si>
</sst>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&quot; &quot;;\(#,##0\)"/>
    <numFmt numFmtId="166" formatCode="&quot; &quot;[$$-409]* #,##0.00&quot; &quot;;&quot; &quot;[$$-409]* \(#,##0.00\);&quot; &quot;[$$-409]* &quot;-&quot;??&quot; &quot;"/>
    <numFmt numFmtId="167" formatCode="&quot; &quot;* #,##0.000&quot; &quot;;&quot; &quot;* \(#,##0.000\);&quot; &quot;* &quot;-&quot;??&quot; &quot;"/>
    <numFmt numFmtId="168" formatCode="_([$$-409]* #,##0.00_);_([$$-409]* \(#,##0.00\);_([$$-409]* &quot;-&quot;??_);_(@_)"/>
    <numFmt numFmtId="169" formatCode="&quot;$&quot;#,##0"/>
    <numFmt numFmtId="170" formatCode="_(* #,##0_);_(* \(#,##0\);_(* &quot;-&quot;??_);_(@_)"/>
    <numFmt numFmtId="171" formatCode="mm/dd/yy;@"/>
    <numFmt numFmtId="172" formatCode="\$#,##0;&quot;($&quot;#,##0\);\-"/>
    <numFmt numFmtId="173" formatCode="_(&quot;$&quot;* #,##0_);_(&quot;$&quot;* \(#,##0\);_(&quot;$&quot;* &quot;-&quot;??_);_(@_)"/>
    <numFmt numFmtId="174" formatCode="_(* #,##0.000_);_(* \(#,##0.000\);_(* &quot;-&quot;??_);_(@_)"/>
  </numFmts>
  <fonts count="19" x14ac:knownFonts="1">
    <font>
      <sz val="11"/>
      <color indexed="8"/>
      <name val="Calibri"/>
    </font>
    <font>
      <b/>
      <sz val="16"/>
      <color indexed="8"/>
      <name val="Open Sans"/>
      <family val="2"/>
    </font>
    <font>
      <sz val="10"/>
      <color indexed="8"/>
      <name val="Open Sans"/>
      <family val="2"/>
    </font>
    <font>
      <b/>
      <sz val="10"/>
      <color indexed="8"/>
      <name val="Open Sans"/>
      <family val="2"/>
    </font>
    <font>
      <sz val="10"/>
      <color indexed="17"/>
      <name val="Open Sans"/>
      <family val="2"/>
    </font>
    <font>
      <sz val="11"/>
      <color indexed="8"/>
      <name val="Calibri"/>
      <family val="2"/>
    </font>
    <font>
      <sz val="11"/>
      <color indexed="8"/>
      <name val="Open Sans"/>
      <family val="2"/>
    </font>
    <font>
      <b/>
      <sz val="10"/>
      <color theme="0"/>
      <name val="Open Sans"/>
      <family val="2"/>
    </font>
    <font>
      <b/>
      <sz val="10"/>
      <name val="Open Sans"/>
      <family val="2"/>
    </font>
    <font>
      <sz val="10"/>
      <color rgb="FF0070C0"/>
      <name val="Open Sans"/>
      <family val="2"/>
    </font>
    <font>
      <sz val="10"/>
      <name val="Open Sans"/>
      <family val="2"/>
    </font>
    <font>
      <sz val="11"/>
      <color indexed="8"/>
      <name val="Calibri"/>
      <family val="2"/>
    </font>
    <font>
      <b/>
      <sz val="12"/>
      <color indexed="8"/>
      <name val="Open Sans"/>
      <family val="2"/>
    </font>
    <font>
      <b/>
      <sz val="10"/>
      <color rgb="FF00B0F0"/>
      <name val="Open Sans"/>
      <family val="2"/>
    </font>
    <font>
      <sz val="11"/>
      <color theme="1"/>
      <name val="Calibri"/>
      <family val="2"/>
      <charset val="1"/>
    </font>
    <font>
      <b/>
      <sz val="12"/>
      <name val="Open Sans"/>
      <family val="2"/>
    </font>
    <font>
      <i/>
      <sz val="10"/>
      <name val="Open Sans"/>
      <family val="2"/>
    </font>
    <font>
      <sz val="10"/>
      <color theme="0"/>
      <name val="Open Sans"/>
      <family val="2"/>
    </font>
    <font>
      <b/>
      <sz val="10"/>
      <color rgb="FF002060"/>
      <name val="Open Sans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EEF2F8"/>
      </patternFill>
    </fill>
    <fill>
      <patternFill patternType="solid">
        <fgColor rgb="FFFFFFFF"/>
        <bgColor rgb="FFF0F7F0"/>
      </patternFill>
    </fill>
    <fill>
      <patternFill patternType="solid">
        <fgColor rgb="FFD9E1F2"/>
        <bgColor rgb="FFCC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E2EF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 style="thin">
        <color indexed="13"/>
      </right>
      <top/>
      <bottom/>
      <diagonal/>
    </border>
    <border>
      <left/>
      <right/>
      <top style="thin">
        <color indexed="14"/>
      </top>
      <bottom/>
      <diagonal/>
    </border>
    <border>
      <left/>
      <right/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/>
      <right/>
      <top/>
      <bottom style="thin">
        <color indexed="1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5">
    <xf numFmtId="0" fontId="0" fillId="0" borderId="0" applyNumberFormat="0" applyFill="0" applyBorder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4" fillId="0" borderId="7"/>
  </cellStyleXfs>
  <cellXfs count="235">
    <xf numFmtId="0" fontId="0" fillId="0" borderId="0" xfId="0" applyFont="1" applyAlignment="1"/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0" fillId="2" borderId="7" xfId="0" applyFont="1" applyFill="1" applyBorder="1" applyAlignment="1"/>
    <xf numFmtId="9" fontId="0" fillId="2" borderId="7" xfId="0" applyNumberFormat="1" applyFont="1" applyFill="1" applyBorder="1" applyAlignment="1"/>
    <xf numFmtId="10" fontId="0" fillId="2" borderId="7" xfId="0" applyNumberFormat="1" applyFont="1" applyFill="1" applyBorder="1" applyAlignment="1"/>
    <xf numFmtId="165" fontId="0" fillId="2" borderId="5" xfId="0" applyNumberFormat="1" applyFont="1" applyFill="1" applyBorder="1" applyAlignment="1"/>
    <xf numFmtId="0" fontId="2" fillId="2" borderId="7" xfId="0" applyFont="1" applyFill="1" applyBorder="1" applyAlignment="1"/>
    <xf numFmtId="0" fontId="0" fillId="0" borderId="0" xfId="0" applyNumberFormat="1" applyFont="1" applyAlignment="1"/>
    <xf numFmtId="0" fontId="0" fillId="2" borderId="12" xfId="0" applyFont="1" applyFill="1" applyBorder="1" applyAlignment="1"/>
    <xf numFmtId="49" fontId="4" fillId="2" borderId="7" xfId="0" applyNumberFormat="1" applyFont="1" applyFill="1" applyBorder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49" fontId="1" fillId="0" borderId="13" xfId="0" applyNumberFormat="1" applyFont="1" applyBorder="1" applyAlignment="1"/>
    <xf numFmtId="0" fontId="1" fillId="0" borderId="13" xfId="0" applyFont="1" applyBorder="1" applyAlignment="1"/>
    <xf numFmtId="0" fontId="0" fillId="0" borderId="7" xfId="0" applyFont="1" applyBorder="1" applyAlignment="1"/>
    <xf numFmtId="0" fontId="0" fillId="0" borderId="5" xfId="0" applyFont="1" applyBorder="1" applyAlignment="1"/>
    <xf numFmtId="0" fontId="0" fillId="0" borderId="14" xfId="0" applyFont="1" applyBorder="1" applyAlignment="1"/>
    <xf numFmtId="49" fontId="0" fillId="0" borderId="7" xfId="0" applyNumberFormat="1" applyFont="1" applyBorder="1" applyAlignment="1"/>
    <xf numFmtId="0" fontId="0" fillId="0" borderId="15" xfId="0" applyFont="1" applyBorder="1" applyAlignment="1"/>
    <xf numFmtId="14" fontId="0" fillId="0" borderId="15" xfId="0" applyNumberFormat="1" applyFont="1" applyBorder="1" applyAlignment="1"/>
    <xf numFmtId="14" fontId="0" fillId="0" borderId="7" xfId="0" applyNumberFormat="1" applyFont="1" applyBorder="1" applyAlignment="1"/>
    <xf numFmtId="14" fontId="0" fillId="0" borderId="5" xfId="0" applyNumberFormat="1" applyFont="1" applyBorder="1" applyAlignment="1"/>
    <xf numFmtId="49" fontId="0" fillId="0" borderId="16" xfId="0" applyNumberFormat="1" applyFont="1" applyBorder="1" applyAlignment="1"/>
    <xf numFmtId="0" fontId="0" fillId="0" borderId="16" xfId="0" applyNumberFormat="1" applyFont="1" applyBorder="1" applyAlignment="1"/>
    <xf numFmtId="49" fontId="3" fillId="0" borderId="7" xfId="0" applyNumberFormat="1" applyFont="1" applyBorder="1" applyAlignment="1"/>
    <xf numFmtId="3" fontId="0" fillId="0" borderId="7" xfId="0" applyNumberFormat="1" applyFont="1" applyBorder="1" applyAlignment="1"/>
    <xf numFmtId="3" fontId="0" fillId="0" borderId="5" xfId="0" applyNumberFormat="1" applyFont="1" applyBorder="1" applyAlignment="1"/>
    <xf numFmtId="164" fontId="0" fillId="0" borderId="7" xfId="0" applyNumberFormat="1" applyFont="1" applyBorder="1" applyAlignment="1"/>
    <xf numFmtId="3" fontId="2" fillId="0" borderId="7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9" fontId="0" fillId="0" borderId="7" xfId="0" applyNumberFormat="1" applyFont="1" applyBorder="1" applyAlignment="1"/>
    <xf numFmtId="166" fontId="0" fillId="0" borderId="7" xfId="0" applyNumberFormat="1" applyFont="1" applyBorder="1" applyAlignment="1"/>
    <xf numFmtId="9" fontId="0" fillId="0" borderId="5" xfId="0" applyNumberFormat="1" applyFont="1" applyBorder="1" applyAlignment="1"/>
    <xf numFmtId="167" fontId="0" fillId="0" borderId="7" xfId="0" applyNumberFormat="1" applyFont="1" applyBorder="1" applyAlignment="1"/>
    <xf numFmtId="0" fontId="3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3" fontId="0" fillId="0" borderId="9" xfId="0" applyNumberFormat="1" applyFont="1" applyBorder="1" applyAlignment="1"/>
    <xf numFmtId="3" fontId="0" fillId="0" borderId="10" xfId="0" applyNumberFormat="1" applyFont="1" applyBorder="1" applyAlignment="1"/>
    <xf numFmtId="0" fontId="6" fillId="2" borderId="1" xfId="0" applyFont="1" applyFill="1" applyBorder="1" applyAlignment="1"/>
    <xf numFmtId="0" fontId="6" fillId="0" borderId="0" xfId="0" applyNumberFormat="1" applyFont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0" borderId="0" xfId="0" applyNumberFormat="1" applyFont="1" applyAlignment="1"/>
    <xf numFmtId="49" fontId="2" fillId="2" borderId="7" xfId="0" applyNumberFormat="1" applyFont="1" applyFill="1" applyBorder="1" applyAlignment="1"/>
    <xf numFmtId="49" fontId="2" fillId="2" borderId="11" xfId="0" applyNumberFormat="1" applyFont="1" applyFill="1" applyBorder="1" applyAlignment="1"/>
    <xf numFmtId="0" fontId="2" fillId="2" borderId="6" xfId="0" applyFont="1" applyFill="1" applyBorder="1" applyAlignment="1"/>
    <xf numFmtId="166" fontId="2" fillId="2" borderId="7" xfId="0" applyNumberFormat="1" applyFont="1" applyFill="1" applyBorder="1" applyAlignment="1"/>
    <xf numFmtId="164" fontId="2" fillId="2" borderId="7" xfId="0" applyNumberFormat="1" applyFont="1" applyFill="1" applyBorder="1" applyAlignment="1"/>
    <xf numFmtId="0" fontId="2" fillId="0" borderId="0" xfId="0" applyFont="1" applyAlignment="1"/>
    <xf numFmtId="0" fontId="9" fillId="2" borderId="7" xfId="0" applyFont="1" applyFill="1" applyBorder="1" applyAlignment="1"/>
    <xf numFmtId="43" fontId="2" fillId="2" borderId="7" xfId="1" applyFont="1" applyFill="1" applyBorder="1" applyAlignment="1"/>
    <xf numFmtId="43" fontId="2" fillId="0" borderId="0" xfId="1" applyFont="1" applyAlignment="1"/>
    <xf numFmtId="3" fontId="2" fillId="0" borderId="0" xfId="0" applyNumberFormat="1" applyFont="1" applyAlignment="1"/>
    <xf numFmtId="168" fontId="2" fillId="2" borderId="7" xfId="0" applyNumberFormat="1" applyFont="1" applyFill="1" applyBorder="1" applyAlignment="1"/>
    <xf numFmtId="43" fontId="2" fillId="0" borderId="0" xfId="0" applyNumberFormat="1" applyFont="1" applyAlignment="1"/>
    <xf numFmtId="166" fontId="2" fillId="0" borderId="0" xfId="0" applyNumberFormat="1" applyFont="1" applyAlignment="1"/>
    <xf numFmtId="37" fontId="2" fillId="0" borderId="0" xfId="0" applyNumberFormat="1" applyFont="1" applyAlignment="1"/>
    <xf numFmtId="164" fontId="2" fillId="0" borderId="0" xfId="2" applyNumberFormat="1" applyFont="1" applyAlignment="1"/>
    <xf numFmtId="0" fontId="6" fillId="4" borderId="2" xfId="0" applyFont="1" applyFill="1" applyBorder="1" applyAlignment="1"/>
    <xf numFmtId="44" fontId="2" fillId="0" borderId="0" xfId="3" applyFont="1" applyAlignment="1"/>
    <xf numFmtId="0" fontId="3" fillId="0" borderId="0" xfId="0" applyFont="1" applyAlignment="1"/>
    <xf numFmtId="14" fontId="2" fillId="0" borderId="0" xfId="0" applyNumberFormat="1" applyFont="1" applyAlignment="1"/>
    <xf numFmtId="0" fontId="2" fillId="0" borderId="17" xfId="0" applyFont="1" applyBorder="1" applyAlignment="1"/>
    <xf numFmtId="9" fontId="2" fillId="0" borderId="0" xfId="2" applyFont="1" applyAlignment="1"/>
    <xf numFmtId="10" fontId="2" fillId="0" borderId="0" xfId="2" applyNumberFormat="1" applyFont="1" applyAlignment="1"/>
    <xf numFmtId="3" fontId="13" fillId="0" borderId="0" xfId="0" applyNumberFormat="1" applyFont="1" applyAlignment="1"/>
    <xf numFmtId="14" fontId="13" fillId="0" borderId="17" xfId="0" applyNumberFormat="1" applyFont="1" applyBorder="1" applyAlignment="1"/>
    <xf numFmtId="0" fontId="13" fillId="0" borderId="0" xfId="0" applyFont="1" applyAlignment="1"/>
    <xf numFmtId="3" fontId="2" fillId="0" borderId="0" xfId="1" applyNumberFormat="1" applyFont="1" applyAlignment="1"/>
    <xf numFmtId="0" fontId="3" fillId="0" borderId="18" xfId="0" applyFont="1" applyBorder="1" applyAlignment="1">
      <alignment horizontal="center"/>
    </xf>
    <xf numFmtId="0" fontId="12" fillId="0" borderId="19" xfId="0" applyFont="1" applyBorder="1" applyAlignment="1"/>
    <xf numFmtId="0" fontId="2" fillId="0" borderId="19" xfId="0" applyFont="1" applyBorder="1" applyAlignment="1"/>
    <xf numFmtId="0" fontId="10" fillId="0" borderId="7" xfId="4" applyFont="1"/>
    <xf numFmtId="0" fontId="8" fillId="8" borderId="20" xfId="4" applyFont="1" applyFill="1" applyBorder="1"/>
    <xf numFmtId="172" fontId="8" fillId="8" borderId="20" xfId="4" applyNumberFormat="1" applyFont="1" applyFill="1" applyBorder="1"/>
    <xf numFmtId="0" fontId="2" fillId="3" borderId="0" xfId="0" applyFont="1" applyFill="1" applyAlignment="1"/>
    <xf numFmtId="0" fontId="15" fillId="9" borderId="21" xfId="4" applyFont="1" applyFill="1" applyBorder="1"/>
    <xf numFmtId="172" fontId="15" fillId="9" borderId="21" xfId="4" applyNumberFormat="1" applyFont="1" applyFill="1" applyBorder="1"/>
    <xf numFmtId="0" fontId="10" fillId="0" borderId="19" xfId="0" applyFont="1" applyBorder="1" applyAlignment="1"/>
    <xf numFmtId="0" fontId="10" fillId="0" borderId="0" xfId="0" applyFont="1" applyAlignment="1"/>
    <xf numFmtId="171" fontId="10" fillId="0" borderId="0" xfId="0" applyNumberFormat="1" applyFont="1" applyAlignment="1"/>
    <xf numFmtId="0" fontId="8" fillId="0" borderId="18" xfId="0" applyFont="1" applyBorder="1" applyAlignment="1">
      <alignment horizontal="center"/>
    </xf>
    <xf numFmtId="0" fontId="8" fillId="7" borderId="7" xfId="4" applyFont="1" applyFill="1"/>
    <xf numFmtId="0" fontId="10" fillId="7" borderId="7" xfId="4" applyFont="1" applyFill="1"/>
    <xf numFmtId="172" fontId="10" fillId="0" borderId="7" xfId="4" applyNumberFormat="1" applyFont="1"/>
    <xf numFmtId="0" fontId="10" fillId="3" borderId="0" xfId="0" applyFont="1" applyFill="1" applyAlignment="1"/>
    <xf numFmtId="0" fontId="15" fillId="0" borderId="19" xfId="0" applyFont="1" applyBorder="1" applyAlignment="1"/>
    <xf numFmtId="0" fontId="8" fillId="0" borderId="7" xfId="0" applyFont="1" applyBorder="1" applyAlignment="1">
      <alignment horizontal="center"/>
    </xf>
    <xf numFmtId="0" fontId="15" fillId="9" borderId="22" xfId="4" applyFont="1" applyFill="1" applyBorder="1"/>
    <xf numFmtId="172" fontId="15" fillId="9" borderId="22" xfId="4" applyNumberFormat="1" applyFont="1" applyFill="1" applyBorder="1"/>
    <xf numFmtId="0" fontId="8" fillId="7" borderId="7" xfId="4" applyFont="1" applyFill="1" applyBorder="1"/>
    <xf numFmtId="0" fontId="10" fillId="7" borderId="7" xfId="4" applyFont="1" applyFill="1" applyBorder="1"/>
    <xf numFmtId="0" fontId="10" fillId="5" borderId="7" xfId="0" applyFont="1" applyFill="1" applyBorder="1" applyAlignment="1">
      <alignment horizontal="left" vertical="center"/>
    </xf>
    <xf numFmtId="172" fontId="10" fillId="5" borderId="7" xfId="0" applyNumberFormat="1" applyFont="1" applyFill="1" applyBorder="1" applyAlignment="1">
      <alignment horizontal="right" vertical="center"/>
    </xf>
    <xf numFmtId="0" fontId="10" fillId="6" borderId="7" xfId="0" applyFont="1" applyFill="1" applyBorder="1" applyAlignment="1">
      <alignment horizontal="left" vertical="center"/>
    </xf>
    <xf numFmtId="172" fontId="10" fillId="6" borderId="7" xfId="0" applyNumberFormat="1" applyFont="1" applyFill="1" applyBorder="1" applyAlignment="1">
      <alignment horizontal="right" vertical="center"/>
    </xf>
    <xf numFmtId="0" fontId="8" fillId="8" borderId="7" xfId="4" applyFont="1" applyFill="1" applyBorder="1"/>
    <xf numFmtId="172" fontId="8" fillId="8" borderId="7" xfId="4" applyNumberFormat="1" applyFont="1" applyFill="1" applyBorder="1"/>
    <xf numFmtId="0" fontId="10" fillId="6" borderId="7" xfId="0" applyFont="1" applyFill="1" applyBorder="1"/>
    <xf numFmtId="0" fontId="10" fillId="0" borderId="0" xfId="0" applyFont="1"/>
    <xf numFmtId="0" fontId="3" fillId="0" borderId="22" xfId="0" applyFont="1" applyBorder="1" applyAlignment="1"/>
    <xf numFmtId="0" fontId="2" fillId="0" borderId="22" xfId="0" applyFont="1" applyBorder="1" applyAlignment="1"/>
    <xf numFmtId="0" fontId="3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0" fillId="0" borderId="7" xfId="0" applyFont="1" applyBorder="1"/>
    <xf numFmtId="172" fontId="10" fillId="10" borderId="7" xfId="0" applyNumberFormat="1" applyFont="1" applyFill="1" applyBorder="1" applyAlignment="1">
      <alignment horizontal="right" vertical="center"/>
    </xf>
    <xf numFmtId="2" fontId="10" fillId="10" borderId="7" xfId="0" applyNumberFormat="1" applyFont="1" applyFill="1" applyBorder="1" applyAlignment="1">
      <alignment horizontal="right" vertical="center"/>
    </xf>
    <xf numFmtId="0" fontId="2" fillId="11" borderId="0" xfId="0" applyFont="1" applyFill="1" applyAlignment="1"/>
    <xf numFmtId="0" fontId="13" fillId="11" borderId="0" xfId="0" applyFont="1" applyFill="1" applyAlignment="1"/>
    <xf numFmtId="0" fontId="13" fillId="3" borderId="0" xfId="0" applyFont="1" applyFill="1" applyAlignment="1"/>
    <xf numFmtId="171" fontId="13" fillId="3" borderId="0" xfId="0" applyNumberFormat="1" applyFont="1" applyFill="1" applyAlignment="1"/>
    <xf numFmtId="171" fontId="13" fillId="11" borderId="0" xfId="0" applyNumberFormat="1" applyFont="1" applyFill="1" applyAlignment="1"/>
    <xf numFmtId="0" fontId="2" fillId="0" borderId="0" xfId="0" applyFont="1" applyAlignment="1">
      <alignment horizontal="center"/>
    </xf>
    <xf numFmtId="170" fontId="2" fillId="0" borderId="0" xfId="1" applyNumberFormat="1" applyFont="1" applyAlignment="1"/>
    <xf numFmtId="173" fontId="2" fillId="0" borderId="0" xfId="3" applyNumberFormat="1" applyFont="1" applyAlignment="1"/>
    <xf numFmtId="10" fontId="2" fillId="0" borderId="0" xfId="0" applyNumberFormat="1" applyFont="1" applyAlignment="1"/>
    <xf numFmtId="164" fontId="10" fillId="10" borderId="7" xfId="2" applyNumberFormat="1" applyFont="1" applyFill="1" applyBorder="1" applyAlignment="1">
      <alignment horizontal="right" vertical="center"/>
    </xf>
    <xf numFmtId="0" fontId="2" fillId="0" borderId="23" xfId="0" applyFont="1" applyBorder="1" applyAlignment="1"/>
    <xf numFmtId="14" fontId="2" fillId="0" borderId="23" xfId="0" applyNumberFormat="1" applyFont="1" applyBorder="1" applyAlignment="1"/>
    <xf numFmtId="174" fontId="2" fillId="0" borderId="0" xfId="1" applyNumberFormat="1" applyFont="1" applyAlignment="1"/>
    <xf numFmtId="174" fontId="2" fillId="0" borderId="0" xfId="0" applyNumberFormat="1" applyFont="1" applyAlignment="1"/>
    <xf numFmtId="0" fontId="3" fillId="0" borderId="19" xfId="0" applyFont="1" applyBorder="1" applyAlignment="1"/>
    <xf numFmtId="5" fontId="2" fillId="0" borderId="0" xfId="1" applyNumberFormat="1" applyFont="1" applyAlignment="1"/>
    <xf numFmtId="0" fontId="2" fillId="0" borderId="24" xfId="0" applyFont="1" applyBorder="1" applyAlignment="1"/>
    <xf numFmtId="0" fontId="3" fillId="0" borderId="24" xfId="0" applyFont="1" applyBorder="1" applyAlignment="1"/>
    <xf numFmtId="14" fontId="7" fillId="0" borderId="24" xfId="0" applyNumberFormat="1" applyFont="1" applyBorder="1" applyAlignment="1"/>
    <xf numFmtId="0" fontId="2" fillId="0" borderId="7" xfId="0" applyFont="1" applyBorder="1" applyAlignment="1"/>
    <xf numFmtId="14" fontId="3" fillId="0" borderId="24" xfId="0" applyNumberFormat="1" applyFont="1" applyBorder="1" applyAlignment="1">
      <alignment horizontal="center"/>
    </xf>
    <xf numFmtId="170" fontId="2" fillId="0" borderId="24" xfId="0" applyNumberFormat="1" applyFont="1" applyBorder="1" applyAlignment="1"/>
    <xf numFmtId="169" fontId="2" fillId="0" borderId="0" xfId="2" applyNumberFormat="1" applyFont="1" applyAlignment="1"/>
    <xf numFmtId="44" fontId="2" fillId="0" borderId="0" xfId="0" applyNumberFormat="1" applyFont="1" applyAlignment="1"/>
    <xf numFmtId="9" fontId="13" fillId="11" borderId="0" xfId="2" applyFont="1" applyFill="1" applyAlignment="1"/>
    <xf numFmtId="0" fontId="3" fillId="0" borderId="18" xfId="0" applyFont="1" applyBorder="1" applyAlignment="1">
      <alignment horizontal="left"/>
    </xf>
    <xf numFmtId="0" fontId="10" fillId="11" borderId="25" xfId="0" applyFont="1" applyFill="1" applyBorder="1" applyAlignment="1"/>
    <xf numFmtId="171" fontId="10" fillId="11" borderId="17" xfId="0" applyNumberFormat="1" applyFont="1" applyFill="1" applyBorder="1" applyAlignment="1"/>
    <xf numFmtId="0" fontId="10" fillId="11" borderId="26" xfId="0" applyFont="1" applyFill="1" applyBorder="1" applyAlignment="1"/>
    <xf numFmtId="0" fontId="10" fillId="11" borderId="27" xfId="0" applyFont="1" applyFill="1" applyBorder="1" applyAlignment="1"/>
    <xf numFmtId="172" fontId="10" fillId="11" borderId="24" xfId="4" applyNumberFormat="1" applyFont="1" applyFill="1" applyBorder="1"/>
    <xf numFmtId="0" fontId="10" fillId="11" borderId="28" xfId="0" applyFont="1" applyFill="1" applyBorder="1" applyAlignment="1"/>
    <xf numFmtId="0" fontId="10" fillId="12" borderId="25" xfId="0" applyFont="1" applyFill="1" applyBorder="1" applyAlignment="1"/>
    <xf numFmtId="171" fontId="10" fillId="12" borderId="17" xfId="0" applyNumberFormat="1" applyFont="1" applyFill="1" applyBorder="1" applyAlignment="1"/>
    <xf numFmtId="0" fontId="10" fillId="12" borderId="26" xfId="0" applyFont="1" applyFill="1" applyBorder="1" applyAlignment="1"/>
    <xf numFmtId="0" fontId="10" fillId="12" borderId="27" xfId="0" applyFont="1" applyFill="1" applyBorder="1" applyAlignment="1"/>
    <xf numFmtId="172" fontId="10" fillId="12" borderId="24" xfId="4" applyNumberFormat="1" applyFont="1" applyFill="1" applyBorder="1"/>
    <xf numFmtId="0" fontId="10" fillId="12" borderId="28" xfId="0" applyFont="1" applyFill="1" applyBorder="1" applyAlignment="1"/>
    <xf numFmtId="0" fontId="2" fillId="0" borderId="29" xfId="0" applyFont="1" applyBorder="1" applyAlignment="1"/>
    <xf numFmtId="170" fontId="3" fillId="0" borderId="24" xfId="0" applyNumberFormat="1" applyFont="1" applyBorder="1" applyAlignment="1"/>
    <xf numFmtId="0" fontId="2" fillId="0" borderId="30" xfId="0" applyFont="1" applyBorder="1" applyAlignment="1"/>
    <xf numFmtId="170" fontId="2" fillId="0" borderId="30" xfId="0" applyNumberFormat="1" applyFont="1" applyBorder="1" applyAlignment="1"/>
    <xf numFmtId="0" fontId="3" fillId="0" borderId="31" xfId="0" applyFont="1" applyBorder="1" applyAlignment="1">
      <alignment horizontal="center"/>
    </xf>
    <xf numFmtId="170" fontId="2" fillId="0" borderId="7" xfId="0" applyNumberFormat="1" applyFont="1" applyBorder="1" applyAlignment="1"/>
    <xf numFmtId="9" fontId="2" fillId="0" borderId="7" xfId="2" applyFont="1" applyBorder="1" applyAlignment="1"/>
    <xf numFmtId="6" fontId="2" fillId="0" borderId="0" xfId="0" applyNumberFormat="1" applyFont="1" applyAlignment="1"/>
    <xf numFmtId="170" fontId="13" fillId="0" borderId="17" xfId="1" applyNumberFormat="1" applyFont="1" applyBorder="1" applyAlignment="1"/>
    <xf numFmtId="9" fontId="13" fillId="0" borderId="0" xfId="2" applyFont="1" applyAlignment="1"/>
    <xf numFmtId="9" fontId="13" fillId="0" borderId="0" xfId="2" applyFont="1" applyAlignment="1">
      <alignment horizontal="right"/>
    </xf>
    <xf numFmtId="0" fontId="13" fillId="11" borderId="0" xfId="0" applyFont="1" applyFill="1" applyAlignment="1">
      <alignment horizontal="right"/>
    </xf>
    <xf numFmtId="43" fontId="2" fillId="0" borderId="17" xfId="1" applyFont="1" applyBorder="1" applyAlignment="1"/>
    <xf numFmtId="43" fontId="10" fillId="0" borderId="0" xfId="1" applyFont="1" applyAlignment="1"/>
    <xf numFmtId="43" fontId="10" fillId="0" borderId="19" xfId="1" applyFont="1" applyBorder="1" applyAlignment="1"/>
    <xf numFmtId="38" fontId="2" fillId="0" borderId="0" xfId="1" applyNumberFormat="1" applyFont="1" applyAlignment="1"/>
    <xf numFmtId="10" fontId="13" fillId="0" borderId="0" xfId="2" applyNumberFormat="1" applyFont="1" applyAlignment="1"/>
    <xf numFmtId="9" fontId="13" fillId="0" borderId="0" xfId="2" applyNumberFormat="1" applyFont="1" applyAlignment="1"/>
    <xf numFmtId="0" fontId="17" fillId="0" borderId="0" xfId="0" applyFont="1" applyAlignment="1"/>
    <xf numFmtId="43" fontId="2" fillId="11" borderId="0" xfId="1" applyFont="1" applyFill="1" applyAlignment="1">
      <alignment horizontal="center"/>
    </xf>
    <xf numFmtId="170" fontId="2" fillId="11" borderId="0" xfId="1" applyNumberFormat="1" applyFont="1" applyFill="1" applyAlignment="1"/>
    <xf numFmtId="37" fontId="2" fillId="0" borderId="0" xfId="1" applyNumberFormat="1" applyFont="1" applyAlignment="1">
      <alignment horizontal="center"/>
    </xf>
    <xf numFmtId="171" fontId="2" fillId="0" borderId="0" xfId="1" applyNumberFormat="1" applyFont="1" applyAlignment="1"/>
    <xf numFmtId="43" fontId="3" fillId="0" borderId="18" xfId="1" applyFont="1" applyBorder="1" applyAlignment="1">
      <alignment horizontal="center"/>
    </xf>
    <xf numFmtId="38" fontId="2" fillId="0" borderId="30" xfId="0" applyNumberFormat="1" applyFont="1" applyBorder="1" applyAlignment="1"/>
    <xf numFmtId="0" fontId="3" fillId="0" borderId="30" xfId="0" applyFont="1" applyBorder="1" applyAlignment="1"/>
    <xf numFmtId="0" fontId="18" fillId="0" borderId="30" xfId="0" applyFont="1" applyBorder="1" applyAlignment="1"/>
    <xf numFmtId="38" fontId="18" fillId="0" borderId="30" xfId="1" applyNumberFormat="1" applyFont="1" applyBorder="1" applyAlignment="1"/>
    <xf numFmtId="14" fontId="3" fillId="0" borderId="0" xfId="0" applyNumberFormat="1" applyFont="1" applyAlignment="1"/>
    <xf numFmtId="14" fontId="3" fillId="0" borderId="31" xfId="0" applyNumberFormat="1" applyFont="1" applyBorder="1" applyAlignment="1"/>
    <xf numFmtId="0" fontId="3" fillId="0" borderId="32" xfId="0" applyFont="1" applyBorder="1" applyAlignment="1"/>
    <xf numFmtId="0" fontId="3" fillId="0" borderId="33" xfId="0" applyFont="1" applyBorder="1" applyAlignment="1"/>
    <xf numFmtId="170" fontId="3" fillId="0" borderId="33" xfId="0" applyNumberFormat="1" applyFont="1" applyBorder="1" applyAlignment="1"/>
    <xf numFmtId="170" fontId="3" fillId="0" borderId="34" xfId="0" applyNumberFormat="1" applyFont="1" applyBorder="1" applyAlignment="1"/>
    <xf numFmtId="0" fontId="3" fillId="0" borderId="31" xfId="0" applyFont="1" applyBorder="1" applyAlignment="1"/>
    <xf numFmtId="0" fontId="8" fillId="11" borderId="0" xfId="0" applyFont="1" applyFill="1" applyAlignment="1"/>
    <xf numFmtId="166" fontId="13" fillId="3" borderId="7" xfId="0" applyNumberFormat="1" applyFont="1" applyFill="1" applyBorder="1" applyAlignment="1"/>
    <xf numFmtId="0" fontId="8" fillId="0" borderId="0" xfId="0" applyFont="1" applyAlignment="1"/>
    <xf numFmtId="164" fontId="8" fillId="0" borderId="17" xfId="2" applyNumberFormat="1" applyFont="1" applyBorder="1" applyAlignment="1"/>
    <xf numFmtId="9" fontId="8" fillId="11" borderId="0" xfId="2" applyFont="1" applyFill="1" applyAlignment="1"/>
    <xf numFmtId="0" fontId="2" fillId="0" borderId="31" xfId="0" applyFont="1" applyBorder="1" applyAlignment="1"/>
    <xf numFmtId="0" fontId="13" fillId="0" borderId="31" xfId="0" applyFont="1" applyBorder="1" applyAlignment="1"/>
    <xf numFmtId="14" fontId="2" fillId="0" borderId="31" xfId="0" applyNumberFormat="1" applyFont="1" applyBorder="1" applyAlignment="1"/>
    <xf numFmtId="9" fontId="13" fillId="0" borderId="31" xfId="2" applyFont="1" applyBorder="1" applyAlignment="1"/>
    <xf numFmtId="3" fontId="2" fillId="0" borderId="31" xfId="1" applyNumberFormat="1" applyFont="1" applyBorder="1" applyAlignment="1"/>
    <xf numFmtId="10" fontId="13" fillId="0" borderId="31" xfId="2" applyNumberFormat="1" applyFont="1" applyBorder="1" applyAlignment="1"/>
    <xf numFmtId="9" fontId="13" fillId="0" borderId="31" xfId="2" applyNumberFormat="1" applyFont="1" applyBorder="1" applyAlignment="1"/>
    <xf numFmtId="164" fontId="2" fillId="0" borderId="31" xfId="2" applyNumberFormat="1" applyFont="1" applyBorder="1" applyAlignment="1"/>
    <xf numFmtId="3" fontId="2" fillId="0" borderId="31" xfId="0" applyNumberFormat="1" applyFont="1" applyBorder="1" applyAlignment="1"/>
    <xf numFmtId="0" fontId="3" fillId="0" borderId="35" xfId="0" applyFont="1" applyBorder="1" applyAlignment="1"/>
    <xf numFmtId="0" fontId="2" fillId="0" borderId="36" xfId="0" applyFont="1" applyBorder="1" applyAlignment="1"/>
    <xf numFmtId="0" fontId="2" fillId="0" borderId="37" xfId="0" applyFont="1" applyBorder="1" applyAlignment="1"/>
    <xf numFmtId="0" fontId="2" fillId="0" borderId="38" xfId="0" applyFont="1" applyBorder="1" applyAlignment="1"/>
    <xf numFmtId="170" fontId="2" fillId="0" borderId="39" xfId="0" applyNumberFormat="1" applyFont="1" applyBorder="1" applyAlignment="1"/>
    <xf numFmtId="0" fontId="3" fillId="0" borderId="38" xfId="0" applyFont="1" applyBorder="1" applyAlignment="1"/>
    <xf numFmtId="170" fontId="3" fillId="0" borderId="7" xfId="0" applyNumberFormat="1" applyFont="1" applyBorder="1" applyAlignment="1"/>
    <xf numFmtId="170" fontId="3" fillId="0" borderId="39" xfId="0" applyNumberFormat="1" applyFont="1" applyBorder="1" applyAlignment="1"/>
    <xf numFmtId="0" fontId="2" fillId="0" borderId="39" xfId="0" applyFont="1" applyBorder="1" applyAlignment="1"/>
    <xf numFmtId="38" fontId="2" fillId="0" borderId="7" xfId="1" applyNumberFormat="1" applyFont="1" applyBorder="1" applyAlignment="1"/>
    <xf numFmtId="38" fontId="2" fillId="0" borderId="39" xfId="1" applyNumberFormat="1" applyFont="1" applyBorder="1" applyAlignment="1"/>
    <xf numFmtId="38" fontId="3" fillId="0" borderId="7" xfId="1" applyNumberFormat="1" applyFont="1" applyBorder="1" applyAlignment="1"/>
    <xf numFmtId="38" fontId="3" fillId="0" borderId="39" xfId="1" applyNumberFormat="1" applyFont="1" applyBorder="1" applyAlignment="1"/>
    <xf numFmtId="0" fontId="3" fillId="0" borderId="40" xfId="0" applyFont="1" applyBorder="1" applyAlignment="1"/>
    <xf numFmtId="38" fontId="3" fillId="0" borderId="18" xfId="1" applyNumberFormat="1" applyFont="1" applyBorder="1" applyAlignment="1"/>
    <xf numFmtId="38" fontId="3" fillId="0" borderId="41" xfId="1" applyNumberFormat="1" applyFont="1" applyBorder="1" applyAlignment="1"/>
    <xf numFmtId="170" fontId="3" fillId="0" borderId="30" xfId="0" applyNumberFormat="1" applyFont="1" applyBorder="1" applyAlignment="1"/>
    <xf numFmtId="0" fontId="2" fillId="0" borderId="35" xfId="0" applyFont="1" applyBorder="1" applyAlignment="1"/>
    <xf numFmtId="38" fontId="2" fillId="0" borderId="36" xfId="0" applyNumberFormat="1" applyFont="1" applyBorder="1" applyAlignment="1"/>
    <xf numFmtId="38" fontId="2" fillId="0" borderId="37" xfId="0" applyNumberFormat="1" applyFont="1" applyBorder="1" applyAlignment="1"/>
    <xf numFmtId="38" fontId="2" fillId="0" borderId="7" xfId="0" applyNumberFormat="1" applyFont="1" applyBorder="1" applyAlignment="1"/>
    <xf numFmtId="38" fontId="2" fillId="0" borderId="39" xfId="0" applyNumberFormat="1" applyFont="1" applyBorder="1" applyAlignment="1"/>
    <xf numFmtId="0" fontId="2" fillId="0" borderId="40" xfId="0" applyFont="1" applyBorder="1" applyAlignment="1"/>
    <xf numFmtId="43" fontId="2" fillId="0" borderId="18" xfId="0" applyNumberFormat="1" applyFont="1" applyBorder="1" applyAlignment="1"/>
    <xf numFmtId="43" fontId="2" fillId="0" borderId="41" xfId="0" applyNumberFormat="1" applyFont="1" applyBorder="1" applyAlignment="1"/>
    <xf numFmtId="37" fontId="13" fillId="0" borderId="0" xfId="1" applyNumberFormat="1" applyFont="1" applyAlignment="1"/>
    <xf numFmtId="10" fontId="13" fillId="0" borderId="23" xfId="2" applyNumberFormat="1" applyFont="1" applyBorder="1" applyAlignment="1"/>
    <xf numFmtId="172" fontId="10" fillId="0" borderId="0" xfId="0" applyNumberFormat="1" applyFont="1" applyAlignment="1"/>
    <xf numFmtId="5" fontId="10" fillId="0" borderId="0" xfId="3" applyNumberFormat="1" applyFont="1" applyAlignment="1"/>
    <xf numFmtId="5" fontId="10" fillId="0" borderId="0" xfId="0" applyNumberFormat="1" applyFont="1" applyAlignment="1"/>
    <xf numFmtId="0" fontId="8" fillId="0" borderId="42" xfId="0" applyFont="1" applyBorder="1" applyAlignment="1"/>
    <xf numFmtId="5" fontId="8" fillId="0" borderId="42" xfId="0" applyNumberFormat="1" applyFont="1" applyBorder="1" applyAlignment="1"/>
    <xf numFmtId="0" fontId="10" fillId="13" borderId="0" xfId="0" applyFont="1" applyFill="1" applyAlignment="1"/>
    <xf numFmtId="5" fontId="10" fillId="13" borderId="0" xfId="3" applyNumberFormat="1" applyFont="1" applyFill="1" applyAlignment="1"/>
    <xf numFmtId="5" fontId="10" fillId="13" borderId="0" xfId="0" applyNumberFormat="1" applyFont="1" applyFill="1" applyAlignment="1"/>
  </cellXfs>
  <cellStyles count="5">
    <cellStyle name="Comma" xfId="1" builtinId="3"/>
    <cellStyle name="Currency" xfId="3" builtinId="4"/>
    <cellStyle name="Normal" xfId="0" builtinId="0"/>
    <cellStyle name="Normal 2" xfId="4" xr:uid="{9B41D77B-A1B4-427D-B954-5AA17CF5149E}"/>
    <cellStyle name="Percent" xfId="2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F2F2F2"/>
      <rgbColor rgb="FF7F7F7F"/>
      <rgbColor rgb="FF0070C0"/>
      <rgbColor rgb="FFED7D31"/>
      <rgbColor rgb="FF337EBF"/>
      <rgbColor rgb="FFFF0000"/>
      <rgbColor rgb="FFDEEAF6"/>
      <rgbColor rgb="FFD8D8D8"/>
      <rgbColor rgb="FFBFBFBF"/>
      <rgbColor rgb="FF4472C4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9BF4-ADBE-42CC-994C-F1497D020373}">
  <sheetPr>
    <tabColor rgb="FF002060"/>
  </sheetPr>
  <dimension ref="B1:N60"/>
  <sheetViews>
    <sheetView showGridLines="0" workbookViewId="0"/>
  </sheetViews>
  <sheetFormatPr defaultRowHeight="15" x14ac:dyDescent="0.3"/>
  <cols>
    <col min="1" max="1" width="1.7109375" style="53" customWidth="1"/>
    <col min="2" max="2" width="25.140625" style="53" customWidth="1"/>
    <col min="3" max="12" width="13" style="53" customWidth="1"/>
    <col min="13" max="14" width="10.42578125" style="53" bestFit="1" customWidth="1"/>
    <col min="15" max="16384" width="9.140625" style="53"/>
  </cols>
  <sheetData>
    <row r="1" spans="2:14" s="84" customFormat="1" x14ac:dyDescent="0.3">
      <c r="B1" s="188" t="s">
        <v>300</v>
      </c>
    </row>
    <row r="2" spans="2:14" s="84" customFormat="1" ht="18" x14ac:dyDescent="0.35">
      <c r="B2" s="91" t="s">
        <v>243</v>
      </c>
      <c r="C2" s="83"/>
      <c r="D2" s="83"/>
      <c r="E2" s="83"/>
      <c r="F2" s="83"/>
      <c r="G2" s="83"/>
      <c r="H2" s="83"/>
      <c r="I2" s="83"/>
      <c r="J2" s="83"/>
      <c r="K2" s="83"/>
      <c r="L2" s="83"/>
    </row>
    <row r="4" spans="2:14" x14ac:dyDescent="0.3">
      <c r="B4" s="131">
        <v>46022</v>
      </c>
      <c r="C4" s="133">
        <v>46387</v>
      </c>
      <c r="D4" s="133">
        <f>EOMONTH(C4,12)</f>
        <v>46752</v>
      </c>
      <c r="E4" s="133">
        <f t="shared" ref="E4:L4" si="0">EOMONTH(D4,12)</f>
        <v>47118</v>
      </c>
      <c r="F4" s="133">
        <f t="shared" si="0"/>
        <v>47483</v>
      </c>
      <c r="G4" s="133">
        <f t="shared" si="0"/>
        <v>47848</v>
      </c>
      <c r="H4" s="133">
        <f t="shared" si="0"/>
        <v>48213</v>
      </c>
      <c r="I4" s="133">
        <f t="shared" si="0"/>
        <v>48579</v>
      </c>
      <c r="J4" s="133">
        <f t="shared" si="0"/>
        <v>48944</v>
      </c>
      <c r="K4" s="133">
        <f t="shared" si="0"/>
        <v>49309</v>
      </c>
      <c r="L4" s="133">
        <f t="shared" si="0"/>
        <v>49674</v>
      </c>
      <c r="M4" s="66"/>
      <c r="N4" s="66"/>
    </row>
    <row r="5" spans="2:14" x14ac:dyDescent="0.3">
      <c r="B5" s="65" t="s">
        <v>52</v>
      </c>
    </row>
    <row r="6" spans="2:14" x14ac:dyDescent="0.3">
      <c r="B6" s="53" t="s">
        <v>3</v>
      </c>
      <c r="C6" s="119">
        <f>SUMIFS('Tungsten Model'!$26:$26,'Tungsten Model'!$25:$25,"&lt;="&amp;'10 Year Pro Forma'!C4,'Tungsten Model'!$25:$25,"&gt;"&amp;'10 Year Pro Forma'!B4)</f>
        <v>858237.60072959994</v>
      </c>
      <c r="D6" s="119">
        <f>SUMIFS('Tungsten Model'!$26:$26,'Tungsten Model'!$25:$25,"&lt;="&amp;'10 Year Pro Forma'!D4,'Tungsten Model'!$25:$25,"&gt;"&amp;'10 Year Pro Forma'!C4)</f>
        <v>115681064.8714616</v>
      </c>
      <c r="E6" s="119">
        <f>SUMIFS('Tungsten Model'!$26:$26,'Tungsten Model'!$25:$25,"&lt;="&amp;'10 Year Pro Forma'!E4,'Tungsten Model'!$25:$25,"&gt;"&amp;'10 Year Pro Forma'!D4)</f>
        <v>183380891.61831412</v>
      </c>
      <c r="F6" s="119">
        <f>SUMIFS('Tungsten Model'!$26:$26,'Tungsten Model'!$25:$25,"&lt;="&amp;'10 Year Pro Forma'!F4,'Tungsten Model'!$25:$25,"&gt;"&amp;'10 Year Pro Forma'!E4)</f>
        <v>183380891.61831412</v>
      </c>
      <c r="G6" s="119">
        <f>SUMIFS('Tungsten Model'!$26:$26,'Tungsten Model'!$25:$25,"&lt;="&amp;'10 Year Pro Forma'!G4,'Tungsten Model'!$25:$25,"&gt;"&amp;'10 Year Pro Forma'!F4)</f>
        <v>183380891.61831412</v>
      </c>
      <c r="H6" s="119">
        <f>SUMIFS('Tungsten Model'!$26:$26,'Tungsten Model'!$25:$25,"&lt;="&amp;'10 Year Pro Forma'!H4,'Tungsten Model'!$25:$25,"&gt;"&amp;'10 Year Pro Forma'!G4)</f>
        <v>183380891.61831412</v>
      </c>
      <c r="I6" s="119">
        <f>SUMIFS('Tungsten Model'!$26:$26,'Tungsten Model'!$25:$25,"&lt;="&amp;'10 Year Pro Forma'!I4,'Tungsten Model'!$25:$25,"&gt;"&amp;'10 Year Pro Forma'!H4)</f>
        <v>183380891.61831412</v>
      </c>
      <c r="J6" s="119">
        <f>SUMIFS('Tungsten Model'!$26:$26,'Tungsten Model'!$25:$25,"&lt;="&amp;'10 Year Pro Forma'!J4,'Tungsten Model'!$25:$25,"&gt;"&amp;'10 Year Pro Forma'!I4)</f>
        <v>183380891.61831412</v>
      </c>
      <c r="K6" s="119">
        <f>SUMIFS('Tungsten Model'!$26:$26,'Tungsten Model'!$25:$25,"&lt;="&amp;'10 Year Pro Forma'!K4,'Tungsten Model'!$25:$25,"&gt;"&amp;'10 Year Pro Forma'!J4)</f>
        <v>183380891.61831412</v>
      </c>
      <c r="L6" s="119">
        <f>SUMIFS('Tungsten Model'!$26:$26,'Tungsten Model'!$25:$25,"&lt;="&amp;'10 Year Pro Forma'!L4,'Tungsten Model'!$25:$25,"&gt;"&amp;'10 Year Pro Forma'!K4)</f>
        <v>183380891.61831412</v>
      </c>
    </row>
    <row r="7" spans="2:14" x14ac:dyDescent="0.3">
      <c r="B7" s="53" t="s">
        <v>237</v>
      </c>
      <c r="C7" s="119">
        <f>SUMIFS('Metals Model'!$21:$21,'Metals Model'!$20:$20,"&lt;="&amp;'10 Year Pro Forma'!C4,'Metals Model'!$20:$20,"&gt;"&amp;'10 Year Pro Forma'!B4)</f>
        <v>2476773.541666667</v>
      </c>
      <c r="D7" s="119">
        <f>SUMIFS('Metals Model'!$21:$21,'Metals Model'!$20:$20,"&lt;="&amp;'10 Year Pro Forma'!D4,'Metals Model'!$20:$20,"&gt;"&amp;'10 Year Pro Forma'!C4)</f>
        <v>62290279.539609544</v>
      </c>
      <c r="E7" s="119">
        <f>SUMIFS('Metals Model'!$21:$21,'Metals Model'!$20:$20,"&lt;="&amp;'10 Year Pro Forma'!E4,'Metals Model'!$20:$20,"&gt;"&amp;'10 Year Pro Forma'!D4)</f>
        <v>96652072.984870017</v>
      </c>
      <c r="F7" s="119">
        <f>SUMIFS('Metals Model'!$21:$21,'Metals Model'!$20:$20,"&lt;="&amp;'10 Year Pro Forma'!F4,'Metals Model'!$20:$20,"&gt;"&amp;'10 Year Pro Forma'!E4)</f>
        <v>96652072.984870017</v>
      </c>
      <c r="G7" s="119">
        <f>SUMIFS('Metals Model'!$21:$21,'Metals Model'!$20:$20,"&lt;="&amp;'10 Year Pro Forma'!G4,'Metals Model'!$20:$20,"&gt;"&amp;'10 Year Pro Forma'!F4)</f>
        <v>96652072.984870017</v>
      </c>
      <c r="H7" s="119">
        <f>SUMIFS('Metals Model'!$21:$21,'Metals Model'!$20:$20,"&lt;="&amp;'10 Year Pro Forma'!H4,'Metals Model'!$20:$20,"&gt;"&amp;'10 Year Pro Forma'!G4)</f>
        <v>96652072.984870017</v>
      </c>
      <c r="I7" s="119">
        <f>SUMIFS('Metals Model'!$21:$21,'Metals Model'!$20:$20,"&lt;="&amp;'10 Year Pro Forma'!I4,'Metals Model'!$20:$20,"&gt;"&amp;'10 Year Pro Forma'!H4)</f>
        <v>96652072.984870017</v>
      </c>
      <c r="J7" s="119">
        <f>SUMIFS('Metals Model'!$21:$21,'Metals Model'!$20:$20,"&lt;="&amp;'10 Year Pro Forma'!J4,'Metals Model'!$20:$20,"&gt;"&amp;'10 Year Pro Forma'!I4)</f>
        <v>96652072.984870017</v>
      </c>
      <c r="K7" s="119">
        <f>SUMIFS('Metals Model'!$21:$21,'Metals Model'!$20:$20,"&lt;="&amp;'10 Year Pro Forma'!K4,'Metals Model'!$20:$20,"&gt;"&amp;'10 Year Pro Forma'!J4)</f>
        <v>96652072.984870017</v>
      </c>
      <c r="L7" s="119">
        <f>SUMIFS('Metals Model'!$21:$21,'Metals Model'!$20:$20,"&lt;="&amp;'10 Year Pro Forma'!L4,'Metals Model'!$20:$20,"&gt;"&amp;'10 Year Pro Forma'!K4)</f>
        <v>96652072.984870017</v>
      </c>
    </row>
    <row r="8" spans="2:14" x14ac:dyDescent="0.3">
      <c r="B8" s="53" t="s">
        <v>238</v>
      </c>
      <c r="C8" s="119">
        <f>SUMIFS('Zinc Agra'!$26:$26,'Zinc Agra'!$25:$25,"&lt;="&amp;'10 Year Pro Forma'!C4,'Zinc Agra'!$25:$25,"&gt;"&amp;'10 Year Pro Forma'!B4)</f>
        <v>2028000.0000000002</v>
      </c>
      <c r="D8" s="119">
        <f>SUMIFS('Zinc Agra'!$26:$26,'Zinc Agra'!$25:$25,"&lt;="&amp;'10 Year Pro Forma'!D4,'Zinc Agra'!$25:$25,"&gt;"&amp;'10 Year Pro Forma'!C4)</f>
        <v>76917101.861258239</v>
      </c>
      <c r="E8" s="119">
        <f>SUMIFS('Zinc Agra'!$26:$26,'Zinc Agra'!$25:$25,"&lt;="&amp;'10 Year Pro Forma'!E4,'Zinc Agra'!$25:$25,"&gt;"&amp;'10 Year Pro Forma'!D4)</f>
        <v>120532132.95774652</v>
      </c>
      <c r="F8" s="119">
        <f>SUMIFS('Zinc Agra'!$26:$26,'Zinc Agra'!$25:$25,"&lt;="&amp;'10 Year Pro Forma'!F4,'Zinc Agra'!$25:$25,"&gt;"&amp;'10 Year Pro Forma'!E4)</f>
        <v>120532132.95774652</v>
      </c>
      <c r="G8" s="119">
        <f>SUMIFS('Zinc Agra'!$26:$26,'Zinc Agra'!$25:$25,"&lt;="&amp;'10 Year Pro Forma'!G4,'Zinc Agra'!$25:$25,"&gt;"&amp;'10 Year Pro Forma'!F4)</f>
        <v>120532132.95774652</v>
      </c>
      <c r="H8" s="119">
        <f>SUMIFS('Zinc Agra'!$26:$26,'Zinc Agra'!$25:$25,"&lt;="&amp;'10 Year Pro Forma'!H4,'Zinc Agra'!$25:$25,"&gt;"&amp;'10 Year Pro Forma'!G4)</f>
        <v>120532132.95774652</v>
      </c>
      <c r="I8" s="119">
        <f>SUMIFS('Zinc Agra'!$26:$26,'Zinc Agra'!$25:$25,"&lt;="&amp;'10 Year Pro Forma'!I4,'Zinc Agra'!$25:$25,"&gt;"&amp;'10 Year Pro Forma'!H4)</f>
        <v>120532132.95774652</v>
      </c>
      <c r="J8" s="119">
        <f>SUMIFS('Zinc Agra'!$26:$26,'Zinc Agra'!$25:$25,"&lt;="&amp;'10 Year Pro Forma'!J4,'Zinc Agra'!$25:$25,"&gt;"&amp;'10 Year Pro Forma'!I4)</f>
        <v>120532132.95774652</v>
      </c>
      <c r="K8" s="119">
        <f>SUMIFS('Zinc Agra'!$26:$26,'Zinc Agra'!$25:$25,"&lt;="&amp;'10 Year Pro Forma'!K4,'Zinc Agra'!$25:$25,"&gt;"&amp;'10 Year Pro Forma'!J4)</f>
        <v>120532132.95774652</v>
      </c>
      <c r="L8" s="119">
        <f>SUMIFS('Zinc Agra'!$26:$26,'Zinc Agra'!$25:$25,"&lt;="&amp;'10 Year Pro Forma'!L4,'Zinc Agra'!$25:$25,"&gt;"&amp;'10 Year Pro Forma'!K4)</f>
        <v>120532132.95774652</v>
      </c>
    </row>
    <row r="9" spans="2:14" x14ac:dyDescent="0.3">
      <c r="B9" s="53" t="s">
        <v>62</v>
      </c>
      <c r="C9" s="119">
        <f>SUMIFS('CM Model'!$43:$43,'CM Model'!$42:$42,"&lt;="&amp;'10 Year Pro Forma'!C4,'CM Model'!$42:$42,"&gt;"&amp;'10 Year Pro Forma'!B4)</f>
        <v>0</v>
      </c>
      <c r="D9" s="119">
        <f>SUMIFS('CM Model'!$43:$43,'CM Model'!$42:$42,"&lt;="&amp;'10 Year Pro Forma'!D4,'CM Model'!$42:$42,"&gt;"&amp;'10 Year Pro Forma'!C4)</f>
        <v>48514050</v>
      </c>
      <c r="E9" s="119">
        <f>SUMIFS('CM Model'!$43:$43,'CM Model'!$42:$42,"&lt;="&amp;'10 Year Pro Forma'!E4,'CM Model'!$42:$42,"&gt;"&amp;'10 Year Pro Forma'!D4)</f>
        <v>77622480</v>
      </c>
      <c r="F9" s="119">
        <f>SUMIFS('CM Model'!$43:$43,'CM Model'!$42:$42,"&lt;="&amp;'10 Year Pro Forma'!F4,'CM Model'!$42:$42,"&gt;"&amp;'10 Year Pro Forma'!E4)</f>
        <v>77622480</v>
      </c>
      <c r="G9" s="119">
        <f>SUMIFS('CM Model'!$43:$43,'CM Model'!$42:$42,"&lt;="&amp;'10 Year Pro Forma'!G4,'CM Model'!$42:$42,"&gt;"&amp;'10 Year Pro Forma'!F4)</f>
        <v>77622480</v>
      </c>
      <c r="H9" s="119">
        <f>SUMIFS('CM Model'!$43:$43,'CM Model'!$42:$42,"&lt;="&amp;'10 Year Pro Forma'!H4,'CM Model'!$42:$42,"&gt;"&amp;'10 Year Pro Forma'!G4)</f>
        <v>77622480</v>
      </c>
      <c r="I9" s="119">
        <f>SUMIFS('CM Model'!$43:$43,'CM Model'!$42:$42,"&lt;="&amp;'10 Year Pro Forma'!I4,'CM Model'!$42:$42,"&gt;"&amp;'10 Year Pro Forma'!H4)</f>
        <v>77622480</v>
      </c>
      <c r="J9" s="119">
        <f>SUMIFS('CM Model'!$43:$43,'CM Model'!$42:$42,"&lt;="&amp;'10 Year Pro Forma'!J4,'CM Model'!$42:$42,"&gt;"&amp;'10 Year Pro Forma'!I4)</f>
        <v>77622480</v>
      </c>
      <c r="K9" s="119">
        <f>SUMIFS('CM Model'!$43:$43,'CM Model'!$42:$42,"&lt;="&amp;'10 Year Pro Forma'!K4,'CM Model'!$42:$42,"&gt;"&amp;'10 Year Pro Forma'!J4)</f>
        <v>77622480</v>
      </c>
      <c r="L9" s="119">
        <f>SUMIFS('CM Model'!$43:$43,'CM Model'!$42:$42,"&lt;="&amp;'10 Year Pro Forma'!L4,'CM Model'!$42:$42,"&gt;"&amp;'10 Year Pro Forma'!K4)</f>
        <v>77622480</v>
      </c>
    </row>
    <row r="10" spans="2:14" x14ac:dyDescent="0.3">
      <c r="B10" s="130" t="s">
        <v>58</v>
      </c>
      <c r="C10" s="152">
        <f>SUM(C6:C9)</f>
        <v>5363011.1423962675</v>
      </c>
      <c r="D10" s="152">
        <f t="shared" ref="D10:L10" si="1">SUM(D6:D9)</f>
        <v>303402496.27232939</v>
      </c>
      <c r="E10" s="152">
        <f t="shared" si="1"/>
        <v>478187577.56093061</v>
      </c>
      <c r="F10" s="152">
        <f t="shared" si="1"/>
        <v>478187577.56093061</v>
      </c>
      <c r="G10" s="152">
        <f t="shared" si="1"/>
        <v>478187577.56093061</v>
      </c>
      <c r="H10" s="152">
        <f t="shared" si="1"/>
        <v>478187577.56093061</v>
      </c>
      <c r="I10" s="152">
        <f t="shared" si="1"/>
        <v>478187577.56093061</v>
      </c>
      <c r="J10" s="152">
        <f t="shared" si="1"/>
        <v>478187577.56093061</v>
      </c>
      <c r="K10" s="152">
        <f t="shared" si="1"/>
        <v>478187577.56093061</v>
      </c>
      <c r="L10" s="152">
        <f t="shared" si="1"/>
        <v>478187577.56093061</v>
      </c>
    </row>
    <row r="12" spans="2:14" x14ac:dyDescent="0.3">
      <c r="B12" s="65" t="s">
        <v>59</v>
      </c>
    </row>
    <row r="13" spans="2:14" x14ac:dyDescent="0.3">
      <c r="B13" s="53" t="s">
        <v>50</v>
      </c>
      <c r="C13" s="119">
        <f>SUMIFS('Mining Costs'!$11:$11,'Mining Costs'!$10:$10,"&lt;="&amp;'10 Year Pro Forma'!C4,'Mining Costs'!$10:$10,"&gt;"&amp;'10 Year Pro Forma'!B4)</f>
        <v>410583.33333333331</v>
      </c>
      <c r="D13" s="119">
        <f>SUMIFS('Mining Costs'!$11:$11,'Mining Costs'!$10:$10,"&lt;="&amp;'10 Year Pro Forma'!D4,'Mining Costs'!$10:$10,"&gt;"&amp;'10 Year Pro Forma'!C4)</f>
        <v>21196364.583333325</v>
      </c>
      <c r="E13" s="119">
        <f>SUMIFS('Mining Costs'!$11:$11,'Mining Costs'!$10:$10,"&lt;="&amp;'10 Year Pro Forma'!E4,'Mining Costs'!$10:$10,"&gt;"&amp;'10 Year Pro Forma'!D4)</f>
        <v>33231249.999999989</v>
      </c>
      <c r="F13" s="119">
        <f>SUMIFS('Mining Costs'!$11:$11,'Mining Costs'!$10:$10,"&lt;="&amp;'10 Year Pro Forma'!F4,'Mining Costs'!$10:$10,"&gt;"&amp;'10 Year Pro Forma'!E4)</f>
        <v>33231249.999999989</v>
      </c>
      <c r="G13" s="119">
        <f>SUMIFS('Mining Costs'!$11:$11,'Mining Costs'!$10:$10,"&lt;="&amp;'10 Year Pro Forma'!G4,'Mining Costs'!$10:$10,"&gt;"&amp;'10 Year Pro Forma'!F4)</f>
        <v>33231249.999999989</v>
      </c>
      <c r="H13" s="119">
        <f>SUMIFS('Mining Costs'!$11:$11,'Mining Costs'!$10:$10,"&lt;="&amp;'10 Year Pro Forma'!H4,'Mining Costs'!$10:$10,"&gt;"&amp;'10 Year Pro Forma'!G4)</f>
        <v>33231249.999999989</v>
      </c>
      <c r="I13" s="119">
        <f>SUMIFS('Mining Costs'!$11:$11,'Mining Costs'!$10:$10,"&lt;="&amp;'10 Year Pro Forma'!I4,'Mining Costs'!$10:$10,"&gt;"&amp;'10 Year Pro Forma'!H4)</f>
        <v>33231249.999999989</v>
      </c>
      <c r="J13" s="119">
        <f>SUMIFS('Mining Costs'!$11:$11,'Mining Costs'!$10:$10,"&lt;="&amp;'10 Year Pro Forma'!J4,'Mining Costs'!$10:$10,"&gt;"&amp;'10 Year Pro Forma'!I4)</f>
        <v>33231249.999999989</v>
      </c>
      <c r="K13" s="119">
        <f>SUMIFS('Mining Costs'!$11:$11,'Mining Costs'!$10:$10,"&lt;="&amp;'10 Year Pro Forma'!K4,'Mining Costs'!$10:$10,"&gt;"&amp;'10 Year Pro Forma'!J4)</f>
        <v>33231249.999999989</v>
      </c>
      <c r="L13" s="119">
        <f>SUMIFS('Mining Costs'!$11:$11,'Mining Costs'!$10:$10,"&lt;="&amp;'10 Year Pro Forma'!L4,'Mining Costs'!$10:$10,"&gt;"&amp;'10 Year Pro Forma'!K4)</f>
        <v>33231249.999999989</v>
      </c>
    </row>
    <row r="14" spans="2:14" x14ac:dyDescent="0.3">
      <c r="B14" s="53" t="s">
        <v>47</v>
      </c>
      <c r="C14" s="119">
        <f>+C10*Assumptions!$F$4</f>
        <v>321780.66854377603</v>
      </c>
      <c r="D14" s="119">
        <f>+D10*Assumptions!$F$4</f>
        <v>18204149.776339762</v>
      </c>
      <c r="E14" s="119">
        <f>+E10*Assumptions!$F$4</f>
        <v>28691254.653655834</v>
      </c>
      <c r="F14" s="119">
        <f>+F10*Assumptions!$F$4</f>
        <v>28691254.653655834</v>
      </c>
      <c r="G14" s="119">
        <f>+G10*Assumptions!$F$4</f>
        <v>28691254.653655834</v>
      </c>
      <c r="H14" s="119">
        <f>+H10*Assumptions!$F$4</f>
        <v>28691254.653655834</v>
      </c>
      <c r="I14" s="119">
        <f>+I10*Assumptions!$F$4</f>
        <v>28691254.653655834</v>
      </c>
      <c r="J14" s="119">
        <f>+J10*Assumptions!$F$4</f>
        <v>28691254.653655834</v>
      </c>
      <c r="K14" s="119">
        <f>+K10*Assumptions!$F$4</f>
        <v>28691254.653655834</v>
      </c>
      <c r="L14" s="119">
        <f>+L10*Assumptions!$F$4</f>
        <v>28691254.653655834</v>
      </c>
    </row>
    <row r="15" spans="2:14" x14ac:dyDescent="0.3">
      <c r="B15" s="53" t="s">
        <v>51</v>
      </c>
      <c r="C15" s="119">
        <f>+Assumptions!$F$5*'10 Year Pro Forma'!C10</f>
        <v>268150.5571198134</v>
      </c>
      <c r="D15" s="119">
        <f>+Assumptions!$F$5*'10 Year Pro Forma'!D10</f>
        <v>15170124.81361647</v>
      </c>
      <c r="E15" s="119">
        <f>+Assumptions!$F$5*'10 Year Pro Forma'!E10</f>
        <v>23909378.878046531</v>
      </c>
      <c r="F15" s="119">
        <f>+Assumptions!$F$5*'10 Year Pro Forma'!F10</f>
        <v>23909378.878046531</v>
      </c>
      <c r="G15" s="119">
        <f>+Assumptions!$F$5*'10 Year Pro Forma'!G10</f>
        <v>23909378.878046531</v>
      </c>
      <c r="H15" s="119">
        <f>+Assumptions!$F$5*'10 Year Pro Forma'!H10</f>
        <v>23909378.878046531</v>
      </c>
      <c r="I15" s="119">
        <f>+Assumptions!$F$5*'10 Year Pro Forma'!I10</f>
        <v>23909378.878046531</v>
      </c>
      <c r="J15" s="119">
        <f>+Assumptions!$F$5*'10 Year Pro Forma'!J10</f>
        <v>23909378.878046531</v>
      </c>
      <c r="K15" s="119">
        <f>+Assumptions!$F$5*'10 Year Pro Forma'!K10</f>
        <v>23909378.878046531</v>
      </c>
      <c r="L15" s="119">
        <f>+Assumptions!$F$5*'10 Year Pro Forma'!L10</f>
        <v>23909378.878046531</v>
      </c>
    </row>
    <row r="16" spans="2:14" x14ac:dyDescent="0.3">
      <c r="B16" s="130" t="s">
        <v>214</v>
      </c>
      <c r="C16" s="152">
        <f>SUM(C13:C15)</f>
        <v>1000514.5589969227</v>
      </c>
      <c r="D16" s="152">
        <f t="shared" ref="D16:L16" si="2">SUM(D13:D15)</f>
        <v>54570639.173289552</v>
      </c>
      <c r="E16" s="152">
        <f t="shared" si="2"/>
        <v>85831883.531702355</v>
      </c>
      <c r="F16" s="152">
        <f t="shared" si="2"/>
        <v>85831883.531702355</v>
      </c>
      <c r="G16" s="152">
        <f t="shared" si="2"/>
        <v>85831883.531702355</v>
      </c>
      <c r="H16" s="152">
        <f t="shared" si="2"/>
        <v>85831883.531702355</v>
      </c>
      <c r="I16" s="152">
        <f t="shared" si="2"/>
        <v>85831883.531702355</v>
      </c>
      <c r="J16" s="152">
        <f t="shared" si="2"/>
        <v>85831883.531702355</v>
      </c>
      <c r="K16" s="152">
        <f t="shared" si="2"/>
        <v>85831883.531702355</v>
      </c>
      <c r="L16" s="152">
        <f t="shared" si="2"/>
        <v>85831883.531702355</v>
      </c>
    </row>
    <row r="18" spans="2:12" ht="15.75" thickBot="1" x14ac:dyDescent="0.35">
      <c r="B18" s="153" t="s">
        <v>53</v>
      </c>
      <c r="C18" s="154">
        <f>+C10-C16</f>
        <v>4362496.5833993452</v>
      </c>
      <c r="D18" s="154">
        <f t="shared" ref="D18:L18" si="3">+D10-D16</f>
        <v>248831857.09903985</v>
      </c>
      <c r="E18" s="154">
        <f t="shared" si="3"/>
        <v>392355694.02922827</v>
      </c>
      <c r="F18" s="154">
        <f t="shared" si="3"/>
        <v>392355694.02922827</v>
      </c>
      <c r="G18" s="154">
        <f t="shared" si="3"/>
        <v>392355694.02922827</v>
      </c>
      <c r="H18" s="154">
        <f t="shared" si="3"/>
        <v>392355694.02922827</v>
      </c>
      <c r="I18" s="154">
        <f t="shared" si="3"/>
        <v>392355694.02922827</v>
      </c>
      <c r="J18" s="154">
        <f t="shared" si="3"/>
        <v>392355694.02922827</v>
      </c>
      <c r="K18" s="154">
        <f t="shared" si="3"/>
        <v>392355694.02922827</v>
      </c>
      <c r="L18" s="154">
        <f t="shared" si="3"/>
        <v>392355694.02922827</v>
      </c>
    </row>
    <row r="19" spans="2:12" ht="15.75" thickTop="1" x14ac:dyDescent="0.3">
      <c r="B19" s="132" t="s">
        <v>71</v>
      </c>
      <c r="C19" s="157">
        <f>+C18/C10</f>
        <v>0.81344164081861692</v>
      </c>
      <c r="D19" s="157">
        <f t="shared" ref="D19:L19" si="4">+D18/D10</f>
        <v>0.82013780425752403</v>
      </c>
      <c r="E19" s="157">
        <f t="shared" si="4"/>
        <v>0.8205058275049697</v>
      </c>
      <c r="F19" s="157">
        <f t="shared" si="4"/>
        <v>0.8205058275049697</v>
      </c>
      <c r="G19" s="157">
        <f t="shared" si="4"/>
        <v>0.8205058275049697</v>
      </c>
      <c r="H19" s="157">
        <f t="shared" si="4"/>
        <v>0.8205058275049697</v>
      </c>
      <c r="I19" s="157">
        <f t="shared" si="4"/>
        <v>0.8205058275049697</v>
      </c>
      <c r="J19" s="157">
        <f t="shared" si="4"/>
        <v>0.8205058275049697</v>
      </c>
      <c r="K19" s="157">
        <f t="shared" si="4"/>
        <v>0.8205058275049697</v>
      </c>
      <c r="L19" s="157">
        <f t="shared" si="4"/>
        <v>0.8205058275049697</v>
      </c>
    </row>
    <row r="20" spans="2:12" x14ac:dyDescent="0.3">
      <c r="B20" s="132"/>
      <c r="C20" s="156"/>
      <c r="D20" s="156"/>
      <c r="E20" s="156"/>
      <c r="F20" s="156"/>
      <c r="G20" s="156"/>
      <c r="H20" s="156"/>
      <c r="I20" s="156"/>
      <c r="J20" s="156"/>
      <c r="K20" s="156"/>
      <c r="L20" s="156"/>
    </row>
    <row r="21" spans="2:12" x14ac:dyDescent="0.3">
      <c r="B21" s="129" t="s">
        <v>55</v>
      </c>
      <c r="C21" s="134">
        <f>SUMIF(Depreciation!$H$4:$Q$4,'10 Year Pro Forma'!C4,Depreciation!$H$17:$Q$17)</f>
        <v>8837576.1904761903</v>
      </c>
      <c r="D21" s="134">
        <f>SUMIF(Depreciation!$H$4:$Q$4,'10 Year Pro Forma'!D4,Depreciation!$H$17:$Q$17)</f>
        <v>6453152.5170068024</v>
      </c>
      <c r="E21" s="134">
        <f>SUMIF(Depreciation!$H$4:$Q$4,'10 Year Pro Forma'!E4,Depreciation!$H$17:$Q$17)</f>
        <v>4735400.7502429541</v>
      </c>
      <c r="F21" s="134">
        <f>SUMIF(Depreciation!$H$4:$Q$4,'10 Year Pro Forma'!F4,Depreciation!$H$17:$Q$17)</f>
        <v>3496761.6025544913</v>
      </c>
      <c r="G21" s="134">
        <f>SUMIF(Depreciation!$H$4:$Q$4,'10 Year Pro Forma'!G4,Depreciation!$H$17:$Q$17)</f>
        <v>2602680.4742055889</v>
      </c>
      <c r="H21" s="134">
        <f>SUMIF(Depreciation!$H$4:$Q$4,'10 Year Pro Forma'!H4,Depreciation!$H$17:$Q$17)</f>
        <v>1956579.9928135159</v>
      </c>
      <c r="I21" s="134">
        <f>SUMIF(Depreciation!$H$4:$Q$4,'10 Year Pro Forma'!I4,Depreciation!$H$17:$Q$17)</f>
        <v>1489102.7657620355</v>
      </c>
      <c r="J21" s="134">
        <f>SUMIF(Depreciation!$H$4:$Q$4,'10 Year Pro Forma'!J4,Depreciation!$H$17:$Q$17)</f>
        <v>415242.91157333343</v>
      </c>
      <c r="K21" s="134">
        <f>SUMIF(Depreciation!$H$4:$Q$4,'10 Year Pro Forma'!K4,Depreciation!$H$17:$Q$17)</f>
        <v>379540.99592533347</v>
      </c>
      <c r="L21" s="134">
        <f>SUMIF(Depreciation!$H$4:$Q$4,'10 Year Pro Forma'!L4,Depreciation!$H$17:$Q$17)</f>
        <v>350979.46340693347</v>
      </c>
    </row>
    <row r="23" spans="2:12" ht="15.75" thickBot="1" x14ac:dyDescent="0.35">
      <c r="B23" s="153" t="s">
        <v>239</v>
      </c>
      <c r="C23" s="175">
        <f t="shared" ref="C23:L23" si="5">+C18-C21</f>
        <v>-4475079.6070768451</v>
      </c>
      <c r="D23" s="175">
        <f t="shared" si="5"/>
        <v>242378704.58203304</v>
      </c>
      <c r="E23" s="175">
        <f t="shared" si="5"/>
        <v>387620293.27898532</v>
      </c>
      <c r="F23" s="175">
        <f t="shared" si="5"/>
        <v>388858932.42667377</v>
      </c>
      <c r="G23" s="175">
        <f t="shared" si="5"/>
        <v>389753013.55502266</v>
      </c>
      <c r="H23" s="175">
        <f t="shared" si="5"/>
        <v>390399114.03641474</v>
      </c>
      <c r="I23" s="175">
        <f t="shared" si="5"/>
        <v>390866591.26346624</v>
      </c>
      <c r="J23" s="175">
        <f t="shared" si="5"/>
        <v>391940451.11765492</v>
      </c>
      <c r="K23" s="175">
        <f t="shared" si="5"/>
        <v>391976153.03330296</v>
      </c>
      <c r="L23" s="175">
        <f t="shared" si="5"/>
        <v>392004714.56582135</v>
      </c>
    </row>
    <row r="24" spans="2:12" ht="15.75" thickTop="1" x14ac:dyDescent="0.3">
      <c r="B24" s="132" t="s">
        <v>71</v>
      </c>
      <c r="C24" s="157">
        <f t="shared" ref="C24:L24" si="6">+C23/C10</f>
        <v>-0.83443414310664987</v>
      </c>
      <c r="D24" s="157">
        <f t="shared" si="6"/>
        <v>0.79886852468239966</v>
      </c>
      <c r="E24" s="157">
        <f t="shared" si="6"/>
        <v>0.81060301745206831</v>
      </c>
      <c r="F24" s="157">
        <f t="shared" si="6"/>
        <v>0.81319329625857006</v>
      </c>
      <c r="G24" s="157">
        <f t="shared" si="6"/>
        <v>0.81506302514803486</v>
      </c>
      <c r="H24" s="157">
        <f t="shared" si="6"/>
        <v>0.81641416957693791</v>
      </c>
      <c r="I24" s="157">
        <f t="shared" si="6"/>
        <v>0.81739177177529687</v>
      </c>
      <c r="J24" s="157">
        <f t="shared" si="6"/>
        <v>0.81963745925146692</v>
      </c>
      <c r="K24" s="157">
        <f t="shared" si="6"/>
        <v>0.81971212015301131</v>
      </c>
      <c r="L24" s="157">
        <f t="shared" si="6"/>
        <v>0.8197718488742467</v>
      </c>
    </row>
    <row r="26" spans="2:12" x14ac:dyDescent="0.3">
      <c r="B26" s="53" t="s">
        <v>240</v>
      </c>
      <c r="C26" s="119">
        <f>SUMIFS('Debt Model'!$E$11:$E$120,'Debt Model'!$B$11:$B$120,"&lt;="&amp;'10 Year Pro Forma'!C4,'Debt Model'!$B$11:$B$120,"&gt;"&amp;'10 Year Pro Forma'!B4)</f>
        <v>2750000</v>
      </c>
      <c r="D26" s="119">
        <f>SUMIFS('Debt Model'!$E$11:$E$120,'Debt Model'!$B$11:$B$120,"&lt;="&amp;'10 Year Pro Forma'!D4,'Debt Model'!$B$11:$B$120,"&gt;"&amp;'10 Year Pro Forma'!C4)</f>
        <v>5500000</v>
      </c>
      <c r="E26" s="119">
        <f>SUMIFS('Debt Model'!$E$11:$E$120,'Debt Model'!$B$11:$B$120,"&lt;="&amp;'10 Year Pro Forma'!E4,'Debt Model'!$B$11:$B$120,"&gt;"&amp;'10 Year Pro Forma'!D4)</f>
        <v>5500000</v>
      </c>
      <c r="F26" s="119">
        <f>SUMIFS('Debt Model'!$E$11:$E$120,'Debt Model'!$B$11:$B$120,"&lt;="&amp;'10 Year Pro Forma'!F4,'Debt Model'!$B$11:$B$120,"&gt;"&amp;'10 Year Pro Forma'!E4)</f>
        <v>2750000</v>
      </c>
      <c r="G26" s="119">
        <f>SUMIFS('Debt Model'!$E$11:$E$120,'Debt Model'!$B$11:$B$120,"&lt;="&amp;'10 Year Pro Forma'!G4,'Debt Model'!$B$11:$B$120,"&gt;"&amp;'10 Year Pro Forma'!F4)</f>
        <v>0</v>
      </c>
      <c r="H26" s="119">
        <f>SUMIFS('Debt Model'!$E$11:$E$120,'Debt Model'!$B$11:$B$120,"&lt;="&amp;'10 Year Pro Forma'!H4,'Debt Model'!$B$11:$B$120,"&gt;"&amp;'10 Year Pro Forma'!G4)</f>
        <v>0</v>
      </c>
      <c r="I26" s="119">
        <f>SUMIFS('Debt Model'!$E$11:$E$120,'Debt Model'!$B$11:$B$120,"&lt;="&amp;'10 Year Pro Forma'!I4,'Debt Model'!$B$11:$B$120,"&gt;"&amp;'10 Year Pro Forma'!H4)</f>
        <v>0</v>
      </c>
      <c r="J26" s="119">
        <f>SUMIFS('Debt Model'!$E$11:$E$120,'Debt Model'!$B$11:$B$120,"&lt;="&amp;'10 Year Pro Forma'!J4,'Debt Model'!$B$11:$B$120,"&gt;"&amp;'10 Year Pro Forma'!I4)</f>
        <v>0</v>
      </c>
      <c r="K26" s="119">
        <f>SUMIFS('Debt Model'!$E$11:$E$120,'Debt Model'!$B$11:$B$120,"&lt;="&amp;'10 Year Pro Forma'!K4,'Debt Model'!$B$11:$B$120,"&gt;"&amp;'10 Year Pro Forma'!J4)</f>
        <v>0</v>
      </c>
      <c r="L26" s="119">
        <f>SUMIFS('Debt Model'!$E$11:$E$120,'Debt Model'!$B$11:$B$120,"&lt;="&amp;'10 Year Pro Forma'!L4,'Debt Model'!$B$11:$B$120,"&gt;"&amp;'10 Year Pro Forma'!K4)</f>
        <v>0</v>
      </c>
    </row>
    <row r="28" spans="2:12" ht="15.75" thickBot="1" x14ac:dyDescent="0.35">
      <c r="B28" s="153" t="s">
        <v>241</v>
      </c>
      <c r="C28" s="154">
        <f>+C23-C26</f>
        <v>-7225079.6070768451</v>
      </c>
      <c r="D28" s="154">
        <f t="shared" ref="D28:L28" si="7">+D23-D26</f>
        <v>236878704.58203304</v>
      </c>
      <c r="E28" s="154">
        <f t="shared" si="7"/>
        <v>382120293.27898532</v>
      </c>
      <c r="F28" s="154">
        <f t="shared" si="7"/>
        <v>386108932.42667377</v>
      </c>
      <c r="G28" s="154">
        <f t="shared" si="7"/>
        <v>389753013.55502266</v>
      </c>
      <c r="H28" s="154">
        <f t="shared" si="7"/>
        <v>390399114.03641474</v>
      </c>
      <c r="I28" s="154">
        <f t="shared" si="7"/>
        <v>390866591.26346624</v>
      </c>
      <c r="J28" s="154">
        <f t="shared" si="7"/>
        <v>391940451.11765492</v>
      </c>
      <c r="K28" s="154">
        <f t="shared" si="7"/>
        <v>391976153.03330296</v>
      </c>
      <c r="L28" s="154">
        <f t="shared" si="7"/>
        <v>392004714.56582135</v>
      </c>
    </row>
    <row r="29" spans="2:12" ht="15.75" thickTop="1" x14ac:dyDescent="0.3">
      <c r="B29" s="132" t="s">
        <v>71</v>
      </c>
      <c r="C29" s="157">
        <f t="shared" ref="C29:L29" si="8">+C28/C10</f>
        <v>-1.3472057795965309</v>
      </c>
      <c r="D29" s="157">
        <f t="shared" si="8"/>
        <v>0.78074078984971296</v>
      </c>
      <c r="E29" s="157">
        <f t="shared" si="8"/>
        <v>0.79910125484239625</v>
      </c>
      <c r="F29" s="157">
        <f t="shared" si="8"/>
        <v>0.80744241495373392</v>
      </c>
      <c r="G29" s="157">
        <f t="shared" si="8"/>
        <v>0.81506302514803486</v>
      </c>
      <c r="H29" s="157">
        <f t="shared" si="8"/>
        <v>0.81641416957693791</v>
      </c>
      <c r="I29" s="157">
        <f t="shared" si="8"/>
        <v>0.81739177177529687</v>
      </c>
      <c r="J29" s="157">
        <f t="shared" si="8"/>
        <v>0.81963745925146692</v>
      </c>
      <c r="K29" s="157">
        <f t="shared" si="8"/>
        <v>0.81971212015301131</v>
      </c>
      <c r="L29" s="157">
        <f t="shared" si="8"/>
        <v>0.8197718488742467</v>
      </c>
    </row>
    <row r="31" spans="2:12" x14ac:dyDescent="0.3">
      <c r="B31" s="53" t="s">
        <v>49</v>
      </c>
      <c r="C31" s="119">
        <f>MAX(+C28*Assumptions!$F$9,0)</f>
        <v>0</v>
      </c>
      <c r="D31" s="119">
        <f>MAX(+D28*Assumptions!$F$9,0)</f>
        <v>49744527.962226935</v>
      </c>
      <c r="E31" s="119">
        <f>MAX(+E28*Assumptions!$F$9,0)</f>
        <v>80245261.588586912</v>
      </c>
      <c r="F31" s="119">
        <f>MAX(+F28*Assumptions!$F$9,0)</f>
        <v>81082875.809601486</v>
      </c>
      <c r="G31" s="119">
        <f>MAX(+G28*Assumptions!$F$9,0)</f>
        <v>81848132.846554756</v>
      </c>
      <c r="H31" s="119">
        <f>MAX(+H28*Assumptions!$F$9,0)</f>
        <v>81983813.947647095</v>
      </c>
      <c r="I31" s="119">
        <f>MAX(+I28*Assumptions!$F$9,0)</f>
        <v>82081984.165327907</v>
      </c>
      <c r="J31" s="119">
        <f>MAX(+J28*Assumptions!$F$9,0)</f>
        <v>82307494.734707534</v>
      </c>
      <c r="K31" s="119">
        <f>MAX(+K28*Assumptions!$F$9,0)</f>
        <v>82314992.136993617</v>
      </c>
      <c r="L31" s="119">
        <f>MAX(+L28*Assumptions!$F$9,0)</f>
        <v>82320990.058822483</v>
      </c>
    </row>
    <row r="33" spans="2:12" s="65" customFormat="1" ht="15.75" thickBot="1" x14ac:dyDescent="0.35">
      <c r="B33" s="176" t="s">
        <v>242</v>
      </c>
      <c r="C33" s="216">
        <f>+C28-C31</f>
        <v>-7225079.6070768451</v>
      </c>
      <c r="D33" s="216">
        <f t="shared" ref="D33:L33" si="9">+D28-D31</f>
        <v>187134176.61980611</v>
      </c>
      <c r="E33" s="216">
        <f t="shared" si="9"/>
        <v>301875031.6903984</v>
      </c>
      <c r="F33" s="216">
        <f t="shared" si="9"/>
        <v>305026056.61707228</v>
      </c>
      <c r="G33" s="216">
        <f t="shared" si="9"/>
        <v>307904880.7084679</v>
      </c>
      <c r="H33" s="216">
        <f t="shared" si="9"/>
        <v>308415300.08876765</v>
      </c>
      <c r="I33" s="216">
        <f t="shared" si="9"/>
        <v>308784607.09813833</v>
      </c>
      <c r="J33" s="216">
        <f t="shared" si="9"/>
        <v>309632956.38294739</v>
      </c>
      <c r="K33" s="216">
        <f t="shared" si="9"/>
        <v>309661160.89630938</v>
      </c>
      <c r="L33" s="216">
        <f t="shared" si="9"/>
        <v>309683724.5069989</v>
      </c>
    </row>
    <row r="34" spans="2:12" ht="15.75" thickTop="1" x14ac:dyDescent="0.3">
      <c r="B34" s="132" t="s">
        <v>71</v>
      </c>
      <c r="C34" s="68">
        <f t="shared" ref="C34:L34" si="10">+C33/C10</f>
        <v>-1.3472057795965309</v>
      </c>
      <c r="D34" s="68">
        <f t="shared" si="10"/>
        <v>0.61678522398127322</v>
      </c>
      <c r="E34" s="68">
        <f t="shared" si="10"/>
        <v>0.63128999132549302</v>
      </c>
      <c r="F34" s="68">
        <f t="shared" si="10"/>
        <v>0.63787950781344982</v>
      </c>
      <c r="G34" s="68">
        <f t="shared" si="10"/>
        <v>0.64389978986694751</v>
      </c>
      <c r="H34" s="68">
        <f t="shared" si="10"/>
        <v>0.64496719396578095</v>
      </c>
      <c r="I34" s="68">
        <f t="shared" si="10"/>
        <v>0.64573949970248445</v>
      </c>
      <c r="J34" s="68">
        <f t="shared" si="10"/>
        <v>0.64751359280865883</v>
      </c>
      <c r="K34" s="68">
        <f t="shared" si="10"/>
        <v>0.64757257492087905</v>
      </c>
      <c r="L34" s="68">
        <f t="shared" si="10"/>
        <v>0.64761976061065496</v>
      </c>
    </row>
    <row r="36" spans="2:12" x14ac:dyDescent="0.3">
      <c r="B36" s="200" t="s">
        <v>282</v>
      </c>
      <c r="C36" s="201"/>
      <c r="D36" s="201"/>
      <c r="E36" s="201"/>
      <c r="F36" s="201"/>
      <c r="G36" s="201"/>
      <c r="H36" s="201"/>
      <c r="I36" s="201"/>
      <c r="J36" s="201"/>
      <c r="K36" s="201"/>
      <c r="L36" s="202"/>
    </row>
    <row r="37" spans="2:12" x14ac:dyDescent="0.3">
      <c r="B37" s="203" t="s">
        <v>242</v>
      </c>
      <c r="C37" s="156">
        <f>+C33</f>
        <v>-7225079.6070768451</v>
      </c>
      <c r="D37" s="156">
        <f t="shared" ref="D37:L37" si="11">+D33</f>
        <v>187134176.61980611</v>
      </c>
      <c r="E37" s="156">
        <f t="shared" si="11"/>
        <v>301875031.6903984</v>
      </c>
      <c r="F37" s="156">
        <f t="shared" si="11"/>
        <v>305026056.61707228</v>
      </c>
      <c r="G37" s="156">
        <f t="shared" si="11"/>
        <v>307904880.7084679</v>
      </c>
      <c r="H37" s="156">
        <f t="shared" si="11"/>
        <v>308415300.08876765</v>
      </c>
      <c r="I37" s="156">
        <f t="shared" si="11"/>
        <v>308784607.09813833</v>
      </c>
      <c r="J37" s="156">
        <f t="shared" si="11"/>
        <v>309632956.38294739</v>
      </c>
      <c r="K37" s="156">
        <f t="shared" si="11"/>
        <v>309661160.89630938</v>
      </c>
      <c r="L37" s="204">
        <f t="shared" si="11"/>
        <v>309683724.5069989</v>
      </c>
    </row>
    <row r="38" spans="2:12" x14ac:dyDescent="0.3">
      <c r="B38" s="203" t="s">
        <v>55</v>
      </c>
      <c r="C38" s="156">
        <f>+C21</f>
        <v>8837576.1904761903</v>
      </c>
      <c r="D38" s="156">
        <f t="shared" ref="D38:L38" si="12">+D21</f>
        <v>6453152.5170068024</v>
      </c>
      <c r="E38" s="156">
        <f t="shared" si="12"/>
        <v>4735400.7502429541</v>
      </c>
      <c r="F38" s="156">
        <f t="shared" si="12"/>
        <v>3496761.6025544913</v>
      </c>
      <c r="G38" s="156">
        <f t="shared" si="12"/>
        <v>2602680.4742055889</v>
      </c>
      <c r="H38" s="156">
        <f t="shared" si="12"/>
        <v>1956579.9928135159</v>
      </c>
      <c r="I38" s="156">
        <f t="shared" si="12"/>
        <v>1489102.7657620355</v>
      </c>
      <c r="J38" s="156">
        <f t="shared" si="12"/>
        <v>415242.91157333343</v>
      </c>
      <c r="K38" s="156">
        <f t="shared" si="12"/>
        <v>379540.99592533347</v>
      </c>
      <c r="L38" s="204">
        <f t="shared" si="12"/>
        <v>350979.46340693347</v>
      </c>
    </row>
    <row r="39" spans="2:12" s="65" customFormat="1" x14ac:dyDescent="0.3">
      <c r="B39" s="205" t="s">
        <v>287</v>
      </c>
      <c r="C39" s="206">
        <f>+C37+C38</f>
        <v>1612496.5833993452</v>
      </c>
      <c r="D39" s="206">
        <f t="shared" ref="D39:L39" si="13">+D37+D38</f>
        <v>193587329.13681293</v>
      </c>
      <c r="E39" s="206">
        <f t="shared" si="13"/>
        <v>306610432.44064134</v>
      </c>
      <c r="F39" s="206">
        <f t="shared" si="13"/>
        <v>308522818.21962678</v>
      </c>
      <c r="G39" s="206">
        <f t="shared" si="13"/>
        <v>310507561.18267351</v>
      </c>
      <c r="H39" s="206">
        <f t="shared" si="13"/>
        <v>310371880.08158118</v>
      </c>
      <c r="I39" s="206">
        <f t="shared" si="13"/>
        <v>310273709.86390036</v>
      </c>
      <c r="J39" s="206">
        <f t="shared" si="13"/>
        <v>310048199.29452074</v>
      </c>
      <c r="K39" s="206">
        <f t="shared" si="13"/>
        <v>310040701.89223468</v>
      </c>
      <c r="L39" s="207">
        <f t="shared" si="13"/>
        <v>310034703.97040582</v>
      </c>
    </row>
    <row r="40" spans="2:12" x14ac:dyDescent="0.3">
      <c r="B40" s="205"/>
      <c r="C40" s="132"/>
      <c r="D40" s="132"/>
      <c r="E40" s="132"/>
      <c r="F40" s="132"/>
      <c r="G40" s="132"/>
      <c r="H40" s="132"/>
      <c r="I40" s="132"/>
      <c r="J40" s="132"/>
      <c r="K40" s="132"/>
      <c r="L40" s="208"/>
    </row>
    <row r="41" spans="2:12" x14ac:dyDescent="0.3">
      <c r="B41" s="205" t="s">
        <v>284</v>
      </c>
      <c r="C41" s="132"/>
      <c r="D41" s="132"/>
      <c r="E41" s="132"/>
      <c r="F41" s="132"/>
      <c r="G41" s="132"/>
      <c r="H41" s="132"/>
      <c r="I41" s="132"/>
      <c r="J41" s="132"/>
      <c r="K41" s="132"/>
      <c r="L41" s="208"/>
    </row>
    <row r="42" spans="2:12" x14ac:dyDescent="0.3">
      <c r="B42" s="203" t="s">
        <v>220</v>
      </c>
      <c r="C42" s="209">
        <f>-SUMIFS('WS - CAPEX'!$5:$5,'WS - CAPEX'!$4:$4,"&lt;="&amp;'10 Year Pro Forma'!C4,'WS - CAPEX'!$4:$4,"&gt;"&amp;'10 Year Pro Forma'!B4)</f>
        <v>-4000000.0000000009</v>
      </c>
      <c r="D42" s="209">
        <f>SUMIFS('WS - CAPEX'!$5:$5,'WS - CAPEX'!$4:$4,"&lt;="&amp;'10 Year Pro Forma'!D4,'WS - CAPEX'!$4:$4,"&gt;"&amp;'10 Year Pro Forma'!C4)</f>
        <v>0</v>
      </c>
      <c r="E42" s="209">
        <f>SUMIFS('WS - CAPEX'!$5:$5,'WS - CAPEX'!$4:$4,"&lt;="&amp;'10 Year Pro Forma'!E4,'WS - CAPEX'!$4:$4,"&gt;"&amp;'10 Year Pro Forma'!D4)</f>
        <v>0</v>
      </c>
      <c r="F42" s="209">
        <f>SUMIFS('WS - CAPEX'!$5:$5,'WS - CAPEX'!$4:$4,"&lt;="&amp;'10 Year Pro Forma'!F4,'WS - CAPEX'!$4:$4,"&gt;"&amp;'10 Year Pro Forma'!E4)</f>
        <v>0</v>
      </c>
      <c r="G42" s="209">
        <f>SUMIFS('WS - CAPEX'!$5:$5,'WS - CAPEX'!$4:$4,"&lt;="&amp;'10 Year Pro Forma'!G4,'WS - CAPEX'!$4:$4,"&gt;"&amp;'10 Year Pro Forma'!F4)</f>
        <v>0</v>
      </c>
      <c r="H42" s="209">
        <f>SUMIFS('WS - CAPEX'!$5:$5,'WS - CAPEX'!$4:$4,"&lt;="&amp;'10 Year Pro Forma'!H4,'WS - CAPEX'!$4:$4,"&gt;"&amp;'10 Year Pro Forma'!G4)</f>
        <v>0</v>
      </c>
      <c r="I42" s="209">
        <f>SUMIFS('WS - CAPEX'!$5:$5,'WS - CAPEX'!$4:$4,"&lt;="&amp;'10 Year Pro Forma'!I4,'WS - CAPEX'!$4:$4,"&gt;"&amp;'10 Year Pro Forma'!H4)</f>
        <v>0</v>
      </c>
      <c r="J42" s="209">
        <f>SUMIFS('WS - CAPEX'!$5:$5,'WS - CAPEX'!$4:$4,"&lt;="&amp;'10 Year Pro Forma'!J4,'WS - CAPEX'!$4:$4,"&gt;"&amp;'10 Year Pro Forma'!I4)</f>
        <v>0</v>
      </c>
      <c r="K42" s="209">
        <f>SUMIFS('WS - CAPEX'!$5:$5,'WS - CAPEX'!$4:$4,"&lt;="&amp;'10 Year Pro Forma'!K4,'WS - CAPEX'!$4:$4,"&gt;"&amp;'10 Year Pro Forma'!J4)</f>
        <v>0</v>
      </c>
      <c r="L42" s="210">
        <f>SUMIFS('WS - CAPEX'!$5:$5,'WS - CAPEX'!$4:$4,"&lt;="&amp;'10 Year Pro Forma'!L4,'WS - CAPEX'!$4:$4,"&gt;"&amp;'10 Year Pro Forma'!K4)</f>
        <v>0</v>
      </c>
    </row>
    <row r="43" spans="2:12" x14ac:dyDescent="0.3">
      <c r="B43" s="203" t="s">
        <v>221</v>
      </c>
      <c r="C43" s="209">
        <f>-SUMIFS('Darwin - CAPEX'!$5:$5,'Darwin - CAPEX'!$4:$4,"&lt;="&amp;'10 Year Pro Forma'!C4,'Darwin - CAPEX'!$4:$4,"&gt;"&amp;'10 Year Pro Forma'!B4)</f>
        <v>-38158749.999999993</v>
      </c>
      <c r="D43" s="209">
        <f>SUMIFS('Darwin - CAPEX'!$5:$5,'Darwin - CAPEX'!$4:$4,"&lt;="&amp;'10 Year Pro Forma'!D4,'Darwin - CAPEX'!$4:$4,"&gt;"&amp;'10 Year Pro Forma'!C4)</f>
        <v>0</v>
      </c>
      <c r="E43" s="209">
        <f>SUMIFS('Darwin - CAPEX'!$5:$5,'Darwin - CAPEX'!$4:$4,"&lt;="&amp;'10 Year Pro Forma'!E4,'Darwin - CAPEX'!$4:$4,"&gt;"&amp;'10 Year Pro Forma'!D4)</f>
        <v>0</v>
      </c>
      <c r="F43" s="209">
        <f>SUMIFS('Darwin - CAPEX'!$5:$5,'Darwin - CAPEX'!$4:$4,"&lt;="&amp;'10 Year Pro Forma'!F4,'Darwin - CAPEX'!$4:$4,"&gt;"&amp;'10 Year Pro Forma'!E4)</f>
        <v>0</v>
      </c>
      <c r="G43" s="209">
        <f>SUMIFS('Darwin - CAPEX'!$5:$5,'Darwin - CAPEX'!$4:$4,"&lt;="&amp;'10 Year Pro Forma'!G4,'Darwin - CAPEX'!$4:$4,"&gt;"&amp;'10 Year Pro Forma'!F4)</f>
        <v>0</v>
      </c>
      <c r="H43" s="209">
        <f>SUMIFS('Darwin - CAPEX'!$5:$5,'Darwin - CAPEX'!$4:$4,"&lt;="&amp;'10 Year Pro Forma'!H4,'Darwin - CAPEX'!$4:$4,"&gt;"&amp;'10 Year Pro Forma'!G4)</f>
        <v>0</v>
      </c>
      <c r="I43" s="209">
        <f>SUMIFS('Darwin - CAPEX'!$5:$5,'Darwin - CAPEX'!$4:$4,"&lt;="&amp;'10 Year Pro Forma'!I4,'Darwin - CAPEX'!$4:$4,"&gt;"&amp;'10 Year Pro Forma'!H4)</f>
        <v>0</v>
      </c>
      <c r="J43" s="209">
        <f>SUMIFS('Darwin - CAPEX'!$5:$5,'Darwin - CAPEX'!$4:$4,"&lt;="&amp;'10 Year Pro Forma'!J4,'Darwin - CAPEX'!$4:$4,"&gt;"&amp;'10 Year Pro Forma'!I4)</f>
        <v>0</v>
      </c>
      <c r="K43" s="209">
        <f>SUMIFS('Darwin - CAPEX'!$5:$5,'Darwin - CAPEX'!$4:$4,"&lt;="&amp;'10 Year Pro Forma'!K4,'Darwin - CAPEX'!$4:$4,"&gt;"&amp;'10 Year Pro Forma'!J4)</f>
        <v>0</v>
      </c>
      <c r="L43" s="210">
        <f>SUMIFS('Darwin - CAPEX'!$5:$5,'Darwin - CAPEX'!$4:$4,"&lt;="&amp;'10 Year Pro Forma'!L4,'Darwin - CAPEX'!$4:$4,"&gt;"&amp;'10 Year Pro Forma'!K4)</f>
        <v>0</v>
      </c>
    </row>
    <row r="44" spans="2:12" x14ac:dyDescent="0.3">
      <c r="B44" s="203" t="s">
        <v>325</v>
      </c>
      <c r="C44" s="209">
        <f>-'Combined CAPEX'!J15-'Combined CAPEX'!J16</f>
        <v>-7841250</v>
      </c>
      <c r="D44" s="209"/>
      <c r="E44" s="209"/>
      <c r="F44" s="209"/>
      <c r="G44" s="209"/>
      <c r="H44" s="209"/>
      <c r="I44" s="209"/>
      <c r="J44" s="209"/>
      <c r="K44" s="209"/>
      <c r="L44" s="210"/>
    </row>
    <row r="45" spans="2:12" x14ac:dyDescent="0.3">
      <c r="B45" s="203" t="s">
        <v>299</v>
      </c>
      <c r="C45" s="209">
        <f>-SUMIFS('Tungsten Model'!$5:$5,'Tungsten Model'!$25:$25,"&lt;="&amp;'10 Year Pro Forma'!C4,'Tungsten Model'!$25:$25,"&gt;"&amp;'10 Year Pro Forma'!B4)*Assumptions!$I$9*Assumptions!$C$7/12</f>
        <v>-43333.333333333336</v>
      </c>
      <c r="D45" s="209">
        <f>-SUMIFS('Tungsten Model'!$5:$5,'Tungsten Model'!$25:$25,"&lt;="&amp;'10 Year Pro Forma'!D4,'Tungsten Model'!$25:$25,"&gt;"&amp;'10 Year Pro Forma'!C4)*Assumptions!$I$9*Assumptions!$C$7/12</f>
        <v>-2074583.3333333333</v>
      </c>
      <c r="E45" s="209">
        <f>-SUMIFS('Tungsten Model'!$5:$5,'Tungsten Model'!$25:$25,"&lt;="&amp;'10 Year Pro Forma'!E4,'Tungsten Model'!$25:$25,"&gt;"&amp;'10 Year Pro Forma'!D4)*Assumptions!$I$9*Assumptions!$C$7/12</f>
        <v>-3250000</v>
      </c>
      <c r="F45" s="209">
        <f>-SUMIFS('Tungsten Model'!$5:$5,'Tungsten Model'!$25:$25,"&lt;="&amp;'10 Year Pro Forma'!F4,'Tungsten Model'!$25:$25,"&gt;"&amp;'10 Year Pro Forma'!E4)*Assumptions!$I$9*Assumptions!$C$7/12</f>
        <v>-3250000</v>
      </c>
      <c r="G45" s="209">
        <f>-SUMIFS('Tungsten Model'!$5:$5,'Tungsten Model'!$25:$25,"&lt;="&amp;'10 Year Pro Forma'!G4,'Tungsten Model'!$25:$25,"&gt;"&amp;'10 Year Pro Forma'!F4)*Assumptions!$I$9*Assumptions!$C$7/12</f>
        <v>-3250000</v>
      </c>
      <c r="H45" s="209">
        <f>-SUMIFS('Tungsten Model'!$5:$5,'Tungsten Model'!$25:$25,"&lt;="&amp;'10 Year Pro Forma'!H4,'Tungsten Model'!$25:$25,"&gt;"&amp;'10 Year Pro Forma'!G4)*Assumptions!$I$9*Assumptions!$C$7/12</f>
        <v>-3250000</v>
      </c>
      <c r="I45" s="209">
        <f>-SUMIFS('Tungsten Model'!$5:$5,'Tungsten Model'!$25:$25,"&lt;="&amp;'10 Year Pro Forma'!I4,'Tungsten Model'!$25:$25,"&gt;"&amp;'10 Year Pro Forma'!H4)*Assumptions!$I$9*Assumptions!$C$7/12</f>
        <v>-3250000</v>
      </c>
      <c r="J45" s="209">
        <f>-SUMIFS('Tungsten Model'!$5:$5,'Tungsten Model'!$25:$25,"&lt;="&amp;'10 Year Pro Forma'!J4,'Tungsten Model'!$25:$25,"&gt;"&amp;'10 Year Pro Forma'!I4)*Assumptions!$I$9*Assumptions!$C$7/12</f>
        <v>-3250000</v>
      </c>
      <c r="K45" s="209">
        <f>-SUMIFS('Tungsten Model'!$5:$5,'Tungsten Model'!$25:$25,"&lt;="&amp;'10 Year Pro Forma'!K4,'Tungsten Model'!$25:$25,"&gt;"&amp;'10 Year Pro Forma'!J4)*Assumptions!$I$9*Assumptions!$C$7/12</f>
        <v>-3250000</v>
      </c>
      <c r="L45" s="210">
        <f>-SUMIFS('Tungsten Model'!$5:$5,'Tungsten Model'!$25:$25,"&lt;="&amp;'10 Year Pro Forma'!L4,'Tungsten Model'!$25:$25,"&gt;"&amp;'10 Year Pro Forma'!K4)*Assumptions!$I$9*Assumptions!$C$7/12</f>
        <v>-3250000</v>
      </c>
    </row>
    <row r="46" spans="2:12" s="65" customFormat="1" x14ac:dyDescent="0.3">
      <c r="B46" s="205" t="s">
        <v>286</v>
      </c>
      <c r="C46" s="211">
        <f>SUM(C42:C45)</f>
        <v>-50043333.333333328</v>
      </c>
      <c r="D46" s="211">
        <f t="shared" ref="D46:L46" si="14">SUM(D42:D45)</f>
        <v>-2074583.3333333333</v>
      </c>
      <c r="E46" s="211">
        <f t="shared" si="14"/>
        <v>-3250000</v>
      </c>
      <c r="F46" s="211">
        <f t="shared" si="14"/>
        <v>-3250000</v>
      </c>
      <c r="G46" s="211">
        <f t="shared" si="14"/>
        <v>-3250000</v>
      </c>
      <c r="H46" s="211">
        <f t="shared" si="14"/>
        <v>-3250000</v>
      </c>
      <c r="I46" s="211">
        <f t="shared" si="14"/>
        <v>-3250000</v>
      </c>
      <c r="J46" s="211">
        <f t="shared" si="14"/>
        <v>-3250000</v>
      </c>
      <c r="K46" s="211">
        <f t="shared" si="14"/>
        <v>-3250000</v>
      </c>
      <c r="L46" s="212">
        <f t="shared" si="14"/>
        <v>-3250000</v>
      </c>
    </row>
    <row r="47" spans="2:12" x14ac:dyDescent="0.3">
      <c r="B47" s="203"/>
      <c r="C47" s="209"/>
      <c r="D47" s="209"/>
      <c r="E47" s="209"/>
      <c r="F47" s="209"/>
      <c r="G47" s="209"/>
      <c r="H47" s="209"/>
      <c r="I47" s="209"/>
      <c r="J47" s="209"/>
      <c r="K47" s="209"/>
      <c r="L47" s="210"/>
    </row>
    <row r="48" spans="2:12" x14ac:dyDescent="0.3">
      <c r="B48" s="205" t="s">
        <v>285</v>
      </c>
      <c r="C48" s="209"/>
      <c r="D48" s="209"/>
      <c r="E48" s="209"/>
      <c r="F48" s="209"/>
      <c r="G48" s="209"/>
      <c r="H48" s="209"/>
      <c r="I48" s="209"/>
      <c r="J48" s="209"/>
      <c r="K48" s="209"/>
      <c r="L48" s="210"/>
    </row>
    <row r="49" spans="2:12" x14ac:dyDescent="0.3">
      <c r="B49" s="203" t="s">
        <v>278</v>
      </c>
      <c r="C49" s="209">
        <f>+'Debt Model'!C4</f>
        <v>50000000</v>
      </c>
      <c r="D49" s="132"/>
      <c r="E49" s="132"/>
      <c r="F49" s="132"/>
      <c r="G49" s="132"/>
      <c r="H49" s="132"/>
      <c r="I49" s="132"/>
      <c r="J49" s="132"/>
      <c r="K49" s="132"/>
      <c r="L49" s="208"/>
    </row>
    <row r="50" spans="2:12" x14ac:dyDescent="0.3">
      <c r="B50" s="203" t="s">
        <v>288</v>
      </c>
      <c r="C50" s="209">
        <f>SUMIFS('Debt Model'!$H$11:$H$120,'Debt Model'!$B$11:$B$120,"&lt;="&amp;'10 Year Pro Forma'!C4,'Debt Model'!$B$11:$B$120,"&gt;"&amp;'10 Year Pro Forma'!B4)</f>
        <v>0</v>
      </c>
      <c r="D50" s="209">
        <f>SUMIFS('Debt Model'!$H$11:$H$120,'Debt Model'!$B$11:$B$120,"&lt;="&amp;'10 Year Pro Forma'!D4,'Debt Model'!$B$11:$B$120,"&gt;"&amp;'10 Year Pro Forma'!C4)</f>
        <v>0</v>
      </c>
      <c r="E50" s="209">
        <f>SUMIFS('Debt Model'!$H$11:$H$120,'Debt Model'!$B$11:$B$120,"&lt;="&amp;'10 Year Pro Forma'!E4,'Debt Model'!$B$11:$B$120,"&gt;"&amp;'10 Year Pro Forma'!D4)</f>
        <v>0</v>
      </c>
      <c r="F50" s="209">
        <f>SUMIFS('Debt Model'!$H$11:$H$120,'Debt Model'!$B$11:$B$120,"&lt;="&amp;'10 Year Pro Forma'!F4,'Debt Model'!$B$11:$B$120,"&gt;"&amp;'10 Year Pro Forma'!E4)</f>
        <v>50000000</v>
      </c>
      <c r="G50" s="209">
        <f>SUMIFS('Debt Model'!$H$11:$H$120,'Debt Model'!$B$11:$B$120,"&lt;="&amp;'10 Year Pro Forma'!G4,'Debt Model'!$B$11:$B$120,"&gt;"&amp;'10 Year Pro Forma'!F4)</f>
        <v>0</v>
      </c>
      <c r="H50" s="209">
        <f>SUMIFS('Debt Model'!$H$11:$H$120,'Debt Model'!$B$11:$B$120,"&lt;="&amp;'10 Year Pro Forma'!H4,'Debt Model'!$B$11:$B$120,"&gt;"&amp;'10 Year Pro Forma'!G4)</f>
        <v>0</v>
      </c>
      <c r="I50" s="209">
        <f>SUMIFS('Debt Model'!$H$11:$H$120,'Debt Model'!$B$11:$B$120,"&lt;="&amp;'10 Year Pro Forma'!I4,'Debt Model'!$B$11:$B$120,"&gt;"&amp;'10 Year Pro Forma'!H4)</f>
        <v>0</v>
      </c>
      <c r="J50" s="209">
        <f>SUMIFS('Debt Model'!$H$11:$H$120,'Debt Model'!$B$11:$B$120,"&lt;="&amp;'10 Year Pro Forma'!J4,'Debt Model'!$B$11:$B$120,"&gt;"&amp;'10 Year Pro Forma'!I4)</f>
        <v>0</v>
      </c>
      <c r="K50" s="209">
        <f>SUMIFS('Debt Model'!$H$11:$H$120,'Debt Model'!$B$11:$B$120,"&lt;="&amp;'10 Year Pro Forma'!K4,'Debt Model'!$B$11:$B$120,"&gt;"&amp;'10 Year Pro Forma'!J4)</f>
        <v>0</v>
      </c>
      <c r="L50" s="210">
        <f>SUMIFS('Debt Model'!$H$11:$H$120,'Debt Model'!$B$11:$B$120,"&lt;="&amp;'10 Year Pro Forma'!L4,'Debt Model'!$B$11:$B$120,"&gt;"&amp;'10 Year Pro Forma'!K4)</f>
        <v>0</v>
      </c>
    </row>
    <row r="51" spans="2:12" s="65" customFormat="1" x14ac:dyDescent="0.3">
      <c r="B51" s="213" t="s">
        <v>288</v>
      </c>
      <c r="C51" s="214">
        <f>+C49-C50</f>
        <v>50000000</v>
      </c>
      <c r="D51" s="214">
        <f t="shared" ref="D51:L51" si="15">+D49-D50</f>
        <v>0</v>
      </c>
      <c r="E51" s="214">
        <f t="shared" si="15"/>
        <v>0</v>
      </c>
      <c r="F51" s="214">
        <f t="shared" si="15"/>
        <v>-50000000</v>
      </c>
      <c r="G51" s="214">
        <f t="shared" si="15"/>
        <v>0</v>
      </c>
      <c r="H51" s="214">
        <f t="shared" si="15"/>
        <v>0</v>
      </c>
      <c r="I51" s="214">
        <f t="shared" si="15"/>
        <v>0</v>
      </c>
      <c r="J51" s="214">
        <f t="shared" si="15"/>
        <v>0</v>
      </c>
      <c r="K51" s="214">
        <f t="shared" si="15"/>
        <v>0</v>
      </c>
      <c r="L51" s="215">
        <f t="shared" si="15"/>
        <v>0</v>
      </c>
    </row>
    <row r="52" spans="2:12" x14ac:dyDescent="0.3">
      <c r="C52" s="166"/>
      <c r="D52" s="166"/>
      <c r="E52" s="166"/>
      <c r="F52" s="166"/>
      <c r="G52" s="166"/>
      <c r="H52" s="166"/>
      <c r="I52" s="166"/>
      <c r="J52" s="166"/>
      <c r="K52" s="166"/>
      <c r="L52" s="166"/>
    </row>
    <row r="53" spans="2:12" ht="15.75" thickBot="1" x14ac:dyDescent="0.35">
      <c r="B53" s="177" t="s">
        <v>56</v>
      </c>
      <c r="C53" s="178">
        <f>+C39+C46+C51</f>
        <v>1569163.2500660196</v>
      </c>
      <c r="D53" s="178">
        <f t="shared" ref="D53:L53" si="16">+D39+D46+D51</f>
        <v>191512745.80347958</v>
      </c>
      <c r="E53" s="178">
        <f t="shared" si="16"/>
        <v>303360432.44064134</v>
      </c>
      <c r="F53" s="178">
        <f t="shared" si="16"/>
        <v>255272818.21962678</v>
      </c>
      <c r="G53" s="178">
        <f t="shared" si="16"/>
        <v>307257561.18267351</v>
      </c>
      <c r="H53" s="178">
        <f t="shared" si="16"/>
        <v>307121880.08158118</v>
      </c>
      <c r="I53" s="178">
        <f t="shared" si="16"/>
        <v>307023709.86390036</v>
      </c>
      <c r="J53" s="178">
        <f t="shared" si="16"/>
        <v>306798199.29452074</v>
      </c>
      <c r="K53" s="178">
        <f t="shared" si="16"/>
        <v>306790701.89223468</v>
      </c>
      <c r="L53" s="178">
        <f t="shared" si="16"/>
        <v>306784703.97040582</v>
      </c>
    </row>
    <row r="54" spans="2:12" ht="15.75" thickTop="1" x14ac:dyDescent="0.3">
      <c r="C54" s="166"/>
      <c r="D54" s="166"/>
      <c r="E54" s="166"/>
      <c r="F54" s="166"/>
      <c r="G54" s="166"/>
      <c r="H54" s="166"/>
      <c r="I54" s="166"/>
      <c r="J54" s="166"/>
      <c r="K54" s="166"/>
      <c r="L54" s="166"/>
    </row>
    <row r="55" spans="2:12" x14ac:dyDescent="0.3">
      <c r="B55" s="217" t="s">
        <v>289</v>
      </c>
      <c r="C55" s="218">
        <f>+C53</f>
        <v>1569163.2500660196</v>
      </c>
      <c r="D55" s="218">
        <f>+C55+D53</f>
        <v>193081909.05354559</v>
      </c>
      <c r="E55" s="218">
        <f t="shared" ref="E55:L55" si="17">+D55+E53</f>
        <v>496442341.49418694</v>
      </c>
      <c r="F55" s="218">
        <f t="shared" si="17"/>
        <v>751715159.71381378</v>
      </c>
      <c r="G55" s="218">
        <f t="shared" si="17"/>
        <v>1058972720.8964872</v>
      </c>
      <c r="H55" s="218">
        <f t="shared" si="17"/>
        <v>1366094600.9780684</v>
      </c>
      <c r="I55" s="218">
        <f t="shared" si="17"/>
        <v>1673118310.8419688</v>
      </c>
      <c r="J55" s="218">
        <f t="shared" si="17"/>
        <v>1979916510.1364894</v>
      </c>
      <c r="K55" s="218">
        <f t="shared" si="17"/>
        <v>2286707212.0287242</v>
      </c>
      <c r="L55" s="219">
        <f t="shared" si="17"/>
        <v>2593491915.9991302</v>
      </c>
    </row>
    <row r="56" spans="2:12" x14ac:dyDescent="0.3">
      <c r="B56" s="203" t="s">
        <v>290</v>
      </c>
      <c r="C56" s="220">
        <f>+Assumptions!$I$4-C50</f>
        <v>50000000</v>
      </c>
      <c r="D56" s="220">
        <f>+C56-D50</f>
        <v>50000000</v>
      </c>
      <c r="E56" s="220">
        <f t="shared" ref="E56:L56" si="18">+D56-E50</f>
        <v>50000000</v>
      </c>
      <c r="F56" s="220">
        <f t="shared" si="18"/>
        <v>0</v>
      </c>
      <c r="G56" s="220">
        <f t="shared" si="18"/>
        <v>0</v>
      </c>
      <c r="H56" s="220">
        <f t="shared" si="18"/>
        <v>0</v>
      </c>
      <c r="I56" s="220">
        <f t="shared" si="18"/>
        <v>0</v>
      </c>
      <c r="J56" s="220">
        <f t="shared" si="18"/>
        <v>0</v>
      </c>
      <c r="K56" s="220">
        <f t="shared" si="18"/>
        <v>0</v>
      </c>
      <c r="L56" s="221">
        <f t="shared" si="18"/>
        <v>0</v>
      </c>
    </row>
    <row r="57" spans="2:12" x14ac:dyDescent="0.3">
      <c r="B57" s="222" t="s">
        <v>291</v>
      </c>
      <c r="C57" s="223">
        <f>IF(C26=0,0,+C18/(C50+C26))</f>
        <v>1.5863623939633982</v>
      </c>
      <c r="D57" s="223">
        <f t="shared" ref="D57:L57" si="19">IF(D26=0,0,+D18/(D50+D26))</f>
        <v>45.242155836189063</v>
      </c>
      <c r="E57" s="223">
        <f t="shared" si="19"/>
        <v>71.337398914405142</v>
      </c>
      <c r="F57" s="223">
        <f t="shared" si="19"/>
        <v>7.4380226356251802</v>
      </c>
      <c r="G57" s="223">
        <f t="shared" si="19"/>
        <v>0</v>
      </c>
      <c r="H57" s="223">
        <f t="shared" si="19"/>
        <v>0</v>
      </c>
      <c r="I57" s="223">
        <f t="shared" si="19"/>
        <v>0</v>
      </c>
      <c r="J57" s="223">
        <f t="shared" si="19"/>
        <v>0</v>
      </c>
      <c r="K57" s="223">
        <f t="shared" si="19"/>
        <v>0</v>
      </c>
      <c r="L57" s="224">
        <f t="shared" si="19"/>
        <v>0</v>
      </c>
    </row>
    <row r="60" spans="2:12" x14ac:dyDescent="0.3">
      <c r="B60" s="56"/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66AF1-35EA-4A06-8576-1DCB871DB26C}">
  <sheetPr>
    <tabColor theme="8"/>
  </sheetPr>
  <dimension ref="B1:DW21"/>
  <sheetViews>
    <sheetView showGridLines="0" workbookViewId="0">
      <selection activeCell="B1" sqref="B1"/>
    </sheetView>
  </sheetViews>
  <sheetFormatPr defaultRowHeight="15" x14ac:dyDescent="0.3"/>
  <cols>
    <col min="1" max="1" width="1.7109375" style="53" customWidth="1"/>
    <col min="2" max="2" width="26.7109375" style="53" bestFit="1" customWidth="1"/>
    <col min="3" max="5" width="11" style="53" bestFit="1" customWidth="1"/>
    <col min="6" max="6" width="9.5703125" style="53" bestFit="1" customWidth="1"/>
    <col min="7" max="11" width="11" style="53" bestFit="1" customWidth="1"/>
    <col min="12" max="127" width="12" style="53" bestFit="1" customWidth="1"/>
    <col min="128" max="16384" width="9.140625" style="53"/>
  </cols>
  <sheetData>
    <row r="1" spans="2:127" s="84" customFormat="1" x14ac:dyDescent="0.3">
      <c r="B1" s="188" t="s">
        <v>300</v>
      </c>
    </row>
    <row r="2" spans="2:127" s="84" customFormat="1" ht="18" x14ac:dyDescent="0.35">
      <c r="B2" s="91" t="s">
        <v>201</v>
      </c>
      <c r="C2" s="83"/>
      <c r="D2" s="83"/>
      <c r="E2" s="83"/>
      <c r="F2" s="83"/>
      <c r="G2" s="83"/>
      <c r="H2" s="90"/>
      <c r="I2" s="90"/>
      <c r="J2" s="90"/>
      <c r="K2" s="90"/>
    </row>
    <row r="4" spans="2:127" x14ac:dyDescent="0.3">
      <c r="B4" s="53" t="s">
        <v>203</v>
      </c>
    </row>
    <row r="5" spans="2:127" x14ac:dyDescent="0.3">
      <c r="B5" s="74" t="s">
        <v>1</v>
      </c>
      <c r="C5" s="74" t="s">
        <v>205</v>
      </c>
      <c r="D5" s="74" t="s">
        <v>204</v>
      </c>
      <c r="E5" s="74" t="s">
        <v>206</v>
      </c>
    </row>
    <row r="6" spans="2:127" x14ac:dyDescent="0.3">
      <c r="B6" s="53" t="s">
        <v>322</v>
      </c>
      <c r="C6" s="125">
        <f>SUMIF(Assumptions!$B$19:$B$22,B6,Assumptions!$E$19:$E$22)</f>
        <v>0.20800000000000002</v>
      </c>
      <c r="D6" s="125">
        <f>SUMIF(Assumptions!$B$27:$B$32,B6,Assumptions!$E$27:$E$32)</f>
        <v>12.501000000000001</v>
      </c>
      <c r="E6" s="126">
        <f>AVERAGE(C6:D6)</f>
        <v>6.3545000000000007</v>
      </c>
    </row>
    <row r="7" spans="2:127" x14ac:dyDescent="0.3">
      <c r="B7" s="53" t="s">
        <v>321</v>
      </c>
      <c r="C7" s="69">
        <f>SUMIF(Assumptions!$B$19:$B$22,B7,Assumptions!$E$19:$E$22)</f>
        <v>3.1880208E-3</v>
      </c>
      <c r="D7" s="69">
        <f>SUMIF(Assumptions!$B$27:$B$32,B7,Assumptions!$E$27:$E$32)</f>
        <v>2.1250000000000002E-2</v>
      </c>
      <c r="E7" s="126">
        <f t="shared" ref="E7" si="0">AVERAGE(C7:D7)</f>
        <v>1.2219010400000001E-2</v>
      </c>
    </row>
    <row r="9" spans="2:127" x14ac:dyDescent="0.3">
      <c r="B9" s="65" t="s">
        <v>207</v>
      </c>
    </row>
    <row r="10" spans="2:127" x14ac:dyDescent="0.3">
      <c r="B10" s="53" t="s">
        <v>172</v>
      </c>
      <c r="C10" s="53">
        <f>IF(C20&lt;=Assumptions!$F$12, Assumptions!$D$12, IF(C20&lt;=Assumptions!$F$13, Assumptions!$D$13, Assumptions!$D$14))</f>
        <v>40</v>
      </c>
      <c r="D10" s="53">
        <f>IF(D20&lt;=Assumptions!$F$12, Assumptions!$D$12, IF(D20&lt;=Assumptions!$F$13, Assumptions!$D$13, Assumptions!$D$14))</f>
        <v>40</v>
      </c>
      <c r="E10" s="53">
        <f>IF(E20&lt;=Assumptions!$F$12, Assumptions!$D$12, IF(E20&lt;=Assumptions!$F$13, Assumptions!$D$13, Assumptions!$D$14))</f>
        <v>40</v>
      </c>
      <c r="F10" s="53">
        <f>IF(F20&lt;=Assumptions!$F$12, Assumptions!$D$12, IF(F20&lt;=Assumptions!$F$13, Assumptions!$D$13, Assumptions!$D$14))</f>
        <v>40</v>
      </c>
      <c r="G10" s="53">
        <f>IF(G20&lt;=Assumptions!$F$12, Assumptions!$D$12, IF(G20&lt;=Assumptions!$F$13, Assumptions!$D$13, Assumptions!$D$14))</f>
        <v>250</v>
      </c>
      <c r="H10" s="53">
        <f>IF(H20&lt;=Assumptions!$F$12, Assumptions!$D$12, IF(H20&lt;=Assumptions!$F$13, Assumptions!$D$13, Assumptions!$D$14))</f>
        <v>250</v>
      </c>
      <c r="I10" s="53">
        <f>IF(I20&lt;=Assumptions!$F$12, Assumptions!$D$12, IF(I20&lt;=Assumptions!$F$13, Assumptions!$D$13, Assumptions!$D$14))</f>
        <v>250</v>
      </c>
      <c r="J10" s="53">
        <f>IF(J20&lt;=Assumptions!$F$12, Assumptions!$D$12, IF(J20&lt;=Assumptions!$F$13, Assumptions!$D$13, Assumptions!$D$14))</f>
        <v>250</v>
      </c>
      <c r="K10" s="53">
        <f>IF(K20&lt;=Assumptions!$F$12, Assumptions!$D$12, IF(K20&lt;=Assumptions!$F$13, Assumptions!$D$13, Assumptions!$D$14))</f>
        <v>250</v>
      </c>
      <c r="L10" s="53">
        <f>IF(L20&lt;=Assumptions!$F$12, Assumptions!$D$12, IF(L20&lt;=Assumptions!$F$13, Assumptions!$D$13, Assumptions!$D$14))</f>
        <v>500</v>
      </c>
      <c r="M10" s="53">
        <f>IF(M20&lt;=Assumptions!$F$12, Assumptions!$D$12, IF(M20&lt;=Assumptions!$F$13, Assumptions!$D$13, Assumptions!$D$14))</f>
        <v>500</v>
      </c>
      <c r="N10" s="53">
        <f>IF(N20&lt;=Assumptions!$F$12, Assumptions!$D$12, IF(N20&lt;=Assumptions!$F$13, Assumptions!$D$13, Assumptions!$D$14))</f>
        <v>500</v>
      </c>
      <c r="O10" s="53">
        <f>IF(O20&lt;=Assumptions!$F$12, Assumptions!$D$12, IF(O20&lt;=Assumptions!$F$13, Assumptions!$D$13, Assumptions!$D$14))</f>
        <v>500</v>
      </c>
      <c r="P10" s="53">
        <f>IF(P20&lt;=Assumptions!$F$12, Assumptions!$D$12, IF(P20&lt;=Assumptions!$F$13, Assumptions!$D$13, Assumptions!$D$14))</f>
        <v>500</v>
      </c>
      <c r="Q10" s="53">
        <f>IF(Q20&lt;=Assumptions!$F$12, Assumptions!$D$12, IF(Q20&lt;=Assumptions!$F$13, Assumptions!$D$13, Assumptions!$D$14))</f>
        <v>500</v>
      </c>
      <c r="R10" s="53">
        <f>IF(R20&lt;=Assumptions!$F$12, Assumptions!$D$12, IF(R20&lt;=Assumptions!$F$13, Assumptions!$D$13, Assumptions!$D$14))</f>
        <v>500</v>
      </c>
      <c r="S10" s="53">
        <f>IF(S20&lt;=Assumptions!$F$12, Assumptions!$D$12, IF(S20&lt;=Assumptions!$F$13, Assumptions!$D$13, Assumptions!$D$14))</f>
        <v>500</v>
      </c>
      <c r="T10" s="53">
        <f>IF(T20&lt;=Assumptions!$F$12, Assumptions!$D$12, IF(T20&lt;=Assumptions!$F$13, Assumptions!$D$13, Assumptions!$D$14))</f>
        <v>500</v>
      </c>
      <c r="U10" s="53">
        <f>IF(U20&lt;=Assumptions!$F$12, Assumptions!$D$12, IF(U20&lt;=Assumptions!$F$13, Assumptions!$D$13, Assumptions!$D$14))</f>
        <v>500</v>
      </c>
      <c r="V10" s="53">
        <f>IF(V20&lt;=Assumptions!$F$12, Assumptions!$D$12, IF(V20&lt;=Assumptions!$F$13, Assumptions!$D$13, Assumptions!$D$14))</f>
        <v>500</v>
      </c>
      <c r="W10" s="53">
        <f>IF(W20&lt;=Assumptions!$F$12, Assumptions!$D$12, IF(W20&lt;=Assumptions!$F$13, Assumptions!$D$13, Assumptions!$D$14))</f>
        <v>500</v>
      </c>
      <c r="X10" s="53">
        <f>IF(X20&lt;=Assumptions!$F$12, Assumptions!$D$12, IF(X20&lt;=Assumptions!$F$13, Assumptions!$D$13, Assumptions!$D$14))</f>
        <v>500</v>
      </c>
      <c r="Y10" s="53">
        <f>IF(Y20&lt;=Assumptions!$F$12, Assumptions!$D$12, IF(Y20&lt;=Assumptions!$F$13, Assumptions!$D$13, Assumptions!$D$14))</f>
        <v>500</v>
      </c>
      <c r="Z10" s="53">
        <f>IF(Z20&lt;=Assumptions!$F$12, Assumptions!$D$12, IF(Z20&lt;=Assumptions!$F$13, Assumptions!$D$13, Assumptions!$D$14))</f>
        <v>500</v>
      </c>
      <c r="AA10" s="53">
        <f>IF(AA20&lt;=Assumptions!$F$12, Assumptions!$D$12, IF(AA20&lt;=Assumptions!$F$13, Assumptions!$D$13, Assumptions!$D$14))</f>
        <v>500</v>
      </c>
      <c r="AB10" s="53">
        <f>IF(AB20&lt;=Assumptions!$F$12, Assumptions!$D$12, IF(AB20&lt;=Assumptions!$F$13, Assumptions!$D$13, Assumptions!$D$14))</f>
        <v>500</v>
      </c>
      <c r="AC10" s="53">
        <f>IF(AC20&lt;=Assumptions!$F$12, Assumptions!$D$12, IF(AC20&lt;=Assumptions!$F$13, Assumptions!$D$13, Assumptions!$D$14))</f>
        <v>500</v>
      </c>
      <c r="AD10" s="53">
        <f>IF(AD20&lt;=Assumptions!$F$12, Assumptions!$D$12, IF(AD20&lt;=Assumptions!$F$13, Assumptions!$D$13, Assumptions!$D$14))</f>
        <v>500</v>
      </c>
      <c r="AE10" s="53">
        <f>IF(AE20&lt;=Assumptions!$F$12, Assumptions!$D$12, IF(AE20&lt;=Assumptions!$F$13, Assumptions!$D$13, Assumptions!$D$14))</f>
        <v>500</v>
      </c>
      <c r="AF10" s="53">
        <f>IF(AF20&lt;=Assumptions!$F$12, Assumptions!$D$12, IF(AF20&lt;=Assumptions!$F$13, Assumptions!$D$13, Assumptions!$D$14))</f>
        <v>500</v>
      </c>
      <c r="AG10" s="53">
        <f>IF(AG20&lt;=Assumptions!$F$12, Assumptions!$D$12, IF(AG20&lt;=Assumptions!$F$13, Assumptions!$D$13, Assumptions!$D$14))</f>
        <v>500</v>
      </c>
      <c r="AH10" s="53">
        <f>IF(AH20&lt;=Assumptions!$F$12, Assumptions!$D$12, IF(AH20&lt;=Assumptions!$F$13, Assumptions!$D$13, Assumptions!$D$14))</f>
        <v>500</v>
      </c>
      <c r="AI10" s="53">
        <f>IF(AI20&lt;=Assumptions!$F$12, Assumptions!$D$12, IF(AI20&lt;=Assumptions!$F$13, Assumptions!$D$13, Assumptions!$D$14))</f>
        <v>500</v>
      </c>
      <c r="AJ10" s="53">
        <f>IF(AJ20&lt;=Assumptions!$F$12, Assumptions!$D$12, IF(AJ20&lt;=Assumptions!$F$13, Assumptions!$D$13, Assumptions!$D$14))</f>
        <v>500</v>
      </c>
      <c r="AK10" s="53">
        <f>IF(AK20&lt;=Assumptions!$F$12, Assumptions!$D$12, IF(AK20&lt;=Assumptions!$F$13, Assumptions!$D$13, Assumptions!$D$14))</f>
        <v>500</v>
      </c>
      <c r="AL10" s="53">
        <f>IF(AL20&lt;=Assumptions!$F$12, Assumptions!$D$12, IF(AL20&lt;=Assumptions!$F$13, Assumptions!$D$13, Assumptions!$D$14))</f>
        <v>500</v>
      </c>
      <c r="AM10" s="53">
        <f>IF(AM20&lt;=Assumptions!$F$12, Assumptions!$D$12, IF(AM20&lt;=Assumptions!$F$13, Assumptions!$D$13, Assumptions!$D$14))</f>
        <v>500</v>
      </c>
      <c r="AN10" s="53">
        <f>IF(AN20&lt;=Assumptions!$F$12, Assumptions!$D$12, IF(AN20&lt;=Assumptions!$F$13, Assumptions!$D$13, Assumptions!$D$14))</f>
        <v>500</v>
      </c>
      <c r="AO10" s="53">
        <f>IF(AO20&lt;=Assumptions!$F$12, Assumptions!$D$12, IF(AO20&lt;=Assumptions!$F$13, Assumptions!$D$13, Assumptions!$D$14))</f>
        <v>500</v>
      </c>
      <c r="AP10" s="53">
        <f>IF(AP20&lt;=Assumptions!$F$12, Assumptions!$D$12, IF(AP20&lt;=Assumptions!$F$13, Assumptions!$D$13, Assumptions!$D$14))</f>
        <v>500</v>
      </c>
      <c r="AQ10" s="53">
        <f>IF(AQ20&lt;=Assumptions!$F$12, Assumptions!$D$12, IF(AQ20&lt;=Assumptions!$F$13, Assumptions!$D$13, Assumptions!$D$14))</f>
        <v>500</v>
      </c>
      <c r="AR10" s="53">
        <f>IF(AR20&lt;=Assumptions!$F$12, Assumptions!$D$12, IF(AR20&lt;=Assumptions!$F$13, Assumptions!$D$13, Assumptions!$D$14))</f>
        <v>500</v>
      </c>
      <c r="AS10" s="53">
        <f>IF(AS20&lt;=Assumptions!$F$12, Assumptions!$D$12, IF(AS20&lt;=Assumptions!$F$13, Assumptions!$D$13, Assumptions!$D$14))</f>
        <v>500</v>
      </c>
      <c r="AT10" s="53">
        <f>IF(AT20&lt;=Assumptions!$F$12, Assumptions!$D$12, IF(AT20&lt;=Assumptions!$F$13, Assumptions!$D$13, Assumptions!$D$14))</f>
        <v>500</v>
      </c>
      <c r="AU10" s="53">
        <f>IF(AU20&lt;=Assumptions!$F$12, Assumptions!$D$12, IF(AU20&lt;=Assumptions!$F$13, Assumptions!$D$13, Assumptions!$D$14))</f>
        <v>500</v>
      </c>
      <c r="AV10" s="53">
        <f>IF(AV20&lt;=Assumptions!$F$12, Assumptions!$D$12, IF(AV20&lt;=Assumptions!$F$13, Assumptions!$D$13, Assumptions!$D$14))</f>
        <v>500</v>
      </c>
      <c r="AW10" s="53">
        <f>IF(AW20&lt;=Assumptions!$F$12, Assumptions!$D$12, IF(AW20&lt;=Assumptions!$F$13, Assumptions!$D$13, Assumptions!$D$14))</f>
        <v>500</v>
      </c>
      <c r="AX10" s="53">
        <f>IF(AX20&lt;=Assumptions!$F$12, Assumptions!$D$12, IF(AX20&lt;=Assumptions!$F$13, Assumptions!$D$13, Assumptions!$D$14))</f>
        <v>500</v>
      </c>
      <c r="AY10" s="53">
        <f>IF(AY20&lt;=Assumptions!$F$12, Assumptions!$D$12, IF(AY20&lt;=Assumptions!$F$13, Assumptions!$D$13, Assumptions!$D$14))</f>
        <v>500</v>
      </c>
      <c r="AZ10" s="53">
        <f>IF(AZ20&lt;=Assumptions!$F$12, Assumptions!$D$12, IF(AZ20&lt;=Assumptions!$F$13, Assumptions!$D$13, Assumptions!$D$14))</f>
        <v>500</v>
      </c>
      <c r="BA10" s="53">
        <f>IF(BA20&lt;=Assumptions!$F$12, Assumptions!$D$12, IF(BA20&lt;=Assumptions!$F$13, Assumptions!$D$13, Assumptions!$D$14))</f>
        <v>500</v>
      </c>
      <c r="BB10" s="53">
        <f>IF(BB20&lt;=Assumptions!$F$12, Assumptions!$D$12, IF(BB20&lt;=Assumptions!$F$13, Assumptions!$D$13, Assumptions!$D$14))</f>
        <v>500</v>
      </c>
      <c r="BC10" s="53">
        <f>IF(BC20&lt;=Assumptions!$F$12, Assumptions!$D$12, IF(BC20&lt;=Assumptions!$F$13, Assumptions!$D$13, Assumptions!$D$14))</f>
        <v>500</v>
      </c>
      <c r="BD10" s="53">
        <f>IF(BD20&lt;=Assumptions!$F$12, Assumptions!$D$12, IF(BD20&lt;=Assumptions!$F$13, Assumptions!$D$13, Assumptions!$D$14))</f>
        <v>500</v>
      </c>
      <c r="BE10" s="53">
        <f>IF(BE20&lt;=Assumptions!$F$12, Assumptions!$D$12, IF(BE20&lt;=Assumptions!$F$13, Assumptions!$D$13, Assumptions!$D$14))</f>
        <v>500</v>
      </c>
      <c r="BF10" s="53">
        <f>IF(BF20&lt;=Assumptions!$F$12, Assumptions!$D$12, IF(BF20&lt;=Assumptions!$F$13, Assumptions!$D$13, Assumptions!$D$14))</f>
        <v>500</v>
      </c>
      <c r="BG10" s="53">
        <f>IF(BG20&lt;=Assumptions!$F$12, Assumptions!$D$12, IF(BG20&lt;=Assumptions!$F$13, Assumptions!$D$13, Assumptions!$D$14))</f>
        <v>500</v>
      </c>
      <c r="BH10" s="53">
        <f>IF(BH20&lt;=Assumptions!$F$12, Assumptions!$D$12, IF(BH20&lt;=Assumptions!$F$13, Assumptions!$D$13, Assumptions!$D$14))</f>
        <v>500</v>
      </c>
      <c r="BI10" s="53">
        <f>IF(BI20&lt;=Assumptions!$F$12, Assumptions!$D$12, IF(BI20&lt;=Assumptions!$F$13, Assumptions!$D$13, Assumptions!$D$14))</f>
        <v>500</v>
      </c>
      <c r="BJ10" s="53">
        <f>IF(BJ20&lt;=Assumptions!$F$12, Assumptions!$D$12, IF(BJ20&lt;=Assumptions!$F$13, Assumptions!$D$13, Assumptions!$D$14))</f>
        <v>500</v>
      </c>
      <c r="BK10" s="53">
        <f>IF(BK20&lt;=Assumptions!$F$12, Assumptions!$D$12, IF(BK20&lt;=Assumptions!$F$13, Assumptions!$D$13, Assumptions!$D$14))</f>
        <v>500</v>
      </c>
      <c r="BL10" s="53">
        <f>IF(BL20&lt;=Assumptions!$F$12, Assumptions!$D$12, IF(BL20&lt;=Assumptions!$F$13, Assumptions!$D$13, Assumptions!$D$14))</f>
        <v>500</v>
      </c>
      <c r="BM10" s="53">
        <f>IF(BM20&lt;=Assumptions!$F$12, Assumptions!$D$12, IF(BM20&lt;=Assumptions!$F$13, Assumptions!$D$13, Assumptions!$D$14))</f>
        <v>500</v>
      </c>
      <c r="BN10" s="53">
        <f>IF(BN20&lt;=Assumptions!$F$12, Assumptions!$D$12, IF(BN20&lt;=Assumptions!$F$13, Assumptions!$D$13, Assumptions!$D$14))</f>
        <v>500</v>
      </c>
      <c r="BO10" s="53">
        <f>IF(BO20&lt;=Assumptions!$F$12, Assumptions!$D$12, IF(BO20&lt;=Assumptions!$F$13, Assumptions!$D$13, Assumptions!$D$14))</f>
        <v>500</v>
      </c>
      <c r="BP10" s="53">
        <f>IF(BP20&lt;=Assumptions!$F$12, Assumptions!$D$12, IF(BP20&lt;=Assumptions!$F$13, Assumptions!$D$13, Assumptions!$D$14))</f>
        <v>500</v>
      </c>
      <c r="BQ10" s="53">
        <f>IF(BQ20&lt;=Assumptions!$F$12, Assumptions!$D$12, IF(BQ20&lt;=Assumptions!$F$13, Assumptions!$D$13, Assumptions!$D$14))</f>
        <v>500</v>
      </c>
      <c r="BR10" s="53">
        <f>IF(BR20&lt;=Assumptions!$F$12, Assumptions!$D$12, IF(BR20&lt;=Assumptions!$F$13, Assumptions!$D$13, Assumptions!$D$14))</f>
        <v>500</v>
      </c>
      <c r="BS10" s="53">
        <f>IF(BS20&lt;=Assumptions!$F$12, Assumptions!$D$12, IF(BS20&lt;=Assumptions!$F$13, Assumptions!$D$13, Assumptions!$D$14))</f>
        <v>500</v>
      </c>
      <c r="BT10" s="53">
        <f>IF(BT20&lt;=Assumptions!$F$12, Assumptions!$D$12, IF(BT20&lt;=Assumptions!$F$13, Assumptions!$D$13, Assumptions!$D$14))</f>
        <v>500</v>
      </c>
      <c r="BU10" s="53">
        <f>IF(BU20&lt;=Assumptions!$F$12, Assumptions!$D$12, IF(BU20&lt;=Assumptions!$F$13, Assumptions!$D$13, Assumptions!$D$14))</f>
        <v>500</v>
      </c>
      <c r="BV10" s="53">
        <f>IF(BV20&lt;=Assumptions!$F$12, Assumptions!$D$12, IF(BV20&lt;=Assumptions!$F$13, Assumptions!$D$13, Assumptions!$D$14))</f>
        <v>500</v>
      </c>
      <c r="BW10" s="53">
        <f>IF(BW20&lt;=Assumptions!$F$12, Assumptions!$D$12, IF(BW20&lt;=Assumptions!$F$13, Assumptions!$D$13, Assumptions!$D$14))</f>
        <v>500</v>
      </c>
      <c r="BX10" s="53">
        <f>IF(BX20&lt;=Assumptions!$F$12, Assumptions!$D$12, IF(BX20&lt;=Assumptions!$F$13, Assumptions!$D$13, Assumptions!$D$14))</f>
        <v>500</v>
      </c>
      <c r="BY10" s="53">
        <f>IF(BY20&lt;=Assumptions!$F$12, Assumptions!$D$12, IF(BY20&lt;=Assumptions!$F$13, Assumptions!$D$13, Assumptions!$D$14))</f>
        <v>500</v>
      </c>
      <c r="BZ10" s="53">
        <f>IF(BZ20&lt;=Assumptions!$F$12, Assumptions!$D$12, IF(BZ20&lt;=Assumptions!$F$13, Assumptions!$D$13, Assumptions!$D$14))</f>
        <v>500</v>
      </c>
      <c r="CA10" s="53">
        <f>IF(CA20&lt;=Assumptions!$F$12, Assumptions!$D$12, IF(CA20&lt;=Assumptions!$F$13, Assumptions!$D$13, Assumptions!$D$14))</f>
        <v>500</v>
      </c>
      <c r="CB10" s="53">
        <f>IF(CB20&lt;=Assumptions!$F$12, Assumptions!$D$12, IF(CB20&lt;=Assumptions!$F$13, Assumptions!$D$13, Assumptions!$D$14))</f>
        <v>500</v>
      </c>
      <c r="CC10" s="53">
        <f>IF(CC20&lt;=Assumptions!$F$12, Assumptions!$D$12, IF(CC20&lt;=Assumptions!$F$13, Assumptions!$D$13, Assumptions!$D$14))</f>
        <v>500</v>
      </c>
      <c r="CD10" s="53">
        <f>IF(CD20&lt;=Assumptions!$F$12, Assumptions!$D$12, IF(CD20&lt;=Assumptions!$F$13, Assumptions!$D$13, Assumptions!$D$14))</f>
        <v>500</v>
      </c>
      <c r="CE10" s="53">
        <f>IF(CE20&lt;=Assumptions!$F$12, Assumptions!$D$12, IF(CE20&lt;=Assumptions!$F$13, Assumptions!$D$13, Assumptions!$D$14))</f>
        <v>500</v>
      </c>
      <c r="CF10" s="53">
        <f>IF(CF20&lt;=Assumptions!$F$12, Assumptions!$D$12, IF(CF20&lt;=Assumptions!$F$13, Assumptions!$D$13, Assumptions!$D$14))</f>
        <v>500</v>
      </c>
      <c r="CG10" s="53">
        <f>IF(CG20&lt;=Assumptions!$F$12, Assumptions!$D$12, IF(CG20&lt;=Assumptions!$F$13, Assumptions!$D$13, Assumptions!$D$14))</f>
        <v>500</v>
      </c>
      <c r="CH10" s="53">
        <f>IF(CH20&lt;=Assumptions!$F$12, Assumptions!$D$12, IF(CH20&lt;=Assumptions!$F$13, Assumptions!$D$13, Assumptions!$D$14))</f>
        <v>500</v>
      </c>
      <c r="CI10" s="53">
        <f>IF(CI20&lt;=Assumptions!$F$12, Assumptions!$D$12, IF(CI20&lt;=Assumptions!$F$13, Assumptions!$D$13, Assumptions!$D$14))</f>
        <v>500</v>
      </c>
      <c r="CJ10" s="53">
        <f>IF(CJ20&lt;=Assumptions!$F$12, Assumptions!$D$12, IF(CJ20&lt;=Assumptions!$F$13, Assumptions!$D$13, Assumptions!$D$14))</f>
        <v>500</v>
      </c>
      <c r="CK10" s="53">
        <f>IF(CK20&lt;=Assumptions!$F$12, Assumptions!$D$12, IF(CK20&lt;=Assumptions!$F$13, Assumptions!$D$13, Assumptions!$D$14))</f>
        <v>500</v>
      </c>
      <c r="CL10" s="53">
        <f>IF(CL20&lt;=Assumptions!$F$12, Assumptions!$D$12, IF(CL20&lt;=Assumptions!$F$13, Assumptions!$D$13, Assumptions!$D$14))</f>
        <v>500</v>
      </c>
      <c r="CM10" s="53">
        <f>IF(CM20&lt;=Assumptions!$F$12, Assumptions!$D$12, IF(CM20&lt;=Assumptions!$F$13, Assumptions!$D$13, Assumptions!$D$14))</f>
        <v>500</v>
      </c>
      <c r="CN10" s="53">
        <f>IF(CN20&lt;=Assumptions!$F$12, Assumptions!$D$12, IF(CN20&lt;=Assumptions!$F$13, Assumptions!$D$13, Assumptions!$D$14))</f>
        <v>500</v>
      </c>
      <c r="CO10" s="53">
        <f>IF(CO20&lt;=Assumptions!$F$12, Assumptions!$D$12, IF(CO20&lt;=Assumptions!$F$13, Assumptions!$D$13, Assumptions!$D$14))</f>
        <v>500</v>
      </c>
      <c r="CP10" s="53">
        <f>IF(CP20&lt;=Assumptions!$F$12, Assumptions!$D$12, IF(CP20&lt;=Assumptions!$F$13, Assumptions!$D$13, Assumptions!$D$14))</f>
        <v>500</v>
      </c>
      <c r="CQ10" s="53">
        <f>IF(CQ20&lt;=Assumptions!$F$12, Assumptions!$D$12, IF(CQ20&lt;=Assumptions!$F$13, Assumptions!$D$13, Assumptions!$D$14))</f>
        <v>500</v>
      </c>
      <c r="CR10" s="53">
        <f>IF(CR20&lt;=Assumptions!$F$12, Assumptions!$D$12, IF(CR20&lt;=Assumptions!$F$13, Assumptions!$D$13, Assumptions!$D$14))</f>
        <v>500</v>
      </c>
      <c r="CS10" s="53">
        <f>IF(CS20&lt;=Assumptions!$F$12, Assumptions!$D$12, IF(CS20&lt;=Assumptions!$F$13, Assumptions!$D$13, Assumptions!$D$14))</f>
        <v>500</v>
      </c>
      <c r="CT10" s="53">
        <f>IF(CT20&lt;=Assumptions!$F$12, Assumptions!$D$12, IF(CT20&lt;=Assumptions!$F$13, Assumptions!$D$13, Assumptions!$D$14))</f>
        <v>500</v>
      </c>
      <c r="CU10" s="53">
        <f>IF(CU20&lt;=Assumptions!$F$12, Assumptions!$D$12, IF(CU20&lt;=Assumptions!$F$13, Assumptions!$D$13, Assumptions!$D$14))</f>
        <v>500</v>
      </c>
      <c r="CV10" s="53">
        <f>IF(CV20&lt;=Assumptions!$F$12, Assumptions!$D$12, IF(CV20&lt;=Assumptions!$F$13, Assumptions!$D$13, Assumptions!$D$14))</f>
        <v>500</v>
      </c>
      <c r="CW10" s="53">
        <f>IF(CW20&lt;=Assumptions!$F$12, Assumptions!$D$12, IF(CW20&lt;=Assumptions!$F$13, Assumptions!$D$13, Assumptions!$D$14))</f>
        <v>500</v>
      </c>
      <c r="CX10" s="53">
        <f>IF(CX20&lt;=Assumptions!$F$12, Assumptions!$D$12, IF(CX20&lt;=Assumptions!$F$13, Assumptions!$D$13, Assumptions!$D$14))</f>
        <v>500</v>
      </c>
      <c r="CY10" s="53">
        <f>IF(CY20&lt;=Assumptions!$F$12, Assumptions!$D$12, IF(CY20&lt;=Assumptions!$F$13, Assumptions!$D$13, Assumptions!$D$14))</f>
        <v>500</v>
      </c>
      <c r="CZ10" s="53">
        <f>IF(CZ20&lt;=Assumptions!$F$12, Assumptions!$D$12, IF(CZ20&lt;=Assumptions!$F$13, Assumptions!$D$13, Assumptions!$D$14))</f>
        <v>500</v>
      </c>
      <c r="DA10" s="53">
        <f>IF(DA20&lt;=Assumptions!$F$12, Assumptions!$D$12, IF(DA20&lt;=Assumptions!$F$13, Assumptions!$D$13, Assumptions!$D$14))</f>
        <v>500</v>
      </c>
      <c r="DB10" s="53">
        <f>IF(DB20&lt;=Assumptions!$F$12, Assumptions!$D$12, IF(DB20&lt;=Assumptions!$F$13, Assumptions!$D$13, Assumptions!$D$14))</f>
        <v>500</v>
      </c>
      <c r="DC10" s="53">
        <f>IF(DC20&lt;=Assumptions!$F$12, Assumptions!$D$12, IF(DC20&lt;=Assumptions!$F$13, Assumptions!$D$13, Assumptions!$D$14))</f>
        <v>500</v>
      </c>
      <c r="DD10" s="53">
        <f>IF(DD20&lt;=Assumptions!$F$12, Assumptions!$D$12, IF(DD20&lt;=Assumptions!$F$13, Assumptions!$D$13, Assumptions!$D$14))</f>
        <v>500</v>
      </c>
      <c r="DE10" s="53">
        <f>IF(DE20&lt;=Assumptions!$F$12, Assumptions!$D$12, IF(DE20&lt;=Assumptions!$F$13, Assumptions!$D$13, Assumptions!$D$14))</f>
        <v>500</v>
      </c>
      <c r="DF10" s="53">
        <f>IF(DF20&lt;=Assumptions!$F$12, Assumptions!$D$12, IF(DF20&lt;=Assumptions!$F$13, Assumptions!$D$13, Assumptions!$D$14))</f>
        <v>500</v>
      </c>
      <c r="DG10" s="53">
        <f>IF(DG20&lt;=Assumptions!$F$12, Assumptions!$D$12, IF(DG20&lt;=Assumptions!$F$13, Assumptions!$D$13, Assumptions!$D$14))</f>
        <v>500</v>
      </c>
      <c r="DH10" s="53">
        <f>IF(DH20&lt;=Assumptions!$F$12, Assumptions!$D$12, IF(DH20&lt;=Assumptions!$F$13, Assumptions!$D$13, Assumptions!$D$14))</f>
        <v>500</v>
      </c>
      <c r="DI10" s="53">
        <f>IF(DI20&lt;=Assumptions!$F$12, Assumptions!$D$12, IF(DI20&lt;=Assumptions!$F$13, Assumptions!$D$13, Assumptions!$D$14))</f>
        <v>500</v>
      </c>
      <c r="DJ10" s="53">
        <f>IF(DJ20&lt;=Assumptions!$F$12, Assumptions!$D$12, IF(DJ20&lt;=Assumptions!$F$13, Assumptions!$D$13, Assumptions!$D$14))</f>
        <v>500</v>
      </c>
      <c r="DK10" s="53">
        <f>IF(DK20&lt;=Assumptions!$F$12, Assumptions!$D$12, IF(DK20&lt;=Assumptions!$F$13, Assumptions!$D$13, Assumptions!$D$14))</f>
        <v>500</v>
      </c>
      <c r="DL10" s="53">
        <f>IF(DL20&lt;=Assumptions!$F$12, Assumptions!$D$12, IF(DL20&lt;=Assumptions!$F$13, Assumptions!$D$13, Assumptions!$D$14))</f>
        <v>500</v>
      </c>
      <c r="DM10" s="53">
        <f>IF(DM20&lt;=Assumptions!$F$12, Assumptions!$D$12, IF(DM20&lt;=Assumptions!$F$13, Assumptions!$D$13, Assumptions!$D$14))</f>
        <v>500</v>
      </c>
      <c r="DN10" s="53">
        <f>IF(DN20&lt;=Assumptions!$F$12, Assumptions!$D$12, IF(DN20&lt;=Assumptions!$F$13, Assumptions!$D$13, Assumptions!$D$14))</f>
        <v>500</v>
      </c>
      <c r="DO10" s="53">
        <f>IF(DO20&lt;=Assumptions!$F$12, Assumptions!$D$12, IF(DO20&lt;=Assumptions!$F$13, Assumptions!$D$13, Assumptions!$D$14))</f>
        <v>500</v>
      </c>
      <c r="DP10" s="53">
        <f>IF(DP20&lt;=Assumptions!$F$12, Assumptions!$D$12, IF(DP20&lt;=Assumptions!$F$13, Assumptions!$D$13, Assumptions!$D$14))</f>
        <v>500</v>
      </c>
      <c r="DQ10" s="53">
        <f>IF(DQ20&lt;=Assumptions!$F$12, Assumptions!$D$12, IF(DQ20&lt;=Assumptions!$F$13, Assumptions!$D$13, Assumptions!$D$14))</f>
        <v>500</v>
      </c>
      <c r="DR10" s="53">
        <f>IF(DR20&lt;=Assumptions!$F$12, Assumptions!$D$12, IF(DR20&lt;=Assumptions!$F$13, Assumptions!$D$13, Assumptions!$D$14))</f>
        <v>500</v>
      </c>
      <c r="DS10" s="53">
        <f>IF(DS20&lt;=Assumptions!$F$12, Assumptions!$D$12, IF(DS20&lt;=Assumptions!$F$13, Assumptions!$D$13, Assumptions!$D$14))</f>
        <v>500</v>
      </c>
      <c r="DT10" s="53">
        <f>IF(DT20&lt;=Assumptions!$F$12, Assumptions!$D$12, IF(DT20&lt;=Assumptions!$F$13, Assumptions!$D$13, Assumptions!$D$14))</f>
        <v>500</v>
      </c>
      <c r="DU10" s="53">
        <f>IF(DU20&lt;=Assumptions!$F$12, Assumptions!$D$12, IF(DU20&lt;=Assumptions!$F$13, Assumptions!$D$13, Assumptions!$D$14))</f>
        <v>500</v>
      </c>
      <c r="DV10" s="53">
        <f>IF(DV20&lt;=Assumptions!$F$12, Assumptions!$D$12, IF(DV20&lt;=Assumptions!$F$13, Assumptions!$D$13, Assumptions!$D$14))</f>
        <v>500</v>
      </c>
      <c r="DW10" s="53">
        <f>IF(DW20&lt;=Assumptions!$F$12, Assumptions!$D$12, IF(DW20&lt;=Assumptions!$F$13, Assumptions!$D$13, Assumptions!$D$14))</f>
        <v>500</v>
      </c>
    </row>
    <row r="11" spans="2:127" x14ac:dyDescent="0.3">
      <c r="B11" s="53" t="s">
        <v>180</v>
      </c>
      <c r="C11" s="118" t="str">
        <f>IF(C20&lt;=Assumptions!$C$8,"No","Yes")</f>
        <v>No</v>
      </c>
      <c r="D11" s="118" t="str">
        <f>IF(D20&lt;=Assumptions!$C$8,"No","Yes")</f>
        <v>No</v>
      </c>
      <c r="E11" s="118" t="str">
        <f>IF(E20&lt;=Assumptions!$C$8,"No","Yes")</f>
        <v>No</v>
      </c>
      <c r="F11" s="118" t="str">
        <f>IF(F20&lt;=Assumptions!$C$8,"No","Yes")</f>
        <v>Yes</v>
      </c>
      <c r="G11" s="118" t="str">
        <f>IF(G20&lt;=Assumptions!$C$8,"No","Yes")</f>
        <v>Yes</v>
      </c>
      <c r="H11" s="118" t="str">
        <f>IF(H20&lt;=Assumptions!$C$8,"No","Yes")</f>
        <v>Yes</v>
      </c>
      <c r="I11" s="118" t="str">
        <f>IF(I20&lt;=Assumptions!$C$8,"No","Yes")</f>
        <v>Yes</v>
      </c>
      <c r="J11" s="118" t="str">
        <f>IF(J20&lt;=Assumptions!$C$8,"No","Yes")</f>
        <v>Yes</v>
      </c>
      <c r="K11" s="118" t="str">
        <f>IF(K20&lt;=Assumptions!$C$8,"No","Yes")</f>
        <v>Yes</v>
      </c>
      <c r="L11" s="118" t="str">
        <f>IF(L20&lt;=Assumptions!$C$8,"No","Yes")</f>
        <v>Yes</v>
      </c>
      <c r="M11" s="118" t="str">
        <f>IF(M20&lt;=Assumptions!$C$8,"No","Yes")</f>
        <v>Yes</v>
      </c>
      <c r="N11" s="118" t="str">
        <f>IF(N20&lt;=Assumptions!$C$8,"No","Yes")</f>
        <v>Yes</v>
      </c>
      <c r="O11" s="118" t="str">
        <f>IF(O20&lt;=Assumptions!$C$8,"No","Yes")</f>
        <v>Yes</v>
      </c>
      <c r="P11" s="118" t="str">
        <f>IF(P20&lt;=Assumptions!$C$8,"No","Yes")</f>
        <v>Yes</v>
      </c>
      <c r="Q11" s="118" t="str">
        <f>IF(Q20&lt;=Assumptions!$C$8,"No","Yes")</f>
        <v>Yes</v>
      </c>
      <c r="R11" s="118" t="str">
        <f>IF(R20&lt;=Assumptions!$C$8,"No","Yes")</f>
        <v>Yes</v>
      </c>
      <c r="S11" s="118" t="str">
        <f>IF(S20&lt;=Assumptions!$C$8,"No","Yes")</f>
        <v>Yes</v>
      </c>
      <c r="T11" s="118" t="str">
        <f>IF(T20&lt;=Assumptions!$C$8,"No","Yes")</f>
        <v>Yes</v>
      </c>
      <c r="U11" s="118" t="str">
        <f>IF(U20&lt;=Assumptions!$C$8,"No","Yes")</f>
        <v>Yes</v>
      </c>
      <c r="V11" s="118" t="str">
        <f>IF(V20&lt;=Assumptions!$C$8,"No","Yes")</f>
        <v>Yes</v>
      </c>
      <c r="W11" s="118" t="str">
        <f>IF(W20&lt;=Assumptions!$C$8,"No","Yes")</f>
        <v>Yes</v>
      </c>
      <c r="X11" s="118" t="str">
        <f>IF(X20&lt;=Assumptions!$C$8,"No","Yes")</f>
        <v>Yes</v>
      </c>
      <c r="Y11" s="118" t="str">
        <f>IF(Y20&lt;=Assumptions!$C$8,"No","Yes")</f>
        <v>Yes</v>
      </c>
      <c r="Z11" s="118" t="str">
        <f>IF(Z20&lt;=Assumptions!$C$8,"No","Yes")</f>
        <v>Yes</v>
      </c>
      <c r="AA11" s="118" t="str">
        <f>IF(AA20&lt;=Assumptions!$C$8,"No","Yes")</f>
        <v>Yes</v>
      </c>
      <c r="AB11" s="118" t="str">
        <f>IF(AB20&lt;=Assumptions!$C$8,"No","Yes")</f>
        <v>Yes</v>
      </c>
      <c r="AC11" s="118" t="str">
        <f>IF(AC20&lt;=Assumptions!$C$8,"No","Yes")</f>
        <v>Yes</v>
      </c>
      <c r="AD11" s="118" t="str">
        <f>IF(AD20&lt;=Assumptions!$C$8,"No","Yes")</f>
        <v>Yes</v>
      </c>
      <c r="AE11" s="118" t="str">
        <f>IF(AE20&lt;=Assumptions!$C$8,"No","Yes")</f>
        <v>Yes</v>
      </c>
      <c r="AF11" s="118" t="str">
        <f>IF(AF20&lt;=Assumptions!$C$8,"No","Yes")</f>
        <v>Yes</v>
      </c>
      <c r="AG11" s="118" t="str">
        <f>IF(AG20&lt;=Assumptions!$C$8,"No","Yes")</f>
        <v>Yes</v>
      </c>
      <c r="AH11" s="118" t="str">
        <f>IF(AH20&lt;=Assumptions!$C$8,"No","Yes")</f>
        <v>Yes</v>
      </c>
      <c r="AI11" s="118" t="str">
        <f>IF(AI20&lt;=Assumptions!$C$8,"No","Yes")</f>
        <v>Yes</v>
      </c>
      <c r="AJ11" s="118" t="str">
        <f>IF(AJ20&lt;=Assumptions!$C$8,"No","Yes")</f>
        <v>Yes</v>
      </c>
      <c r="AK11" s="118" t="str">
        <f>IF(AK20&lt;=Assumptions!$C$8,"No","Yes")</f>
        <v>Yes</v>
      </c>
      <c r="AL11" s="118" t="str">
        <f>IF(AL20&lt;=Assumptions!$C$8,"No","Yes")</f>
        <v>Yes</v>
      </c>
      <c r="AM11" s="118" t="str">
        <f>IF(AM20&lt;=Assumptions!$C$8,"No","Yes")</f>
        <v>Yes</v>
      </c>
      <c r="AN11" s="118" t="str">
        <f>IF(AN20&lt;=Assumptions!$C$8,"No","Yes")</f>
        <v>Yes</v>
      </c>
      <c r="AO11" s="118" t="str">
        <f>IF(AO20&lt;=Assumptions!$C$8,"No","Yes")</f>
        <v>Yes</v>
      </c>
      <c r="AP11" s="118" t="str">
        <f>IF(AP20&lt;=Assumptions!$C$8,"No","Yes")</f>
        <v>Yes</v>
      </c>
      <c r="AQ11" s="118" t="str">
        <f>IF(AQ20&lt;=Assumptions!$C$8,"No","Yes")</f>
        <v>Yes</v>
      </c>
      <c r="AR11" s="118" t="str">
        <f>IF(AR20&lt;=Assumptions!$C$8,"No","Yes")</f>
        <v>Yes</v>
      </c>
      <c r="AS11" s="118" t="str">
        <f>IF(AS20&lt;=Assumptions!$C$8,"No","Yes")</f>
        <v>Yes</v>
      </c>
      <c r="AT11" s="118" t="str">
        <f>IF(AT20&lt;=Assumptions!$C$8,"No","Yes")</f>
        <v>Yes</v>
      </c>
      <c r="AU11" s="118" t="str">
        <f>IF(AU20&lt;=Assumptions!$C$8,"No","Yes")</f>
        <v>Yes</v>
      </c>
      <c r="AV11" s="118" t="str">
        <f>IF(AV20&lt;=Assumptions!$C$8,"No","Yes")</f>
        <v>Yes</v>
      </c>
      <c r="AW11" s="118" t="str">
        <f>IF(AW20&lt;=Assumptions!$C$8,"No","Yes")</f>
        <v>Yes</v>
      </c>
      <c r="AX11" s="118" t="str">
        <f>IF(AX20&lt;=Assumptions!$C$8,"No","Yes")</f>
        <v>Yes</v>
      </c>
      <c r="AY11" s="118" t="str">
        <f>IF(AY20&lt;=Assumptions!$C$8,"No","Yes")</f>
        <v>Yes</v>
      </c>
      <c r="AZ11" s="118" t="str">
        <f>IF(AZ20&lt;=Assumptions!$C$8,"No","Yes")</f>
        <v>Yes</v>
      </c>
      <c r="BA11" s="118" t="str">
        <f>IF(BA20&lt;=Assumptions!$C$8,"No","Yes")</f>
        <v>Yes</v>
      </c>
      <c r="BB11" s="118" t="str">
        <f>IF(BB20&lt;=Assumptions!$C$8,"No","Yes")</f>
        <v>Yes</v>
      </c>
      <c r="BC11" s="118" t="str">
        <f>IF(BC20&lt;=Assumptions!$C$8,"No","Yes")</f>
        <v>Yes</v>
      </c>
      <c r="BD11" s="118" t="str">
        <f>IF(BD20&lt;=Assumptions!$C$8,"No","Yes")</f>
        <v>Yes</v>
      </c>
      <c r="BE11" s="118" t="str">
        <f>IF(BE20&lt;=Assumptions!$C$8,"No","Yes")</f>
        <v>Yes</v>
      </c>
      <c r="BF11" s="118" t="str">
        <f>IF(BF20&lt;=Assumptions!$C$8,"No","Yes")</f>
        <v>Yes</v>
      </c>
      <c r="BG11" s="118" t="str">
        <f>IF(BG20&lt;=Assumptions!$C$8,"No","Yes")</f>
        <v>Yes</v>
      </c>
      <c r="BH11" s="118" t="str">
        <f>IF(BH20&lt;=Assumptions!$C$8,"No","Yes")</f>
        <v>Yes</v>
      </c>
      <c r="BI11" s="118" t="str">
        <f>IF(BI20&lt;=Assumptions!$C$8,"No","Yes")</f>
        <v>Yes</v>
      </c>
      <c r="BJ11" s="118" t="str">
        <f>IF(BJ20&lt;=Assumptions!$C$8,"No","Yes")</f>
        <v>Yes</v>
      </c>
      <c r="BK11" s="118" t="str">
        <f>IF(BK20&lt;=Assumptions!$C$8,"No","Yes")</f>
        <v>Yes</v>
      </c>
      <c r="BL11" s="118" t="str">
        <f>IF(BL20&lt;=Assumptions!$C$8,"No","Yes")</f>
        <v>Yes</v>
      </c>
      <c r="BM11" s="118" t="str">
        <f>IF(BM20&lt;=Assumptions!$C$8,"No","Yes")</f>
        <v>Yes</v>
      </c>
      <c r="BN11" s="118" t="str">
        <f>IF(BN20&lt;=Assumptions!$C$8,"No","Yes")</f>
        <v>Yes</v>
      </c>
      <c r="BO11" s="118" t="str">
        <f>IF(BO20&lt;=Assumptions!$C$8,"No","Yes")</f>
        <v>Yes</v>
      </c>
      <c r="BP11" s="118" t="str">
        <f>IF(BP20&lt;=Assumptions!$C$8,"No","Yes")</f>
        <v>Yes</v>
      </c>
      <c r="BQ11" s="118" t="str">
        <f>IF(BQ20&lt;=Assumptions!$C$8,"No","Yes")</f>
        <v>Yes</v>
      </c>
      <c r="BR11" s="118" t="str">
        <f>IF(BR20&lt;=Assumptions!$C$8,"No","Yes")</f>
        <v>Yes</v>
      </c>
      <c r="BS11" s="118" t="str">
        <f>IF(BS20&lt;=Assumptions!$C$8,"No","Yes")</f>
        <v>Yes</v>
      </c>
      <c r="BT11" s="118" t="str">
        <f>IF(BT20&lt;=Assumptions!$C$8,"No","Yes")</f>
        <v>Yes</v>
      </c>
      <c r="BU11" s="118" t="str">
        <f>IF(BU20&lt;=Assumptions!$C$8,"No","Yes")</f>
        <v>Yes</v>
      </c>
      <c r="BV11" s="118" t="str">
        <f>IF(BV20&lt;=Assumptions!$C$8,"No","Yes")</f>
        <v>Yes</v>
      </c>
      <c r="BW11" s="118" t="str">
        <f>IF(BW20&lt;=Assumptions!$C$8,"No","Yes")</f>
        <v>Yes</v>
      </c>
      <c r="BX11" s="118" t="str">
        <f>IF(BX20&lt;=Assumptions!$C$8,"No","Yes")</f>
        <v>Yes</v>
      </c>
      <c r="BY11" s="118" t="str">
        <f>IF(BY20&lt;=Assumptions!$C$8,"No","Yes")</f>
        <v>Yes</v>
      </c>
      <c r="BZ11" s="118" t="str">
        <f>IF(BZ20&lt;=Assumptions!$C$8,"No","Yes")</f>
        <v>Yes</v>
      </c>
      <c r="CA11" s="118" t="str">
        <f>IF(CA20&lt;=Assumptions!$C$8,"No","Yes")</f>
        <v>Yes</v>
      </c>
      <c r="CB11" s="118" t="str">
        <f>IF(CB20&lt;=Assumptions!$C$8,"No","Yes")</f>
        <v>Yes</v>
      </c>
      <c r="CC11" s="118" t="str">
        <f>IF(CC20&lt;=Assumptions!$C$8,"No","Yes")</f>
        <v>Yes</v>
      </c>
      <c r="CD11" s="118" t="str">
        <f>IF(CD20&lt;=Assumptions!$C$8,"No","Yes")</f>
        <v>Yes</v>
      </c>
      <c r="CE11" s="118" t="str">
        <f>IF(CE20&lt;=Assumptions!$C$8,"No","Yes")</f>
        <v>Yes</v>
      </c>
      <c r="CF11" s="118" t="str">
        <f>IF(CF20&lt;=Assumptions!$C$8,"No","Yes")</f>
        <v>Yes</v>
      </c>
      <c r="CG11" s="118" t="str">
        <f>IF(CG20&lt;=Assumptions!$C$8,"No","Yes")</f>
        <v>Yes</v>
      </c>
      <c r="CH11" s="118" t="str">
        <f>IF(CH20&lt;=Assumptions!$C$8,"No","Yes")</f>
        <v>Yes</v>
      </c>
      <c r="CI11" s="118" t="str">
        <f>IF(CI20&lt;=Assumptions!$C$8,"No","Yes")</f>
        <v>Yes</v>
      </c>
      <c r="CJ11" s="118" t="str">
        <f>IF(CJ20&lt;=Assumptions!$C$8,"No","Yes")</f>
        <v>Yes</v>
      </c>
      <c r="CK11" s="118" t="str">
        <f>IF(CK20&lt;=Assumptions!$C$8,"No","Yes")</f>
        <v>Yes</v>
      </c>
      <c r="CL11" s="118" t="str">
        <f>IF(CL20&lt;=Assumptions!$C$8,"No","Yes")</f>
        <v>Yes</v>
      </c>
      <c r="CM11" s="118" t="str">
        <f>IF(CM20&lt;=Assumptions!$C$8,"No","Yes")</f>
        <v>Yes</v>
      </c>
      <c r="CN11" s="118" t="str">
        <f>IF(CN20&lt;=Assumptions!$C$8,"No","Yes")</f>
        <v>Yes</v>
      </c>
      <c r="CO11" s="118" t="str">
        <f>IF(CO20&lt;=Assumptions!$C$8,"No","Yes")</f>
        <v>Yes</v>
      </c>
      <c r="CP11" s="118" t="str">
        <f>IF(CP20&lt;=Assumptions!$C$8,"No","Yes")</f>
        <v>Yes</v>
      </c>
      <c r="CQ11" s="118" t="str">
        <f>IF(CQ20&lt;=Assumptions!$C$8,"No","Yes")</f>
        <v>Yes</v>
      </c>
      <c r="CR11" s="118" t="str">
        <f>IF(CR20&lt;=Assumptions!$C$8,"No","Yes")</f>
        <v>Yes</v>
      </c>
      <c r="CS11" s="118" t="str">
        <f>IF(CS20&lt;=Assumptions!$C$8,"No","Yes")</f>
        <v>Yes</v>
      </c>
      <c r="CT11" s="118" t="str">
        <f>IF(CT20&lt;=Assumptions!$C$8,"No","Yes")</f>
        <v>Yes</v>
      </c>
      <c r="CU11" s="118" t="str">
        <f>IF(CU20&lt;=Assumptions!$C$8,"No","Yes")</f>
        <v>Yes</v>
      </c>
      <c r="CV11" s="118" t="str">
        <f>IF(CV20&lt;=Assumptions!$C$8,"No","Yes")</f>
        <v>Yes</v>
      </c>
      <c r="CW11" s="118" t="str">
        <f>IF(CW20&lt;=Assumptions!$C$8,"No","Yes")</f>
        <v>Yes</v>
      </c>
      <c r="CX11" s="118" t="str">
        <f>IF(CX20&lt;=Assumptions!$C$8,"No","Yes")</f>
        <v>Yes</v>
      </c>
      <c r="CY11" s="118" t="str">
        <f>IF(CY20&lt;=Assumptions!$C$8,"No","Yes")</f>
        <v>Yes</v>
      </c>
      <c r="CZ11" s="118" t="str">
        <f>IF(CZ20&lt;=Assumptions!$C$8,"No","Yes")</f>
        <v>Yes</v>
      </c>
      <c r="DA11" s="118" t="str">
        <f>IF(DA20&lt;=Assumptions!$C$8,"No","Yes")</f>
        <v>Yes</v>
      </c>
      <c r="DB11" s="118" t="str">
        <f>IF(DB20&lt;=Assumptions!$C$8,"No","Yes")</f>
        <v>Yes</v>
      </c>
      <c r="DC11" s="118" t="str">
        <f>IF(DC20&lt;=Assumptions!$C$8,"No","Yes")</f>
        <v>Yes</v>
      </c>
      <c r="DD11" s="118" t="str">
        <f>IF(DD20&lt;=Assumptions!$C$8,"No","Yes")</f>
        <v>Yes</v>
      </c>
      <c r="DE11" s="118" t="str">
        <f>IF(DE20&lt;=Assumptions!$C$8,"No","Yes")</f>
        <v>Yes</v>
      </c>
      <c r="DF11" s="118" t="str">
        <f>IF(DF20&lt;=Assumptions!$C$8,"No","Yes")</f>
        <v>Yes</v>
      </c>
      <c r="DG11" s="118" t="str">
        <f>IF(DG20&lt;=Assumptions!$C$8,"No","Yes")</f>
        <v>Yes</v>
      </c>
      <c r="DH11" s="118" t="str">
        <f>IF(DH20&lt;=Assumptions!$C$8,"No","Yes")</f>
        <v>Yes</v>
      </c>
      <c r="DI11" s="118" t="str">
        <f>IF(DI20&lt;=Assumptions!$C$8,"No","Yes")</f>
        <v>Yes</v>
      </c>
      <c r="DJ11" s="118" t="str">
        <f>IF(DJ20&lt;=Assumptions!$C$8,"No","Yes")</f>
        <v>Yes</v>
      </c>
      <c r="DK11" s="118" t="str">
        <f>IF(DK20&lt;=Assumptions!$C$8,"No","Yes")</f>
        <v>Yes</v>
      </c>
      <c r="DL11" s="118" t="str">
        <f>IF(DL20&lt;=Assumptions!$C$8,"No","Yes")</f>
        <v>Yes</v>
      </c>
      <c r="DM11" s="118" t="str">
        <f>IF(DM20&lt;=Assumptions!$C$8,"No","Yes")</f>
        <v>Yes</v>
      </c>
      <c r="DN11" s="118" t="str">
        <f>IF(DN20&lt;=Assumptions!$C$8,"No","Yes")</f>
        <v>Yes</v>
      </c>
      <c r="DO11" s="118" t="str">
        <f>IF(DO20&lt;=Assumptions!$C$8,"No","Yes")</f>
        <v>Yes</v>
      </c>
      <c r="DP11" s="118" t="str">
        <f>IF(DP20&lt;=Assumptions!$C$8,"No","Yes")</f>
        <v>Yes</v>
      </c>
      <c r="DQ11" s="118" t="str">
        <f>IF(DQ20&lt;=Assumptions!$C$8,"No","Yes")</f>
        <v>Yes</v>
      </c>
      <c r="DR11" s="118" t="str">
        <f>IF(DR20&lt;=Assumptions!$C$8,"No","Yes")</f>
        <v>Yes</v>
      </c>
      <c r="DS11" s="118" t="str">
        <f>IF(DS20&lt;=Assumptions!$C$8,"No","Yes")</f>
        <v>Yes</v>
      </c>
      <c r="DT11" s="118" t="str">
        <f>IF(DT20&lt;=Assumptions!$C$8,"No","Yes")</f>
        <v>Yes</v>
      </c>
      <c r="DU11" s="118" t="str">
        <f>IF(DU20&lt;=Assumptions!$C$8,"No","Yes")</f>
        <v>Yes</v>
      </c>
      <c r="DV11" s="118" t="str">
        <f>IF(DV20&lt;=Assumptions!$C$8,"No","Yes")</f>
        <v>Yes</v>
      </c>
      <c r="DW11" s="118" t="str">
        <f>IF(DW20&lt;=Assumptions!$C$8,"No","Yes")</f>
        <v>Yes</v>
      </c>
    </row>
    <row r="12" spans="2:127" x14ac:dyDescent="0.3">
      <c r="B12" s="53" t="s">
        <v>322</v>
      </c>
      <c r="C12" s="56">
        <f>IF(C$11="No",$D6,$E6)*C$10*Assumptions!$C$7/12</f>
        <v>13542.750000000002</v>
      </c>
      <c r="D12" s="56">
        <f>IF(D$11="No",$D6,$E6)*D$10*Assumptions!$C$7/12</f>
        <v>13542.750000000002</v>
      </c>
      <c r="E12" s="56">
        <f>IF(E$11="No",$D6,$E6)*E$10*Assumptions!$C$7/12</f>
        <v>13542.750000000002</v>
      </c>
      <c r="F12" s="56">
        <f>IF(F$11="No",$D6,$E6)*F$10*Assumptions!$C$7/12</f>
        <v>6884.0416666666679</v>
      </c>
      <c r="G12" s="56">
        <f>IF(G$11="No",$D6,$E6)*G$10*Assumptions!$C$7/12</f>
        <v>43025.260416666672</v>
      </c>
      <c r="H12" s="56">
        <f>IF(H$11="No",$D6,$E6)*H$10*Assumptions!$C$7/12</f>
        <v>43025.260416666672</v>
      </c>
      <c r="I12" s="56">
        <f>IF(I$11="No",$D6,$E6)*I$10*Assumptions!$C$7/12</f>
        <v>43025.260416666672</v>
      </c>
      <c r="J12" s="56">
        <f>IF(J$11="No",$D6,$E6)*J$10*Assumptions!$C$7/12</f>
        <v>43025.260416666672</v>
      </c>
      <c r="K12" s="56">
        <f>IF(K$11="No",$D6,$E6)*K$10*Assumptions!$C$7/12</f>
        <v>43025.260416666672</v>
      </c>
      <c r="L12" s="56">
        <f>IF(L$11="No",$D6,$E6)*L$10*Assumptions!$C$7/12</f>
        <v>86050.520833333343</v>
      </c>
      <c r="M12" s="56">
        <f>IF(M$11="No",$D6,$E6)*M$10*Assumptions!$C$7/12</f>
        <v>86050.520833333343</v>
      </c>
      <c r="N12" s="56">
        <f>IF(N$11="No",$D6,$E6)*N$10*Assumptions!$C$7/12</f>
        <v>86050.520833333343</v>
      </c>
      <c r="O12" s="56">
        <f>IF(O$11="No",$D6,$E6)*O$10*Assumptions!$C$7/12</f>
        <v>86050.520833333343</v>
      </c>
      <c r="P12" s="56">
        <f>IF(P$11="No",$D6,$E6)*P$10*Assumptions!$C$7/12</f>
        <v>86050.520833333343</v>
      </c>
      <c r="Q12" s="56">
        <f>IF(Q$11="No",$D6,$E6)*Q$10*Assumptions!$C$7/12</f>
        <v>86050.520833333343</v>
      </c>
      <c r="R12" s="56">
        <f>IF(R$11="No",$D6,$E6)*R$10*Assumptions!$C$7/12</f>
        <v>86050.520833333343</v>
      </c>
      <c r="S12" s="56">
        <f>IF(S$11="No",$D6,$E6)*S$10*Assumptions!$C$7/12</f>
        <v>86050.520833333343</v>
      </c>
      <c r="T12" s="56">
        <f>IF(T$11="No",$D6,$E6)*T$10*Assumptions!$C$7/12</f>
        <v>86050.520833333343</v>
      </c>
      <c r="U12" s="56">
        <f>IF(U$11="No",$D6,$E6)*U$10*Assumptions!$C$7/12</f>
        <v>86050.520833333343</v>
      </c>
      <c r="V12" s="56">
        <f>IF(V$11="No",$D6,$E6)*V$10*Assumptions!$C$7/12</f>
        <v>86050.520833333343</v>
      </c>
      <c r="W12" s="56">
        <f>IF(W$11="No",$D6,$E6)*W$10*Assumptions!$C$7/12</f>
        <v>86050.520833333343</v>
      </c>
      <c r="X12" s="56">
        <f>IF(X$11="No",$D6,$E6)*X$10*Assumptions!$C$7/12</f>
        <v>86050.520833333343</v>
      </c>
      <c r="Y12" s="56">
        <f>IF(Y$11="No",$D6,$E6)*Y$10*Assumptions!$C$7/12</f>
        <v>86050.520833333343</v>
      </c>
      <c r="Z12" s="56">
        <f>IF(Z$11="No",$D6,$E6)*Z$10*Assumptions!$C$7/12</f>
        <v>86050.520833333343</v>
      </c>
      <c r="AA12" s="56">
        <f>IF(AA$11="No",$D6,$E6)*AA$10*Assumptions!$C$7/12</f>
        <v>86050.520833333343</v>
      </c>
      <c r="AB12" s="56">
        <f>IF(AB$11="No",$D6,$E6)*AB$10*Assumptions!$C$7/12</f>
        <v>86050.520833333343</v>
      </c>
      <c r="AC12" s="56">
        <f>IF(AC$11="No",$D6,$E6)*AC$10*Assumptions!$C$7/12</f>
        <v>86050.520833333343</v>
      </c>
      <c r="AD12" s="56">
        <f>IF(AD$11="No",$D6,$E6)*AD$10*Assumptions!$C$7/12</f>
        <v>86050.520833333343</v>
      </c>
      <c r="AE12" s="56">
        <f>IF(AE$11="No",$D6,$E6)*AE$10*Assumptions!$C$7/12</f>
        <v>86050.520833333343</v>
      </c>
      <c r="AF12" s="56">
        <f>IF(AF$11="No",$D6,$E6)*AF$10*Assumptions!$C$7/12</f>
        <v>86050.520833333343</v>
      </c>
      <c r="AG12" s="56">
        <f>IF(AG$11="No",$D6,$E6)*AG$10*Assumptions!$C$7/12</f>
        <v>86050.520833333343</v>
      </c>
      <c r="AH12" s="56">
        <f>IF(AH$11="No",$D6,$E6)*AH$10*Assumptions!$C$7/12</f>
        <v>86050.520833333343</v>
      </c>
      <c r="AI12" s="56">
        <f>IF(AI$11="No",$D6,$E6)*AI$10*Assumptions!$C$7/12</f>
        <v>86050.520833333343</v>
      </c>
      <c r="AJ12" s="56">
        <f>IF(AJ$11="No",$D6,$E6)*AJ$10*Assumptions!$C$7/12</f>
        <v>86050.520833333343</v>
      </c>
      <c r="AK12" s="56">
        <f>IF(AK$11="No",$D6,$E6)*AK$10*Assumptions!$C$7/12</f>
        <v>86050.520833333343</v>
      </c>
      <c r="AL12" s="56">
        <f>IF(AL$11="No",$D6,$E6)*AL$10*Assumptions!$C$7/12</f>
        <v>86050.520833333343</v>
      </c>
      <c r="AM12" s="56">
        <f>IF(AM$11="No",$D6,$E6)*AM$10*Assumptions!$C$7/12</f>
        <v>86050.520833333343</v>
      </c>
      <c r="AN12" s="56">
        <f>IF(AN$11="No",$D6,$E6)*AN$10*Assumptions!$C$7/12</f>
        <v>86050.520833333343</v>
      </c>
      <c r="AO12" s="56">
        <f>IF(AO$11="No",$D6,$E6)*AO$10*Assumptions!$C$7/12</f>
        <v>86050.520833333343</v>
      </c>
      <c r="AP12" s="56">
        <f>IF(AP$11="No",$D6,$E6)*AP$10*Assumptions!$C$7/12</f>
        <v>86050.520833333343</v>
      </c>
      <c r="AQ12" s="56">
        <f>IF(AQ$11="No",$D6,$E6)*AQ$10*Assumptions!$C$7/12</f>
        <v>86050.520833333343</v>
      </c>
      <c r="AR12" s="56">
        <f>IF(AR$11="No",$D6,$E6)*AR$10*Assumptions!$C$7/12</f>
        <v>86050.520833333343</v>
      </c>
      <c r="AS12" s="56">
        <f>IF(AS$11="No",$D6,$E6)*AS$10*Assumptions!$C$7/12</f>
        <v>86050.520833333343</v>
      </c>
      <c r="AT12" s="56">
        <f>IF(AT$11="No",$D6,$E6)*AT$10*Assumptions!$C$7/12</f>
        <v>86050.520833333343</v>
      </c>
      <c r="AU12" s="56">
        <f>IF(AU$11="No",$D6,$E6)*AU$10*Assumptions!$C$7/12</f>
        <v>86050.520833333343</v>
      </c>
      <c r="AV12" s="56">
        <f>IF(AV$11="No",$D6,$E6)*AV$10*Assumptions!$C$7/12</f>
        <v>86050.520833333343</v>
      </c>
      <c r="AW12" s="56">
        <f>IF(AW$11="No",$D6,$E6)*AW$10*Assumptions!$C$7/12</f>
        <v>86050.520833333343</v>
      </c>
      <c r="AX12" s="56">
        <f>IF(AX$11="No",$D6,$E6)*AX$10*Assumptions!$C$7/12</f>
        <v>86050.520833333343</v>
      </c>
      <c r="AY12" s="56">
        <f>IF(AY$11="No",$D6,$E6)*AY$10*Assumptions!$C$7/12</f>
        <v>86050.520833333343</v>
      </c>
      <c r="AZ12" s="56">
        <f>IF(AZ$11="No",$D6,$E6)*AZ$10*Assumptions!$C$7/12</f>
        <v>86050.520833333343</v>
      </c>
      <c r="BA12" s="56">
        <f>IF(BA$11="No",$D6,$E6)*BA$10*Assumptions!$C$7/12</f>
        <v>86050.520833333343</v>
      </c>
      <c r="BB12" s="56">
        <f>IF(BB$11="No",$D6,$E6)*BB$10*Assumptions!$C$7/12</f>
        <v>86050.520833333343</v>
      </c>
      <c r="BC12" s="56">
        <f>IF(BC$11="No",$D6,$E6)*BC$10*Assumptions!$C$7/12</f>
        <v>86050.520833333343</v>
      </c>
      <c r="BD12" s="56">
        <f>IF(BD$11="No",$D6,$E6)*BD$10*Assumptions!$C$7/12</f>
        <v>86050.520833333343</v>
      </c>
      <c r="BE12" s="56">
        <f>IF(BE$11="No",$D6,$E6)*BE$10*Assumptions!$C$7/12</f>
        <v>86050.520833333343</v>
      </c>
      <c r="BF12" s="56">
        <f>IF(BF$11="No",$D6,$E6)*BF$10*Assumptions!$C$7/12</f>
        <v>86050.520833333343</v>
      </c>
      <c r="BG12" s="56">
        <f>IF(BG$11="No",$D6,$E6)*BG$10*Assumptions!$C$7/12</f>
        <v>86050.520833333343</v>
      </c>
      <c r="BH12" s="56">
        <f>IF(BH$11="No",$D6,$E6)*BH$10*Assumptions!$C$7/12</f>
        <v>86050.520833333343</v>
      </c>
      <c r="BI12" s="56">
        <f>IF(BI$11="No",$D6,$E6)*BI$10*Assumptions!$C$7/12</f>
        <v>86050.520833333343</v>
      </c>
      <c r="BJ12" s="56">
        <f>IF(BJ$11="No",$D6,$E6)*BJ$10*Assumptions!$C$7/12</f>
        <v>86050.520833333343</v>
      </c>
      <c r="BK12" s="56">
        <f>IF(BK$11="No",$D6,$E6)*BK$10*Assumptions!$C$7/12</f>
        <v>86050.520833333343</v>
      </c>
      <c r="BL12" s="56">
        <f>IF(BL$11="No",$D6,$E6)*BL$10*Assumptions!$C$7/12</f>
        <v>86050.520833333343</v>
      </c>
      <c r="BM12" s="56">
        <f>IF(BM$11="No",$D6,$E6)*BM$10*Assumptions!$C$7/12</f>
        <v>86050.520833333343</v>
      </c>
      <c r="BN12" s="56">
        <f>IF(BN$11="No",$D6,$E6)*BN$10*Assumptions!$C$7/12</f>
        <v>86050.520833333343</v>
      </c>
      <c r="BO12" s="56">
        <f>IF(BO$11="No",$D6,$E6)*BO$10*Assumptions!$C$7/12</f>
        <v>86050.520833333343</v>
      </c>
      <c r="BP12" s="56">
        <f>IF(BP$11="No",$D6,$E6)*BP$10*Assumptions!$C$7/12</f>
        <v>86050.520833333343</v>
      </c>
      <c r="BQ12" s="56">
        <f>IF(BQ$11="No",$D6,$E6)*BQ$10*Assumptions!$C$7/12</f>
        <v>86050.520833333343</v>
      </c>
      <c r="BR12" s="56">
        <f>IF(BR$11="No",$D6,$E6)*BR$10*Assumptions!$C$7/12</f>
        <v>86050.520833333343</v>
      </c>
      <c r="BS12" s="56">
        <f>IF(BS$11="No",$D6,$E6)*BS$10*Assumptions!$C$7/12</f>
        <v>86050.520833333343</v>
      </c>
      <c r="BT12" s="56">
        <f>IF(BT$11="No",$D6,$E6)*BT$10*Assumptions!$C$7/12</f>
        <v>86050.520833333343</v>
      </c>
      <c r="BU12" s="56">
        <f>IF(BU$11="No",$D6,$E6)*BU$10*Assumptions!$C$7/12</f>
        <v>86050.520833333343</v>
      </c>
      <c r="BV12" s="56">
        <f>IF(BV$11="No",$D6,$E6)*BV$10*Assumptions!$C$7/12</f>
        <v>86050.520833333343</v>
      </c>
      <c r="BW12" s="56">
        <f>IF(BW$11="No",$D6,$E6)*BW$10*Assumptions!$C$7/12</f>
        <v>86050.520833333343</v>
      </c>
      <c r="BX12" s="56">
        <f>IF(BX$11="No",$D6,$E6)*BX$10*Assumptions!$C$7/12</f>
        <v>86050.520833333343</v>
      </c>
      <c r="BY12" s="56">
        <f>IF(BY$11="No",$D6,$E6)*BY$10*Assumptions!$C$7/12</f>
        <v>86050.520833333343</v>
      </c>
      <c r="BZ12" s="56">
        <f>IF(BZ$11="No",$D6,$E6)*BZ$10*Assumptions!$C$7/12</f>
        <v>86050.520833333343</v>
      </c>
      <c r="CA12" s="56">
        <f>IF(CA$11="No",$D6,$E6)*CA$10*Assumptions!$C$7/12</f>
        <v>86050.520833333343</v>
      </c>
      <c r="CB12" s="56">
        <f>IF(CB$11="No",$D6,$E6)*CB$10*Assumptions!$C$7/12</f>
        <v>86050.520833333343</v>
      </c>
      <c r="CC12" s="56">
        <f>IF(CC$11="No",$D6,$E6)*CC$10*Assumptions!$C$7/12</f>
        <v>86050.520833333343</v>
      </c>
      <c r="CD12" s="56">
        <f>IF(CD$11="No",$D6,$E6)*CD$10*Assumptions!$C$7/12</f>
        <v>86050.520833333343</v>
      </c>
      <c r="CE12" s="56">
        <f>IF(CE$11="No",$D6,$E6)*CE$10*Assumptions!$C$7/12</f>
        <v>86050.520833333343</v>
      </c>
      <c r="CF12" s="56">
        <f>IF(CF$11="No",$D6,$E6)*CF$10*Assumptions!$C$7/12</f>
        <v>86050.520833333343</v>
      </c>
      <c r="CG12" s="56">
        <f>IF(CG$11="No",$D6,$E6)*CG$10*Assumptions!$C$7/12</f>
        <v>86050.520833333343</v>
      </c>
      <c r="CH12" s="56">
        <f>IF(CH$11="No",$D6,$E6)*CH$10*Assumptions!$C$7/12</f>
        <v>86050.520833333343</v>
      </c>
      <c r="CI12" s="56">
        <f>IF(CI$11="No",$D6,$E6)*CI$10*Assumptions!$C$7/12</f>
        <v>86050.520833333343</v>
      </c>
      <c r="CJ12" s="56">
        <f>IF(CJ$11="No",$D6,$E6)*CJ$10*Assumptions!$C$7/12</f>
        <v>86050.520833333343</v>
      </c>
      <c r="CK12" s="56">
        <f>IF(CK$11="No",$D6,$E6)*CK$10*Assumptions!$C$7/12</f>
        <v>86050.520833333343</v>
      </c>
      <c r="CL12" s="56">
        <f>IF(CL$11="No",$D6,$E6)*CL$10*Assumptions!$C$7/12</f>
        <v>86050.520833333343</v>
      </c>
      <c r="CM12" s="56">
        <f>IF(CM$11="No",$D6,$E6)*CM$10*Assumptions!$C$7/12</f>
        <v>86050.520833333343</v>
      </c>
      <c r="CN12" s="56">
        <f>IF(CN$11="No",$D6,$E6)*CN$10*Assumptions!$C$7/12</f>
        <v>86050.520833333343</v>
      </c>
      <c r="CO12" s="56">
        <f>IF(CO$11="No",$D6,$E6)*CO$10*Assumptions!$C$7/12</f>
        <v>86050.520833333343</v>
      </c>
      <c r="CP12" s="56">
        <f>IF(CP$11="No",$D6,$E6)*CP$10*Assumptions!$C$7/12</f>
        <v>86050.520833333343</v>
      </c>
      <c r="CQ12" s="56">
        <f>IF(CQ$11="No",$D6,$E6)*CQ$10*Assumptions!$C$7/12</f>
        <v>86050.520833333343</v>
      </c>
      <c r="CR12" s="56">
        <f>IF(CR$11="No",$D6,$E6)*CR$10*Assumptions!$C$7/12</f>
        <v>86050.520833333343</v>
      </c>
      <c r="CS12" s="56">
        <f>IF(CS$11="No",$D6,$E6)*CS$10*Assumptions!$C$7/12</f>
        <v>86050.520833333343</v>
      </c>
      <c r="CT12" s="56">
        <f>IF(CT$11="No",$D6,$E6)*CT$10*Assumptions!$C$7/12</f>
        <v>86050.520833333343</v>
      </c>
      <c r="CU12" s="56">
        <f>IF(CU$11="No",$D6,$E6)*CU$10*Assumptions!$C$7/12</f>
        <v>86050.520833333343</v>
      </c>
      <c r="CV12" s="56">
        <f>IF(CV$11="No",$D6,$E6)*CV$10*Assumptions!$C$7/12</f>
        <v>86050.520833333343</v>
      </c>
      <c r="CW12" s="56">
        <f>IF(CW$11="No",$D6,$E6)*CW$10*Assumptions!$C$7/12</f>
        <v>86050.520833333343</v>
      </c>
      <c r="CX12" s="56">
        <f>IF(CX$11="No",$D6,$E6)*CX$10*Assumptions!$C$7/12</f>
        <v>86050.520833333343</v>
      </c>
      <c r="CY12" s="56">
        <f>IF(CY$11="No",$D6,$E6)*CY$10*Assumptions!$C$7/12</f>
        <v>86050.520833333343</v>
      </c>
      <c r="CZ12" s="56">
        <f>IF(CZ$11="No",$D6,$E6)*CZ$10*Assumptions!$C$7/12</f>
        <v>86050.520833333343</v>
      </c>
      <c r="DA12" s="56">
        <f>IF(DA$11="No",$D6,$E6)*DA$10*Assumptions!$C$7/12</f>
        <v>86050.520833333343</v>
      </c>
      <c r="DB12" s="56">
        <f>IF(DB$11="No",$D6,$E6)*DB$10*Assumptions!$C$7/12</f>
        <v>86050.520833333343</v>
      </c>
      <c r="DC12" s="56">
        <f>IF(DC$11="No",$D6,$E6)*DC$10*Assumptions!$C$7/12</f>
        <v>86050.520833333343</v>
      </c>
      <c r="DD12" s="56">
        <f>IF(DD$11="No",$D6,$E6)*DD$10*Assumptions!$C$7/12</f>
        <v>86050.520833333343</v>
      </c>
      <c r="DE12" s="56">
        <f>IF(DE$11="No",$D6,$E6)*DE$10*Assumptions!$C$7/12</f>
        <v>86050.520833333343</v>
      </c>
      <c r="DF12" s="56">
        <f>IF(DF$11="No",$D6,$E6)*DF$10*Assumptions!$C$7/12</f>
        <v>86050.520833333343</v>
      </c>
      <c r="DG12" s="56">
        <f>IF(DG$11="No",$D6,$E6)*DG$10*Assumptions!$C$7/12</f>
        <v>86050.520833333343</v>
      </c>
      <c r="DH12" s="56">
        <f>IF(DH$11="No",$D6,$E6)*DH$10*Assumptions!$C$7/12</f>
        <v>86050.520833333343</v>
      </c>
      <c r="DI12" s="56">
        <f>IF(DI$11="No",$D6,$E6)*DI$10*Assumptions!$C$7/12</f>
        <v>86050.520833333343</v>
      </c>
      <c r="DJ12" s="56">
        <f>IF(DJ$11="No",$D6,$E6)*DJ$10*Assumptions!$C$7/12</f>
        <v>86050.520833333343</v>
      </c>
      <c r="DK12" s="56">
        <f>IF(DK$11="No",$D6,$E6)*DK$10*Assumptions!$C$7/12</f>
        <v>86050.520833333343</v>
      </c>
      <c r="DL12" s="56">
        <f>IF(DL$11="No",$D6,$E6)*DL$10*Assumptions!$C$7/12</f>
        <v>86050.520833333343</v>
      </c>
      <c r="DM12" s="56">
        <f>IF(DM$11="No",$D6,$E6)*DM$10*Assumptions!$C$7/12</f>
        <v>86050.520833333343</v>
      </c>
      <c r="DN12" s="56">
        <f>IF(DN$11="No",$D6,$E6)*DN$10*Assumptions!$C$7/12</f>
        <v>86050.520833333343</v>
      </c>
      <c r="DO12" s="56">
        <f>IF(DO$11="No",$D6,$E6)*DO$10*Assumptions!$C$7/12</f>
        <v>86050.520833333343</v>
      </c>
      <c r="DP12" s="56">
        <f>IF(DP$11="No",$D6,$E6)*DP$10*Assumptions!$C$7/12</f>
        <v>86050.520833333343</v>
      </c>
      <c r="DQ12" s="56">
        <f>IF(DQ$11="No",$D6,$E6)*DQ$10*Assumptions!$C$7/12</f>
        <v>86050.520833333343</v>
      </c>
      <c r="DR12" s="56">
        <f>IF(DR$11="No",$D6,$E6)*DR$10*Assumptions!$C$7/12</f>
        <v>86050.520833333343</v>
      </c>
      <c r="DS12" s="56">
        <f>IF(DS$11="No",$D6,$E6)*DS$10*Assumptions!$C$7/12</f>
        <v>86050.520833333343</v>
      </c>
      <c r="DT12" s="56">
        <f>IF(DT$11="No",$D6,$E6)*DT$10*Assumptions!$C$7/12</f>
        <v>86050.520833333343</v>
      </c>
      <c r="DU12" s="56">
        <f>IF(DU$11="No",$D6,$E6)*DU$10*Assumptions!$C$7/12</f>
        <v>86050.520833333343</v>
      </c>
      <c r="DV12" s="56">
        <f>IF(DV$11="No",$D6,$E6)*DV$10*Assumptions!$C$7/12</f>
        <v>86050.520833333343</v>
      </c>
      <c r="DW12" s="56">
        <f>IF(DW$11="No",$D6,$E6)*DW$10*Assumptions!$C$7/12</f>
        <v>86050.520833333343</v>
      </c>
    </row>
    <row r="13" spans="2:127" x14ac:dyDescent="0.3">
      <c r="B13" s="53" t="s">
        <v>321</v>
      </c>
      <c r="C13" s="56">
        <f>IF(C$11="No",$D7,$E7)*C$10*Assumptions!$C$7/12</f>
        <v>23.020833333333339</v>
      </c>
      <c r="D13" s="56">
        <f>IF(D$11="No",$D7,$E7)*D$10*Assumptions!$C$7/12</f>
        <v>23.020833333333339</v>
      </c>
      <c r="E13" s="56">
        <f>IF(E$11="No",$D7,$E7)*E$10*Assumptions!$C$7/12</f>
        <v>23.020833333333339</v>
      </c>
      <c r="F13" s="56">
        <f>IF(F$11="No",$D7,$E7)*F$10*Assumptions!$C$7/12</f>
        <v>13.237261266666666</v>
      </c>
      <c r="G13" s="56">
        <f>IF(G$11="No",$D7,$E7)*G$10*Assumptions!$C$7/12</f>
        <v>82.732882916666668</v>
      </c>
      <c r="H13" s="56">
        <f>IF(H$11="No",$D7,$E7)*H$10*Assumptions!$C$7/12</f>
        <v>82.732882916666668</v>
      </c>
      <c r="I13" s="56">
        <f>IF(I$11="No",$D7,$E7)*I$10*Assumptions!$C$7/12</f>
        <v>82.732882916666668</v>
      </c>
      <c r="J13" s="56">
        <f>IF(J$11="No",$D7,$E7)*J$10*Assumptions!$C$7/12</f>
        <v>82.732882916666668</v>
      </c>
      <c r="K13" s="56">
        <f>IF(K$11="No",$D7,$E7)*K$10*Assumptions!$C$7/12</f>
        <v>82.732882916666668</v>
      </c>
      <c r="L13" s="56">
        <f>IF(L$11="No",$D7,$E7)*L$10*Assumptions!$C$7/12</f>
        <v>165.46576583333334</v>
      </c>
      <c r="M13" s="56">
        <f>IF(M$11="No",$D7,$E7)*M$10*Assumptions!$C$7/12</f>
        <v>165.46576583333334</v>
      </c>
      <c r="N13" s="56">
        <f>IF(N$11="No",$D7,$E7)*N$10*Assumptions!$C$7/12</f>
        <v>165.46576583333334</v>
      </c>
      <c r="O13" s="56">
        <f>IF(O$11="No",$D7,$E7)*O$10*Assumptions!$C$7/12</f>
        <v>165.46576583333334</v>
      </c>
      <c r="P13" s="56">
        <f>IF(P$11="No",$D7,$E7)*P$10*Assumptions!$C$7/12</f>
        <v>165.46576583333334</v>
      </c>
      <c r="Q13" s="56">
        <f>IF(Q$11="No",$D7,$E7)*Q$10*Assumptions!$C$7/12</f>
        <v>165.46576583333334</v>
      </c>
      <c r="R13" s="56">
        <f>IF(R$11="No",$D7,$E7)*R$10*Assumptions!$C$7/12</f>
        <v>165.46576583333334</v>
      </c>
      <c r="S13" s="56">
        <f>IF(S$11="No",$D7,$E7)*S$10*Assumptions!$C$7/12</f>
        <v>165.46576583333334</v>
      </c>
      <c r="T13" s="56">
        <f>IF(T$11="No",$D7,$E7)*T$10*Assumptions!$C$7/12</f>
        <v>165.46576583333334</v>
      </c>
      <c r="U13" s="56">
        <f>IF(U$11="No",$D7,$E7)*U$10*Assumptions!$C$7/12</f>
        <v>165.46576583333334</v>
      </c>
      <c r="V13" s="56">
        <f>IF(V$11="No",$D7,$E7)*V$10*Assumptions!$C$7/12</f>
        <v>165.46576583333334</v>
      </c>
      <c r="W13" s="56">
        <f>IF(W$11="No",$D7,$E7)*W$10*Assumptions!$C$7/12</f>
        <v>165.46576583333334</v>
      </c>
      <c r="X13" s="56">
        <f>IF(X$11="No",$D7,$E7)*X$10*Assumptions!$C$7/12</f>
        <v>165.46576583333334</v>
      </c>
      <c r="Y13" s="56">
        <f>IF(Y$11="No",$D7,$E7)*Y$10*Assumptions!$C$7/12</f>
        <v>165.46576583333334</v>
      </c>
      <c r="Z13" s="56">
        <f>IF(Z$11="No",$D7,$E7)*Z$10*Assumptions!$C$7/12</f>
        <v>165.46576583333334</v>
      </c>
      <c r="AA13" s="56">
        <f>IF(AA$11="No",$D7,$E7)*AA$10*Assumptions!$C$7/12</f>
        <v>165.46576583333334</v>
      </c>
      <c r="AB13" s="56">
        <f>IF(AB$11="No",$D7,$E7)*AB$10*Assumptions!$C$7/12</f>
        <v>165.46576583333334</v>
      </c>
      <c r="AC13" s="56">
        <f>IF(AC$11="No",$D7,$E7)*AC$10*Assumptions!$C$7/12</f>
        <v>165.46576583333334</v>
      </c>
      <c r="AD13" s="56">
        <f>IF(AD$11="No",$D7,$E7)*AD$10*Assumptions!$C$7/12</f>
        <v>165.46576583333334</v>
      </c>
      <c r="AE13" s="56">
        <f>IF(AE$11="No",$D7,$E7)*AE$10*Assumptions!$C$7/12</f>
        <v>165.46576583333334</v>
      </c>
      <c r="AF13" s="56">
        <f>IF(AF$11="No",$D7,$E7)*AF$10*Assumptions!$C$7/12</f>
        <v>165.46576583333334</v>
      </c>
      <c r="AG13" s="56">
        <f>IF(AG$11="No",$D7,$E7)*AG$10*Assumptions!$C$7/12</f>
        <v>165.46576583333334</v>
      </c>
      <c r="AH13" s="56">
        <f>IF(AH$11="No",$D7,$E7)*AH$10*Assumptions!$C$7/12</f>
        <v>165.46576583333334</v>
      </c>
      <c r="AI13" s="56">
        <f>IF(AI$11="No",$D7,$E7)*AI$10*Assumptions!$C$7/12</f>
        <v>165.46576583333334</v>
      </c>
      <c r="AJ13" s="56">
        <f>IF(AJ$11="No",$D7,$E7)*AJ$10*Assumptions!$C$7/12</f>
        <v>165.46576583333334</v>
      </c>
      <c r="AK13" s="56">
        <f>IF(AK$11="No",$D7,$E7)*AK$10*Assumptions!$C$7/12</f>
        <v>165.46576583333334</v>
      </c>
      <c r="AL13" s="56">
        <f>IF(AL$11="No",$D7,$E7)*AL$10*Assumptions!$C$7/12</f>
        <v>165.46576583333334</v>
      </c>
      <c r="AM13" s="56">
        <f>IF(AM$11="No",$D7,$E7)*AM$10*Assumptions!$C$7/12</f>
        <v>165.46576583333334</v>
      </c>
      <c r="AN13" s="56">
        <f>IF(AN$11="No",$D7,$E7)*AN$10*Assumptions!$C$7/12</f>
        <v>165.46576583333334</v>
      </c>
      <c r="AO13" s="56">
        <f>IF(AO$11="No",$D7,$E7)*AO$10*Assumptions!$C$7/12</f>
        <v>165.46576583333334</v>
      </c>
      <c r="AP13" s="56">
        <f>IF(AP$11="No",$D7,$E7)*AP$10*Assumptions!$C$7/12</f>
        <v>165.46576583333334</v>
      </c>
      <c r="AQ13" s="56">
        <f>IF(AQ$11="No",$D7,$E7)*AQ$10*Assumptions!$C$7/12</f>
        <v>165.46576583333334</v>
      </c>
      <c r="AR13" s="56">
        <f>IF(AR$11="No",$D7,$E7)*AR$10*Assumptions!$C$7/12</f>
        <v>165.46576583333334</v>
      </c>
      <c r="AS13" s="56">
        <f>IF(AS$11="No",$D7,$E7)*AS$10*Assumptions!$C$7/12</f>
        <v>165.46576583333334</v>
      </c>
      <c r="AT13" s="56">
        <f>IF(AT$11="No",$D7,$E7)*AT$10*Assumptions!$C$7/12</f>
        <v>165.46576583333334</v>
      </c>
      <c r="AU13" s="56">
        <f>IF(AU$11="No",$D7,$E7)*AU$10*Assumptions!$C$7/12</f>
        <v>165.46576583333334</v>
      </c>
      <c r="AV13" s="56">
        <f>IF(AV$11="No",$D7,$E7)*AV$10*Assumptions!$C$7/12</f>
        <v>165.46576583333334</v>
      </c>
      <c r="AW13" s="56">
        <f>IF(AW$11="No",$D7,$E7)*AW$10*Assumptions!$C$7/12</f>
        <v>165.46576583333334</v>
      </c>
      <c r="AX13" s="56">
        <f>IF(AX$11="No",$D7,$E7)*AX$10*Assumptions!$C$7/12</f>
        <v>165.46576583333334</v>
      </c>
      <c r="AY13" s="56">
        <f>IF(AY$11="No",$D7,$E7)*AY$10*Assumptions!$C$7/12</f>
        <v>165.46576583333334</v>
      </c>
      <c r="AZ13" s="56">
        <f>IF(AZ$11="No",$D7,$E7)*AZ$10*Assumptions!$C$7/12</f>
        <v>165.46576583333334</v>
      </c>
      <c r="BA13" s="56">
        <f>IF(BA$11="No",$D7,$E7)*BA$10*Assumptions!$C$7/12</f>
        <v>165.46576583333334</v>
      </c>
      <c r="BB13" s="56">
        <f>IF(BB$11="No",$D7,$E7)*BB$10*Assumptions!$C$7/12</f>
        <v>165.46576583333334</v>
      </c>
      <c r="BC13" s="56">
        <f>IF(BC$11="No",$D7,$E7)*BC$10*Assumptions!$C$7/12</f>
        <v>165.46576583333334</v>
      </c>
      <c r="BD13" s="56">
        <f>IF(BD$11="No",$D7,$E7)*BD$10*Assumptions!$C$7/12</f>
        <v>165.46576583333334</v>
      </c>
      <c r="BE13" s="56">
        <f>IF(BE$11="No",$D7,$E7)*BE$10*Assumptions!$C$7/12</f>
        <v>165.46576583333334</v>
      </c>
      <c r="BF13" s="56">
        <f>IF(BF$11="No",$D7,$E7)*BF$10*Assumptions!$C$7/12</f>
        <v>165.46576583333334</v>
      </c>
      <c r="BG13" s="56">
        <f>IF(BG$11="No",$D7,$E7)*BG$10*Assumptions!$C$7/12</f>
        <v>165.46576583333334</v>
      </c>
      <c r="BH13" s="56">
        <f>IF(BH$11="No",$D7,$E7)*BH$10*Assumptions!$C$7/12</f>
        <v>165.46576583333334</v>
      </c>
      <c r="BI13" s="56">
        <f>IF(BI$11="No",$D7,$E7)*BI$10*Assumptions!$C$7/12</f>
        <v>165.46576583333334</v>
      </c>
      <c r="BJ13" s="56">
        <f>IF(BJ$11="No",$D7,$E7)*BJ$10*Assumptions!$C$7/12</f>
        <v>165.46576583333334</v>
      </c>
      <c r="BK13" s="56">
        <f>IF(BK$11="No",$D7,$E7)*BK$10*Assumptions!$C$7/12</f>
        <v>165.46576583333334</v>
      </c>
      <c r="BL13" s="56">
        <f>IF(BL$11="No",$D7,$E7)*BL$10*Assumptions!$C$7/12</f>
        <v>165.46576583333334</v>
      </c>
      <c r="BM13" s="56">
        <f>IF(BM$11="No",$D7,$E7)*BM$10*Assumptions!$C$7/12</f>
        <v>165.46576583333334</v>
      </c>
      <c r="BN13" s="56">
        <f>IF(BN$11="No",$D7,$E7)*BN$10*Assumptions!$C$7/12</f>
        <v>165.46576583333334</v>
      </c>
      <c r="BO13" s="56">
        <f>IF(BO$11="No",$D7,$E7)*BO$10*Assumptions!$C$7/12</f>
        <v>165.46576583333334</v>
      </c>
      <c r="BP13" s="56">
        <f>IF(BP$11="No",$D7,$E7)*BP$10*Assumptions!$C$7/12</f>
        <v>165.46576583333334</v>
      </c>
      <c r="BQ13" s="56">
        <f>IF(BQ$11="No",$D7,$E7)*BQ$10*Assumptions!$C$7/12</f>
        <v>165.46576583333334</v>
      </c>
      <c r="BR13" s="56">
        <f>IF(BR$11="No",$D7,$E7)*BR$10*Assumptions!$C$7/12</f>
        <v>165.46576583333334</v>
      </c>
      <c r="BS13" s="56">
        <f>IF(BS$11="No",$D7,$E7)*BS$10*Assumptions!$C$7/12</f>
        <v>165.46576583333334</v>
      </c>
      <c r="BT13" s="56">
        <f>IF(BT$11="No",$D7,$E7)*BT$10*Assumptions!$C$7/12</f>
        <v>165.46576583333334</v>
      </c>
      <c r="BU13" s="56">
        <f>IF(BU$11="No",$D7,$E7)*BU$10*Assumptions!$C$7/12</f>
        <v>165.46576583333334</v>
      </c>
      <c r="BV13" s="56">
        <f>IF(BV$11="No",$D7,$E7)*BV$10*Assumptions!$C$7/12</f>
        <v>165.46576583333334</v>
      </c>
      <c r="BW13" s="56">
        <f>IF(BW$11="No",$D7,$E7)*BW$10*Assumptions!$C$7/12</f>
        <v>165.46576583333334</v>
      </c>
      <c r="BX13" s="56">
        <f>IF(BX$11="No",$D7,$E7)*BX$10*Assumptions!$C$7/12</f>
        <v>165.46576583333334</v>
      </c>
      <c r="BY13" s="56">
        <f>IF(BY$11="No",$D7,$E7)*BY$10*Assumptions!$C$7/12</f>
        <v>165.46576583333334</v>
      </c>
      <c r="BZ13" s="56">
        <f>IF(BZ$11="No",$D7,$E7)*BZ$10*Assumptions!$C$7/12</f>
        <v>165.46576583333334</v>
      </c>
      <c r="CA13" s="56">
        <f>IF(CA$11="No",$D7,$E7)*CA$10*Assumptions!$C$7/12</f>
        <v>165.46576583333334</v>
      </c>
      <c r="CB13" s="56">
        <f>IF(CB$11="No",$D7,$E7)*CB$10*Assumptions!$C$7/12</f>
        <v>165.46576583333334</v>
      </c>
      <c r="CC13" s="56">
        <f>IF(CC$11="No",$D7,$E7)*CC$10*Assumptions!$C$7/12</f>
        <v>165.46576583333334</v>
      </c>
      <c r="CD13" s="56">
        <f>IF(CD$11="No",$D7,$E7)*CD$10*Assumptions!$C$7/12</f>
        <v>165.46576583333334</v>
      </c>
      <c r="CE13" s="56">
        <f>IF(CE$11="No",$D7,$E7)*CE$10*Assumptions!$C$7/12</f>
        <v>165.46576583333334</v>
      </c>
      <c r="CF13" s="56">
        <f>IF(CF$11="No",$D7,$E7)*CF$10*Assumptions!$C$7/12</f>
        <v>165.46576583333334</v>
      </c>
      <c r="CG13" s="56">
        <f>IF(CG$11="No",$D7,$E7)*CG$10*Assumptions!$C$7/12</f>
        <v>165.46576583333334</v>
      </c>
      <c r="CH13" s="56">
        <f>IF(CH$11="No",$D7,$E7)*CH$10*Assumptions!$C$7/12</f>
        <v>165.46576583333334</v>
      </c>
      <c r="CI13" s="56">
        <f>IF(CI$11="No",$D7,$E7)*CI$10*Assumptions!$C$7/12</f>
        <v>165.46576583333334</v>
      </c>
      <c r="CJ13" s="56">
        <f>IF(CJ$11="No",$D7,$E7)*CJ$10*Assumptions!$C$7/12</f>
        <v>165.46576583333334</v>
      </c>
      <c r="CK13" s="56">
        <f>IF(CK$11="No",$D7,$E7)*CK$10*Assumptions!$C$7/12</f>
        <v>165.46576583333334</v>
      </c>
      <c r="CL13" s="56">
        <f>IF(CL$11="No",$D7,$E7)*CL$10*Assumptions!$C$7/12</f>
        <v>165.46576583333334</v>
      </c>
      <c r="CM13" s="56">
        <f>IF(CM$11="No",$D7,$E7)*CM$10*Assumptions!$C$7/12</f>
        <v>165.46576583333334</v>
      </c>
      <c r="CN13" s="56">
        <f>IF(CN$11="No",$D7,$E7)*CN$10*Assumptions!$C$7/12</f>
        <v>165.46576583333334</v>
      </c>
      <c r="CO13" s="56">
        <f>IF(CO$11="No",$D7,$E7)*CO$10*Assumptions!$C$7/12</f>
        <v>165.46576583333334</v>
      </c>
      <c r="CP13" s="56">
        <f>IF(CP$11="No",$D7,$E7)*CP$10*Assumptions!$C$7/12</f>
        <v>165.46576583333334</v>
      </c>
      <c r="CQ13" s="56">
        <f>IF(CQ$11="No",$D7,$E7)*CQ$10*Assumptions!$C$7/12</f>
        <v>165.46576583333334</v>
      </c>
      <c r="CR13" s="56">
        <f>IF(CR$11="No",$D7,$E7)*CR$10*Assumptions!$C$7/12</f>
        <v>165.46576583333334</v>
      </c>
      <c r="CS13" s="56">
        <f>IF(CS$11="No",$D7,$E7)*CS$10*Assumptions!$C$7/12</f>
        <v>165.46576583333334</v>
      </c>
      <c r="CT13" s="56">
        <f>IF(CT$11="No",$D7,$E7)*CT$10*Assumptions!$C$7/12</f>
        <v>165.46576583333334</v>
      </c>
      <c r="CU13" s="56">
        <f>IF(CU$11="No",$D7,$E7)*CU$10*Assumptions!$C$7/12</f>
        <v>165.46576583333334</v>
      </c>
      <c r="CV13" s="56">
        <f>IF(CV$11="No",$D7,$E7)*CV$10*Assumptions!$C$7/12</f>
        <v>165.46576583333334</v>
      </c>
      <c r="CW13" s="56">
        <f>IF(CW$11="No",$D7,$E7)*CW$10*Assumptions!$C$7/12</f>
        <v>165.46576583333334</v>
      </c>
      <c r="CX13" s="56">
        <f>IF(CX$11="No",$D7,$E7)*CX$10*Assumptions!$C$7/12</f>
        <v>165.46576583333334</v>
      </c>
      <c r="CY13" s="56">
        <f>IF(CY$11="No",$D7,$E7)*CY$10*Assumptions!$C$7/12</f>
        <v>165.46576583333334</v>
      </c>
      <c r="CZ13" s="56">
        <f>IF(CZ$11="No",$D7,$E7)*CZ$10*Assumptions!$C$7/12</f>
        <v>165.46576583333334</v>
      </c>
      <c r="DA13" s="56">
        <f>IF(DA$11="No",$D7,$E7)*DA$10*Assumptions!$C$7/12</f>
        <v>165.46576583333334</v>
      </c>
      <c r="DB13" s="56">
        <f>IF(DB$11="No",$D7,$E7)*DB$10*Assumptions!$C$7/12</f>
        <v>165.46576583333334</v>
      </c>
      <c r="DC13" s="56">
        <f>IF(DC$11="No",$D7,$E7)*DC$10*Assumptions!$C$7/12</f>
        <v>165.46576583333334</v>
      </c>
      <c r="DD13" s="56">
        <f>IF(DD$11="No",$D7,$E7)*DD$10*Assumptions!$C$7/12</f>
        <v>165.46576583333334</v>
      </c>
      <c r="DE13" s="56">
        <f>IF(DE$11="No",$D7,$E7)*DE$10*Assumptions!$C$7/12</f>
        <v>165.46576583333334</v>
      </c>
      <c r="DF13" s="56">
        <f>IF(DF$11="No",$D7,$E7)*DF$10*Assumptions!$C$7/12</f>
        <v>165.46576583333334</v>
      </c>
      <c r="DG13" s="56">
        <f>IF(DG$11="No",$D7,$E7)*DG$10*Assumptions!$C$7/12</f>
        <v>165.46576583333334</v>
      </c>
      <c r="DH13" s="56">
        <f>IF(DH$11="No",$D7,$E7)*DH$10*Assumptions!$C$7/12</f>
        <v>165.46576583333334</v>
      </c>
      <c r="DI13" s="56">
        <f>IF(DI$11="No",$D7,$E7)*DI$10*Assumptions!$C$7/12</f>
        <v>165.46576583333334</v>
      </c>
      <c r="DJ13" s="56">
        <f>IF(DJ$11="No",$D7,$E7)*DJ$10*Assumptions!$C$7/12</f>
        <v>165.46576583333334</v>
      </c>
      <c r="DK13" s="56">
        <f>IF(DK$11="No",$D7,$E7)*DK$10*Assumptions!$C$7/12</f>
        <v>165.46576583333334</v>
      </c>
      <c r="DL13" s="56">
        <f>IF(DL$11="No",$D7,$E7)*DL$10*Assumptions!$C$7/12</f>
        <v>165.46576583333334</v>
      </c>
      <c r="DM13" s="56">
        <f>IF(DM$11="No",$D7,$E7)*DM$10*Assumptions!$C$7/12</f>
        <v>165.46576583333334</v>
      </c>
      <c r="DN13" s="56">
        <f>IF(DN$11="No",$D7,$E7)*DN$10*Assumptions!$C$7/12</f>
        <v>165.46576583333334</v>
      </c>
      <c r="DO13" s="56">
        <f>IF(DO$11="No",$D7,$E7)*DO$10*Assumptions!$C$7/12</f>
        <v>165.46576583333334</v>
      </c>
      <c r="DP13" s="56">
        <f>IF(DP$11="No",$D7,$E7)*DP$10*Assumptions!$C$7/12</f>
        <v>165.46576583333334</v>
      </c>
      <c r="DQ13" s="56">
        <f>IF(DQ$11="No",$D7,$E7)*DQ$10*Assumptions!$C$7/12</f>
        <v>165.46576583333334</v>
      </c>
      <c r="DR13" s="56">
        <f>IF(DR$11="No",$D7,$E7)*DR$10*Assumptions!$C$7/12</f>
        <v>165.46576583333334</v>
      </c>
      <c r="DS13" s="56">
        <f>IF(DS$11="No",$D7,$E7)*DS$10*Assumptions!$C$7/12</f>
        <v>165.46576583333334</v>
      </c>
      <c r="DT13" s="56">
        <f>IF(DT$11="No",$D7,$E7)*DT$10*Assumptions!$C$7/12</f>
        <v>165.46576583333334</v>
      </c>
      <c r="DU13" s="56">
        <f>IF(DU$11="No",$D7,$E7)*DU$10*Assumptions!$C$7/12</f>
        <v>165.46576583333334</v>
      </c>
      <c r="DV13" s="56">
        <f>IF(DV$11="No",$D7,$E7)*DV$10*Assumptions!$C$7/12</f>
        <v>165.46576583333334</v>
      </c>
      <c r="DW13" s="56">
        <f>IF(DW$11="No",$D7,$E7)*DW$10*Assumptions!$C$7/12</f>
        <v>165.46576583333334</v>
      </c>
    </row>
    <row r="14" spans="2:127" x14ac:dyDescent="0.3"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</row>
    <row r="15" spans="2:127" x14ac:dyDescent="0.3">
      <c r="B15" s="65" t="s">
        <v>208</v>
      </c>
    </row>
    <row r="16" spans="2:127" x14ac:dyDescent="0.3">
      <c r="B16" s="53" t="str">
        <f>+B12</f>
        <v>Silver</v>
      </c>
      <c r="C16" s="128">
        <f>INDEX('Commodity Prices'!$D$7:$D$22,MATCH('Metals Model'!$B16,'Commodity Prices'!$B$7:$B$22,0))*C12</f>
        <v>1015706.2500000001</v>
      </c>
      <c r="D16" s="128">
        <f>INDEX('Commodity Prices'!$D$7:$D$22,MATCH('Metals Model'!$B16,'Commodity Prices'!$B$7:$B$22,0))*D12</f>
        <v>1015706.2500000001</v>
      </c>
      <c r="E16" s="128">
        <f>INDEX('Commodity Prices'!$D$7:$D$22,MATCH('Metals Model'!$B16,'Commodity Prices'!$B$7:$B$22,0))*E12</f>
        <v>1015706.2500000001</v>
      </c>
      <c r="F16" s="128">
        <f>INDEX('Commodity Prices'!$D$7:$D$22,MATCH('Metals Model'!$B16,'Commodity Prices'!$B$7:$B$22,0))*F12</f>
        <v>516303.12500000012</v>
      </c>
      <c r="G16" s="128">
        <f>INDEX('Commodity Prices'!$D$7:$D$22,MATCH('Metals Model'!$B16,'Commodity Prices'!$B$7:$B$22,0))*G12</f>
        <v>3226894.5312500005</v>
      </c>
      <c r="H16" s="128">
        <f>INDEX('Commodity Prices'!$D$7:$D$22,MATCH('Metals Model'!$B16,'Commodity Prices'!$B$7:$B$22,0))*H12</f>
        <v>3226894.5312500005</v>
      </c>
      <c r="I16" s="128">
        <f>INDEX('Commodity Prices'!$D$7:$D$22,MATCH('Metals Model'!$B16,'Commodity Prices'!$B$7:$B$22,0))*I12</f>
        <v>3226894.5312500005</v>
      </c>
      <c r="J16" s="128">
        <f>INDEX('Commodity Prices'!$D$7:$D$22,MATCH('Metals Model'!$B16,'Commodity Prices'!$B$7:$B$22,0))*J12</f>
        <v>3226894.5312500005</v>
      </c>
      <c r="K16" s="128">
        <f>INDEX('Commodity Prices'!$D$7:$D$22,MATCH('Metals Model'!$B16,'Commodity Prices'!$B$7:$B$22,0))*K12</f>
        <v>3226894.5312500005</v>
      </c>
      <c r="L16" s="128">
        <f>INDEX('Commodity Prices'!$D$7:$D$22,MATCH('Metals Model'!$B16,'Commodity Prices'!$B$7:$B$22,0))*L12</f>
        <v>6453789.0625000009</v>
      </c>
      <c r="M16" s="128">
        <f>INDEX('Commodity Prices'!$D$7:$D$22,MATCH('Metals Model'!$B16,'Commodity Prices'!$B$7:$B$22,0))*M12</f>
        <v>6453789.0625000009</v>
      </c>
      <c r="N16" s="128">
        <f>INDEX('Commodity Prices'!$D$7:$D$22,MATCH('Metals Model'!$B16,'Commodity Prices'!$B$7:$B$22,0))*N12</f>
        <v>6453789.0625000009</v>
      </c>
      <c r="O16" s="128">
        <f>INDEX('Commodity Prices'!$D$7:$D$22,MATCH('Metals Model'!$B16,'Commodity Prices'!$B$7:$B$22,0))*O12</f>
        <v>6453789.0625000009</v>
      </c>
      <c r="P16" s="128">
        <f>INDEX('Commodity Prices'!$D$7:$D$22,MATCH('Metals Model'!$B16,'Commodity Prices'!$B$7:$B$22,0))*P12</f>
        <v>6453789.0625000009</v>
      </c>
      <c r="Q16" s="128">
        <f>INDEX('Commodity Prices'!$D$7:$D$22,MATCH('Metals Model'!$B16,'Commodity Prices'!$B$7:$B$22,0))*Q12</f>
        <v>6453789.0625000009</v>
      </c>
      <c r="R16" s="128">
        <f>INDEX('Commodity Prices'!$D$7:$D$22,MATCH('Metals Model'!$B16,'Commodity Prices'!$B$7:$B$22,0))*R12</f>
        <v>6453789.0625000009</v>
      </c>
      <c r="S16" s="128">
        <f>INDEX('Commodity Prices'!$D$7:$D$22,MATCH('Metals Model'!$B16,'Commodity Prices'!$B$7:$B$22,0))*S12</f>
        <v>6453789.0625000009</v>
      </c>
      <c r="T16" s="128">
        <f>INDEX('Commodity Prices'!$D$7:$D$22,MATCH('Metals Model'!$B16,'Commodity Prices'!$B$7:$B$22,0))*T12</f>
        <v>6453789.0625000009</v>
      </c>
      <c r="U16" s="128">
        <f>INDEX('Commodity Prices'!$D$7:$D$22,MATCH('Metals Model'!$B16,'Commodity Prices'!$B$7:$B$22,0))*U12</f>
        <v>6453789.0625000009</v>
      </c>
      <c r="V16" s="128">
        <f>INDEX('Commodity Prices'!$D$7:$D$22,MATCH('Metals Model'!$B16,'Commodity Prices'!$B$7:$B$22,0))*V12</f>
        <v>6453789.0625000009</v>
      </c>
      <c r="W16" s="128">
        <f>INDEX('Commodity Prices'!$D$7:$D$22,MATCH('Metals Model'!$B16,'Commodity Prices'!$B$7:$B$22,0))*W12</f>
        <v>6453789.0625000009</v>
      </c>
      <c r="X16" s="128">
        <f>INDEX('Commodity Prices'!$D$7:$D$22,MATCH('Metals Model'!$B16,'Commodity Prices'!$B$7:$B$22,0))*X12</f>
        <v>6453789.0625000009</v>
      </c>
      <c r="Y16" s="128">
        <f>INDEX('Commodity Prices'!$D$7:$D$22,MATCH('Metals Model'!$B16,'Commodity Prices'!$B$7:$B$22,0))*Y12</f>
        <v>6453789.0625000009</v>
      </c>
      <c r="Z16" s="128">
        <f>INDEX('Commodity Prices'!$D$7:$D$22,MATCH('Metals Model'!$B16,'Commodity Prices'!$B$7:$B$22,0))*Z12</f>
        <v>6453789.0625000009</v>
      </c>
      <c r="AA16" s="128">
        <f>INDEX('Commodity Prices'!$D$7:$D$22,MATCH('Metals Model'!$B16,'Commodity Prices'!$B$7:$B$22,0))*AA12</f>
        <v>6453789.0625000009</v>
      </c>
      <c r="AB16" s="128">
        <f>INDEX('Commodity Prices'!$D$7:$D$22,MATCH('Metals Model'!$B16,'Commodity Prices'!$B$7:$B$22,0))*AB12</f>
        <v>6453789.0625000009</v>
      </c>
      <c r="AC16" s="128">
        <f>INDEX('Commodity Prices'!$D$7:$D$22,MATCH('Metals Model'!$B16,'Commodity Prices'!$B$7:$B$22,0))*AC12</f>
        <v>6453789.0625000009</v>
      </c>
      <c r="AD16" s="128">
        <f>INDEX('Commodity Prices'!$D$7:$D$22,MATCH('Metals Model'!$B16,'Commodity Prices'!$B$7:$B$22,0))*AD12</f>
        <v>6453789.0625000009</v>
      </c>
      <c r="AE16" s="128">
        <f>INDEX('Commodity Prices'!$D$7:$D$22,MATCH('Metals Model'!$B16,'Commodity Prices'!$B$7:$B$22,0))*AE12</f>
        <v>6453789.0625000009</v>
      </c>
      <c r="AF16" s="128">
        <f>INDEX('Commodity Prices'!$D$7:$D$22,MATCH('Metals Model'!$B16,'Commodity Prices'!$B$7:$B$22,0))*AF12</f>
        <v>6453789.0625000009</v>
      </c>
      <c r="AG16" s="128">
        <f>INDEX('Commodity Prices'!$D$7:$D$22,MATCH('Metals Model'!$B16,'Commodity Prices'!$B$7:$B$22,0))*AG12</f>
        <v>6453789.0625000009</v>
      </c>
      <c r="AH16" s="128">
        <f>INDEX('Commodity Prices'!$D$7:$D$22,MATCH('Metals Model'!$B16,'Commodity Prices'!$B$7:$B$22,0))*AH12</f>
        <v>6453789.0625000009</v>
      </c>
      <c r="AI16" s="128">
        <f>INDEX('Commodity Prices'!$D$7:$D$22,MATCH('Metals Model'!$B16,'Commodity Prices'!$B$7:$B$22,0))*AI12</f>
        <v>6453789.0625000009</v>
      </c>
      <c r="AJ16" s="128">
        <f>INDEX('Commodity Prices'!$D$7:$D$22,MATCH('Metals Model'!$B16,'Commodity Prices'!$B$7:$B$22,0))*AJ12</f>
        <v>6453789.0625000009</v>
      </c>
      <c r="AK16" s="128">
        <f>INDEX('Commodity Prices'!$D$7:$D$22,MATCH('Metals Model'!$B16,'Commodity Prices'!$B$7:$B$22,0))*AK12</f>
        <v>6453789.0625000009</v>
      </c>
      <c r="AL16" s="128">
        <f>INDEX('Commodity Prices'!$D$7:$D$22,MATCH('Metals Model'!$B16,'Commodity Prices'!$B$7:$B$22,0))*AL12</f>
        <v>6453789.0625000009</v>
      </c>
      <c r="AM16" s="128">
        <f>INDEX('Commodity Prices'!$D$7:$D$22,MATCH('Metals Model'!$B16,'Commodity Prices'!$B$7:$B$22,0))*AM12</f>
        <v>6453789.0625000009</v>
      </c>
      <c r="AN16" s="128">
        <f>INDEX('Commodity Prices'!$D$7:$D$22,MATCH('Metals Model'!$B16,'Commodity Prices'!$B$7:$B$22,0))*AN12</f>
        <v>6453789.0625000009</v>
      </c>
      <c r="AO16" s="128">
        <f>INDEX('Commodity Prices'!$D$7:$D$22,MATCH('Metals Model'!$B16,'Commodity Prices'!$B$7:$B$22,0))*AO12</f>
        <v>6453789.0625000009</v>
      </c>
      <c r="AP16" s="128">
        <f>INDEX('Commodity Prices'!$D$7:$D$22,MATCH('Metals Model'!$B16,'Commodity Prices'!$B$7:$B$22,0))*AP12</f>
        <v>6453789.0625000009</v>
      </c>
      <c r="AQ16" s="128">
        <f>INDEX('Commodity Prices'!$D$7:$D$22,MATCH('Metals Model'!$B16,'Commodity Prices'!$B$7:$B$22,0))*AQ12</f>
        <v>6453789.0625000009</v>
      </c>
      <c r="AR16" s="128">
        <f>INDEX('Commodity Prices'!$D$7:$D$22,MATCH('Metals Model'!$B16,'Commodity Prices'!$B$7:$B$22,0))*AR12</f>
        <v>6453789.0625000009</v>
      </c>
      <c r="AS16" s="128">
        <f>INDEX('Commodity Prices'!$D$7:$D$22,MATCH('Metals Model'!$B16,'Commodity Prices'!$B$7:$B$22,0))*AS12</f>
        <v>6453789.0625000009</v>
      </c>
      <c r="AT16" s="128">
        <f>INDEX('Commodity Prices'!$D$7:$D$22,MATCH('Metals Model'!$B16,'Commodity Prices'!$B$7:$B$22,0))*AT12</f>
        <v>6453789.0625000009</v>
      </c>
      <c r="AU16" s="128">
        <f>INDEX('Commodity Prices'!$D$7:$D$22,MATCH('Metals Model'!$B16,'Commodity Prices'!$B$7:$B$22,0))*AU12</f>
        <v>6453789.0625000009</v>
      </c>
      <c r="AV16" s="128">
        <f>INDEX('Commodity Prices'!$D$7:$D$22,MATCH('Metals Model'!$B16,'Commodity Prices'!$B$7:$B$22,0))*AV12</f>
        <v>6453789.0625000009</v>
      </c>
      <c r="AW16" s="128">
        <f>INDEX('Commodity Prices'!$D$7:$D$22,MATCH('Metals Model'!$B16,'Commodity Prices'!$B$7:$B$22,0))*AW12</f>
        <v>6453789.0625000009</v>
      </c>
      <c r="AX16" s="128">
        <f>INDEX('Commodity Prices'!$D$7:$D$22,MATCH('Metals Model'!$B16,'Commodity Prices'!$B$7:$B$22,0))*AX12</f>
        <v>6453789.0625000009</v>
      </c>
      <c r="AY16" s="128">
        <f>INDEX('Commodity Prices'!$D$7:$D$22,MATCH('Metals Model'!$B16,'Commodity Prices'!$B$7:$B$22,0))*AY12</f>
        <v>6453789.0625000009</v>
      </c>
      <c r="AZ16" s="128">
        <f>INDEX('Commodity Prices'!$D$7:$D$22,MATCH('Metals Model'!$B16,'Commodity Prices'!$B$7:$B$22,0))*AZ12</f>
        <v>6453789.0625000009</v>
      </c>
      <c r="BA16" s="128">
        <f>INDEX('Commodity Prices'!$D$7:$D$22,MATCH('Metals Model'!$B16,'Commodity Prices'!$B$7:$B$22,0))*BA12</f>
        <v>6453789.0625000009</v>
      </c>
      <c r="BB16" s="128">
        <f>INDEX('Commodity Prices'!$D$7:$D$22,MATCH('Metals Model'!$B16,'Commodity Prices'!$B$7:$B$22,0))*BB12</f>
        <v>6453789.0625000009</v>
      </c>
      <c r="BC16" s="128">
        <f>INDEX('Commodity Prices'!$D$7:$D$22,MATCH('Metals Model'!$B16,'Commodity Prices'!$B$7:$B$22,0))*BC12</f>
        <v>6453789.0625000009</v>
      </c>
      <c r="BD16" s="128">
        <f>INDEX('Commodity Prices'!$D$7:$D$22,MATCH('Metals Model'!$B16,'Commodity Prices'!$B$7:$B$22,0))*BD12</f>
        <v>6453789.0625000009</v>
      </c>
      <c r="BE16" s="128">
        <f>INDEX('Commodity Prices'!$D$7:$D$22,MATCH('Metals Model'!$B16,'Commodity Prices'!$B$7:$B$22,0))*BE12</f>
        <v>6453789.0625000009</v>
      </c>
      <c r="BF16" s="128">
        <f>INDEX('Commodity Prices'!$D$7:$D$22,MATCH('Metals Model'!$B16,'Commodity Prices'!$B$7:$B$22,0))*BF12</f>
        <v>6453789.0625000009</v>
      </c>
      <c r="BG16" s="128">
        <f>INDEX('Commodity Prices'!$D$7:$D$22,MATCH('Metals Model'!$B16,'Commodity Prices'!$B$7:$B$22,0))*BG12</f>
        <v>6453789.0625000009</v>
      </c>
      <c r="BH16" s="128">
        <f>INDEX('Commodity Prices'!$D$7:$D$22,MATCH('Metals Model'!$B16,'Commodity Prices'!$B$7:$B$22,0))*BH12</f>
        <v>6453789.0625000009</v>
      </c>
      <c r="BI16" s="128">
        <f>INDEX('Commodity Prices'!$D$7:$D$22,MATCH('Metals Model'!$B16,'Commodity Prices'!$B$7:$B$22,0))*BI12</f>
        <v>6453789.0625000009</v>
      </c>
      <c r="BJ16" s="128">
        <f>INDEX('Commodity Prices'!$D$7:$D$22,MATCH('Metals Model'!$B16,'Commodity Prices'!$B$7:$B$22,0))*BJ12</f>
        <v>6453789.0625000009</v>
      </c>
      <c r="BK16" s="128">
        <f>INDEX('Commodity Prices'!$D$7:$D$22,MATCH('Metals Model'!$B16,'Commodity Prices'!$B$7:$B$22,0))*BK12</f>
        <v>6453789.0625000009</v>
      </c>
      <c r="BL16" s="128">
        <f>INDEX('Commodity Prices'!$D$7:$D$22,MATCH('Metals Model'!$B16,'Commodity Prices'!$B$7:$B$22,0))*BL12</f>
        <v>6453789.0625000009</v>
      </c>
      <c r="BM16" s="128">
        <f>INDEX('Commodity Prices'!$D$7:$D$22,MATCH('Metals Model'!$B16,'Commodity Prices'!$B$7:$B$22,0))*BM12</f>
        <v>6453789.0625000009</v>
      </c>
      <c r="BN16" s="128">
        <f>INDEX('Commodity Prices'!$D$7:$D$22,MATCH('Metals Model'!$B16,'Commodity Prices'!$B$7:$B$22,0))*BN12</f>
        <v>6453789.0625000009</v>
      </c>
      <c r="BO16" s="128">
        <f>INDEX('Commodity Prices'!$D$7:$D$22,MATCH('Metals Model'!$B16,'Commodity Prices'!$B$7:$B$22,0))*BO12</f>
        <v>6453789.0625000009</v>
      </c>
      <c r="BP16" s="128">
        <f>INDEX('Commodity Prices'!$D$7:$D$22,MATCH('Metals Model'!$B16,'Commodity Prices'!$B$7:$B$22,0))*BP12</f>
        <v>6453789.0625000009</v>
      </c>
      <c r="BQ16" s="128">
        <f>INDEX('Commodity Prices'!$D$7:$D$22,MATCH('Metals Model'!$B16,'Commodity Prices'!$B$7:$B$22,0))*BQ12</f>
        <v>6453789.0625000009</v>
      </c>
      <c r="BR16" s="128">
        <f>INDEX('Commodity Prices'!$D$7:$D$22,MATCH('Metals Model'!$B16,'Commodity Prices'!$B$7:$B$22,0))*BR12</f>
        <v>6453789.0625000009</v>
      </c>
      <c r="BS16" s="128">
        <f>INDEX('Commodity Prices'!$D$7:$D$22,MATCH('Metals Model'!$B16,'Commodity Prices'!$B$7:$B$22,0))*BS12</f>
        <v>6453789.0625000009</v>
      </c>
      <c r="BT16" s="128">
        <f>INDEX('Commodity Prices'!$D$7:$D$22,MATCH('Metals Model'!$B16,'Commodity Prices'!$B$7:$B$22,0))*BT12</f>
        <v>6453789.0625000009</v>
      </c>
      <c r="BU16" s="128">
        <f>INDEX('Commodity Prices'!$D$7:$D$22,MATCH('Metals Model'!$B16,'Commodity Prices'!$B$7:$B$22,0))*BU12</f>
        <v>6453789.0625000009</v>
      </c>
      <c r="BV16" s="128">
        <f>INDEX('Commodity Prices'!$D$7:$D$22,MATCH('Metals Model'!$B16,'Commodity Prices'!$B$7:$B$22,0))*BV12</f>
        <v>6453789.0625000009</v>
      </c>
      <c r="BW16" s="128">
        <f>INDEX('Commodity Prices'!$D$7:$D$22,MATCH('Metals Model'!$B16,'Commodity Prices'!$B$7:$B$22,0))*BW12</f>
        <v>6453789.0625000009</v>
      </c>
      <c r="BX16" s="128">
        <f>INDEX('Commodity Prices'!$D$7:$D$22,MATCH('Metals Model'!$B16,'Commodity Prices'!$B$7:$B$22,0))*BX12</f>
        <v>6453789.0625000009</v>
      </c>
      <c r="BY16" s="128">
        <f>INDEX('Commodity Prices'!$D$7:$D$22,MATCH('Metals Model'!$B16,'Commodity Prices'!$B$7:$B$22,0))*BY12</f>
        <v>6453789.0625000009</v>
      </c>
      <c r="BZ16" s="128">
        <f>INDEX('Commodity Prices'!$D$7:$D$22,MATCH('Metals Model'!$B16,'Commodity Prices'!$B$7:$B$22,0))*BZ12</f>
        <v>6453789.0625000009</v>
      </c>
      <c r="CA16" s="128">
        <f>INDEX('Commodity Prices'!$D$7:$D$22,MATCH('Metals Model'!$B16,'Commodity Prices'!$B$7:$B$22,0))*CA12</f>
        <v>6453789.0625000009</v>
      </c>
      <c r="CB16" s="128">
        <f>INDEX('Commodity Prices'!$D$7:$D$22,MATCH('Metals Model'!$B16,'Commodity Prices'!$B$7:$B$22,0))*CB12</f>
        <v>6453789.0625000009</v>
      </c>
      <c r="CC16" s="128">
        <f>INDEX('Commodity Prices'!$D$7:$D$22,MATCH('Metals Model'!$B16,'Commodity Prices'!$B$7:$B$22,0))*CC12</f>
        <v>6453789.0625000009</v>
      </c>
      <c r="CD16" s="128">
        <f>INDEX('Commodity Prices'!$D$7:$D$22,MATCH('Metals Model'!$B16,'Commodity Prices'!$B$7:$B$22,0))*CD12</f>
        <v>6453789.0625000009</v>
      </c>
      <c r="CE16" s="128">
        <f>INDEX('Commodity Prices'!$D$7:$D$22,MATCH('Metals Model'!$B16,'Commodity Prices'!$B$7:$B$22,0))*CE12</f>
        <v>6453789.0625000009</v>
      </c>
      <c r="CF16" s="128">
        <f>INDEX('Commodity Prices'!$D$7:$D$22,MATCH('Metals Model'!$B16,'Commodity Prices'!$B$7:$B$22,0))*CF12</f>
        <v>6453789.0625000009</v>
      </c>
      <c r="CG16" s="128">
        <f>INDEX('Commodity Prices'!$D$7:$D$22,MATCH('Metals Model'!$B16,'Commodity Prices'!$B$7:$B$22,0))*CG12</f>
        <v>6453789.0625000009</v>
      </c>
      <c r="CH16" s="128">
        <f>INDEX('Commodity Prices'!$D$7:$D$22,MATCH('Metals Model'!$B16,'Commodity Prices'!$B$7:$B$22,0))*CH12</f>
        <v>6453789.0625000009</v>
      </c>
      <c r="CI16" s="128">
        <f>INDEX('Commodity Prices'!$D$7:$D$22,MATCH('Metals Model'!$B16,'Commodity Prices'!$B$7:$B$22,0))*CI12</f>
        <v>6453789.0625000009</v>
      </c>
      <c r="CJ16" s="128">
        <f>INDEX('Commodity Prices'!$D$7:$D$22,MATCH('Metals Model'!$B16,'Commodity Prices'!$B$7:$B$22,0))*CJ12</f>
        <v>6453789.0625000009</v>
      </c>
      <c r="CK16" s="128">
        <f>INDEX('Commodity Prices'!$D$7:$D$22,MATCH('Metals Model'!$B16,'Commodity Prices'!$B$7:$B$22,0))*CK12</f>
        <v>6453789.0625000009</v>
      </c>
      <c r="CL16" s="128">
        <f>INDEX('Commodity Prices'!$D$7:$D$22,MATCH('Metals Model'!$B16,'Commodity Prices'!$B$7:$B$22,0))*CL12</f>
        <v>6453789.0625000009</v>
      </c>
      <c r="CM16" s="128">
        <f>INDEX('Commodity Prices'!$D$7:$D$22,MATCH('Metals Model'!$B16,'Commodity Prices'!$B$7:$B$22,0))*CM12</f>
        <v>6453789.0625000009</v>
      </c>
      <c r="CN16" s="128">
        <f>INDEX('Commodity Prices'!$D$7:$D$22,MATCH('Metals Model'!$B16,'Commodity Prices'!$B$7:$B$22,0))*CN12</f>
        <v>6453789.0625000009</v>
      </c>
      <c r="CO16" s="128">
        <f>INDEX('Commodity Prices'!$D$7:$D$22,MATCH('Metals Model'!$B16,'Commodity Prices'!$B$7:$B$22,0))*CO12</f>
        <v>6453789.0625000009</v>
      </c>
      <c r="CP16" s="128">
        <f>INDEX('Commodity Prices'!$D$7:$D$22,MATCH('Metals Model'!$B16,'Commodity Prices'!$B$7:$B$22,0))*CP12</f>
        <v>6453789.0625000009</v>
      </c>
      <c r="CQ16" s="128">
        <f>INDEX('Commodity Prices'!$D$7:$D$22,MATCH('Metals Model'!$B16,'Commodity Prices'!$B$7:$B$22,0))*CQ12</f>
        <v>6453789.0625000009</v>
      </c>
      <c r="CR16" s="128">
        <f>INDEX('Commodity Prices'!$D$7:$D$22,MATCH('Metals Model'!$B16,'Commodity Prices'!$B$7:$B$22,0))*CR12</f>
        <v>6453789.0625000009</v>
      </c>
      <c r="CS16" s="128">
        <f>INDEX('Commodity Prices'!$D$7:$D$22,MATCH('Metals Model'!$B16,'Commodity Prices'!$B$7:$B$22,0))*CS12</f>
        <v>6453789.0625000009</v>
      </c>
      <c r="CT16" s="128">
        <f>INDEX('Commodity Prices'!$D$7:$D$22,MATCH('Metals Model'!$B16,'Commodity Prices'!$B$7:$B$22,0))*CT12</f>
        <v>6453789.0625000009</v>
      </c>
      <c r="CU16" s="128">
        <f>INDEX('Commodity Prices'!$D$7:$D$22,MATCH('Metals Model'!$B16,'Commodity Prices'!$B$7:$B$22,0))*CU12</f>
        <v>6453789.0625000009</v>
      </c>
      <c r="CV16" s="128">
        <f>INDEX('Commodity Prices'!$D$7:$D$22,MATCH('Metals Model'!$B16,'Commodity Prices'!$B$7:$B$22,0))*CV12</f>
        <v>6453789.0625000009</v>
      </c>
      <c r="CW16" s="128">
        <f>INDEX('Commodity Prices'!$D$7:$D$22,MATCH('Metals Model'!$B16,'Commodity Prices'!$B$7:$B$22,0))*CW12</f>
        <v>6453789.0625000009</v>
      </c>
      <c r="CX16" s="128">
        <f>INDEX('Commodity Prices'!$D$7:$D$22,MATCH('Metals Model'!$B16,'Commodity Prices'!$B$7:$B$22,0))*CX12</f>
        <v>6453789.0625000009</v>
      </c>
      <c r="CY16" s="128">
        <f>INDEX('Commodity Prices'!$D$7:$D$22,MATCH('Metals Model'!$B16,'Commodity Prices'!$B$7:$B$22,0))*CY12</f>
        <v>6453789.0625000009</v>
      </c>
      <c r="CZ16" s="128">
        <f>INDEX('Commodity Prices'!$D$7:$D$22,MATCH('Metals Model'!$B16,'Commodity Prices'!$B$7:$B$22,0))*CZ12</f>
        <v>6453789.0625000009</v>
      </c>
      <c r="DA16" s="128">
        <f>INDEX('Commodity Prices'!$D$7:$D$22,MATCH('Metals Model'!$B16,'Commodity Prices'!$B$7:$B$22,0))*DA12</f>
        <v>6453789.0625000009</v>
      </c>
      <c r="DB16" s="128">
        <f>INDEX('Commodity Prices'!$D$7:$D$22,MATCH('Metals Model'!$B16,'Commodity Prices'!$B$7:$B$22,0))*DB12</f>
        <v>6453789.0625000009</v>
      </c>
      <c r="DC16" s="128">
        <f>INDEX('Commodity Prices'!$D$7:$D$22,MATCH('Metals Model'!$B16,'Commodity Prices'!$B$7:$B$22,0))*DC12</f>
        <v>6453789.0625000009</v>
      </c>
      <c r="DD16" s="128">
        <f>INDEX('Commodity Prices'!$D$7:$D$22,MATCH('Metals Model'!$B16,'Commodity Prices'!$B$7:$B$22,0))*DD12</f>
        <v>6453789.0625000009</v>
      </c>
      <c r="DE16" s="128">
        <f>INDEX('Commodity Prices'!$D$7:$D$22,MATCH('Metals Model'!$B16,'Commodity Prices'!$B$7:$B$22,0))*DE12</f>
        <v>6453789.0625000009</v>
      </c>
      <c r="DF16" s="128">
        <f>INDEX('Commodity Prices'!$D$7:$D$22,MATCH('Metals Model'!$B16,'Commodity Prices'!$B$7:$B$22,0))*DF12</f>
        <v>6453789.0625000009</v>
      </c>
      <c r="DG16" s="128">
        <f>INDEX('Commodity Prices'!$D$7:$D$22,MATCH('Metals Model'!$B16,'Commodity Prices'!$B$7:$B$22,0))*DG12</f>
        <v>6453789.0625000009</v>
      </c>
      <c r="DH16" s="128">
        <f>INDEX('Commodity Prices'!$D$7:$D$22,MATCH('Metals Model'!$B16,'Commodity Prices'!$B$7:$B$22,0))*DH12</f>
        <v>6453789.0625000009</v>
      </c>
      <c r="DI16" s="128">
        <f>INDEX('Commodity Prices'!$D$7:$D$22,MATCH('Metals Model'!$B16,'Commodity Prices'!$B$7:$B$22,0))*DI12</f>
        <v>6453789.0625000009</v>
      </c>
      <c r="DJ16" s="128">
        <f>INDEX('Commodity Prices'!$D$7:$D$22,MATCH('Metals Model'!$B16,'Commodity Prices'!$B$7:$B$22,0))*DJ12</f>
        <v>6453789.0625000009</v>
      </c>
      <c r="DK16" s="128">
        <f>INDEX('Commodity Prices'!$D$7:$D$22,MATCH('Metals Model'!$B16,'Commodity Prices'!$B$7:$B$22,0))*DK12</f>
        <v>6453789.0625000009</v>
      </c>
      <c r="DL16" s="128">
        <f>INDEX('Commodity Prices'!$D$7:$D$22,MATCH('Metals Model'!$B16,'Commodity Prices'!$B$7:$B$22,0))*DL12</f>
        <v>6453789.0625000009</v>
      </c>
      <c r="DM16" s="128">
        <f>INDEX('Commodity Prices'!$D$7:$D$22,MATCH('Metals Model'!$B16,'Commodity Prices'!$B$7:$B$22,0))*DM12</f>
        <v>6453789.0625000009</v>
      </c>
      <c r="DN16" s="128">
        <f>INDEX('Commodity Prices'!$D$7:$D$22,MATCH('Metals Model'!$B16,'Commodity Prices'!$B$7:$B$22,0))*DN12</f>
        <v>6453789.0625000009</v>
      </c>
      <c r="DO16" s="128">
        <f>INDEX('Commodity Prices'!$D$7:$D$22,MATCH('Metals Model'!$B16,'Commodity Prices'!$B$7:$B$22,0))*DO12</f>
        <v>6453789.0625000009</v>
      </c>
      <c r="DP16" s="128">
        <f>INDEX('Commodity Prices'!$D$7:$D$22,MATCH('Metals Model'!$B16,'Commodity Prices'!$B$7:$B$22,0))*DP12</f>
        <v>6453789.0625000009</v>
      </c>
      <c r="DQ16" s="128">
        <f>INDEX('Commodity Prices'!$D$7:$D$22,MATCH('Metals Model'!$B16,'Commodity Prices'!$B$7:$B$22,0))*DQ12</f>
        <v>6453789.0625000009</v>
      </c>
      <c r="DR16" s="128">
        <f>INDEX('Commodity Prices'!$D$7:$D$22,MATCH('Metals Model'!$B16,'Commodity Prices'!$B$7:$B$22,0))*DR12</f>
        <v>6453789.0625000009</v>
      </c>
      <c r="DS16" s="128">
        <f>INDEX('Commodity Prices'!$D$7:$D$22,MATCH('Metals Model'!$B16,'Commodity Prices'!$B$7:$B$22,0))*DS12</f>
        <v>6453789.0625000009</v>
      </c>
      <c r="DT16" s="128">
        <f>INDEX('Commodity Prices'!$D$7:$D$22,MATCH('Metals Model'!$B16,'Commodity Prices'!$B$7:$B$22,0))*DT12</f>
        <v>6453789.0625000009</v>
      </c>
      <c r="DU16" s="128">
        <f>INDEX('Commodity Prices'!$D$7:$D$22,MATCH('Metals Model'!$B16,'Commodity Prices'!$B$7:$B$22,0))*DU12</f>
        <v>6453789.0625000009</v>
      </c>
      <c r="DV16" s="128">
        <f>INDEX('Commodity Prices'!$D$7:$D$22,MATCH('Metals Model'!$B16,'Commodity Prices'!$B$7:$B$22,0))*DV12</f>
        <v>6453789.0625000009</v>
      </c>
      <c r="DW16" s="128">
        <f>INDEX('Commodity Prices'!$D$7:$D$22,MATCH('Metals Model'!$B16,'Commodity Prices'!$B$7:$B$22,0))*DW12</f>
        <v>6453789.0625000009</v>
      </c>
    </row>
    <row r="17" spans="2:127" x14ac:dyDescent="0.3">
      <c r="B17" s="53" t="str">
        <f>+B13</f>
        <v>Copper</v>
      </c>
      <c r="C17" s="128">
        <f>INDEX('Commodity Prices'!$D$7:$D$22,MATCH('Metals Model'!$B17,'Commodity Prices'!$B$7:$B$22,0))*C13</f>
        <v>222680.5208333334</v>
      </c>
      <c r="D17" s="128">
        <f>INDEX('Commodity Prices'!$D$7:$D$22,MATCH('Metals Model'!$B17,'Commodity Prices'!$B$7:$B$22,0))*D13</f>
        <v>222680.5208333334</v>
      </c>
      <c r="E17" s="128">
        <f>INDEX('Commodity Prices'!$D$7:$D$22,MATCH('Metals Model'!$B17,'Commodity Prices'!$B$7:$B$22,0))*E13</f>
        <v>222680.5208333334</v>
      </c>
      <c r="F17" s="128">
        <f>INDEX('Commodity Prices'!$D$7:$D$22,MATCH('Metals Model'!$B17,'Commodity Prices'!$B$7:$B$22,0))*F13</f>
        <v>128044.02823246666</v>
      </c>
      <c r="G17" s="128">
        <f>INDEX('Commodity Prices'!$D$7:$D$22,MATCH('Metals Model'!$B17,'Commodity Prices'!$B$7:$B$22,0))*G13</f>
        <v>800275.1764529167</v>
      </c>
      <c r="H17" s="128">
        <f>INDEX('Commodity Prices'!$D$7:$D$22,MATCH('Metals Model'!$B17,'Commodity Prices'!$B$7:$B$22,0))*H13</f>
        <v>800275.1764529167</v>
      </c>
      <c r="I17" s="128">
        <f>INDEX('Commodity Prices'!$D$7:$D$22,MATCH('Metals Model'!$B17,'Commodity Prices'!$B$7:$B$22,0))*I13</f>
        <v>800275.1764529167</v>
      </c>
      <c r="J17" s="128">
        <f>INDEX('Commodity Prices'!$D$7:$D$22,MATCH('Metals Model'!$B17,'Commodity Prices'!$B$7:$B$22,0))*J13</f>
        <v>800275.1764529167</v>
      </c>
      <c r="K17" s="128">
        <f>INDEX('Commodity Prices'!$D$7:$D$22,MATCH('Metals Model'!$B17,'Commodity Prices'!$B$7:$B$22,0))*K13</f>
        <v>800275.1764529167</v>
      </c>
      <c r="L17" s="128">
        <f>INDEX('Commodity Prices'!$D$7:$D$22,MATCH('Metals Model'!$B17,'Commodity Prices'!$B$7:$B$22,0))*L13</f>
        <v>1600550.3529058334</v>
      </c>
      <c r="M17" s="128">
        <f>INDEX('Commodity Prices'!$D$7:$D$22,MATCH('Metals Model'!$B17,'Commodity Prices'!$B$7:$B$22,0))*M13</f>
        <v>1600550.3529058334</v>
      </c>
      <c r="N17" s="128">
        <f>INDEX('Commodity Prices'!$D$7:$D$22,MATCH('Metals Model'!$B17,'Commodity Prices'!$B$7:$B$22,0))*N13</f>
        <v>1600550.3529058334</v>
      </c>
      <c r="O17" s="128">
        <f>INDEX('Commodity Prices'!$D$7:$D$22,MATCH('Metals Model'!$B17,'Commodity Prices'!$B$7:$B$22,0))*O13</f>
        <v>1600550.3529058334</v>
      </c>
      <c r="P17" s="128">
        <f>INDEX('Commodity Prices'!$D$7:$D$22,MATCH('Metals Model'!$B17,'Commodity Prices'!$B$7:$B$22,0))*P13</f>
        <v>1600550.3529058334</v>
      </c>
      <c r="Q17" s="128">
        <f>INDEX('Commodity Prices'!$D$7:$D$22,MATCH('Metals Model'!$B17,'Commodity Prices'!$B$7:$B$22,0))*Q13</f>
        <v>1600550.3529058334</v>
      </c>
      <c r="R17" s="128">
        <f>INDEX('Commodity Prices'!$D$7:$D$22,MATCH('Metals Model'!$B17,'Commodity Prices'!$B$7:$B$22,0))*R13</f>
        <v>1600550.3529058334</v>
      </c>
      <c r="S17" s="128">
        <f>INDEX('Commodity Prices'!$D$7:$D$22,MATCH('Metals Model'!$B17,'Commodity Prices'!$B$7:$B$22,0))*S13</f>
        <v>1600550.3529058334</v>
      </c>
      <c r="T17" s="128">
        <f>INDEX('Commodity Prices'!$D$7:$D$22,MATCH('Metals Model'!$B17,'Commodity Prices'!$B$7:$B$22,0))*T13</f>
        <v>1600550.3529058334</v>
      </c>
      <c r="U17" s="128">
        <f>INDEX('Commodity Prices'!$D$7:$D$22,MATCH('Metals Model'!$B17,'Commodity Prices'!$B$7:$B$22,0))*U13</f>
        <v>1600550.3529058334</v>
      </c>
      <c r="V17" s="128">
        <f>INDEX('Commodity Prices'!$D$7:$D$22,MATCH('Metals Model'!$B17,'Commodity Prices'!$B$7:$B$22,0))*V13</f>
        <v>1600550.3529058334</v>
      </c>
      <c r="W17" s="128">
        <f>INDEX('Commodity Prices'!$D$7:$D$22,MATCH('Metals Model'!$B17,'Commodity Prices'!$B$7:$B$22,0))*W13</f>
        <v>1600550.3529058334</v>
      </c>
      <c r="X17" s="128">
        <f>INDEX('Commodity Prices'!$D$7:$D$22,MATCH('Metals Model'!$B17,'Commodity Prices'!$B$7:$B$22,0))*X13</f>
        <v>1600550.3529058334</v>
      </c>
      <c r="Y17" s="128">
        <f>INDEX('Commodity Prices'!$D$7:$D$22,MATCH('Metals Model'!$B17,'Commodity Prices'!$B$7:$B$22,0))*Y13</f>
        <v>1600550.3529058334</v>
      </c>
      <c r="Z17" s="128">
        <f>INDEX('Commodity Prices'!$D$7:$D$22,MATCH('Metals Model'!$B17,'Commodity Prices'!$B$7:$B$22,0))*Z13</f>
        <v>1600550.3529058334</v>
      </c>
      <c r="AA17" s="128">
        <f>INDEX('Commodity Prices'!$D$7:$D$22,MATCH('Metals Model'!$B17,'Commodity Prices'!$B$7:$B$22,0))*AA13</f>
        <v>1600550.3529058334</v>
      </c>
      <c r="AB17" s="128">
        <f>INDEX('Commodity Prices'!$D$7:$D$22,MATCH('Metals Model'!$B17,'Commodity Prices'!$B$7:$B$22,0))*AB13</f>
        <v>1600550.3529058334</v>
      </c>
      <c r="AC17" s="128">
        <f>INDEX('Commodity Prices'!$D$7:$D$22,MATCH('Metals Model'!$B17,'Commodity Prices'!$B$7:$B$22,0))*AC13</f>
        <v>1600550.3529058334</v>
      </c>
      <c r="AD17" s="128">
        <f>INDEX('Commodity Prices'!$D$7:$D$22,MATCH('Metals Model'!$B17,'Commodity Prices'!$B$7:$B$22,0))*AD13</f>
        <v>1600550.3529058334</v>
      </c>
      <c r="AE17" s="128">
        <f>INDEX('Commodity Prices'!$D$7:$D$22,MATCH('Metals Model'!$B17,'Commodity Prices'!$B$7:$B$22,0))*AE13</f>
        <v>1600550.3529058334</v>
      </c>
      <c r="AF17" s="128">
        <f>INDEX('Commodity Prices'!$D$7:$D$22,MATCH('Metals Model'!$B17,'Commodity Prices'!$B$7:$B$22,0))*AF13</f>
        <v>1600550.3529058334</v>
      </c>
      <c r="AG17" s="128">
        <f>INDEX('Commodity Prices'!$D$7:$D$22,MATCH('Metals Model'!$B17,'Commodity Prices'!$B$7:$B$22,0))*AG13</f>
        <v>1600550.3529058334</v>
      </c>
      <c r="AH17" s="128">
        <f>INDEX('Commodity Prices'!$D$7:$D$22,MATCH('Metals Model'!$B17,'Commodity Prices'!$B$7:$B$22,0))*AH13</f>
        <v>1600550.3529058334</v>
      </c>
      <c r="AI17" s="128">
        <f>INDEX('Commodity Prices'!$D$7:$D$22,MATCH('Metals Model'!$B17,'Commodity Prices'!$B$7:$B$22,0))*AI13</f>
        <v>1600550.3529058334</v>
      </c>
      <c r="AJ17" s="128">
        <f>INDEX('Commodity Prices'!$D$7:$D$22,MATCH('Metals Model'!$B17,'Commodity Prices'!$B$7:$B$22,0))*AJ13</f>
        <v>1600550.3529058334</v>
      </c>
      <c r="AK17" s="128">
        <f>INDEX('Commodity Prices'!$D$7:$D$22,MATCH('Metals Model'!$B17,'Commodity Prices'!$B$7:$B$22,0))*AK13</f>
        <v>1600550.3529058334</v>
      </c>
      <c r="AL17" s="128">
        <f>INDEX('Commodity Prices'!$D$7:$D$22,MATCH('Metals Model'!$B17,'Commodity Prices'!$B$7:$B$22,0))*AL13</f>
        <v>1600550.3529058334</v>
      </c>
      <c r="AM17" s="128">
        <f>INDEX('Commodity Prices'!$D$7:$D$22,MATCH('Metals Model'!$B17,'Commodity Prices'!$B$7:$B$22,0))*AM13</f>
        <v>1600550.3529058334</v>
      </c>
      <c r="AN17" s="128">
        <f>INDEX('Commodity Prices'!$D$7:$D$22,MATCH('Metals Model'!$B17,'Commodity Prices'!$B$7:$B$22,0))*AN13</f>
        <v>1600550.3529058334</v>
      </c>
      <c r="AO17" s="128">
        <f>INDEX('Commodity Prices'!$D$7:$D$22,MATCH('Metals Model'!$B17,'Commodity Prices'!$B$7:$B$22,0))*AO13</f>
        <v>1600550.3529058334</v>
      </c>
      <c r="AP17" s="128">
        <f>INDEX('Commodity Prices'!$D$7:$D$22,MATCH('Metals Model'!$B17,'Commodity Prices'!$B$7:$B$22,0))*AP13</f>
        <v>1600550.3529058334</v>
      </c>
      <c r="AQ17" s="128">
        <f>INDEX('Commodity Prices'!$D$7:$D$22,MATCH('Metals Model'!$B17,'Commodity Prices'!$B$7:$B$22,0))*AQ13</f>
        <v>1600550.3529058334</v>
      </c>
      <c r="AR17" s="128">
        <f>INDEX('Commodity Prices'!$D$7:$D$22,MATCH('Metals Model'!$B17,'Commodity Prices'!$B$7:$B$22,0))*AR13</f>
        <v>1600550.3529058334</v>
      </c>
      <c r="AS17" s="128">
        <f>INDEX('Commodity Prices'!$D$7:$D$22,MATCH('Metals Model'!$B17,'Commodity Prices'!$B$7:$B$22,0))*AS13</f>
        <v>1600550.3529058334</v>
      </c>
      <c r="AT17" s="128">
        <f>INDEX('Commodity Prices'!$D$7:$D$22,MATCH('Metals Model'!$B17,'Commodity Prices'!$B$7:$B$22,0))*AT13</f>
        <v>1600550.3529058334</v>
      </c>
      <c r="AU17" s="128">
        <f>INDEX('Commodity Prices'!$D$7:$D$22,MATCH('Metals Model'!$B17,'Commodity Prices'!$B$7:$B$22,0))*AU13</f>
        <v>1600550.3529058334</v>
      </c>
      <c r="AV17" s="128">
        <f>INDEX('Commodity Prices'!$D$7:$D$22,MATCH('Metals Model'!$B17,'Commodity Prices'!$B$7:$B$22,0))*AV13</f>
        <v>1600550.3529058334</v>
      </c>
      <c r="AW17" s="128">
        <f>INDEX('Commodity Prices'!$D$7:$D$22,MATCH('Metals Model'!$B17,'Commodity Prices'!$B$7:$B$22,0))*AW13</f>
        <v>1600550.3529058334</v>
      </c>
      <c r="AX17" s="128">
        <f>INDEX('Commodity Prices'!$D$7:$D$22,MATCH('Metals Model'!$B17,'Commodity Prices'!$B$7:$B$22,0))*AX13</f>
        <v>1600550.3529058334</v>
      </c>
      <c r="AY17" s="128">
        <f>INDEX('Commodity Prices'!$D$7:$D$22,MATCH('Metals Model'!$B17,'Commodity Prices'!$B$7:$B$22,0))*AY13</f>
        <v>1600550.3529058334</v>
      </c>
      <c r="AZ17" s="128">
        <f>INDEX('Commodity Prices'!$D$7:$D$22,MATCH('Metals Model'!$B17,'Commodity Prices'!$B$7:$B$22,0))*AZ13</f>
        <v>1600550.3529058334</v>
      </c>
      <c r="BA17" s="128">
        <f>INDEX('Commodity Prices'!$D$7:$D$22,MATCH('Metals Model'!$B17,'Commodity Prices'!$B$7:$B$22,0))*BA13</f>
        <v>1600550.3529058334</v>
      </c>
      <c r="BB17" s="128">
        <f>INDEX('Commodity Prices'!$D$7:$D$22,MATCH('Metals Model'!$B17,'Commodity Prices'!$B$7:$B$22,0))*BB13</f>
        <v>1600550.3529058334</v>
      </c>
      <c r="BC17" s="128">
        <f>INDEX('Commodity Prices'!$D$7:$D$22,MATCH('Metals Model'!$B17,'Commodity Prices'!$B$7:$B$22,0))*BC13</f>
        <v>1600550.3529058334</v>
      </c>
      <c r="BD17" s="128">
        <f>INDEX('Commodity Prices'!$D$7:$D$22,MATCH('Metals Model'!$B17,'Commodity Prices'!$B$7:$B$22,0))*BD13</f>
        <v>1600550.3529058334</v>
      </c>
      <c r="BE17" s="128">
        <f>INDEX('Commodity Prices'!$D$7:$D$22,MATCH('Metals Model'!$B17,'Commodity Prices'!$B$7:$B$22,0))*BE13</f>
        <v>1600550.3529058334</v>
      </c>
      <c r="BF17" s="128">
        <f>INDEX('Commodity Prices'!$D$7:$D$22,MATCH('Metals Model'!$B17,'Commodity Prices'!$B$7:$B$22,0))*BF13</f>
        <v>1600550.3529058334</v>
      </c>
      <c r="BG17" s="128">
        <f>INDEX('Commodity Prices'!$D$7:$D$22,MATCH('Metals Model'!$B17,'Commodity Prices'!$B$7:$B$22,0))*BG13</f>
        <v>1600550.3529058334</v>
      </c>
      <c r="BH17" s="128">
        <f>INDEX('Commodity Prices'!$D$7:$D$22,MATCH('Metals Model'!$B17,'Commodity Prices'!$B$7:$B$22,0))*BH13</f>
        <v>1600550.3529058334</v>
      </c>
      <c r="BI17" s="128">
        <f>INDEX('Commodity Prices'!$D$7:$D$22,MATCH('Metals Model'!$B17,'Commodity Prices'!$B$7:$B$22,0))*BI13</f>
        <v>1600550.3529058334</v>
      </c>
      <c r="BJ17" s="128">
        <f>INDEX('Commodity Prices'!$D$7:$D$22,MATCH('Metals Model'!$B17,'Commodity Prices'!$B$7:$B$22,0))*BJ13</f>
        <v>1600550.3529058334</v>
      </c>
      <c r="BK17" s="128">
        <f>INDEX('Commodity Prices'!$D$7:$D$22,MATCH('Metals Model'!$B17,'Commodity Prices'!$B$7:$B$22,0))*BK13</f>
        <v>1600550.3529058334</v>
      </c>
      <c r="BL17" s="128">
        <f>INDEX('Commodity Prices'!$D$7:$D$22,MATCH('Metals Model'!$B17,'Commodity Prices'!$B$7:$B$22,0))*BL13</f>
        <v>1600550.3529058334</v>
      </c>
      <c r="BM17" s="128">
        <f>INDEX('Commodity Prices'!$D$7:$D$22,MATCH('Metals Model'!$B17,'Commodity Prices'!$B$7:$B$22,0))*BM13</f>
        <v>1600550.3529058334</v>
      </c>
      <c r="BN17" s="128">
        <f>INDEX('Commodity Prices'!$D$7:$D$22,MATCH('Metals Model'!$B17,'Commodity Prices'!$B$7:$B$22,0))*BN13</f>
        <v>1600550.3529058334</v>
      </c>
      <c r="BO17" s="128">
        <f>INDEX('Commodity Prices'!$D$7:$D$22,MATCH('Metals Model'!$B17,'Commodity Prices'!$B$7:$B$22,0))*BO13</f>
        <v>1600550.3529058334</v>
      </c>
      <c r="BP17" s="128">
        <f>INDEX('Commodity Prices'!$D$7:$D$22,MATCH('Metals Model'!$B17,'Commodity Prices'!$B$7:$B$22,0))*BP13</f>
        <v>1600550.3529058334</v>
      </c>
      <c r="BQ17" s="128">
        <f>INDEX('Commodity Prices'!$D$7:$D$22,MATCH('Metals Model'!$B17,'Commodity Prices'!$B$7:$B$22,0))*BQ13</f>
        <v>1600550.3529058334</v>
      </c>
      <c r="BR17" s="128">
        <f>INDEX('Commodity Prices'!$D$7:$D$22,MATCH('Metals Model'!$B17,'Commodity Prices'!$B$7:$B$22,0))*BR13</f>
        <v>1600550.3529058334</v>
      </c>
      <c r="BS17" s="128">
        <f>INDEX('Commodity Prices'!$D$7:$D$22,MATCH('Metals Model'!$B17,'Commodity Prices'!$B$7:$B$22,0))*BS13</f>
        <v>1600550.3529058334</v>
      </c>
      <c r="BT17" s="128">
        <f>INDEX('Commodity Prices'!$D$7:$D$22,MATCH('Metals Model'!$B17,'Commodity Prices'!$B$7:$B$22,0))*BT13</f>
        <v>1600550.3529058334</v>
      </c>
      <c r="BU17" s="128">
        <f>INDEX('Commodity Prices'!$D$7:$D$22,MATCH('Metals Model'!$B17,'Commodity Prices'!$B$7:$B$22,0))*BU13</f>
        <v>1600550.3529058334</v>
      </c>
      <c r="BV17" s="128">
        <f>INDEX('Commodity Prices'!$D$7:$D$22,MATCH('Metals Model'!$B17,'Commodity Prices'!$B$7:$B$22,0))*BV13</f>
        <v>1600550.3529058334</v>
      </c>
      <c r="BW17" s="128">
        <f>INDEX('Commodity Prices'!$D$7:$D$22,MATCH('Metals Model'!$B17,'Commodity Prices'!$B$7:$B$22,0))*BW13</f>
        <v>1600550.3529058334</v>
      </c>
      <c r="BX17" s="128">
        <f>INDEX('Commodity Prices'!$D$7:$D$22,MATCH('Metals Model'!$B17,'Commodity Prices'!$B$7:$B$22,0))*BX13</f>
        <v>1600550.3529058334</v>
      </c>
      <c r="BY17" s="128">
        <f>INDEX('Commodity Prices'!$D$7:$D$22,MATCH('Metals Model'!$B17,'Commodity Prices'!$B$7:$B$22,0))*BY13</f>
        <v>1600550.3529058334</v>
      </c>
      <c r="BZ17" s="128">
        <f>INDEX('Commodity Prices'!$D$7:$D$22,MATCH('Metals Model'!$B17,'Commodity Prices'!$B$7:$B$22,0))*BZ13</f>
        <v>1600550.3529058334</v>
      </c>
      <c r="CA17" s="128">
        <f>INDEX('Commodity Prices'!$D$7:$D$22,MATCH('Metals Model'!$B17,'Commodity Prices'!$B$7:$B$22,0))*CA13</f>
        <v>1600550.3529058334</v>
      </c>
      <c r="CB17" s="128">
        <f>INDEX('Commodity Prices'!$D$7:$D$22,MATCH('Metals Model'!$B17,'Commodity Prices'!$B$7:$B$22,0))*CB13</f>
        <v>1600550.3529058334</v>
      </c>
      <c r="CC17" s="128">
        <f>INDEX('Commodity Prices'!$D$7:$D$22,MATCH('Metals Model'!$B17,'Commodity Prices'!$B$7:$B$22,0))*CC13</f>
        <v>1600550.3529058334</v>
      </c>
      <c r="CD17" s="128">
        <f>INDEX('Commodity Prices'!$D$7:$D$22,MATCH('Metals Model'!$B17,'Commodity Prices'!$B$7:$B$22,0))*CD13</f>
        <v>1600550.3529058334</v>
      </c>
      <c r="CE17" s="128">
        <f>INDEX('Commodity Prices'!$D$7:$D$22,MATCH('Metals Model'!$B17,'Commodity Prices'!$B$7:$B$22,0))*CE13</f>
        <v>1600550.3529058334</v>
      </c>
      <c r="CF17" s="128">
        <f>INDEX('Commodity Prices'!$D$7:$D$22,MATCH('Metals Model'!$B17,'Commodity Prices'!$B$7:$B$22,0))*CF13</f>
        <v>1600550.3529058334</v>
      </c>
      <c r="CG17" s="128">
        <f>INDEX('Commodity Prices'!$D$7:$D$22,MATCH('Metals Model'!$B17,'Commodity Prices'!$B$7:$B$22,0))*CG13</f>
        <v>1600550.3529058334</v>
      </c>
      <c r="CH17" s="128">
        <f>INDEX('Commodity Prices'!$D$7:$D$22,MATCH('Metals Model'!$B17,'Commodity Prices'!$B$7:$B$22,0))*CH13</f>
        <v>1600550.3529058334</v>
      </c>
      <c r="CI17" s="128">
        <f>INDEX('Commodity Prices'!$D$7:$D$22,MATCH('Metals Model'!$B17,'Commodity Prices'!$B$7:$B$22,0))*CI13</f>
        <v>1600550.3529058334</v>
      </c>
      <c r="CJ17" s="128">
        <f>INDEX('Commodity Prices'!$D$7:$D$22,MATCH('Metals Model'!$B17,'Commodity Prices'!$B$7:$B$22,0))*CJ13</f>
        <v>1600550.3529058334</v>
      </c>
      <c r="CK17" s="128">
        <f>INDEX('Commodity Prices'!$D$7:$D$22,MATCH('Metals Model'!$B17,'Commodity Prices'!$B$7:$B$22,0))*CK13</f>
        <v>1600550.3529058334</v>
      </c>
      <c r="CL17" s="128">
        <f>INDEX('Commodity Prices'!$D$7:$D$22,MATCH('Metals Model'!$B17,'Commodity Prices'!$B$7:$B$22,0))*CL13</f>
        <v>1600550.3529058334</v>
      </c>
      <c r="CM17" s="128">
        <f>INDEX('Commodity Prices'!$D$7:$D$22,MATCH('Metals Model'!$B17,'Commodity Prices'!$B$7:$B$22,0))*CM13</f>
        <v>1600550.3529058334</v>
      </c>
      <c r="CN17" s="128">
        <f>INDEX('Commodity Prices'!$D$7:$D$22,MATCH('Metals Model'!$B17,'Commodity Prices'!$B$7:$B$22,0))*CN13</f>
        <v>1600550.3529058334</v>
      </c>
      <c r="CO17" s="128">
        <f>INDEX('Commodity Prices'!$D$7:$D$22,MATCH('Metals Model'!$B17,'Commodity Prices'!$B$7:$B$22,0))*CO13</f>
        <v>1600550.3529058334</v>
      </c>
      <c r="CP17" s="128">
        <f>INDEX('Commodity Prices'!$D$7:$D$22,MATCH('Metals Model'!$B17,'Commodity Prices'!$B$7:$B$22,0))*CP13</f>
        <v>1600550.3529058334</v>
      </c>
      <c r="CQ17" s="128">
        <f>INDEX('Commodity Prices'!$D$7:$D$22,MATCH('Metals Model'!$B17,'Commodity Prices'!$B$7:$B$22,0))*CQ13</f>
        <v>1600550.3529058334</v>
      </c>
      <c r="CR17" s="128">
        <f>INDEX('Commodity Prices'!$D$7:$D$22,MATCH('Metals Model'!$B17,'Commodity Prices'!$B$7:$B$22,0))*CR13</f>
        <v>1600550.3529058334</v>
      </c>
      <c r="CS17" s="128">
        <f>INDEX('Commodity Prices'!$D$7:$D$22,MATCH('Metals Model'!$B17,'Commodity Prices'!$B$7:$B$22,0))*CS13</f>
        <v>1600550.3529058334</v>
      </c>
      <c r="CT17" s="128">
        <f>INDEX('Commodity Prices'!$D$7:$D$22,MATCH('Metals Model'!$B17,'Commodity Prices'!$B$7:$B$22,0))*CT13</f>
        <v>1600550.3529058334</v>
      </c>
      <c r="CU17" s="128">
        <f>INDEX('Commodity Prices'!$D$7:$D$22,MATCH('Metals Model'!$B17,'Commodity Prices'!$B$7:$B$22,0))*CU13</f>
        <v>1600550.3529058334</v>
      </c>
      <c r="CV17" s="128">
        <f>INDEX('Commodity Prices'!$D$7:$D$22,MATCH('Metals Model'!$B17,'Commodity Prices'!$B$7:$B$22,0))*CV13</f>
        <v>1600550.3529058334</v>
      </c>
      <c r="CW17" s="128">
        <f>INDEX('Commodity Prices'!$D$7:$D$22,MATCH('Metals Model'!$B17,'Commodity Prices'!$B$7:$B$22,0))*CW13</f>
        <v>1600550.3529058334</v>
      </c>
      <c r="CX17" s="128">
        <f>INDEX('Commodity Prices'!$D$7:$D$22,MATCH('Metals Model'!$B17,'Commodity Prices'!$B$7:$B$22,0))*CX13</f>
        <v>1600550.3529058334</v>
      </c>
      <c r="CY17" s="128">
        <f>INDEX('Commodity Prices'!$D$7:$D$22,MATCH('Metals Model'!$B17,'Commodity Prices'!$B$7:$B$22,0))*CY13</f>
        <v>1600550.3529058334</v>
      </c>
      <c r="CZ17" s="128">
        <f>INDEX('Commodity Prices'!$D$7:$D$22,MATCH('Metals Model'!$B17,'Commodity Prices'!$B$7:$B$22,0))*CZ13</f>
        <v>1600550.3529058334</v>
      </c>
      <c r="DA17" s="128">
        <f>INDEX('Commodity Prices'!$D$7:$D$22,MATCH('Metals Model'!$B17,'Commodity Prices'!$B$7:$B$22,0))*DA13</f>
        <v>1600550.3529058334</v>
      </c>
      <c r="DB17" s="128">
        <f>INDEX('Commodity Prices'!$D$7:$D$22,MATCH('Metals Model'!$B17,'Commodity Prices'!$B$7:$B$22,0))*DB13</f>
        <v>1600550.3529058334</v>
      </c>
      <c r="DC17" s="128">
        <f>INDEX('Commodity Prices'!$D$7:$D$22,MATCH('Metals Model'!$B17,'Commodity Prices'!$B$7:$B$22,0))*DC13</f>
        <v>1600550.3529058334</v>
      </c>
      <c r="DD17" s="128">
        <f>INDEX('Commodity Prices'!$D$7:$D$22,MATCH('Metals Model'!$B17,'Commodity Prices'!$B$7:$B$22,0))*DD13</f>
        <v>1600550.3529058334</v>
      </c>
      <c r="DE17" s="128">
        <f>INDEX('Commodity Prices'!$D$7:$D$22,MATCH('Metals Model'!$B17,'Commodity Prices'!$B$7:$B$22,0))*DE13</f>
        <v>1600550.3529058334</v>
      </c>
      <c r="DF17" s="128">
        <f>INDEX('Commodity Prices'!$D$7:$D$22,MATCH('Metals Model'!$B17,'Commodity Prices'!$B$7:$B$22,0))*DF13</f>
        <v>1600550.3529058334</v>
      </c>
      <c r="DG17" s="128">
        <f>INDEX('Commodity Prices'!$D$7:$D$22,MATCH('Metals Model'!$B17,'Commodity Prices'!$B$7:$B$22,0))*DG13</f>
        <v>1600550.3529058334</v>
      </c>
      <c r="DH17" s="128">
        <f>INDEX('Commodity Prices'!$D$7:$D$22,MATCH('Metals Model'!$B17,'Commodity Prices'!$B$7:$B$22,0))*DH13</f>
        <v>1600550.3529058334</v>
      </c>
      <c r="DI17" s="128">
        <f>INDEX('Commodity Prices'!$D$7:$D$22,MATCH('Metals Model'!$B17,'Commodity Prices'!$B$7:$B$22,0))*DI13</f>
        <v>1600550.3529058334</v>
      </c>
      <c r="DJ17" s="128">
        <f>INDEX('Commodity Prices'!$D$7:$D$22,MATCH('Metals Model'!$B17,'Commodity Prices'!$B$7:$B$22,0))*DJ13</f>
        <v>1600550.3529058334</v>
      </c>
      <c r="DK17" s="128">
        <f>INDEX('Commodity Prices'!$D$7:$D$22,MATCH('Metals Model'!$B17,'Commodity Prices'!$B$7:$B$22,0))*DK13</f>
        <v>1600550.3529058334</v>
      </c>
      <c r="DL17" s="128">
        <f>INDEX('Commodity Prices'!$D$7:$D$22,MATCH('Metals Model'!$B17,'Commodity Prices'!$B$7:$B$22,0))*DL13</f>
        <v>1600550.3529058334</v>
      </c>
      <c r="DM17" s="128">
        <f>INDEX('Commodity Prices'!$D$7:$D$22,MATCH('Metals Model'!$B17,'Commodity Prices'!$B$7:$B$22,0))*DM13</f>
        <v>1600550.3529058334</v>
      </c>
      <c r="DN17" s="128">
        <f>INDEX('Commodity Prices'!$D$7:$D$22,MATCH('Metals Model'!$B17,'Commodity Prices'!$B$7:$B$22,0))*DN13</f>
        <v>1600550.3529058334</v>
      </c>
      <c r="DO17" s="128">
        <f>INDEX('Commodity Prices'!$D$7:$D$22,MATCH('Metals Model'!$B17,'Commodity Prices'!$B$7:$B$22,0))*DO13</f>
        <v>1600550.3529058334</v>
      </c>
      <c r="DP17" s="128">
        <f>INDEX('Commodity Prices'!$D$7:$D$22,MATCH('Metals Model'!$B17,'Commodity Prices'!$B$7:$B$22,0))*DP13</f>
        <v>1600550.3529058334</v>
      </c>
      <c r="DQ17" s="128">
        <f>INDEX('Commodity Prices'!$D$7:$D$22,MATCH('Metals Model'!$B17,'Commodity Prices'!$B$7:$B$22,0))*DQ13</f>
        <v>1600550.3529058334</v>
      </c>
      <c r="DR17" s="128">
        <f>INDEX('Commodity Prices'!$D$7:$D$22,MATCH('Metals Model'!$B17,'Commodity Prices'!$B$7:$B$22,0))*DR13</f>
        <v>1600550.3529058334</v>
      </c>
      <c r="DS17" s="128">
        <f>INDEX('Commodity Prices'!$D$7:$D$22,MATCH('Metals Model'!$B17,'Commodity Prices'!$B$7:$B$22,0))*DS13</f>
        <v>1600550.3529058334</v>
      </c>
      <c r="DT17" s="128">
        <f>INDEX('Commodity Prices'!$D$7:$D$22,MATCH('Metals Model'!$B17,'Commodity Prices'!$B$7:$B$22,0))*DT13</f>
        <v>1600550.3529058334</v>
      </c>
      <c r="DU17" s="128">
        <f>INDEX('Commodity Prices'!$D$7:$D$22,MATCH('Metals Model'!$B17,'Commodity Prices'!$B$7:$B$22,0))*DU13</f>
        <v>1600550.3529058334</v>
      </c>
      <c r="DV17" s="128">
        <f>INDEX('Commodity Prices'!$D$7:$D$22,MATCH('Metals Model'!$B17,'Commodity Prices'!$B$7:$B$22,0))*DV13</f>
        <v>1600550.3529058334</v>
      </c>
      <c r="DW17" s="128">
        <f>INDEX('Commodity Prices'!$D$7:$D$22,MATCH('Metals Model'!$B17,'Commodity Prices'!$B$7:$B$22,0))*DW13</f>
        <v>1600550.3529058334</v>
      </c>
    </row>
    <row r="18" spans="2:127" x14ac:dyDescent="0.3"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0"/>
      <c r="DV18" s="120"/>
      <c r="DW18" s="120"/>
    </row>
    <row r="19" spans="2:127" x14ac:dyDescent="0.3">
      <c r="B19" s="65" t="s">
        <v>198</v>
      </c>
    </row>
    <row r="20" spans="2:127" x14ac:dyDescent="0.3">
      <c r="B20" s="123" t="s">
        <v>18</v>
      </c>
      <c r="C20" s="124">
        <f>EOMONTH(Assumptions!C4,Assumptions!C6)+1</f>
        <v>46327</v>
      </c>
      <c r="D20" s="124">
        <f>EOMONTH(C20,1)</f>
        <v>46387</v>
      </c>
      <c r="E20" s="124">
        <f t="shared" ref="E20:BP20" si="1">EOMONTH(D20,1)</f>
        <v>46418</v>
      </c>
      <c r="F20" s="124">
        <f t="shared" si="1"/>
        <v>46446</v>
      </c>
      <c r="G20" s="124">
        <f t="shared" si="1"/>
        <v>46477</v>
      </c>
      <c r="H20" s="124">
        <f t="shared" si="1"/>
        <v>46507</v>
      </c>
      <c r="I20" s="124">
        <f t="shared" si="1"/>
        <v>46538</v>
      </c>
      <c r="J20" s="124">
        <f t="shared" si="1"/>
        <v>46568</v>
      </c>
      <c r="K20" s="124">
        <f t="shared" si="1"/>
        <v>46599</v>
      </c>
      <c r="L20" s="124">
        <f t="shared" si="1"/>
        <v>46630</v>
      </c>
      <c r="M20" s="124">
        <f t="shared" si="1"/>
        <v>46660</v>
      </c>
      <c r="N20" s="124">
        <f t="shared" si="1"/>
        <v>46691</v>
      </c>
      <c r="O20" s="124">
        <f t="shared" si="1"/>
        <v>46721</v>
      </c>
      <c r="P20" s="124">
        <f t="shared" si="1"/>
        <v>46752</v>
      </c>
      <c r="Q20" s="124">
        <f t="shared" si="1"/>
        <v>46783</v>
      </c>
      <c r="R20" s="124">
        <f t="shared" si="1"/>
        <v>46812</v>
      </c>
      <c r="S20" s="124">
        <f t="shared" si="1"/>
        <v>46843</v>
      </c>
      <c r="T20" s="124">
        <f t="shared" si="1"/>
        <v>46873</v>
      </c>
      <c r="U20" s="124">
        <f t="shared" si="1"/>
        <v>46904</v>
      </c>
      <c r="V20" s="124">
        <f t="shared" si="1"/>
        <v>46934</v>
      </c>
      <c r="W20" s="124">
        <f t="shared" si="1"/>
        <v>46965</v>
      </c>
      <c r="X20" s="124">
        <f t="shared" si="1"/>
        <v>46996</v>
      </c>
      <c r="Y20" s="124">
        <f t="shared" si="1"/>
        <v>47026</v>
      </c>
      <c r="Z20" s="124">
        <f t="shared" si="1"/>
        <v>47057</v>
      </c>
      <c r="AA20" s="124">
        <f t="shared" si="1"/>
        <v>47087</v>
      </c>
      <c r="AB20" s="124">
        <f t="shared" si="1"/>
        <v>47118</v>
      </c>
      <c r="AC20" s="124">
        <f t="shared" si="1"/>
        <v>47149</v>
      </c>
      <c r="AD20" s="124">
        <f t="shared" si="1"/>
        <v>47177</v>
      </c>
      <c r="AE20" s="124">
        <f t="shared" si="1"/>
        <v>47208</v>
      </c>
      <c r="AF20" s="124">
        <f t="shared" si="1"/>
        <v>47238</v>
      </c>
      <c r="AG20" s="124">
        <f t="shared" si="1"/>
        <v>47269</v>
      </c>
      <c r="AH20" s="124">
        <f t="shared" si="1"/>
        <v>47299</v>
      </c>
      <c r="AI20" s="124">
        <f t="shared" si="1"/>
        <v>47330</v>
      </c>
      <c r="AJ20" s="124">
        <f t="shared" si="1"/>
        <v>47361</v>
      </c>
      <c r="AK20" s="124">
        <f t="shared" si="1"/>
        <v>47391</v>
      </c>
      <c r="AL20" s="124">
        <f t="shared" si="1"/>
        <v>47422</v>
      </c>
      <c r="AM20" s="124">
        <f t="shared" si="1"/>
        <v>47452</v>
      </c>
      <c r="AN20" s="124">
        <f t="shared" si="1"/>
        <v>47483</v>
      </c>
      <c r="AO20" s="124">
        <f t="shared" si="1"/>
        <v>47514</v>
      </c>
      <c r="AP20" s="124">
        <f t="shared" si="1"/>
        <v>47542</v>
      </c>
      <c r="AQ20" s="124">
        <f t="shared" si="1"/>
        <v>47573</v>
      </c>
      <c r="AR20" s="124">
        <f t="shared" si="1"/>
        <v>47603</v>
      </c>
      <c r="AS20" s="124">
        <f t="shared" si="1"/>
        <v>47634</v>
      </c>
      <c r="AT20" s="124">
        <f t="shared" si="1"/>
        <v>47664</v>
      </c>
      <c r="AU20" s="124">
        <f t="shared" si="1"/>
        <v>47695</v>
      </c>
      <c r="AV20" s="124">
        <f t="shared" si="1"/>
        <v>47726</v>
      </c>
      <c r="AW20" s="124">
        <f t="shared" si="1"/>
        <v>47756</v>
      </c>
      <c r="AX20" s="124">
        <f t="shared" si="1"/>
        <v>47787</v>
      </c>
      <c r="AY20" s="124">
        <f t="shared" si="1"/>
        <v>47817</v>
      </c>
      <c r="AZ20" s="124">
        <f t="shared" si="1"/>
        <v>47848</v>
      </c>
      <c r="BA20" s="124">
        <f t="shared" si="1"/>
        <v>47879</v>
      </c>
      <c r="BB20" s="124">
        <f t="shared" si="1"/>
        <v>47907</v>
      </c>
      <c r="BC20" s="124">
        <f t="shared" si="1"/>
        <v>47938</v>
      </c>
      <c r="BD20" s="124">
        <f t="shared" si="1"/>
        <v>47968</v>
      </c>
      <c r="BE20" s="124">
        <f t="shared" si="1"/>
        <v>47999</v>
      </c>
      <c r="BF20" s="124">
        <f t="shared" si="1"/>
        <v>48029</v>
      </c>
      <c r="BG20" s="124">
        <f t="shared" si="1"/>
        <v>48060</v>
      </c>
      <c r="BH20" s="124">
        <f t="shared" si="1"/>
        <v>48091</v>
      </c>
      <c r="BI20" s="124">
        <f t="shared" si="1"/>
        <v>48121</v>
      </c>
      <c r="BJ20" s="124">
        <f t="shared" si="1"/>
        <v>48152</v>
      </c>
      <c r="BK20" s="124">
        <f t="shared" si="1"/>
        <v>48182</v>
      </c>
      <c r="BL20" s="124">
        <f t="shared" si="1"/>
        <v>48213</v>
      </c>
      <c r="BM20" s="124">
        <f t="shared" si="1"/>
        <v>48244</v>
      </c>
      <c r="BN20" s="124">
        <f t="shared" si="1"/>
        <v>48273</v>
      </c>
      <c r="BO20" s="124">
        <f t="shared" si="1"/>
        <v>48304</v>
      </c>
      <c r="BP20" s="124">
        <f t="shared" si="1"/>
        <v>48334</v>
      </c>
      <c r="BQ20" s="124">
        <f t="shared" ref="BQ20:DW20" si="2">EOMONTH(BP20,1)</f>
        <v>48365</v>
      </c>
      <c r="BR20" s="124">
        <f t="shared" si="2"/>
        <v>48395</v>
      </c>
      <c r="BS20" s="124">
        <f t="shared" si="2"/>
        <v>48426</v>
      </c>
      <c r="BT20" s="124">
        <f t="shared" si="2"/>
        <v>48457</v>
      </c>
      <c r="BU20" s="124">
        <f t="shared" si="2"/>
        <v>48487</v>
      </c>
      <c r="BV20" s="124">
        <f t="shared" si="2"/>
        <v>48518</v>
      </c>
      <c r="BW20" s="124">
        <f t="shared" si="2"/>
        <v>48548</v>
      </c>
      <c r="BX20" s="124">
        <f t="shared" si="2"/>
        <v>48579</v>
      </c>
      <c r="BY20" s="124">
        <f t="shared" si="2"/>
        <v>48610</v>
      </c>
      <c r="BZ20" s="124">
        <f t="shared" si="2"/>
        <v>48638</v>
      </c>
      <c r="CA20" s="124">
        <f t="shared" si="2"/>
        <v>48669</v>
      </c>
      <c r="CB20" s="124">
        <f t="shared" si="2"/>
        <v>48699</v>
      </c>
      <c r="CC20" s="124">
        <f t="shared" si="2"/>
        <v>48730</v>
      </c>
      <c r="CD20" s="124">
        <f t="shared" si="2"/>
        <v>48760</v>
      </c>
      <c r="CE20" s="124">
        <f t="shared" si="2"/>
        <v>48791</v>
      </c>
      <c r="CF20" s="124">
        <f t="shared" si="2"/>
        <v>48822</v>
      </c>
      <c r="CG20" s="124">
        <f t="shared" si="2"/>
        <v>48852</v>
      </c>
      <c r="CH20" s="124">
        <f t="shared" si="2"/>
        <v>48883</v>
      </c>
      <c r="CI20" s="124">
        <f t="shared" si="2"/>
        <v>48913</v>
      </c>
      <c r="CJ20" s="124">
        <f t="shared" si="2"/>
        <v>48944</v>
      </c>
      <c r="CK20" s="124">
        <f t="shared" si="2"/>
        <v>48975</v>
      </c>
      <c r="CL20" s="124">
        <f t="shared" si="2"/>
        <v>49003</v>
      </c>
      <c r="CM20" s="124">
        <f t="shared" si="2"/>
        <v>49034</v>
      </c>
      <c r="CN20" s="124">
        <f t="shared" si="2"/>
        <v>49064</v>
      </c>
      <c r="CO20" s="124">
        <f t="shared" si="2"/>
        <v>49095</v>
      </c>
      <c r="CP20" s="124">
        <f t="shared" si="2"/>
        <v>49125</v>
      </c>
      <c r="CQ20" s="124">
        <f t="shared" si="2"/>
        <v>49156</v>
      </c>
      <c r="CR20" s="124">
        <f t="shared" si="2"/>
        <v>49187</v>
      </c>
      <c r="CS20" s="124">
        <f t="shared" si="2"/>
        <v>49217</v>
      </c>
      <c r="CT20" s="124">
        <f t="shared" si="2"/>
        <v>49248</v>
      </c>
      <c r="CU20" s="124">
        <f t="shared" si="2"/>
        <v>49278</v>
      </c>
      <c r="CV20" s="124">
        <f t="shared" si="2"/>
        <v>49309</v>
      </c>
      <c r="CW20" s="124">
        <f t="shared" si="2"/>
        <v>49340</v>
      </c>
      <c r="CX20" s="124">
        <f t="shared" si="2"/>
        <v>49368</v>
      </c>
      <c r="CY20" s="124">
        <f t="shared" si="2"/>
        <v>49399</v>
      </c>
      <c r="CZ20" s="124">
        <f t="shared" si="2"/>
        <v>49429</v>
      </c>
      <c r="DA20" s="124">
        <f t="shared" si="2"/>
        <v>49460</v>
      </c>
      <c r="DB20" s="124">
        <f t="shared" si="2"/>
        <v>49490</v>
      </c>
      <c r="DC20" s="124">
        <f t="shared" si="2"/>
        <v>49521</v>
      </c>
      <c r="DD20" s="124">
        <f t="shared" si="2"/>
        <v>49552</v>
      </c>
      <c r="DE20" s="124">
        <f t="shared" si="2"/>
        <v>49582</v>
      </c>
      <c r="DF20" s="124">
        <f t="shared" si="2"/>
        <v>49613</v>
      </c>
      <c r="DG20" s="124">
        <f t="shared" si="2"/>
        <v>49643</v>
      </c>
      <c r="DH20" s="124">
        <f t="shared" si="2"/>
        <v>49674</v>
      </c>
      <c r="DI20" s="124">
        <f t="shared" si="2"/>
        <v>49705</v>
      </c>
      <c r="DJ20" s="124">
        <f t="shared" si="2"/>
        <v>49734</v>
      </c>
      <c r="DK20" s="124">
        <f t="shared" si="2"/>
        <v>49765</v>
      </c>
      <c r="DL20" s="124">
        <f t="shared" si="2"/>
        <v>49795</v>
      </c>
      <c r="DM20" s="124">
        <f t="shared" si="2"/>
        <v>49826</v>
      </c>
      <c r="DN20" s="124">
        <f t="shared" si="2"/>
        <v>49856</v>
      </c>
      <c r="DO20" s="124">
        <f t="shared" si="2"/>
        <v>49887</v>
      </c>
      <c r="DP20" s="124">
        <f t="shared" si="2"/>
        <v>49918</v>
      </c>
      <c r="DQ20" s="124">
        <f t="shared" si="2"/>
        <v>49948</v>
      </c>
      <c r="DR20" s="124">
        <f t="shared" si="2"/>
        <v>49979</v>
      </c>
      <c r="DS20" s="124">
        <f t="shared" si="2"/>
        <v>50009</v>
      </c>
      <c r="DT20" s="124">
        <f t="shared" si="2"/>
        <v>50040</v>
      </c>
      <c r="DU20" s="124">
        <f t="shared" si="2"/>
        <v>50071</v>
      </c>
      <c r="DV20" s="124">
        <f t="shared" si="2"/>
        <v>50099</v>
      </c>
      <c r="DW20" s="124">
        <f t="shared" si="2"/>
        <v>50130</v>
      </c>
    </row>
    <row r="21" spans="2:127" x14ac:dyDescent="0.3">
      <c r="B21" s="53" t="s">
        <v>200</v>
      </c>
      <c r="C21" s="120">
        <f t="shared" ref="C21:AH21" si="3">SUM(C16:C17)</f>
        <v>1238386.7708333335</v>
      </c>
      <c r="D21" s="120">
        <f t="shared" si="3"/>
        <v>1238386.7708333335</v>
      </c>
      <c r="E21" s="120">
        <f t="shared" si="3"/>
        <v>1238386.7708333335</v>
      </c>
      <c r="F21" s="120">
        <f t="shared" si="3"/>
        <v>644347.15323246678</v>
      </c>
      <c r="G21" s="120">
        <f t="shared" si="3"/>
        <v>4027169.707702917</v>
      </c>
      <c r="H21" s="120">
        <f t="shared" si="3"/>
        <v>4027169.707702917</v>
      </c>
      <c r="I21" s="120">
        <f t="shared" si="3"/>
        <v>4027169.707702917</v>
      </c>
      <c r="J21" s="120">
        <f t="shared" si="3"/>
        <v>4027169.707702917</v>
      </c>
      <c r="K21" s="120">
        <f t="shared" si="3"/>
        <v>4027169.707702917</v>
      </c>
      <c r="L21" s="120">
        <f t="shared" si="3"/>
        <v>8054339.4154058341</v>
      </c>
      <c r="M21" s="120">
        <f t="shared" si="3"/>
        <v>8054339.4154058341</v>
      </c>
      <c r="N21" s="120">
        <f t="shared" si="3"/>
        <v>8054339.4154058341</v>
      </c>
      <c r="O21" s="120">
        <f t="shared" si="3"/>
        <v>8054339.4154058341</v>
      </c>
      <c r="P21" s="120">
        <f t="shared" si="3"/>
        <v>8054339.4154058341</v>
      </c>
      <c r="Q21" s="120">
        <f t="shared" si="3"/>
        <v>8054339.4154058341</v>
      </c>
      <c r="R21" s="120">
        <f t="shared" si="3"/>
        <v>8054339.4154058341</v>
      </c>
      <c r="S21" s="120">
        <f t="shared" si="3"/>
        <v>8054339.4154058341</v>
      </c>
      <c r="T21" s="120">
        <f t="shared" si="3"/>
        <v>8054339.4154058341</v>
      </c>
      <c r="U21" s="120">
        <f t="shared" si="3"/>
        <v>8054339.4154058341</v>
      </c>
      <c r="V21" s="120">
        <f t="shared" si="3"/>
        <v>8054339.4154058341</v>
      </c>
      <c r="W21" s="120">
        <f t="shared" si="3"/>
        <v>8054339.4154058341</v>
      </c>
      <c r="X21" s="120">
        <f t="shared" si="3"/>
        <v>8054339.4154058341</v>
      </c>
      <c r="Y21" s="120">
        <f t="shared" si="3"/>
        <v>8054339.4154058341</v>
      </c>
      <c r="Z21" s="120">
        <f t="shared" si="3"/>
        <v>8054339.4154058341</v>
      </c>
      <c r="AA21" s="120">
        <f t="shared" si="3"/>
        <v>8054339.4154058341</v>
      </c>
      <c r="AB21" s="120">
        <f t="shared" si="3"/>
        <v>8054339.4154058341</v>
      </c>
      <c r="AC21" s="120">
        <f t="shared" si="3"/>
        <v>8054339.4154058341</v>
      </c>
      <c r="AD21" s="120">
        <f t="shared" si="3"/>
        <v>8054339.4154058341</v>
      </c>
      <c r="AE21" s="120">
        <f t="shared" si="3"/>
        <v>8054339.4154058341</v>
      </c>
      <c r="AF21" s="120">
        <f t="shared" si="3"/>
        <v>8054339.4154058341</v>
      </c>
      <c r="AG21" s="120">
        <f t="shared" si="3"/>
        <v>8054339.4154058341</v>
      </c>
      <c r="AH21" s="120">
        <f t="shared" si="3"/>
        <v>8054339.4154058341</v>
      </c>
      <c r="AI21" s="120">
        <f t="shared" ref="AI21:BN21" si="4">SUM(AI16:AI17)</f>
        <v>8054339.4154058341</v>
      </c>
      <c r="AJ21" s="120">
        <f t="shared" si="4"/>
        <v>8054339.4154058341</v>
      </c>
      <c r="AK21" s="120">
        <f t="shared" si="4"/>
        <v>8054339.4154058341</v>
      </c>
      <c r="AL21" s="120">
        <f t="shared" si="4"/>
        <v>8054339.4154058341</v>
      </c>
      <c r="AM21" s="120">
        <f t="shared" si="4"/>
        <v>8054339.4154058341</v>
      </c>
      <c r="AN21" s="120">
        <f t="shared" si="4"/>
        <v>8054339.4154058341</v>
      </c>
      <c r="AO21" s="120">
        <f t="shared" si="4"/>
        <v>8054339.4154058341</v>
      </c>
      <c r="AP21" s="120">
        <f t="shared" si="4"/>
        <v>8054339.4154058341</v>
      </c>
      <c r="AQ21" s="120">
        <f t="shared" si="4"/>
        <v>8054339.4154058341</v>
      </c>
      <c r="AR21" s="120">
        <f t="shared" si="4"/>
        <v>8054339.4154058341</v>
      </c>
      <c r="AS21" s="120">
        <f t="shared" si="4"/>
        <v>8054339.4154058341</v>
      </c>
      <c r="AT21" s="120">
        <f t="shared" si="4"/>
        <v>8054339.4154058341</v>
      </c>
      <c r="AU21" s="120">
        <f t="shared" si="4"/>
        <v>8054339.4154058341</v>
      </c>
      <c r="AV21" s="120">
        <f t="shared" si="4"/>
        <v>8054339.4154058341</v>
      </c>
      <c r="AW21" s="120">
        <f t="shared" si="4"/>
        <v>8054339.4154058341</v>
      </c>
      <c r="AX21" s="120">
        <f t="shared" si="4"/>
        <v>8054339.4154058341</v>
      </c>
      <c r="AY21" s="120">
        <f t="shared" si="4"/>
        <v>8054339.4154058341</v>
      </c>
      <c r="AZ21" s="120">
        <f t="shared" si="4"/>
        <v>8054339.4154058341</v>
      </c>
      <c r="BA21" s="120">
        <f t="shared" si="4"/>
        <v>8054339.4154058341</v>
      </c>
      <c r="BB21" s="120">
        <f t="shared" si="4"/>
        <v>8054339.4154058341</v>
      </c>
      <c r="BC21" s="120">
        <f t="shared" si="4"/>
        <v>8054339.4154058341</v>
      </c>
      <c r="BD21" s="120">
        <f t="shared" si="4"/>
        <v>8054339.4154058341</v>
      </c>
      <c r="BE21" s="120">
        <f t="shared" si="4"/>
        <v>8054339.4154058341</v>
      </c>
      <c r="BF21" s="120">
        <f t="shared" si="4"/>
        <v>8054339.4154058341</v>
      </c>
      <c r="BG21" s="120">
        <f t="shared" si="4"/>
        <v>8054339.4154058341</v>
      </c>
      <c r="BH21" s="120">
        <f t="shared" si="4"/>
        <v>8054339.4154058341</v>
      </c>
      <c r="BI21" s="120">
        <f t="shared" si="4"/>
        <v>8054339.4154058341</v>
      </c>
      <c r="BJ21" s="120">
        <f t="shared" si="4"/>
        <v>8054339.4154058341</v>
      </c>
      <c r="BK21" s="120">
        <f t="shared" si="4"/>
        <v>8054339.4154058341</v>
      </c>
      <c r="BL21" s="120">
        <f t="shared" si="4"/>
        <v>8054339.4154058341</v>
      </c>
      <c r="BM21" s="120">
        <f t="shared" si="4"/>
        <v>8054339.4154058341</v>
      </c>
      <c r="BN21" s="120">
        <f t="shared" si="4"/>
        <v>8054339.4154058341</v>
      </c>
      <c r="BO21" s="120">
        <f t="shared" ref="BO21:CT21" si="5">SUM(BO16:BO17)</f>
        <v>8054339.4154058341</v>
      </c>
      <c r="BP21" s="120">
        <f t="shared" si="5"/>
        <v>8054339.4154058341</v>
      </c>
      <c r="BQ21" s="120">
        <f t="shared" si="5"/>
        <v>8054339.4154058341</v>
      </c>
      <c r="BR21" s="120">
        <f t="shared" si="5"/>
        <v>8054339.4154058341</v>
      </c>
      <c r="BS21" s="120">
        <f t="shared" si="5"/>
        <v>8054339.4154058341</v>
      </c>
      <c r="BT21" s="120">
        <f t="shared" si="5"/>
        <v>8054339.4154058341</v>
      </c>
      <c r="BU21" s="120">
        <f t="shared" si="5"/>
        <v>8054339.4154058341</v>
      </c>
      <c r="BV21" s="120">
        <f t="shared" si="5"/>
        <v>8054339.4154058341</v>
      </c>
      <c r="BW21" s="120">
        <f t="shared" si="5"/>
        <v>8054339.4154058341</v>
      </c>
      <c r="BX21" s="120">
        <f t="shared" si="5"/>
        <v>8054339.4154058341</v>
      </c>
      <c r="BY21" s="120">
        <f t="shared" si="5"/>
        <v>8054339.4154058341</v>
      </c>
      <c r="BZ21" s="120">
        <f t="shared" si="5"/>
        <v>8054339.4154058341</v>
      </c>
      <c r="CA21" s="120">
        <f t="shared" si="5"/>
        <v>8054339.4154058341</v>
      </c>
      <c r="CB21" s="120">
        <f t="shared" si="5"/>
        <v>8054339.4154058341</v>
      </c>
      <c r="CC21" s="120">
        <f t="shared" si="5"/>
        <v>8054339.4154058341</v>
      </c>
      <c r="CD21" s="120">
        <f t="shared" si="5"/>
        <v>8054339.4154058341</v>
      </c>
      <c r="CE21" s="120">
        <f t="shared" si="5"/>
        <v>8054339.4154058341</v>
      </c>
      <c r="CF21" s="120">
        <f t="shared" si="5"/>
        <v>8054339.4154058341</v>
      </c>
      <c r="CG21" s="120">
        <f t="shared" si="5"/>
        <v>8054339.4154058341</v>
      </c>
      <c r="CH21" s="120">
        <f t="shared" si="5"/>
        <v>8054339.4154058341</v>
      </c>
      <c r="CI21" s="120">
        <f t="shared" si="5"/>
        <v>8054339.4154058341</v>
      </c>
      <c r="CJ21" s="120">
        <f t="shared" si="5"/>
        <v>8054339.4154058341</v>
      </c>
      <c r="CK21" s="120">
        <f t="shared" si="5"/>
        <v>8054339.4154058341</v>
      </c>
      <c r="CL21" s="120">
        <f t="shared" si="5"/>
        <v>8054339.4154058341</v>
      </c>
      <c r="CM21" s="120">
        <f t="shared" si="5"/>
        <v>8054339.4154058341</v>
      </c>
      <c r="CN21" s="120">
        <f t="shared" si="5"/>
        <v>8054339.4154058341</v>
      </c>
      <c r="CO21" s="120">
        <f t="shared" si="5"/>
        <v>8054339.4154058341</v>
      </c>
      <c r="CP21" s="120">
        <f t="shared" si="5"/>
        <v>8054339.4154058341</v>
      </c>
      <c r="CQ21" s="120">
        <f t="shared" si="5"/>
        <v>8054339.4154058341</v>
      </c>
      <c r="CR21" s="120">
        <f t="shared" si="5"/>
        <v>8054339.4154058341</v>
      </c>
      <c r="CS21" s="120">
        <f t="shared" si="5"/>
        <v>8054339.4154058341</v>
      </c>
      <c r="CT21" s="120">
        <f t="shared" si="5"/>
        <v>8054339.4154058341</v>
      </c>
      <c r="CU21" s="120">
        <f t="shared" ref="CU21:DW21" si="6">SUM(CU16:CU17)</f>
        <v>8054339.4154058341</v>
      </c>
      <c r="CV21" s="120">
        <f t="shared" si="6"/>
        <v>8054339.4154058341</v>
      </c>
      <c r="CW21" s="120">
        <f t="shared" si="6"/>
        <v>8054339.4154058341</v>
      </c>
      <c r="CX21" s="120">
        <f t="shared" si="6"/>
        <v>8054339.4154058341</v>
      </c>
      <c r="CY21" s="120">
        <f t="shared" si="6"/>
        <v>8054339.4154058341</v>
      </c>
      <c r="CZ21" s="120">
        <f t="shared" si="6"/>
        <v>8054339.4154058341</v>
      </c>
      <c r="DA21" s="120">
        <f t="shared" si="6"/>
        <v>8054339.4154058341</v>
      </c>
      <c r="DB21" s="120">
        <f t="shared" si="6"/>
        <v>8054339.4154058341</v>
      </c>
      <c r="DC21" s="120">
        <f t="shared" si="6"/>
        <v>8054339.4154058341</v>
      </c>
      <c r="DD21" s="120">
        <f t="shared" si="6"/>
        <v>8054339.4154058341</v>
      </c>
      <c r="DE21" s="120">
        <f t="shared" si="6"/>
        <v>8054339.4154058341</v>
      </c>
      <c r="DF21" s="120">
        <f t="shared" si="6"/>
        <v>8054339.4154058341</v>
      </c>
      <c r="DG21" s="120">
        <f t="shared" si="6"/>
        <v>8054339.4154058341</v>
      </c>
      <c r="DH21" s="120">
        <f t="shared" si="6"/>
        <v>8054339.4154058341</v>
      </c>
      <c r="DI21" s="120">
        <f t="shared" si="6"/>
        <v>8054339.4154058341</v>
      </c>
      <c r="DJ21" s="120">
        <f t="shared" si="6"/>
        <v>8054339.4154058341</v>
      </c>
      <c r="DK21" s="120">
        <f t="shared" si="6"/>
        <v>8054339.4154058341</v>
      </c>
      <c r="DL21" s="120">
        <f t="shared" si="6"/>
        <v>8054339.4154058341</v>
      </c>
      <c r="DM21" s="120">
        <f t="shared" si="6"/>
        <v>8054339.4154058341</v>
      </c>
      <c r="DN21" s="120">
        <f t="shared" si="6"/>
        <v>8054339.4154058341</v>
      </c>
      <c r="DO21" s="120">
        <f t="shared" si="6"/>
        <v>8054339.4154058341</v>
      </c>
      <c r="DP21" s="120">
        <f t="shared" si="6"/>
        <v>8054339.4154058341</v>
      </c>
      <c r="DQ21" s="120">
        <f t="shared" si="6"/>
        <v>8054339.4154058341</v>
      </c>
      <c r="DR21" s="120">
        <f t="shared" si="6"/>
        <v>8054339.4154058341</v>
      </c>
      <c r="DS21" s="120">
        <f t="shared" si="6"/>
        <v>8054339.4154058341</v>
      </c>
      <c r="DT21" s="120">
        <f t="shared" si="6"/>
        <v>8054339.4154058341</v>
      </c>
      <c r="DU21" s="120">
        <f t="shared" si="6"/>
        <v>8054339.4154058341</v>
      </c>
      <c r="DV21" s="120">
        <f t="shared" si="6"/>
        <v>8054339.4154058341</v>
      </c>
      <c r="DW21" s="120">
        <f t="shared" si="6"/>
        <v>8054339.4154058341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6811-83F6-4A84-8B00-892D85C2506C}">
  <sheetPr>
    <tabColor theme="8"/>
  </sheetPr>
  <dimension ref="B1:DW43"/>
  <sheetViews>
    <sheetView showGridLines="0" workbookViewId="0">
      <selection activeCell="B1" sqref="B1"/>
    </sheetView>
  </sheetViews>
  <sheetFormatPr defaultRowHeight="15" x14ac:dyDescent="0.3"/>
  <cols>
    <col min="1" max="1" width="1.7109375" style="53" customWidth="1"/>
    <col min="2" max="2" width="26.7109375" style="53" bestFit="1" customWidth="1"/>
    <col min="3" max="5" width="11" style="53" bestFit="1" customWidth="1"/>
    <col min="6" max="6" width="9.5703125" style="53" bestFit="1" customWidth="1"/>
    <col min="7" max="11" width="11" style="53" bestFit="1" customWidth="1"/>
    <col min="12" max="127" width="12" style="53" bestFit="1" customWidth="1"/>
    <col min="128" max="16384" width="9.140625" style="53"/>
  </cols>
  <sheetData>
    <row r="1" spans="2:11" s="84" customFormat="1" x14ac:dyDescent="0.3">
      <c r="B1" s="188" t="s">
        <v>300</v>
      </c>
    </row>
    <row r="2" spans="2:11" s="84" customFormat="1" ht="18" x14ac:dyDescent="0.35">
      <c r="B2" s="91" t="s">
        <v>224</v>
      </c>
      <c r="C2" s="83"/>
      <c r="D2" s="83"/>
      <c r="E2" s="83"/>
      <c r="F2" s="83"/>
      <c r="G2" s="83"/>
      <c r="H2" s="90"/>
      <c r="I2" s="90"/>
      <c r="J2" s="90"/>
      <c r="K2" s="90"/>
    </row>
    <row r="4" spans="2:11" x14ac:dyDescent="0.3">
      <c r="B4" s="74" t="s">
        <v>1</v>
      </c>
      <c r="C4" s="74" t="s">
        <v>216</v>
      </c>
      <c r="D4" s="74"/>
      <c r="E4" s="74"/>
    </row>
    <row r="5" spans="2:11" x14ac:dyDescent="0.3">
      <c r="B5" s="53" t="str">
        <f>+Assumptions!B59</f>
        <v>Germanium</v>
      </c>
      <c r="C5" s="69">
        <f>+Assumptions!E59</f>
        <v>7.6299999999999998E-5</v>
      </c>
      <c r="D5" s="125"/>
      <c r="E5" s="126"/>
    </row>
    <row r="6" spans="2:11" x14ac:dyDescent="0.3">
      <c r="B6" s="53" t="str">
        <f>+Assumptions!B60</f>
        <v>Hafnium</v>
      </c>
      <c r="C6" s="69">
        <f>+Assumptions!E60</f>
        <v>5.4599999999999992E-5</v>
      </c>
      <c r="D6" s="69"/>
      <c r="E6" s="126"/>
    </row>
    <row r="7" spans="2:11" x14ac:dyDescent="0.3">
      <c r="B7" s="53" t="str">
        <f>+Assumptions!B61</f>
        <v>Gallium</v>
      </c>
      <c r="C7" s="69">
        <f>+Assumptions!E61</f>
        <v>6.0000000000000008E-5</v>
      </c>
      <c r="D7" s="69"/>
      <c r="E7" s="126"/>
    </row>
    <row r="8" spans="2:11" x14ac:dyDescent="0.3">
      <c r="B8" s="53" t="str">
        <f>+Assumptions!B62</f>
        <v>indium</v>
      </c>
      <c r="C8" s="69">
        <f>+Assumptions!E62</f>
        <v>2.7759999999999997E-4</v>
      </c>
      <c r="D8" s="69"/>
      <c r="E8" s="126"/>
    </row>
    <row r="9" spans="2:11" x14ac:dyDescent="0.3">
      <c r="B9" s="53" t="str">
        <f>+Assumptions!B63</f>
        <v>Tellurium</v>
      </c>
      <c r="C9" s="69">
        <f>+Assumptions!E63</f>
        <v>6.9699999999999992E-4</v>
      </c>
      <c r="D9" s="69"/>
      <c r="E9" s="126"/>
    </row>
    <row r="10" spans="2:11" x14ac:dyDescent="0.3">
      <c r="B10" s="53" t="str">
        <f>+Assumptions!B64</f>
        <v>Cadmium</v>
      </c>
      <c r="C10" s="69">
        <f>+Assumptions!E64</f>
        <v>3.5E-4</v>
      </c>
      <c r="D10" s="69"/>
      <c r="E10" s="126"/>
    </row>
    <row r="11" spans="2:11" x14ac:dyDescent="0.3">
      <c r="B11" s="53" t="str">
        <f>+Assumptions!B65</f>
        <v>Nickel</v>
      </c>
      <c r="C11" s="69">
        <f>+Assumptions!E65</f>
        <v>5.4599999999999992E-5</v>
      </c>
      <c r="D11" s="69"/>
      <c r="E11" s="126"/>
    </row>
    <row r="12" spans="2:11" x14ac:dyDescent="0.3">
      <c r="B12" s="53" t="str">
        <f>+Assumptions!B66</f>
        <v>Cobalt</v>
      </c>
      <c r="C12" s="69">
        <f>+Assumptions!E66</f>
        <v>1.2179999999999999E-4</v>
      </c>
      <c r="D12" s="69"/>
      <c r="E12" s="126"/>
    </row>
    <row r="13" spans="2:11" x14ac:dyDescent="0.3">
      <c r="B13" s="53" t="str">
        <f>+Assumptions!B67</f>
        <v>Magnesium</v>
      </c>
      <c r="C13" s="69">
        <f>+Assumptions!E67</f>
        <v>3.4999999999999996E-3</v>
      </c>
      <c r="D13" s="69"/>
      <c r="E13" s="126"/>
    </row>
    <row r="14" spans="2:11" x14ac:dyDescent="0.3">
      <c r="B14" s="53" t="str">
        <f>+Assumptions!B68</f>
        <v>Rubidium</v>
      </c>
      <c r="C14" s="69">
        <f>+Assumptions!E68</f>
        <v>3.15E-5</v>
      </c>
      <c r="D14" s="69"/>
      <c r="E14" s="126"/>
    </row>
    <row r="16" spans="2:11" x14ac:dyDescent="0.3">
      <c r="B16" s="65" t="s">
        <v>207</v>
      </c>
    </row>
    <row r="17" spans="2:127" x14ac:dyDescent="0.3">
      <c r="B17" s="185" t="s">
        <v>172</v>
      </c>
      <c r="C17" s="185">
        <f>IF(C42&lt;=Assumptions!$F$12, Assumptions!$D$12, IF(C42&lt;=Assumptions!$F$13, Assumptions!$D$13, Assumptions!$D$14))</f>
        <v>40</v>
      </c>
      <c r="D17" s="185">
        <f>IF(D42&lt;=Assumptions!$F$12, Assumptions!$D$12, IF(D42&lt;=Assumptions!$F$13, Assumptions!$D$13, Assumptions!$D$14))</f>
        <v>40</v>
      </c>
      <c r="E17" s="185">
        <f>IF(E42&lt;=Assumptions!$F$12, Assumptions!$D$12, IF(E42&lt;=Assumptions!$F$13, Assumptions!$D$13, Assumptions!$D$14))</f>
        <v>40</v>
      </c>
      <c r="F17" s="185">
        <f>IF(F42&lt;=Assumptions!$F$12, Assumptions!$D$12, IF(F42&lt;=Assumptions!$F$13, Assumptions!$D$13, Assumptions!$D$14))</f>
        <v>40</v>
      </c>
      <c r="G17" s="185">
        <f>IF(G42&lt;=Assumptions!$F$12, Assumptions!$D$12, IF(G42&lt;=Assumptions!$F$13, Assumptions!$D$13, Assumptions!$D$14))</f>
        <v>250</v>
      </c>
      <c r="H17" s="185">
        <f>IF(H42&lt;=Assumptions!$F$12, Assumptions!$D$12, IF(H42&lt;=Assumptions!$F$13, Assumptions!$D$13, Assumptions!$D$14))</f>
        <v>250</v>
      </c>
      <c r="I17" s="185">
        <f>IF(I42&lt;=Assumptions!$F$12, Assumptions!$D$12, IF(I42&lt;=Assumptions!$F$13, Assumptions!$D$13, Assumptions!$D$14))</f>
        <v>250</v>
      </c>
      <c r="J17" s="185">
        <f>IF(J42&lt;=Assumptions!$F$12, Assumptions!$D$12, IF(J42&lt;=Assumptions!$F$13, Assumptions!$D$13, Assumptions!$D$14))</f>
        <v>250</v>
      </c>
      <c r="K17" s="185">
        <f>IF(K42&lt;=Assumptions!$F$12, Assumptions!$D$12, IF(K42&lt;=Assumptions!$F$13, Assumptions!$D$13, Assumptions!$D$14))</f>
        <v>250</v>
      </c>
      <c r="L17" s="185">
        <f>IF(L42&lt;=Assumptions!$F$12, Assumptions!$D$12, IF(L42&lt;=Assumptions!$F$13, Assumptions!$D$13, Assumptions!$D$14))</f>
        <v>500</v>
      </c>
      <c r="M17" s="185">
        <f>IF(M42&lt;=Assumptions!$F$12, Assumptions!$D$12, IF(M42&lt;=Assumptions!$F$13, Assumptions!$D$13, Assumptions!$D$14))</f>
        <v>500</v>
      </c>
      <c r="N17" s="185">
        <f>IF(N42&lt;=Assumptions!$F$12, Assumptions!$D$12, IF(N42&lt;=Assumptions!$F$13, Assumptions!$D$13, Assumptions!$D$14))</f>
        <v>500</v>
      </c>
      <c r="O17" s="185">
        <f>IF(O42&lt;=Assumptions!$F$12, Assumptions!$D$12, IF(O42&lt;=Assumptions!$F$13, Assumptions!$D$13, Assumptions!$D$14))</f>
        <v>500</v>
      </c>
      <c r="P17" s="185">
        <f>IF(P42&lt;=Assumptions!$F$12, Assumptions!$D$12, IF(P42&lt;=Assumptions!$F$13, Assumptions!$D$13, Assumptions!$D$14))</f>
        <v>500</v>
      </c>
      <c r="Q17" s="185">
        <f>IF(Q42&lt;=Assumptions!$F$12, Assumptions!$D$12, IF(Q42&lt;=Assumptions!$F$13, Assumptions!$D$13, Assumptions!$D$14))</f>
        <v>500</v>
      </c>
      <c r="R17" s="185">
        <f>IF(R42&lt;=Assumptions!$F$12, Assumptions!$D$12, IF(R42&lt;=Assumptions!$F$13, Assumptions!$D$13, Assumptions!$D$14))</f>
        <v>500</v>
      </c>
      <c r="S17" s="185">
        <f>IF(S42&lt;=Assumptions!$F$12, Assumptions!$D$12, IF(S42&lt;=Assumptions!$F$13, Assumptions!$D$13, Assumptions!$D$14))</f>
        <v>500</v>
      </c>
      <c r="T17" s="185">
        <f>IF(T42&lt;=Assumptions!$F$12, Assumptions!$D$12, IF(T42&lt;=Assumptions!$F$13, Assumptions!$D$13, Assumptions!$D$14))</f>
        <v>500</v>
      </c>
      <c r="U17" s="185">
        <f>IF(U42&lt;=Assumptions!$F$12, Assumptions!$D$12, IF(U42&lt;=Assumptions!$F$13, Assumptions!$D$13, Assumptions!$D$14))</f>
        <v>500</v>
      </c>
      <c r="V17" s="185">
        <f>IF(V42&lt;=Assumptions!$F$12, Assumptions!$D$12, IF(V42&lt;=Assumptions!$F$13, Assumptions!$D$13, Assumptions!$D$14))</f>
        <v>500</v>
      </c>
      <c r="W17" s="185">
        <f>IF(W42&lt;=Assumptions!$F$12, Assumptions!$D$12, IF(W42&lt;=Assumptions!$F$13, Assumptions!$D$13, Assumptions!$D$14))</f>
        <v>500</v>
      </c>
      <c r="X17" s="185">
        <f>IF(X42&lt;=Assumptions!$F$12, Assumptions!$D$12, IF(X42&lt;=Assumptions!$F$13, Assumptions!$D$13, Assumptions!$D$14))</f>
        <v>500</v>
      </c>
      <c r="Y17" s="185">
        <f>IF(Y42&lt;=Assumptions!$F$12, Assumptions!$D$12, IF(Y42&lt;=Assumptions!$F$13, Assumptions!$D$13, Assumptions!$D$14))</f>
        <v>500</v>
      </c>
      <c r="Z17" s="185">
        <f>IF(Z42&lt;=Assumptions!$F$12, Assumptions!$D$12, IF(Z42&lt;=Assumptions!$F$13, Assumptions!$D$13, Assumptions!$D$14))</f>
        <v>500</v>
      </c>
      <c r="AA17" s="185">
        <f>IF(AA42&lt;=Assumptions!$F$12, Assumptions!$D$12, IF(AA42&lt;=Assumptions!$F$13, Assumptions!$D$13, Assumptions!$D$14))</f>
        <v>500</v>
      </c>
      <c r="AB17" s="185">
        <f>IF(AB42&lt;=Assumptions!$F$12, Assumptions!$D$12, IF(AB42&lt;=Assumptions!$F$13, Assumptions!$D$13, Assumptions!$D$14))</f>
        <v>500</v>
      </c>
      <c r="AC17" s="185">
        <f>IF(AC42&lt;=Assumptions!$F$12, Assumptions!$D$12, IF(AC42&lt;=Assumptions!$F$13, Assumptions!$D$13, Assumptions!$D$14))</f>
        <v>500</v>
      </c>
      <c r="AD17" s="185">
        <f>IF(AD42&lt;=Assumptions!$F$12, Assumptions!$D$12, IF(AD42&lt;=Assumptions!$F$13, Assumptions!$D$13, Assumptions!$D$14))</f>
        <v>500</v>
      </c>
      <c r="AE17" s="185">
        <f>IF(AE42&lt;=Assumptions!$F$12, Assumptions!$D$12, IF(AE42&lt;=Assumptions!$F$13, Assumptions!$D$13, Assumptions!$D$14))</f>
        <v>500</v>
      </c>
      <c r="AF17" s="185">
        <f>IF(AF42&lt;=Assumptions!$F$12, Assumptions!$D$12, IF(AF42&lt;=Assumptions!$F$13, Assumptions!$D$13, Assumptions!$D$14))</f>
        <v>500</v>
      </c>
      <c r="AG17" s="185">
        <f>IF(AG42&lt;=Assumptions!$F$12, Assumptions!$D$12, IF(AG42&lt;=Assumptions!$F$13, Assumptions!$D$13, Assumptions!$D$14))</f>
        <v>500</v>
      </c>
      <c r="AH17" s="185">
        <f>IF(AH42&lt;=Assumptions!$F$12, Assumptions!$D$12, IF(AH42&lt;=Assumptions!$F$13, Assumptions!$D$13, Assumptions!$D$14))</f>
        <v>500</v>
      </c>
      <c r="AI17" s="185">
        <f>IF(AI42&lt;=Assumptions!$F$12, Assumptions!$D$12, IF(AI42&lt;=Assumptions!$F$13, Assumptions!$D$13, Assumptions!$D$14))</f>
        <v>500</v>
      </c>
      <c r="AJ17" s="185">
        <f>IF(AJ42&lt;=Assumptions!$F$12, Assumptions!$D$12, IF(AJ42&lt;=Assumptions!$F$13, Assumptions!$D$13, Assumptions!$D$14))</f>
        <v>500</v>
      </c>
      <c r="AK17" s="185">
        <f>IF(AK42&lt;=Assumptions!$F$12, Assumptions!$D$12, IF(AK42&lt;=Assumptions!$F$13, Assumptions!$D$13, Assumptions!$D$14))</f>
        <v>500</v>
      </c>
      <c r="AL17" s="185">
        <f>IF(AL42&lt;=Assumptions!$F$12, Assumptions!$D$12, IF(AL42&lt;=Assumptions!$F$13, Assumptions!$D$13, Assumptions!$D$14))</f>
        <v>500</v>
      </c>
      <c r="AM17" s="185">
        <f>IF(AM42&lt;=Assumptions!$F$12, Assumptions!$D$12, IF(AM42&lt;=Assumptions!$F$13, Assumptions!$D$13, Assumptions!$D$14))</f>
        <v>500</v>
      </c>
      <c r="AN17" s="185">
        <f>IF(AN42&lt;=Assumptions!$F$12, Assumptions!$D$12, IF(AN42&lt;=Assumptions!$F$13, Assumptions!$D$13, Assumptions!$D$14))</f>
        <v>500</v>
      </c>
      <c r="AO17" s="185">
        <f>IF(AO42&lt;=Assumptions!$F$12, Assumptions!$D$12, IF(AO42&lt;=Assumptions!$F$13, Assumptions!$D$13, Assumptions!$D$14))</f>
        <v>500</v>
      </c>
      <c r="AP17" s="185">
        <f>IF(AP42&lt;=Assumptions!$F$12, Assumptions!$D$12, IF(AP42&lt;=Assumptions!$F$13, Assumptions!$D$13, Assumptions!$D$14))</f>
        <v>500</v>
      </c>
      <c r="AQ17" s="185">
        <f>IF(AQ42&lt;=Assumptions!$F$12, Assumptions!$D$12, IF(AQ42&lt;=Assumptions!$F$13, Assumptions!$D$13, Assumptions!$D$14))</f>
        <v>500</v>
      </c>
      <c r="AR17" s="185">
        <f>IF(AR42&lt;=Assumptions!$F$12, Assumptions!$D$12, IF(AR42&lt;=Assumptions!$F$13, Assumptions!$D$13, Assumptions!$D$14))</f>
        <v>500</v>
      </c>
      <c r="AS17" s="185">
        <f>IF(AS42&lt;=Assumptions!$F$12, Assumptions!$D$12, IF(AS42&lt;=Assumptions!$F$13, Assumptions!$D$13, Assumptions!$D$14))</f>
        <v>500</v>
      </c>
      <c r="AT17" s="185">
        <f>IF(AT42&lt;=Assumptions!$F$12, Assumptions!$D$12, IF(AT42&lt;=Assumptions!$F$13, Assumptions!$D$13, Assumptions!$D$14))</f>
        <v>500</v>
      </c>
      <c r="AU17" s="185">
        <f>IF(AU42&lt;=Assumptions!$F$12, Assumptions!$D$12, IF(AU42&lt;=Assumptions!$F$13, Assumptions!$D$13, Assumptions!$D$14))</f>
        <v>500</v>
      </c>
      <c r="AV17" s="185">
        <f>IF(AV42&lt;=Assumptions!$F$12, Assumptions!$D$12, IF(AV42&lt;=Assumptions!$F$13, Assumptions!$D$13, Assumptions!$D$14))</f>
        <v>500</v>
      </c>
      <c r="AW17" s="185">
        <f>IF(AW42&lt;=Assumptions!$F$12, Assumptions!$D$12, IF(AW42&lt;=Assumptions!$F$13, Assumptions!$D$13, Assumptions!$D$14))</f>
        <v>500</v>
      </c>
      <c r="AX17" s="185">
        <f>IF(AX42&lt;=Assumptions!$F$12, Assumptions!$D$12, IF(AX42&lt;=Assumptions!$F$13, Assumptions!$D$13, Assumptions!$D$14))</f>
        <v>500</v>
      </c>
      <c r="AY17" s="185">
        <f>IF(AY42&lt;=Assumptions!$F$12, Assumptions!$D$12, IF(AY42&lt;=Assumptions!$F$13, Assumptions!$D$13, Assumptions!$D$14))</f>
        <v>500</v>
      </c>
      <c r="AZ17" s="185">
        <f>IF(AZ42&lt;=Assumptions!$F$12, Assumptions!$D$12, IF(AZ42&lt;=Assumptions!$F$13, Assumptions!$D$13, Assumptions!$D$14))</f>
        <v>500</v>
      </c>
      <c r="BA17" s="185">
        <f>IF(BA42&lt;=Assumptions!$F$12, Assumptions!$D$12, IF(BA42&lt;=Assumptions!$F$13, Assumptions!$D$13, Assumptions!$D$14))</f>
        <v>500</v>
      </c>
      <c r="BB17" s="185">
        <f>IF(BB42&lt;=Assumptions!$F$12, Assumptions!$D$12, IF(BB42&lt;=Assumptions!$F$13, Assumptions!$D$13, Assumptions!$D$14))</f>
        <v>500</v>
      </c>
      <c r="BC17" s="185">
        <f>IF(BC42&lt;=Assumptions!$F$12, Assumptions!$D$12, IF(BC42&lt;=Assumptions!$F$13, Assumptions!$D$13, Assumptions!$D$14))</f>
        <v>500</v>
      </c>
      <c r="BD17" s="185">
        <f>IF(BD42&lt;=Assumptions!$F$12, Assumptions!$D$12, IF(BD42&lt;=Assumptions!$F$13, Assumptions!$D$13, Assumptions!$D$14))</f>
        <v>500</v>
      </c>
      <c r="BE17" s="185">
        <f>IF(BE42&lt;=Assumptions!$F$12, Assumptions!$D$12, IF(BE42&lt;=Assumptions!$F$13, Assumptions!$D$13, Assumptions!$D$14))</f>
        <v>500</v>
      </c>
      <c r="BF17" s="185">
        <f>IF(BF42&lt;=Assumptions!$F$12, Assumptions!$D$12, IF(BF42&lt;=Assumptions!$F$13, Assumptions!$D$13, Assumptions!$D$14))</f>
        <v>500</v>
      </c>
      <c r="BG17" s="185">
        <f>IF(BG42&lt;=Assumptions!$F$12, Assumptions!$D$12, IF(BG42&lt;=Assumptions!$F$13, Assumptions!$D$13, Assumptions!$D$14))</f>
        <v>500</v>
      </c>
      <c r="BH17" s="185">
        <f>IF(BH42&lt;=Assumptions!$F$12, Assumptions!$D$12, IF(BH42&lt;=Assumptions!$F$13, Assumptions!$D$13, Assumptions!$D$14))</f>
        <v>500</v>
      </c>
      <c r="BI17" s="185">
        <f>IF(BI42&lt;=Assumptions!$F$12, Assumptions!$D$12, IF(BI42&lt;=Assumptions!$F$13, Assumptions!$D$13, Assumptions!$D$14))</f>
        <v>500</v>
      </c>
      <c r="BJ17" s="185">
        <f>IF(BJ42&lt;=Assumptions!$F$12, Assumptions!$D$12, IF(BJ42&lt;=Assumptions!$F$13, Assumptions!$D$13, Assumptions!$D$14))</f>
        <v>500</v>
      </c>
      <c r="BK17" s="185">
        <f>IF(BK42&lt;=Assumptions!$F$12, Assumptions!$D$12, IF(BK42&lt;=Assumptions!$F$13, Assumptions!$D$13, Assumptions!$D$14))</f>
        <v>500</v>
      </c>
      <c r="BL17" s="185">
        <f>IF(BL42&lt;=Assumptions!$F$12, Assumptions!$D$12, IF(BL42&lt;=Assumptions!$F$13, Assumptions!$D$13, Assumptions!$D$14))</f>
        <v>500</v>
      </c>
      <c r="BM17" s="185">
        <f>IF(BM42&lt;=Assumptions!$F$12, Assumptions!$D$12, IF(BM42&lt;=Assumptions!$F$13, Assumptions!$D$13, Assumptions!$D$14))</f>
        <v>500</v>
      </c>
      <c r="BN17" s="185">
        <f>IF(BN42&lt;=Assumptions!$F$12, Assumptions!$D$12, IF(BN42&lt;=Assumptions!$F$13, Assumptions!$D$13, Assumptions!$D$14))</f>
        <v>500</v>
      </c>
      <c r="BO17" s="185">
        <f>IF(BO42&lt;=Assumptions!$F$12, Assumptions!$D$12, IF(BO42&lt;=Assumptions!$F$13, Assumptions!$D$13, Assumptions!$D$14))</f>
        <v>500</v>
      </c>
      <c r="BP17" s="185">
        <f>IF(BP42&lt;=Assumptions!$F$12, Assumptions!$D$12, IF(BP42&lt;=Assumptions!$F$13, Assumptions!$D$13, Assumptions!$D$14))</f>
        <v>500</v>
      </c>
      <c r="BQ17" s="185">
        <f>IF(BQ42&lt;=Assumptions!$F$12, Assumptions!$D$12, IF(BQ42&lt;=Assumptions!$F$13, Assumptions!$D$13, Assumptions!$D$14))</f>
        <v>500</v>
      </c>
      <c r="BR17" s="185">
        <f>IF(BR42&lt;=Assumptions!$F$12, Assumptions!$D$12, IF(BR42&lt;=Assumptions!$F$13, Assumptions!$D$13, Assumptions!$D$14))</f>
        <v>500</v>
      </c>
      <c r="BS17" s="185">
        <f>IF(BS42&lt;=Assumptions!$F$12, Assumptions!$D$12, IF(BS42&lt;=Assumptions!$F$13, Assumptions!$D$13, Assumptions!$D$14))</f>
        <v>500</v>
      </c>
      <c r="BT17" s="185">
        <f>IF(BT42&lt;=Assumptions!$F$12, Assumptions!$D$12, IF(BT42&lt;=Assumptions!$F$13, Assumptions!$D$13, Assumptions!$D$14))</f>
        <v>500</v>
      </c>
      <c r="BU17" s="185">
        <f>IF(BU42&lt;=Assumptions!$F$12, Assumptions!$D$12, IF(BU42&lt;=Assumptions!$F$13, Assumptions!$D$13, Assumptions!$D$14))</f>
        <v>500</v>
      </c>
      <c r="BV17" s="185">
        <f>IF(BV42&lt;=Assumptions!$F$12, Assumptions!$D$12, IF(BV42&lt;=Assumptions!$F$13, Assumptions!$D$13, Assumptions!$D$14))</f>
        <v>500</v>
      </c>
      <c r="BW17" s="185">
        <f>IF(BW42&lt;=Assumptions!$F$12, Assumptions!$D$12, IF(BW42&lt;=Assumptions!$F$13, Assumptions!$D$13, Assumptions!$D$14))</f>
        <v>500</v>
      </c>
      <c r="BX17" s="185">
        <f>IF(BX42&lt;=Assumptions!$F$12, Assumptions!$D$12, IF(BX42&lt;=Assumptions!$F$13, Assumptions!$D$13, Assumptions!$D$14))</f>
        <v>500</v>
      </c>
      <c r="BY17" s="185">
        <f>IF(BY42&lt;=Assumptions!$F$12, Assumptions!$D$12, IF(BY42&lt;=Assumptions!$F$13, Assumptions!$D$13, Assumptions!$D$14))</f>
        <v>500</v>
      </c>
      <c r="BZ17" s="185">
        <f>IF(BZ42&lt;=Assumptions!$F$12, Assumptions!$D$12, IF(BZ42&lt;=Assumptions!$F$13, Assumptions!$D$13, Assumptions!$D$14))</f>
        <v>500</v>
      </c>
      <c r="CA17" s="185">
        <f>IF(CA42&lt;=Assumptions!$F$12, Assumptions!$D$12, IF(CA42&lt;=Assumptions!$F$13, Assumptions!$D$13, Assumptions!$D$14))</f>
        <v>500</v>
      </c>
      <c r="CB17" s="185">
        <f>IF(CB42&lt;=Assumptions!$F$12, Assumptions!$D$12, IF(CB42&lt;=Assumptions!$F$13, Assumptions!$D$13, Assumptions!$D$14))</f>
        <v>500</v>
      </c>
      <c r="CC17" s="185">
        <f>IF(CC42&lt;=Assumptions!$F$12, Assumptions!$D$12, IF(CC42&lt;=Assumptions!$F$13, Assumptions!$D$13, Assumptions!$D$14))</f>
        <v>500</v>
      </c>
      <c r="CD17" s="185">
        <f>IF(CD42&lt;=Assumptions!$F$12, Assumptions!$D$12, IF(CD42&lt;=Assumptions!$F$13, Assumptions!$D$13, Assumptions!$D$14))</f>
        <v>500</v>
      </c>
      <c r="CE17" s="185">
        <f>IF(CE42&lt;=Assumptions!$F$12, Assumptions!$D$12, IF(CE42&lt;=Assumptions!$F$13, Assumptions!$D$13, Assumptions!$D$14))</f>
        <v>500</v>
      </c>
      <c r="CF17" s="185">
        <f>IF(CF42&lt;=Assumptions!$F$12, Assumptions!$D$12, IF(CF42&lt;=Assumptions!$F$13, Assumptions!$D$13, Assumptions!$D$14))</f>
        <v>500</v>
      </c>
      <c r="CG17" s="185">
        <f>IF(CG42&lt;=Assumptions!$F$12, Assumptions!$D$12, IF(CG42&lt;=Assumptions!$F$13, Assumptions!$D$13, Assumptions!$D$14))</f>
        <v>500</v>
      </c>
      <c r="CH17" s="185">
        <f>IF(CH42&lt;=Assumptions!$F$12, Assumptions!$D$12, IF(CH42&lt;=Assumptions!$F$13, Assumptions!$D$13, Assumptions!$D$14))</f>
        <v>500</v>
      </c>
      <c r="CI17" s="185">
        <f>IF(CI42&lt;=Assumptions!$F$12, Assumptions!$D$12, IF(CI42&lt;=Assumptions!$F$13, Assumptions!$D$13, Assumptions!$D$14))</f>
        <v>500</v>
      </c>
      <c r="CJ17" s="185">
        <f>IF(CJ42&lt;=Assumptions!$F$12, Assumptions!$D$12, IF(CJ42&lt;=Assumptions!$F$13, Assumptions!$D$13, Assumptions!$D$14))</f>
        <v>500</v>
      </c>
      <c r="CK17" s="185">
        <f>IF(CK42&lt;=Assumptions!$F$12, Assumptions!$D$12, IF(CK42&lt;=Assumptions!$F$13, Assumptions!$D$13, Assumptions!$D$14))</f>
        <v>500</v>
      </c>
      <c r="CL17" s="185">
        <f>IF(CL42&lt;=Assumptions!$F$12, Assumptions!$D$12, IF(CL42&lt;=Assumptions!$F$13, Assumptions!$D$13, Assumptions!$D$14))</f>
        <v>500</v>
      </c>
      <c r="CM17" s="185">
        <f>IF(CM42&lt;=Assumptions!$F$12, Assumptions!$D$12, IF(CM42&lt;=Assumptions!$F$13, Assumptions!$D$13, Assumptions!$D$14))</f>
        <v>500</v>
      </c>
      <c r="CN17" s="185">
        <f>IF(CN42&lt;=Assumptions!$F$12, Assumptions!$D$12, IF(CN42&lt;=Assumptions!$F$13, Assumptions!$D$13, Assumptions!$D$14))</f>
        <v>500</v>
      </c>
      <c r="CO17" s="185">
        <f>IF(CO42&lt;=Assumptions!$F$12, Assumptions!$D$12, IF(CO42&lt;=Assumptions!$F$13, Assumptions!$D$13, Assumptions!$D$14))</f>
        <v>500</v>
      </c>
      <c r="CP17" s="185">
        <f>IF(CP42&lt;=Assumptions!$F$12, Assumptions!$D$12, IF(CP42&lt;=Assumptions!$F$13, Assumptions!$D$13, Assumptions!$D$14))</f>
        <v>500</v>
      </c>
      <c r="CQ17" s="185">
        <f>IF(CQ42&lt;=Assumptions!$F$12, Assumptions!$D$12, IF(CQ42&lt;=Assumptions!$F$13, Assumptions!$D$13, Assumptions!$D$14))</f>
        <v>500</v>
      </c>
      <c r="CR17" s="185">
        <f>IF(CR42&lt;=Assumptions!$F$12, Assumptions!$D$12, IF(CR42&lt;=Assumptions!$F$13, Assumptions!$D$13, Assumptions!$D$14))</f>
        <v>500</v>
      </c>
      <c r="CS17" s="185">
        <f>IF(CS42&lt;=Assumptions!$F$12, Assumptions!$D$12, IF(CS42&lt;=Assumptions!$F$13, Assumptions!$D$13, Assumptions!$D$14))</f>
        <v>500</v>
      </c>
      <c r="CT17" s="185">
        <f>IF(CT42&lt;=Assumptions!$F$12, Assumptions!$D$12, IF(CT42&lt;=Assumptions!$F$13, Assumptions!$D$13, Assumptions!$D$14))</f>
        <v>500</v>
      </c>
      <c r="CU17" s="185">
        <f>IF(CU42&lt;=Assumptions!$F$12, Assumptions!$D$12, IF(CU42&lt;=Assumptions!$F$13, Assumptions!$D$13, Assumptions!$D$14))</f>
        <v>500</v>
      </c>
      <c r="CV17" s="185">
        <f>IF(CV42&lt;=Assumptions!$F$12, Assumptions!$D$12, IF(CV42&lt;=Assumptions!$F$13, Assumptions!$D$13, Assumptions!$D$14))</f>
        <v>500</v>
      </c>
      <c r="CW17" s="185">
        <f>IF(CW42&lt;=Assumptions!$F$12, Assumptions!$D$12, IF(CW42&lt;=Assumptions!$F$13, Assumptions!$D$13, Assumptions!$D$14))</f>
        <v>500</v>
      </c>
      <c r="CX17" s="185">
        <f>IF(CX42&lt;=Assumptions!$F$12, Assumptions!$D$12, IF(CX42&lt;=Assumptions!$F$13, Assumptions!$D$13, Assumptions!$D$14))</f>
        <v>500</v>
      </c>
      <c r="CY17" s="185">
        <f>IF(CY42&lt;=Assumptions!$F$12, Assumptions!$D$12, IF(CY42&lt;=Assumptions!$F$13, Assumptions!$D$13, Assumptions!$D$14))</f>
        <v>500</v>
      </c>
      <c r="CZ17" s="185">
        <f>IF(CZ42&lt;=Assumptions!$F$12, Assumptions!$D$12, IF(CZ42&lt;=Assumptions!$F$13, Assumptions!$D$13, Assumptions!$D$14))</f>
        <v>500</v>
      </c>
      <c r="DA17" s="185">
        <f>IF(DA42&lt;=Assumptions!$F$12, Assumptions!$D$12, IF(DA42&lt;=Assumptions!$F$13, Assumptions!$D$13, Assumptions!$D$14))</f>
        <v>500</v>
      </c>
      <c r="DB17" s="185">
        <f>IF(DB42&lt;=Assumptions!$F$12, Assumptions!$D$12, IF(DB42&lt;=Assumptions!$F$13, Assumptions!$D$13, Assumptions!$D$14))</f>
        <v>500</v>
      </c>
      <c r="DC17" s="185">
        <f>IF(DC42&lt;=Assumptions!$F$12, Assumptions!$D$12, IF(DC42&lt;=Assumptions!$F$13, Assumptions!$D$13, Assumptions!$D$14))</f>
        <v>500</v>
      </c>
      <c r="DD17" s="185">
        <f>IF(DD42&lt;=Assumptions!$F$12, Assumptions!$D$12, IF(DD42&lt;=Assumptions!$F$13, Assumptions!$D$13, Assumptions!$D$14))</f>
        <v>500</v>
      </c>
      <c r="DE17" s="185">
        <f>IF(DE42&lt;=Assumptions!$F$12, Assumptions!$D$12, IF(DE42&lt;=Assumptions!$F$13, Assumptions!$D$13, Assumptions!$D$14))</f>
        <v>500</v>
      </c>
      <c r="DF17" s="185">
        <f>IF(DF42&lt;=Assumptions!$F$12, Assumptions!$D$12, IF(DF42&lt;=Assumptions!$F$13, Assumptions!$D$13, Assumptions!$D$14))</f>
        <v>500</v>
      </c>
      <c r="DG17" s="185">
        <f>IF(DG42&lt;=Assumptions!$F$12, Assumptions!$D$12, IF(DG42&lt;=Assumptions!$F$13, Assumptions!$D$13, Assumptions!$D$14))</f>
        <v>500</v>
      </c>
      <c r="DH17" s="185">
        <f>IF(DH42&lt;=Assumptions!$F$12, Assumptions!$D$12, IF(DH42&lt;=Assumptions!$F$13, Assumptions!$D$13, Assumptions!$D$14))</f>
        <v>500</v>
      </c>
      <c r="DI17" s="185">
        <f>IF(DI42&lt;=Assumptions!$F$12, Assumptions!$D$12, IF(DI42&lt;=Assumptions!$F$13, Assumptions!$D$13, Assumptions!$D$14))</f>
        <v>500</v>
      </c>
      <c r="DJ17" s="185">
        <f>IF(DJ42&lt;=Assumptions!$F$12, Assumptions!$D$12, IF(DJ42&lt;=Assumptions!$F$13, Assumptions!$D$13, Assumptions!$D$14))</f>
        <v>500</v>
      </c>
      <c r="DK17" s="185">
        <f>IF(DK42&lt;=Assumptions!$F$12, Assumptions!$D$12, IF(DK42&lt;=Assumptions!$F$13, Assumptions!$D$13, Assumptions!$D$14))</f>
        <v>500</v>
      </c>
      <c r="DL17" s="185">
        <f>IF(DL42&lt;=Assumptions!$F$12, Assumptions!$D$12, IF(DL42&lt;=Assumptions!$F$13, Assumptions!$D$13, Assumptions!$D$14))</f>
        <v>500</v>
      </c>
      <c r="DM17" s="185">
        <f>IF(DM42&lt;=Assumptions!$F$12, Assumptions!$D$12, IF(DM42&lt;=Assumptions!$F$13, Assumptions!$D$13, Assumptions!$D$14))</f>
        <v>500</v>
      </c>
      <c r="DN17" s="185">
        <f>IF(DN42&lt;=Assumptions!$F$12, Assumptions!$D$12, IF(DN42&lt;=Assumptions!$F$13, Assumptions!$D$13, Assumptions!$D$14))</f>
        <v>500</v>
      </c>
      <c r="DO17" s="185">
        <f>IF(DO42&lt;=Assumptions!$F$12, Assumptions!$D$12, IF(DO42&lt;=Assumptions!$F$13, Assumptions!$D$13, Assumptions!$D$14))</f>
        <v>500</v>
      </c>
      <c r="DP17" s="185">
        <f>IF(DP42&lt;=Assumptions!$F$12, Assumptions!$D$12, IF(DP42&lt;=Assumptions!$F$13, Assumptions!$D$13, Assumptions!$D$14))</f>
        <v>500</v>
      </c>
      <c r="DQ17" s="185">
        <f>IF(DQ42&lt;=Assumptions!$F$12, Assumptions!$D$12, IF(DQ42&lt;=Assumptions!$F$13, Assumptions!$D$13, Assumptions!$D$14))</f>
        <v>500</v>
      </c>
      <c r="DR17" s="185">
        <f>IF(DR42&lt;=Assumptions!$F$12, Assumptions!$D$12, IF(DR42&lt;=Assumptions!$F$13, Assumptions!$D$13, Assumptions!$D$14))</f>
        <v>500</v>
      </c>
      <c r="DS17" s="185">
        <f>IF(DS42&lt;=Assumptions!$F$12, Assumptions!$D$12, IF(DS42&lt;=Assumptions!$F$13, Assumptions!$D$13, Assumptions!$D$14))</f>
        <v>500</v>
      </c>
      <c r="DT17" s="185">
        <f>IF(DT42&lt;=Assumptions!$F$12, Assumptions!$D$12, IF(DT42&lt;=Assumptions!$F$13, Assumptions!$D$13, Assumptions!$D$14))</f>
        <v>500</v>
      </c>
      <c r="DU17" s="185">
        <f>IF(DU42&lt;=Assumptions!$F$12, Assumptions!$D$12, IF(DU42&lt;=Assumptions!$F$13, Assumptions!$D$13, Assumptions!$D$14))</f>
        <v>500</v>
      </c>
      <c r="DV17" s="185">
        <f>IF(DV42&lt;=Assumptions!$F$12, Assumptions!$D$12, IF(DV42&lt;=Assumptions!$F$13, Assumptions!$D$13, Assumptions!$D$14))</f>
        <v>500</v>
      </c>
      <c r="DW17" s="185">
        <f>IF(DW42&lt;=Assumptions!$F$12, Assumptions!$D$12, IF(DW42&lt;=Assumptions!$F$13, Assumptions!$D$13, Assumptions!$D$14))</f>
        <v>500</v>
      </c>
    </row>
    <row r="18" spans="2:127" x14ac:dyDescent="0.3">
      <c r="B18" s="53" t="str">
        <f>+B5</f>
        <v>Germanium</v>
      </c>
      <c r="C18" s="56">
        <f>IF(C$17&lt;250,0,$C5*C$17*Assumptions!$C$7/12)*0.5</f>
        <v>0</v>
      </c>
      <c r="D18" s="56">
        <f>IF(D$17&lt;250,0,$C5*D$17*Assumptions!$C$7/12)*0.5</f>
        <v>0</v>
      </c>
      <c r="E18" s="56">
        <f>IF(E$17&lt;250,0,$C5*E$17*Assumptions!$C$7/12)*0.5</f>
        <v>0</v>
      </c>
      <c r="F18" s="56">
        <f>IF(F$17&lt;250,0,$C5*F$17*Assumptions!$C$7/12)*0.5</f>
        <v>0</v>
      </c>
      <c r="G18" s="56">
        <f>IF(G$17&lt;250,0,$C5*G$17*Assumptions!$C$7/12)*0.5</f>
        <v>0.25830729166666666</v>
      </c>
      <c r="H18" s="56">
        <f>IF(H$17&lt;250,0,$C5*H$17*Assumptions!$C$7/12)*0.5</f>
        <v>0.25830729166666666</v>
      </c>
      <c r="I18" s="56">
        <f>IF(I$17&lt;250,0,$C5*I$17*Assumptions!$C$7/12)*0.5</f>
        <v>0.25830729166666666</v>
      </c>
      <c r="J18" s="56">
        <f>IF(J$17&lt;250,0,$C5*J$17*Assumptions!$C$7/12)*0.5</f>
        <v>0.25830729166666666</v>
      </c>
      <c r="K18" s="56">
        <f>IF(K$17&lt;250,0,$C5*K$17*Assumptions!$C$7/12)*0.5</f>
        <v>0.25830729166666666</v>
      </c>
      <c r="L18" s="56">
        <f>IF(L$17&lt;250,0,$C5*L$17*Assumptions!$C$7/12)*0.5</f>
        <v>0.51661458333333332</v>
      </c>
      <c r="M18" s="56">
        <f>IF(M$17&lt;250,0,$C5*M$17*Assumptions!$C$7/12)*0.5</f>
        <v>0.51661458333333332</v>
      </c>
      <c r="N18" s="56">
        <f>IF(N$17&lt;250,0,$C5*N$17*Assumptions!$C$7/12)*0.5</f>
        <v>0.51661458333333332</v>
      </c>
      <c r="O18" s="56">
        <f>IF(O$17&lt;250,0,$C5*O$17*Assumptions!$C$7/12)*0.5</f>
        <v>0.51661458333333332</v>
      </c>
      <c r="P18" s="56">
        <f>IF(P$17&lt;250,0,$C5*P$17*Assumptions!$C$7/12)*0.5</f>
        <v>0.51661458333333332</v>
      </c>
      <c r="Q18" s="56">
        <f>IF(Q$17&lt;250,0,$C5*Q$17*Assumptions!$C$7/12)*0.5</f>
        <v>0.51661458333333332</v>
      </c>
      <c r="R18" s="56">
        <f>IF(R$17&lt;250,0,$C5*R$17*Assumptions!$C$7/12)*0.5</f>
        <v>0.51661458333333332</v>
      </c>
      <c r="S18" s="56">
        <f>IF(S$17&lt;250,0,$C5*S$17*Assumptions!$C$7/12)*0.5</f>
        <v>0.51661458333333332</v>
      </c>
      <c r="T18" s="56">
        <f>IF(T$17&lt;250,0,$C5*T$17*Assumptions!$C$7/12)*0.5</f>
        <v>0.51661458333333332</v>
      </c>
      <c r="U18" s="56">
        <f>IF(U$17&lt;250,0,$C5*U$17*Assumptions!$C$7/12)*0.5</f>
        <v>0.51661458333333332</v>
      </c>
      <c r="V18" s="56">
        <f>IF(V$17&lt;250,0,$C5*V$17*Assumptions!$C$7/12)*0.5</f>
        <v>0.51661458333333332</v>
      </c>
      <c r="W18" s="56">
        <f>IF(W$17&lt;250,0,$C5*W$17*Assumptions!$C$7/12)*0.5</f>
        <v>0.51661458333333332</v>
      </c>
      <c r="X18" s="56">
        <f>IF(X$17&lt;250,0,$C5*X$17*Assumptions!$C$7/12)*0.5</f>
        <v>0.51661458333333332</v>
      </c>
      <c r="Y18" s="56">
        <f>IF(Y$17&lt;250,0,$C5*Y$17*Assumptions!$C$7/12)*0.5</f>
        <v>0.51661458333333332</v>
      </c>
      <c r="Z18" s="56">
        <f>IF(Z$17&lt;250,0,$C5*Z$17*Assumptions!$C$7/12)*0.5</f>
        <v>0.51661458333333332</v>
      </c>
      <c r="AA18" s="56">
        <f>IF(AA$17&lt;250,0,$C5*AA$17*Assumptions!$C$7/12)*0.5</f>
        <v>0.51661458333333332</v>
      </c>
      <c r="AB18" s="56">
        <f>IF(AB$17&lt;250,0,$C5*AB$17*Assumptions!$C$7/12)*0.5</f>
        <v>0.51661458333333332</v>
      </c>
      <c r="AC18" s="56">
        <f>IF(AC$17&lt;250,0,$C5*AC$17*Assumptions!$C$7/12)*0.5</f>
        <v>0.51661458333333332</v>
      </c>
      <c r="AD18" s="56">
        <f>IF(AD$17&lt;250,0,$C5*AD$17*Assumptions!$C$7/12)*0.5</f>
        <v>0.51661458333333332</v>
      </c>
      <c r="AE18" s="56">
        <f>IF(AE$17&lt;250,0,$C5*AE$17*Assumptions!$C$7/12)*0.5</f>
        <v>0.51661458333333332</v>
      </c>
      <c r="AF18" s="56">
        <f>IF(AF$17&lt;250,0,$C5*AF$17*Assumptions!$C$7/12)*0.5</f>
        <v>0.51661458333333332</v>
      </c>
      <c r="AG18" s="56">
        <f>IF(AG$17&lt;250,0,$C5*AG$17*Assumptions!$C$7/12)*0.5</f>
        <v>0.51661458333333332</v>
      </c>
      <c r="AH18" s="56">
        <f>IF(AH$17&lt;250,0,$C5*AH$17*Assumptions!$C$7/12)*0.5</f>
        <v>0.51661458333333332</v>
      </c>
      <c r="AI18" s="56">
        <f>IF(AI$17&lt;250,0,$C5*AI$17*Assumptions!$C$7/12)*0.5</f>
        <v>0.51661458333333332</v>
      </c>
      <c r="AJ18" s="56">
        <f>IF(AJ$17&lt;250,0,$C5*AJ$17*Assumptions!$C$7/12)*0.5</f>
        <v>0.51661458333333332</v>
      </c>
      <c r="AK18" s="56">
        <f>IF(AK$17&lt;250,0,$C5*AK$17*Assumptions!$C$7/12)*0.5</f>
        <v>0.51661458333333332</v>
      </c>
      <c r="AL18" s="56">
        <f>IF(AL$17&lt;250,0,$C5*AL$17*Assumptions!$C$7/12)*0.5</f>
        <v>0.51661458333333332</v>
      </c>
      <c r="AM18" s="56">
        <f>IF(AM$17&lt;250,0,$C5*AM$17*Assumptions!$C$7/12)*0.5</f>
        <v>0.51661458333333332</v>
      </c>
      <c r="AN18" s="56">
        <f>IF(AN$17&lt;250,0,$C5*AN$17*Assumptions!$C$7/12)*0.5</f>
        <v>0.51661458333333332</v>
      </c>
      <c r="AO18" s="56">
        <f>IF(AO$17&lt;250,0,$C5*AO$17*Assumptions!$C$7/12)*0.5</f>
        <v>0.51661458333333332</v>
      </c>
      <c r="AP18" s="56">
        <f>IF(AP$17&lt;250,0,$C5*AP$17*Assumptions!$C$7/12)*0.5</f>
        <v>0.51661458333333332</v>
      </c>
      <c r="AQ18" s="56">
        <f>IF(AQ$17&lt;250,0,$C5*AQ$17*Assumptions!$C$7/12)*0.5</f>
        <v>0.51661458333333332</v>
      </c>
      <c r="AR18" s="56">
        <f>IF(AR$17&lt;250,0,$C5*AR$17*Assumptions!$C$7/12)*0.5</f>
        <v>0.51661458333333332</v>
      </c>
      <c r="AS18" s="56">
        <f>IF(AS$17&lt;250,0,$C5*AS$17*Assumptions!$C$7/12)*0.5</f>
        <v>0.51661458333333332</v>
      </c>
      <c r="AT18" s="56">
        <f>IF(AT$17&lt;250,0,$C5*AT$17*Assumptions!$C$7/12)*0.5</f>
        <v>0.51661458333333332</v>
      </c>
      <c r="AU18" s="56">
        <f>IF(AU$17&lt;250,0,$C5*AU$17*Assumptions!$C$7/12)*0.5</f>
        <v>0.51661458333333332</v>
      </c>
      <c r="AV18" s="56">
        <f>IF(AV$17&lt;250,0,$C5*AV$17*Assumptions!$C$7/12)*0.5</f>
        <v>0.51661458333333332</v>
      </c>
      <c r="AW18" s="56">
        <f>IF(AW$17&lt;250,0,$C5*AW$17*Assumptions!$C$7/12)*0.5</f>
        <v>0.51661458333333332</v>
      </c>
      <c r="AX18" s="56">
        <f>IF(AX$17&lt;250,0,$C5*AX$17*Assumptions!$C$7/12)*0.5</f>
        <v>0.51661458333333332</v>
      </c>
      <c r="AY18" s="56">
        <f>IF(AY$17&lt;250,0,$C5*AY$17*Assumptions!$C$7/12)*0.5</f>
        <v>0.51661458333333332</v>
      </c>
      <c r="AZ18" s="56">
        <f>IF(AZ$17&lt;250,0,$C5*AZ$17*Assumptions!$C$7/12)*0.5</f>
        <v>0.51661458333333332</v>
      </c>
      <c r="BA18" s="56">
        <f>IF(BA$17&lt;250,0,$C5*BA$17*Assumptions!$C$7/12)*0.5</f>
        <v>0.51661458333333332</v>
      </c>
      <c r="BB18" s="56">
        <f>IF(BB$17&lt;250,0,$C5*BB$17*Assumptions!$C$7/12)*0.5</f>
        <v>0.51661458333333332</v>
      </c>
      <c r="BC18" s="56">
        <f>IF(BC$17&lt;250,0,$C5*BC$17*Assumptions!$C$7/12)*0.5</f>
        <v>0.51661458333333332</v>
      </c>
      <c r="BD18" s="56">
        <f>IF(BD$17&lt;250,0,$C5*BD$17*Assumptions!$C$7/12)*0.5</f>
        <v>0.51661458333333332</v>
      </c>
      <c r="BE18" s="56">
        <f>IF(BE$17&lt;250,0,$C5*BE$17*Assumptions!$C$7/12)*0.5</f>
        <v>0.51661458333333332</v>
      </c>
      <c r="BF18" s="56">
        <f>IF(BF$17&lt;250,0,$C5*BF$17*Assumptions!$C$7/12)*0.5</f>
        <v>0.51661458333333332</v>
      </c>
      <c r="BG18" s="56">
        <f>IF(BG$17&lt;250,0,$C5*BG$17*Assumptions!$C$7/12)*0.5</f>
        <v>0.51661458333333332</v>
      </c>
      <c r="BH18" s="56">
        <f>IF(BH$17&lt;250,0,$C5*BH$17*Assumptions!$C$7/12)*0.5</f>
        <v>0.51661458333333332</v>
      </c>
      <c r="BI18" s="56">
        <f>IF(BI$17&lt;250,0,$C5*BI$17*Assumptions!$C$7/12)*0.5</f>
        <v>0.51661458333333332</v>
      </c>
      <c r="BJ18" s="56">
        <f>IF(BJ$17&lt;250,0,$C5*BJ$17*Assumptions!$C$7/12)*0.5</f>
        <v>0.51661458333333332</v>
      </c>
      <c r="BK18" s="56">
        <f>IF(BK$17&lt;250,0,$C5*BK$17*Assumptions!$C$7/12)*0.5</f>
        <v>0.51661458333333332</v>
      </c>
      <c r="BL18" s="56">
        <f>IF(BL$17&lt;250,0,$C5*BL$17*Assumptions!$C$7/12)*0.5</f>
        <v>0.51661458333333332</v>
      </c>
      <c r="BM18" s="56">
        <f>IF(BM$17&lt;250,0,$C5*BM$17*Assumptions!$C$7/12)*0.5</f>
        <v>0.51661458333333332</v>
      </c>
      <c r="BN18" s="56">
        <f>IF(BN$17&lt;250,0,$C5*BN$17*Assumptions!$C$7/12)*0.5</f>
        <v>0.51661458333333332</v>
      </c>
      <c r="BO18" s="56">
        <f>IF(BO$17&lt;250,0,$C5*BO$17*Assumptions!$C$7/12)*0.5</f>
        <v>0.51661458333333332</v>
      </c>
      <c r="BP18" s="56">
        <f>IF(BP$17&lt;250,0,$C5*BP$17*Assumptions!$C$7/12)*0.5</f>
        <v>0.51661458333333332</v>
      </c>
      <c r="BQ18" s="56">
        <f>IF(BQ$17&lt;250,0,$C5*BQ$17*Assumptions!$C$7/12)*0.5</f>
        <v>0.51661458333333332</v>
      </c>
      <c r="BR18" s="56">
        <f>IF(BR$17&lt;250,0,$C5*BR$17*Assumptions!$C$7/12)*0.5</f>
        <v>0.51661458333333332</v>
      </c>
      <c r="BS18" s="56">
        <f>IF(BS$17&lt;250,0,$C5*BS$17*Assumptions!$C$7/12)*0.5</f>
        <v>0.51661458333333332</v>
      </c>
      <c r="BT18" s="56">
        <f>IF(BT$17&lt;250,0,$C5*BT$17*Assumptions!$C$7/12)*0.5</f>
        <v>0.51661458333333332</v>
      </c>
      <c r="BU18" s="56">
        <f>IF(BU$17&lt;250,0,$C5*BU$17*Assumptions!$C$7/12)*0.5</f>
        <v>0.51661458333333332</v>
      </c>
      <c r="BV18" s="56">
        <f>IF(BV$17&lt;250,0,$C5*BV$17*Assumptions!$C$7/12)*0.5</f>
        <v>0.51661458333333332</v>
      </c>
      <c r="BW18" s="56">
        <f>IF(BW$17&lt;250,0,$C5*BW$17*Assumptions!$C$7/12)*0.5</f>
        <v>0.51661458333333332</v>
      </c>
      <c r="BX18" s="56">
        <f>IF(BX$17&lt;250,0,$C5*BX$17*Assumptions!$C$7/12)*0.5</f>
        <v>0.51661458333333332</v>
      </c>
      <c r="BY18" s="56">
        <f>IF(BY$17&lt;250,0,$C5*BY$17*Assumptions!$C$7/12)*0.5</f>
        <v>0.51661458333333332</v>
      </c>
      <c r="BZ18" s="56">
        <f>IF(BZ$17&lt;250,0,$C5*BZ$17*Assumptions!$C$7/12)*0.5</f>
        <v>0.51661458333333332</v>
      </c>
      <c r="CA18" s="56">
        <f>IF(CA$17&lt;250,0,$C5*CA$17*Assumptions!$C$7/12)*0.5</f>
        <v>0.51661458333333332</v>
      </c>
      <c r="CB18" s="56">
        <f>IF(CB$17&lt;250,0,$C5*CB$17*Assumptions!$C$7/12)*0.5</f>
        <v>0.51661458333333332</v>
      </c>
      <c r="CC18" s="56">
        <f>IF(CC$17&lt;250,0,$C5*CC$17*Assumptions!$C$7/12)*0.5</f>
        <v>0.51661458333333332</v>
      </c>
      <c r="CD18" s="56">
        <f>IF(CD$17&lt;250,0,$C5*CD$17*Assumptions!$C$7/12)*0.5</f>
        <v>0.51661458333333332</v>
      </c>
      <c r="CE18" s="56">
        <f>IF(CE$17&lt;250,0,$C5*CE$17*Assumptions!$C$7/12)*0.5</f>
        <v>0.51661458333333332</v>
      </c>
      <c r="CF18" s="56">
        <f>IF(CF$17&lt;250,0,$C5*CF$17*Assumptions!$C$7/12)*0.5</f>
        <v>0.51661458333333332</v>
      </c>
      <c r="CG18" s="56">
        <f>IF(CG$17&lt;250,0,$C5*CG$17*Assumptions!$C$7/12)*0.5</f>
        <v>0.51661458333333332</v>
      </c>
      <c r="CH18" s="56">
        <f>IF(CH$17&lt;250,0,$C5*CH$17*Assumptions!$C$7/12)*0.5</f>
        <v>0.51661458333333332</v>
      </c>
      <c r="CI18" s="56">
        <f>IF(CI$17&lt;250,0,$C5*CI$17*Assumptions!$C$7/12)*0.5</f>
        <v>0.51661458333333332</v>
      </c>
      <c r="CJ18" s="56">
        <f>IF(CJ$17&lt;250,0,$C5*CJ$17*Assumptions!$C$7/12)*0.5</f>
        <v>0.51661458333333332</v>
      </c>
      <c r="CK18" s="56">
        <f>IF(CK$17&lt;250,0,$C5*CK$17*Assumptions!$C$7/12)*0.5</f>
        <v>0.51661458333333332</v>
      </c>
      <c r="CL18" s="56">
        <f>IF(CL$17&lt;250,0,$C5*CL$17*Assumptions!$C$7/12)*0.5</f>
        <v>0.51661458333333332</v>
      </c>
      <c r="CM18" s="56">
        <f>IF(CM$17&lt;250,0,$C5*CM$17*Assumptions!$C$7/12)*0.5</f>
        <v>0.51661458333333332</v>
      </c>
      <c r="CN18" s="56">
        <f>IF(CN$17&lt;250,0,$C5*CN$17*Assumptions!$C$7/12)*0.5</f>
        <v>0.51661458333333332</v>
      </c>
      <c r="CO18" s="56">
        <f>IF(CO$17&lt;250,0,$C5*CO$17*Assumptions!$C$7/12)*0.5</f>
        <v>0.51661458333333332</v>
      </c>
      <c r="CP18" s="56">
        <f>IF(CP$17&lt;250,0,$C5*CP$17*Assumptions!$C$7/12)*0.5</f>
        <v>0.51661458333333332</v>
      </c>
      <c r="CQ18" s="56">
        <f>IF(CQ$17&lt;250,0,$C5*CQ$17*Assumptions!$C$7/12)*0.5</f>
        <v>0.51661458333333332</v>
      </c>
      <c r="CR18" s="56">
        <f>IF(CR$17&lt;250,0,$C5*CR$17*Assumptions!$C$7/12)*0.5</f>
        <v>0.51661458333333332</v>
      </c>
      <c r="CS18" s="56">
        <f>IF(CS$17&lt;250,0,$C5*CS$17*Assumptions!$C$7/12)*0.5</f>
        <v>0.51661458333333332</v>
      </c>
      <c r="CT18" s="56">
        <f>IF(CT$17&lt;250,0,$C5*CT$17*Assumptions!$C$7/12)*0.5</f>
        <v>0.51661458333333332</v>
      </c>
      <c r="CU18" s="56">
        <f>IF(CU$17&lt;250,0,$C5*CU$17*Assumptions!$C$7/12)*0.5</f>
        <v>0.51661458333333332</v>
      </c>
      <c r="CV18" s="56">
        <f>IF(CV$17&lt;250,0,$C5*CV$17*Assumptions!$C$7/12)*0.5</f>
        <v>0.51661458333333332</v>
      </c>
      <c r="CW18" s="56">
        <f>IF(CW$17&lt;250,0,$C5*CW$17*Assumptions!$C$7/12)*0.5</f>
        <v>0.51661458333333332</v>
      </c>
      <c r="CX18" s="56">
        <f>IF(CX$17&lt;250,0,$C5*CX$17*Assumptions!$C$7/12)*0.5</f>
        <v>0.51661458333333332</v>
      </c>
      <c r="CY18" s="56">
        <f>IF(CY$17&lt;250,0,$C5*CY$17*Assumptions!$C$7/12)*0.5</f>
        <v>0.51661458333333332</v>
      </c>
      <c r="CZ18" s="56">
        <f>IF(CZ$17&lt;250,0,$C5*CZ$17*Assumptions!$C$7/12)*0.5</f>
        <v>0.51661458333333332</v>
      </c>
      <c r="DA18" s="56">
        <f>IF(DA$17&lt;250,0,$C5*DA$17*Assumptions!$C$7/12)*0.5</f>
        <v>0.51661458333333332</v>
      </c>
      <c r="DB18" s="56">
        <f>IF(DB$17&lt;250,0,$C5*DB$17*Assumptions!$C$7/12)*0.5</f>
        <v>0.51661458333333332</v>
      </c>
      <c r="DC18" s="56">
        <f>IF(DC$17&lt;250,0,$C5*DC$17*Assumptions!$C$7/12)*0.5</f>
        <v>0.51661458333333332</v>
      </c>
      <c r="DD18" s="56">
        <f>IF(DD$17&lt;250,0,$C5*DD$17*Assumptions!$C$7/12)*0.5</f>
        <v>0.51661458333333332</v>
      </c>
      <c r="DE18" s="56">
        <f>IF(DE$17&lt;250,0,$C5*DE$17*Assumptions!$C$7/12)*0.5</f>
        <v>0.51661458333333332</v>
      </c>
      <c r="DF18" s="56">
        <f>IF(DF$17&lt;250,0,$C5*DF$17*Assumptions!$C$7/12)*0.5</f>
        <v>0.51661458333333332</v>
      </c>
      <c r="DG18" s="56">
        <f>IF(DG$17&lt;250,0,$C5*DG$17*Assumptions!$C$7/12)*0.5</f>
        <v>0.51661458333333332</v>
      </c>
      <c r="DH18" s="56">
        <f>IF(DH$17&lt;250,0,$C5*DH$17*Assumptions!$C$7/12)*0.5</f>
        <v>0.51661458333333332</v>
      </c>
      <c r="DI18" s="56">
        <f>IF(DI$17&lt;250,0,$C5*DI$17*Assumptions!$C$7/12)*0.5</f>
        <v>0.51661458333333332</v>
      </c>
      <c r="DJ18" s="56">
        <f>IF(DJ$17&lt;250,0,$C5*DJ$17*Assumptions!$C$7/12)*0.5</f>
        <v>0.51661458333333332</v>
      </c>
      <c r="DK18" s="56">
        <f>IF(DK$17&lt;250,0,$C5*DK$17*Assumptions!$C$7/12)*0.5</f>
        <v>0.51661458333333332</v>
      </c>
      <c r="DL18" s="56">
        <f>IF(DL$17&lt;250,0,$C5*DL$17*Assumptions!$C$7/12)*0.5</f>
        <v>0.51661458333333332</v>
      </c>
      <c r="DM18" s="56">
        <f>IF(DM$17&lt;250,0,$C5*DM$17*Assumptions!$C$7/12)*0.5</f>
        <v>0.51661458333333332</v>
      </c>
      <c r="DN18" s="56">
        <f>IF(DN$17&lt;250,0,$C5*DN$17*Assumptions!$C$7/12)*0.5</f>
        <v>0.51661458333333332</v>
      </c>
      <c r="DO18" s="56">
        <f>IF(DO$17&lt;250,0,$C5*DO$17*Assumptions!$C$7/12)*0.5</f>
        <v>0.51661458333333332</v>
      </c>
      <c r="DP18" s="56">
        <f>IF(DP$17&lt;250,0,$C5*DP$17*Assumptions!$C$7/12)*0.5</f>
        <v>0.51661458333333332</v>
      </c>
      <c r="DQ18" s="56">
        <f>IF(DQ$17&lt;250,0,$C5*DQ$17*Assumptions!$C$7/12)*0.5</f>
        <v>0.51661458333333332</v>
      </c>
      <c r="DR18" s="56">
        <f>IF(DR$17&lt;250,0,$C5*DR$17*Assumptions!$C$7/12)*0.5</f>
        <v>0.51661458333333332</v>
      </c>
      <c r="DS18" s="56">
        <f>IF(DS$17&lt;250,0,$C5*DS$17*Assumptions!$C$7/12)*0.5</f>
        <v>0.51661458333333332</v>
      </c>
      <c r="DT18" s="56">
        <f>IF(DT$17&lt;250,0,$C5*DT$17*Assumptions!$C$7/12)*0.5</f>
        <v>0.51661458333333332</v>
      </c>
      <c r="DU18" s="56">
        <f>IF(DU$17&lt;250,0,$C5*DU$17*Assumptions!$C$7/12)*0.5</f>
        <v>0.51661458333333332</v>
      </c>
      <c r="DV18" s="56">
        <f>IF(DV$17&lt;250,0,$C5*DV$17*Assumptions!$C$7/12)*0.5</f>
        <v>0.51661458333333332</v>
      </c>
      <c r="DW18" s="56">
        <f>IF(DW$17&lt;250,0,$C5*DW$17*Assumptions!$C$7/12)*0.5</f>
        <v>0.51661458333333332</v>
      </c>
    </row>
    <row r="19" spans="2:127" x14ac:dyDescent="0.3">
      <c r="B19" s="53" t="str">
        <f t="shared" ref="B19:B27" si="0">+B6</f>
        <v>Hafnium</v>
      </c>
      <c r="C19" s="56">
        <f>IF(C$17&lt;250,0,$C6*C$17*Assumptions!$C$7/12)*0.5</f>
        <v>0</v>
      </c>
      <c r="D19" s="56">
        <f>IF(D$17&lt;250,0,$C6*D$17*Assumptions!$C$7/12)*0.5</f>
        <v>0</v>
      </c>
      <c r="E19" s="56">
        <f>IF(E$17&lt;250,0,$C6*E$17*Assumptions!$C$7/12)*0.5</f>
        <v>0</v>
      </c>
      <c r="F19" s="56">
        <f>IF(F$17&lt;250,0,$C6*F$17*Assumptions!$C$7/12)*0.5</f>
        <v>0</v>
      </c>
      <c r="G19" s="56">
        <f>IF(G$17&lt;250,0,$C6*G$17*Assumptions!$C$7/12)*0.5</f>
        <v>0.18484374999999997</v>
      </c>
      <c r="H19" s="56">
        <f>IF(H$17&lt;250,0,$C6*H$17*Assumptions!$C$7/12)*0.5</f>
        <v>0.18484374999999997</v>
      </c>
      <c r="I19" s="56">
        <f>IF(I$17&lt;250,0,$C6*I$17*Assumptions!$C$7/12)*0.5</f>
        <v>0.18484374999999997</v>
      </c>
      <c r="J19" s="56">
        <f>IF(J$17&lt;250,0,$C6*J$17*Assumptions!$C$7/12)*0.5</f>
        <v>0.18484374999999997</v>
      </c>
      <c r="K19" s="56">
        <f>IF(K$17&lt;250,0,$C6*K$17*Assumptions!$C$7/12)*0.5</f>
        <v>0.18484374999999997</v>
      </c>
      <c r="L19" s="56">
        <f>IF(L$17&lt;250,0,$C6*L$17*Assumptions!$C$7/12)*0.5</f>
        <v>0.36968749999999995</v>
      </c>
      <c r="M19" s="56">
        <f>IF(M$17&lt;250,0,$C6*M$17*Assumptions!$C$7/12)*0.5</f>
        <v>0.36968749999999995</v>
      </c>
      <c r="N19" s="56">
        <f>IF(N$17&lt;250,0,$C6*N$17*Assumptions!$C$7/12)*0.5</f>
        <v>0.36968749999999995</v>
      </c>
      <c r="O19" s="56">
        <f>IF(O$17&lt;250,0,$C6*O$17*Assumptions!$C$7/12)*0.5</f>
        <v>0.36968749999999995</v>
      </c>
      <c r="P19" s="56">
        <f>IF(P$17&lt;250,0,$C6*P$17*Assumptions!$C$7/12)*0.5</f>
        <v>0.36968749999999995</v>
      </c>
      <c r="Q19" s="56">
        <f>IF(Q$17&lt;250,0,$C6*Q$17*Assumptions!$C$7/12)*0.5</f>
        <v>0.36968749999999995</v>
      </c>
      <c r="R19" s="56">
        <f>IF(R$17&lt;250,0,$C6*R$17*Assumptions!$C$7/12)*0.5</f>
        <v>0.36968749999999995</v>
      </c>
      <c r="S19" s="56">
        <f>IF(S$17&lt;250,0,$C6*S$17*Assumptions!$C$7/12)*0.5</f>
        <v>0.36968749999999995</v>
      </c>
      <c r="T19" s="56">
        <f>IF(T$17&lt;250,0,$C6*T$17*Assumptions!$C$7/12)*0.5</f>
        <v>0.36968749999999995</v>
      </c>
      <c r="U19" s="56">
        <f>IF(U$17&lt;250,0,$C6*U$17*Assumptions!$C$7/12)*0.5</f>
        <v>0.36968749999999995</v>
      </c>
      <c r="V19" s="56">
        <f>IF(V$17&lt;250,0,$C6*V$17*Assumptions!$C$7/12)*0.5</f>
        <v>0.36968749999999995</v>
      </c>
      <c r="W19" s="56">
        <f>IF(W$17&lt;250,0,$C6*W$17*Assumptions!$C$7/12)*0.5</f>
        <v>0.36968749999999995</v>
      </c>
      <c r="X19" s="56">
        <f>IF(X$17&lt;250,0,$C6*X$17*Assumptions!$C$7/12)*0.5</f>
        <v>0.36968749999999995</v>
      </c>
      <c r="Y19" s="56">
        <f>IF(Y$17&lt;250,0,$C6*Y$17*Assumptions!$C$7/12)*0.5</f>
        <v>0.36968749999999995</v>
      </c>
      <c r="Z19" s="56">
        <f>IF(Z$17&lt;250,0,$C6*Z$17*Assumptions!$C$7/12)*0.5</f>
        <v>0.36968749999999995</v>
      </c>
      <c r="AA19" s="56">
        <f>IF(AA$17&lt;250,0,$C6*AA$17*Assumptions!$C$7/12)*0.5</f>
        <v>0.36968749999999995</v>
      </c>
      <c r="AB19" s="56">
        <f>IF(AB$17&lt;250,0,$C6*AB$17*Assumptions!$C$7/12)*0.5</f>
        <v>0.36968749999999995</v>
      </c>
      <c r="AC19" s="56">
        <f>IF(AC$17&lt;250,0,$C6*AC$17*Assumptions!$C$7/12)*0.5</f>
        <v>0.36968749999999995</v>
      </c>
      <c r="AD19" s="56">
        <f>IF(AD$17&lt;250,0,$C6*AD$17*Assumptions!$C$7/12)*0.5</f>
        <v>0.36968749999999995</v>
      </c>
      <c r="AE19" s="56">
        <f>IF(AE$17&lt;250,0,$C6*AE$17*Assumptions!$C$7/12)*0.5</f>
        <v>0.36968749999999995</v>
      </c>
      <c r="AF19" s="56">
        <f>IF(AF$17&lt;250,0,$C6*AF$17*Assumptions!$C$7/12)*0.5</f>
        <v>0.36968749999999995</v>
      </c>
      <c r="AG19" s="56">
        <f>IF(AG$17&lt;250,0,$C6*AG$17*Assumptions!$C$7/12)*0.5</f>
        <v>0.36968749999999995</v>
      </c>
      <c r="AH19" s="56">
        <f>IF(AH$17&lt;250,0,$C6*AH$17*Assumptions!$C$7/12)*0.5</f>
        <v>0.36968749999999995</v>
      </c>
      <c r="AI19" s="56">
        <f>IF(AI$17&lt;250,0,$C6*AI$17*Assumptions!$C$7/12)*0.5</f>
        <v>0.36968749999999995</v>
      </c>
      <c r="AJ19" s="56">
        <f>IF(AJ$17&lt;250,0,$C6*AJ$17*Assumptions!$C$7/12)*0.5</f>
        <v>0.36968749999999995</v>
      </c>
      <c r="AK19" s="56">
        <f>IF(AK$17&lt;250,0,$C6*AK$17*Assumptions!$C$7/12)*0.5</f>
        <v>0.36968749999999995</v>
      </c>
      <c r="AL19" s="56">
        <f>IF(AL$17&lt;250,0,$C6*AL$17*Assumptions!$C$7/12)*0.5</f>
        <v>0.36968749999999995</v>
      </c>
      <c r="AM19" s="56">
        <f>IF(AM$17&lt;250,0,$C6*AM$17*Assumptions!$C$7/12)*0.5</f>
        <v>0.36968749999999995</v>
      </c>
      <c r="AN19" s="56">
        <f>IF(AN$17&lt;250,0,$C6*AN$17*Assumptions!$C$7/12)*0.5</f>
        <v>0.36968749999999995</v>
      </c>
      <c r="AO19" s="56">
        <f>IF(AO$17&lt;250,0,$C6*AO$17*Assumptions!$C$7/12)*0.5</f>
        <v>0.36968749999999995</v>
      </c>
      <c r="AP19" s="56">
        <f>IF(AP$17&lt;250,0,$C6*AP$17*Assumptions!$C$7/12)*0.5</f>
        <v>0.36968749999999995</v>
      </c>
      <c r="AQ19" s="56">
        <f>IF(AQ$17&lt;250,0,$C6*AQ$17*Assumptions!$C$7/12)*0.5</f>
        <v>0.36968749999999995</v>
      </c>
      <c r="AR19" s="56">
        <f>IF(AR$17&lt;250,0,$C6*AR$17*Assumptions!$C$7/12)*0.5</f>
        <v>0.36968749999999995</v>
      </c>
      <c r="AS19" s="56">
        <f>IF(AS$17&lt;250,0,$C6*AS$17*Assumptions!$C$7/12)*0.5</f>
        <v>0.36968749999999995</v>
      </c>
      <c r="AT19" s="56">
        <f>IF(AT$17&lt;250,0,$C6*AT$17*Assumptions!$C$7/12)*0.5</f>
        <v>0.36968749999999995</v>
      </c>
      <c r="AU19" s="56">
        <f>IF(AU$17&lt;250,0,$C6*AU$17*Assumptions!$C$7/12)*0.5</f>
        <v>0.36968749999999995</v>
      </c>
      <c r="AV19" s="56">
        <f>IF(AV$17&lt;250,0,$C6*AV$17*Assumptions!$C$7/12)*0.5</f>
        <v>0.36968749999999995</v>
      </c>
      <c r="AW19" s="56">
        <f>IF(AW$17&lt;250,0,$C6*AW$17*Assumptions!$C$7/12)*0.5</f>
        <v>0.36968749999999995</v>
      </c>
      <c r="AX19" s="56">
        <f>IF(AX$17&lt;250,0,$C6*AX$17*Assumptions!$C$7/12)*0.5</f>
        <v>0.36968749999999995</v>
      </c>
      <c r="AY19" s="56">
        <f>IF(AY$17&lt;250,0,$C6*AY$17*Assumptions!$C$7/12)*0.5</f>
        <v>0.36968749999999995</v>
      </c>
      <c r="AZ19" s="56">
        <f>IF(AZ$17&lt;250,0,$C6*AZ$17*Assumptions!$C$7/12)*0.5</f>
        <v>0.36968749999999995</v>
      </c>
      <c r="BA19" s="56">
        <f>IF(BA$17&lt;250,0,$C6*BA$17*Assumptions!$C$7/12)*0.5</f>
        <v>0.36968749999999995</v>
      </c>
      <c r="BB19" s="56">
        <f>IF(BB$17&lt;250,0,$C6*BB$17*Assumptions!$C$7/12)*0.5</f>
        <v>0.36968749999999995</v>
      </c>
      <c r="BC19" s="56">
        <f>IF(BC$17&lt;250,0,$C6*BC$17*Assumptions!$C$7/12)*0.5</f>
        <v>0.36968749999999995</v>
      </c>
      <c r="BD19" s="56">
        <f>IF(BD$17&lt;250,0,$C6*BD$17*Assumptions!$C$7/12)*0.5</f>
        <v>0.36968749999999995</v>
      </c>
      <c r="BE19" s="56">
        <f>IF(BE$17&lt;250,0,$C6*BE$17*Assumptions!$C$7/12)*0.5</f>
        <v>0.36968749999999995</v>
      </c>
      <c r="BF19" s="56">
        <f>IF(BF$17&lt;250,0,$C6*BF$17*Assumptions!$C$7/12)*0.5</f>
        <v>0.36968749999999995</v>
      </c>
      <c r="BG19" s="56">
        <f>IF(BG$17&lt;250,0,$C6*BG$17*Assumptions!$C$7/12)*0.5</f>
        <v>0.36968749999999995</v>
      </c>
      <c r="BH19" s="56">
        <f>IF(BH$17&lt;250,0,$C6*BH$17*Assumptions!$C$7/12)*0.5</f>
        <v>0.36968749999999995</v>
      </c>
      <c r="BI19" s="56">
        <f>IF(BI$17&lt;250,0,$C6*BI$17*Assumptions!$C$7/12)*0.5</f>
        <v>0.36968749999999995</v>
      </c>
      <c r="BJ19" s="56">
        <f>IF(BJ$17&lt;250,0,$C6*BJ$17*Assumptions!$C$7/12)*0.5</f>
        <v>0.36968749999999995</v>
      </c>
      <c r="BK19" s="56">
        <f>IF(BK$17&lt;250,0,$C6*BK$17*Assumptions!$C$7/12)*0.5</f>
        <v>0.36968749999999995</v>
      </c>
      <c r="BL19" s="56">
        <f>IF(BL$17&lt;250,0,$C6*BL$17*Assumptions!$C$7/12)*0.5</f>
        <v>0.36968749999999995</v>
      </c>
      <c r="BM19" s="56">
        <f>IF(BM$17&lt;250,0,$C6*BM$17*Assumptions!$C$7/12)*0.5</f>
        <v>0.36968749999999995</v>
      </c>
      <c r="BN19" s="56">
        <f>IF(BN$17&lt;250,0,$C6*BN$17*Assumptions!$C$7/12)*0.5</f>
        <v>0.36968749999999995</v>
      </c>
      <c r="BO19" s="56">
        <f>IF(BO$17&lt;250,0,$C6*BO$17*Assumptions!$C$7/12)*0.5</f>
        <v>0.36968749999999995</v>
      </c>
      <c r="BP19" s="56">
        <f>IF(BP$17&lt;250,0,$C6*BP$17*Assumptions!$C$7/12)*0.5</f>
        <v>0.36968749999999995</v>
      </c>
      <c r="BQ19" s="56">
        <f>IF(BQ$17&lt;250,0,$C6*BQ$17*Assumptions!$C$7/12)*0.5</f>
        <v>0.36968749999999995</v>
      </c>
      <c r="BR19" s="56">
        <f>IF(BR$17&lt;250,0,$C6*BR$17*Assumptions!$C$7/12)*0.5</f>
        <v>0.36968749999999995</v>
      </c>
      <c r="BS19" s="56">
        <f>IF(BS$17&lt;250,0,$C6*BS$17*Assumptions!$C$7/12)*0.5</f>
        <v>0.36968749999999995</v>
      </c>
      <c r="BT19" s="56">
        <f>IF(BT$17&lt;250,0,$C6*BT$17*Assumptions!$C$7/12)*0.5</f>
        <v>0.36968749999999995</v>
      </c>
      <c r="BU19" s="56">
        <f>IF(BU$17&lt;250,0,$C6*BU$17*Assumptions!$C$7/12)*0.5</f>
        <v>0.36968749999999995</v>
      </c>
      <c r="BV19" s="56">
        <f>IF(BV$17&lt;250,0,$C6*BV$17*Assumptions!$C$7/12)*0.5</f>
        <v>0.36968749999999995</v>
      </c>
      <c r="BW19" s="56">
        <f>IF(BW$17&lt;250,0,$C6*BW$17*Assumptions!$C$7/12)*0.5</f>
        <v>0.36968749999999995</v>
      </c>
      <c r="BX19" s="56">
        <f>IF(BX$17&lt;250,0,$C6*BX$17*Assumptions!$C$7/12)*0.5</f>
        <v>0.36968749999999995</v>
      </c>
      <c r="BY19" s="56">
        <f>IF(BY$17&lt;250,0,$C6*BY$17*Assumptions!$C$7/12)*0.5</f>
        <v>0.36968749999999995</v>
      </c>
      <c r="BZ19" s="56">
        <f>IF(BZ$17&lt;250,0,$C6*BZ$17*Assumptions!$C$7/12)*0.5</f>
        <v>0.36968749999999995</v>
      </c>
      <c r="CA19" s="56">
        <f>IF(CA$17&lt;250,0,$C6*CA$17*Assumptions!$C$7/12)*0.5</f>
        <v>0.36968749999999995</v>
      </c>
      <c r="CB19" s="56">
        <f>IF(CB$17&lt;250,0,$C6*CB$17*Assumptions!$C$7/12)*0.5</f>
        <v>0.36968749999999995</v>
      </c>
      <c r="CC19" s="56">
        <f>IF(CC$17&lt;250,0,$C6*CC$17*Assumptions!$C$7/12)*0.5</f>
        <v>0.36968749999999995</v>
      </c>
      <c r="CD19" s="56">
        <f>IF(CD$17&lt;250,0,$C6*CD$17*Assumptions!$C$7/12)*0.5</f>
        <v>0.36968749999999995</v>
      </c>
      <c r="CE19" s="56">
        <f>IF(CE$17&lt;250,0,$C6*CE$17*Assumptions!$C$7/12)*0.5</f>
        <v>0.36968749999999995</v>
      </c>
      <c r="CF19" s="56">
        <f>IF(CF$17&lt;250,0,$C6*CF$17*Assumptions!$C$7/12)*0.5</f>
        <v>0.36968749999999995</v>
      </c>
      <c r="CG19" s="56">
        <f>IF(CG$17&lt;250,0,$C6*CG$17*Assumptions!$C$7/12)*0.5</f>
        <v>0.36968749999999995</v>
      </c>
      <c r="CH19" s="56">
        <f>IF(CH$17&lt;250,0,$C6*CH$17*Assumptions!$C$7/12)*0.5</f>
        <v>0.36968749999999995</v>
      </c>
      <c r="CI19" s="56">
        <f>IF(CI$17&lt;250,0,$C6*CI$17*Assumptions!$C$7/12)*0.5</f>
        <v>0.36968749999999995</v>
      </c>
      <c r="CJ19" s="56">
        <f>IF(CJ$17&lt;250,0,$C6*CJ$17*Assumptions!$C$7/12)*0.5</f>
        <v>0.36968749999999995</v>
      </c>
      <c r="CK19" s="56">
        <f>IF(CK$17&lt;250,0,$C6*CK$17*Assumptions!$C$7/12)*0.5</f>
        <v>0.36968749999999995</v>
      </c>
      <c r="CL19" s="56">
        <f>IF(CL$17&lt;250,0,$C6*CL$17*Assumptions!$C$7/12)*0.5</f>
        <v>0.36968749999999995</v>
      </c>
      <c r="CM19" s="56">
        <f>IF(CM$17&lt;250,0,$C6*CM$17*Assumptions!$C$7/12)*0.5</f>
        <v>0.36968749999999995</v>
      </c>
      <c r="CN19" s="56">
        <f>IF(CN$17&lt;250,0,$C6*CN$17*Assumptions!$C$7/12)*0.5</f>
        <v>0.36968749999999995</v>
      </c>
      <c r="CO19" s="56">
        <f>IF(CO$17&lt;250,0,$C6*CO$17*Assumptions!$C$7/12)*0.5</f>
        <v>0.36968749999999995</v>
      </c>
      <c r="CP19" s="56">
        <f>IF(CP$17&lt;250,0,$C6*CP$17*Assumptions!$C$7/12)*0.5</f>
        <v>0.36968749999999995</v>
      </c>
      <c r="CQ19" s="56">
        <f>IF(CQ$17&lt;250,0,$C6*CQ$17*Assumptions!$C$7/12)*0.5</f>
        <v>0.36968749999999995</v>
      </c>
      <c r="CR19" s="56">
        <f>IF(CR$17&lt;250,0,$C6*CR$17*Assumptions!$C$7/12)*0.5</f>
        <v>0.36968749999999995</v>
      </c>
      <c r="CS19" s="56">
        <f>IF(CS$17&lt;250,0,$C6*CS$17*Assumptions!$C$7/12)*0.5</f>
        <v>0.36968749999999995</v>
      </c>
      <c r="CT19" s="56">
        <f>IF(CT$17&lt;250,0,$C6*CT$17*Assumptions!$C$7/12)*0.5</f>
        <v>0.36968749999999995</v>
      </c>
      <c r="CU19" s="56">
        <f>IF(CU$17&lt;250,0,$C6*CU$17*Assumptions!$C$7/12)*0.5</f>
        <v>0.36968749999999995</v>
      </c>
      <c r="CV19" s="56">
        <f>IF(CV$17&lt;250,0,$C6*CV$17*Assumptions!$C$7/12)*0.5</f>
        <v>0.36968749999999995</v>
      </c>
      <c r="CW19" s="56">
        <f>IF(CW$17&lt;250,0,$C6*CW$17*Assumptions!$C$7/12)*0.5</f>
        <v>0.36968749999999995</v>
      </c>
      <c r="CX19" s="56">
        <f>IF(CX$17&lt;250,0,$C6*CX$17*Assumptions!$C$7/12)*0.5</f>
        <v>0.36968749999999995</v>
      </c>
      <c r="CY19" s="56">
        <f>IF(CY$17&lt;250,0,$C6*CY$17*Assumptions!$C$7/12)*0.5</f>
        <v>0.36968749999999995</v>
      </c>
      <c r="CZ19" s="56">
        <f>IF(CZ$17&lt;250,0,$C6*CZ$17*Assumptions!$C$7/12)*0.5</f>
        <v>0.36968749999999995</v>
      </c>
      <c r="DA19" s="56">
        <f>IF(DA$17&lt;250,0,$C6*DA$17*Assumptions!$C$7/12)*0.5</f>
        <v>0.36968749999999995</v>
      </c>
      <c r="DB19" s="56">
        <f>IF(DB$17&lt;250,0,$C6*DB$17*Assumptions!$C$7/12)*0.5</f>
        <v>0.36968749999999995</v>
      </c>
      <c r="DC19" s="56">
        <f>IF(DC$17&lt;250,0,$C6*DC$17*Assumptions!$C$7/12)*0.5</f>
        <v>0.36968749999999995</v>
      </c>
      <c r="DD19" s="56">
        <f>IF(DD$17&lt;250,0,$C6*DD$17*Assumptions!$C$7/12)*0.5</f>
        <v>0.36968749999999995</v>
      </c>
      <c r="DE19" s="56">
        <f>IF(DE$17&lt;250,0,$C6*DE$17*Assumptions!$C$7/12)*0.5</f>
        <v>0.36968749999999995</v>
      </c>
      <c r="DF19" s="56">
        <f>IF(DF$17&lt;250,0,$C6*DF$17*Assumptions!$C$7/12)*0.5</f>
        <v>0.36968749999999995</v>
      </c>
      <c r="DG19" s="56">
        <f>IF(DG$17&lt;250,0,$C6*DG$17*Assumptions!$C$7/12)*0.5</f>
        <v>0.36968749999999995</v>
      </c>
      <c r="DH19" s="56">
        <f>IF(DH$17&lt;250,0,$C6*DH$17*Assumptions!$C$7/12)*0.5</f>
        <v>0.36968749999999995</v>
      </c>
      <c r="DI19" s="56">
        <f>IF(DI$17&lt;250,0,$C6*DI$17*Assumptions!$C$7/12)*0.5</f>
        <v>0.36968749999999995</v>
      </c>
      <c r="DJ19" s="56">
        <f>IF(DJ$17&lt;250,0,$C6*DJ$17*Assumptions!$C$7/12)*0.5</f>
        <v>0.36968749999999995</v>
      </c>
      <c r="DK19" s="56">
        <f>IF(DK$17&lt;250,0,$C6*DK$17*Assumptions!$C$7/12)*0.5</f>
        <v>0.36968749999999995</v>
      </c>
      <c r="DL19" s="56">
        <f>IF(DL$17&lt;250,0,$C6*DL$17*Assumptions!$C$7/12)*0.5</f>
        <v>0.36968749999999995</v>
      </c>
      <c r="DM19" s="56">
        <f>IF(DM$17&lt;250,0,$C6*DM$17*Assumptions!$C$7/12)*0.5</f>
        <v>0.36968749999999995</v>
      </c>
      <c r="DN19" s="56">
        <f>IF(DN$17&lt;250,0,$C6*DN$17*Assumptions!$C$7/12)*0.5</f>
        <v>0.36968749999999995</v>
      </c>
      <c r="DO19" s="56">
        <f>IF(DO$17&lt;250,0,$C6*DO$17*Assumptions!$C$7/12)*0.5</f>
        <v>0.36968749999999995</v>
      </c>
      <c r="DP19" s="56">
        <f>IF(DP$17&lt;250,0,$C6*DP$17*Assumptions!$C$7/12)*0.5</f>
        <v>0.36968749999999995</v>
      </c>
      <c r="DQ19" s="56">
        <f>IF(DQ$17&lt;250,0,$C6*DQ$17*Assumptions!$C$7/12)*0.5</f>
        <v>0.36968749999999995</v>
      </c>
      <c r="DR19" s="56">
        <f>IF(DR$17&lt;250,0,$C6*DR$17*Assumptions!$C$7/12)*0.5</f>
        <v>0.36968749999999995</v>
      </c>
      <c r="DS19" s="56">
        <f>IF(DS$17&lt;250,0,$C6*DS$17*Assumptions!$C$7/12)*0.5</f>
        <v>0.36968749999999995</v>
      </c>
      <c r="DT19" s="56">
        <f>IF(DT$17&lt;250,0,$C6*DT$17*Assumptions!$C$7/12)*0.5</f>
        <v>0.36968749999999995</v>
      </c>
      <c r="DU19" s="56">
        <f>IF(DU$17&lt;250,0,$C6*DU$17*Assumptions!$C$7/12)*0.5</f>
        <v>0.36968749999999995</v>
      </c>
      <c r="DV19" s="56">
        <f>IF(DV$17&lt;250,0,$C6*DV$17*Assumptions!$C$7/12)*0.5</f>
        <v>0.36968749999999995</v>
      </c>
      <c r="DW19" s="56">
        <f>IF(DW$17&lt;250,0,$C6*DW$17*Assumptions!$C$7/12)*0.5</f>
        <v>0.36968749999999995</v>
      </c>
    </row>
    <row r="20" spans="2:127" x14ac:dyDescent="0.3">
      <c r="B20" s="53" t="str">
        <f t="shared" si="0"/>
        <v>Gallium</v>
      </c>
      <c r="C20" s="56">
        <f>IF(C$17&lt;250,0,$C7*C$17*Assumptions!$C$7/12)*0.5</f>
        <v>0</v>
      </c>
      <c r="D20" s="56">
        <f>IF(D$17&lt;250,0,$C7*D$17*Assumptions!$C$7/12)*0.5</f>
        <v>0</v>
      </c>
      <c r="E20" s="56">
        <f>IF(E$17&lt;250,0,$C7*E$17*Assumptions!$C$7/12)*0.5</f>
        <v>0</v>
      </c>
      <c r="F20" s="56">
        <f>IF(F$17&lt;250,0,$C7*F$17*Assumptions!$C$7/12)*0.5</f>
        <v>0</v>
      </c>
      <c r="G20" s="56">
        <f>IF(G$17&lt;250,0,$C7*G$17*Assumptions!$C$7/12)*0.5</f>
        <v>0.20312500000000003</v>
      </c>
      <c r="H20" s="56">
        <f>IF(H$17&lt;250,0,$C7*H$17*Assumptions!$C$7/12)*0.5</f>
        <v>0.20312500000000003</v>
      </c>
      <c r="I20" s="56">
        <f>IF(I$17&lt;250,0,$C7*I$17*Assumptions!$C$7/12)*0.5</f>
        <v>0.20312500000000003</v>
      </c>
      <c r="J20" s="56">
        <f>IF(J$17&lt;250,0,$C7*J$17*Assumptions!$C$7/12)*0.5</f>
        <v>0.20312500000000003</v>
      </c>
      <c r="K20" s="56">
        <f>IF(K$17&lt;250,0,$C7*K$17*Assumptions!$C$7/12)*0.5</f>
        <v>0.20312500000000003</v>
      </c>
      <c r="L20" s="56">
        <f>IF(L$17&lt;250,0,$C7*L$17*Assumptions!$C$7/12)*0.5</f>
        <v>0.40625000000000006</v>
      </c>
      <c r="M20" s="56">
        <f>IF(M$17&lt;250,0,$C7*M$17*Assumptions!$C$7/12)*0.5</f>
        <v>0.40625000000000006</v>
      </c>
      <c r="N20" s="56">
        <f>IF(N$17&lt;250,0,$C7*N$17*Assumptions!$C$7/12)*0.5</f>
        <v>0.40625000000000006</v>
      </c>
      <c r="O20" s="56">
        <f>IF(O$17&lt;250,0,$C7*O$17*Assumptions!$C$7/12)*0.5</f>
        <v>0.40625000000000006</v>
      </c>
      <c r="P20" s="56">
        <f>IF(P$17&lt;250,0,$C7*P$17*Assumptions!$C$7/12)*0.5</f>
        <v>0.40625000000000006</v>
      </c>
      <c r="Q20" s="56">
        <f>IF(Q$17&lt;250,0,$C7*Q$17*Assumptions!$C$7/12)*0.5</f>
        <v>0.40625000000000006</v>
      </c>
      <c r="R20" s="56">
        <f>IF(R$17&lt;250,0,$C7*R$17*Assumptions!$C$7/12)*0.5</f>
        <v>0.40625000000000006</v>
      </c>
      <c r="S20" s="56">
        <f>IF(S$17&lt;250,0,$C7*S$17*Assumptions!$C$7/12)*0.5</f>
        <v>0.40625000000000006</v>
      </c>
      <c r="T20" s="56">
        <f>IF(T$17&lt;250,0,$C7*T$17*Assumptions!$C$7/12)*0.5</f>
        <v>0.40625000000000006</v>
      </c>
      <c r="U20" s="56">
        <f>IF(U$17&lt;250,0,$C7*U$17*Assumptions!$C$7/12)*0.5</f>
        <v>0.40625000000000006</v>
      </c>
      <c r="V20" s="56">
        <f>IF(V$17&lt;250,0,$C7*V$17*Assumptions!$C$7/12)*0.5</f>
        <v>0.40625000000000006</v>
      </c>
      <c r="W20" s="56">
        <f>IF(W$17&lt;250,0,$C7*W$17*Assumptions!$C$7/12)*0.5</f>
        <v>0.40625000000000006</v>
      </c>
      <c r="X20" s="56">
        <f>IF(X$17&lt;250,0,$C7*X$17*Assumptions!$C$7/12)*0.5</f>
        <v>0.40625000000000006</v>
      </c>
      <c r="Y20" s="56">
        <f>IF(Y$17&lt;250,0,$C7*Y$17*Assumptions!$C$7/12)*0.5</f>
        <v>0.40625000000000006</v>
      </c>
      <c r="Z20" s="56">
        <f>IF(Z$17&lt;250,0,$C7*Z$17*Assumptions!$C$7/12)*0.5</f>
        <v>0.40625000000000006</v>
      </c>
      <c r="AA20" s="56">
        <f>IF(AA$17&lt;250,0,$C7*AA$17*Assumptions!$C$7/12)*0.5</f>
        <v>0.40625000000000006</v>
      </c>
      <c r="AB20" s="56">
        <f>IF(AB$17&lt;250,0,$C7*AB$17*Assumptions!$C$7/12)*0.5</f>
        <v>0.40625000000000006</v>
      </c>
      <c r="AC20" s="56">
        <f>IF(AC$17&lt;250,0,$C7*AC$17*Assumptions!$C$7/12)*0.5</f>
        <v>0.40625000000000006</v>
      </c>
      <c r="AD20" s="56">
        <f>IF(AD$17&lt;250,0,$C7*AD$17*Assumptions!$C$7/12)*0.5</f>
        <v>0.40625000000000006</v>
      </c>
      <c r="AE20" s="56">
        <f>IF(AE$17&lt;250,0,$C7*AE$17*Assumptions!$C$7/12)*0.5</f>
        <v>0.40625000000000006</v>
      </c>
      <c r="AF20" s="56">
        <f>IF(AF$17&lt;250,0,$C7*AF$17*Assumptions!$C$7/12)*0.5</f>
        <v>0.40625000000000006</v>
      </c>
      <c r="AG20" s="56">
        <f>IF(AG$17&lt;250,0,$C7*AG$17*Assumptions!$C$7/12)*0.5</f>
        <v>0.40625000000000006</v>
      </c>
      <c r="AH20" s="56">
        <f>IF(AH$17&lt;250,0,$C7*AH$17*Assumptions!$C$7/12)*0.5</f>
        <v>0.40625000000000006</v>
      </c>
      <c r="AI20" s="56">
        <f>IF(AI$17&lt;250,0,$C7*AI$17*Assumptions!$C$7/12)*0.5</f>
        <v>0.40625000000000006</v>
      </c>
      <c r="AJ20" s="56">
        <f>IF(AJ$17&lt;250,0,$C7*AJ$17*Assumptions!$C$7/12)*0.5</f>
        <v>0.40625000000000006</v>
      </c>
      <c r="AK20" s="56">
        <f>IF(AK$17&lt;250,0,$C7*AK$17*Assumptions!$C$7/12)*0.5</f>
        <v>0.40625000000000006</v>
      </c>
      <c r="AL20" s="56">
        <f>IF(AL$17&lt;250,0,$C7*AL$17*Assumptions!$C$7/12)*0.5</f>
        <v>0.40625000000000006</v>
      </c>
      <c r="AM20" s="56">
        <f>IF(AM$17&lt;250,0,$C7*AM$17*Assumptions!$C$7/12)*0.5</f>
        <v>0.40625000000000006</v>
      </c>
      <c r="AN20" s="56">
        <f>IF(AN$17&lt;250,0,$C7*AN$17*Assumptions!$C$7/12)*0.5</f>
        <v>0.40625000000000006</v>
      </c>
      <c r="AO20" s="56">
        <f>IF(AO$17&lt;250,0,$C7*AO$17*Assumptions!$C$7/12)*0.5</f>
        <v>0.40625000000000006</v>
      </c>
      <c r="AP20" s="56">
        <f>IF(AP$17&lt;250,0,$C7*AP$17*Assumptions!$C$7/12)*0.5</f>
        <v>0.40625000000000006</v>
      </c>
      <c r="AQ20" s="56">
        <f>IF(AQ$17&lt;250,0,$C7*AQ$17*Assumptions!$C$7/12)*0.5</f>
        <v>0.40625000000000006</v>
      </c>
      <c r="AR20" s="56">
        <f>IF(AR$17&lt;250,0,$C7*AR$17*Assumptions!$C$7/12)*0.5</f>
        <v>0.40625000000000006</v>
      </c>
      <c r="AS20" s="56">
        <f>IF(AS$17&lt;250,0,$C7*AS$17*Assumptions!$C$7/12)*0.5</f>
        <v>0.40625000000000006</v>
      </c>
      <c r="AT20" s="56">
        <f>IF(AT$17&lt;250,0,$C7*AT$17*Assumptions!$C$7/12)*0.5</f>
        <v>0.40625000000000006</v>
      </c>
      <c r="AU20" s="56">
        <f>IF(AU$17&lt;250,0,$C7*AU$17*Assumptions!$C$7/12)*0.5</f>
        <v>0.40625000000000006</v>
      </c>
      <c r="AV20" s="56">
        <f>IF(AV$17&lt;250,0,$C7*AV$17*Assumptions!$C$7/12)*0.5</f>
        <v>0.40625000000000006</v>
      </c>
      <c r="AW20" s="56">
        <f>IF(AW$17&lt;250,0,$C7*AW$17*Assumptions!$C$7/12)*0.5</f>
        <v>0.40625000000000006</v>
      </c>
      <c r="AX20" s="56">
        <f>IF(AX$17&lt;250,0,$C7*AX$17*Assumptions!$C$7/12)*0.5</f>
        <v>0.40625000000000006</v>
      </c>
      <c r="AY20" s="56">
        <f>IF(AY$17&lt;250,0,$C7*AY$17*Assumptions!$C$7/12)*0.5</f>
        <v>0.40625000000000006</v>
      </c>
      <c r="AZ20" s="56">
        <f>IF(AZ$17&lt;250,0,$C7*AZ$17*Assumptions!$C$7/12)*0.5</f>
        <v>0.40625000000000006</v>
      </c>
      <c r="BA20" s="56">
        <f>IF(BA$17&lt;250,0,$C7*BA$17*Assumptions!$C$7/12)*0.5</f>
        <v>0.40625000000000006</v>
      </c>
      <c r="BB20" s="56">
        <f>IF(BB$17&lt;250,0,$C7*BB$17*Assumptions!$C$7/12)*0.5</f>
        <v>0.40625000000000006</v>
      </c>
      <c r="BC20" s="56">
        <f>IF(BC$17&lt;250,0,$C7*BC$17*Assumptions!$C$7/12)*0.5</f>
        <v>0.40625000000000006</v>
      </c>
      <c r="BD20" s="56">
        <f>IF(BD$17&lt;250,0,$C7*BD$17*Assumptions!$C$7/12)*0.5</f>
        <v>0.40625000000000006</v>
      </c>
      <c r="BE20" s="56">
        <f>IF(BE$17&lt;250,0,$C7*BE$17*Assumptions!$C$7/12)*0.5</f>
        <v>0.40625000000000006</v>
      </c>
      <c r="BF20" s="56">
        <f>IF(BF$17&lt;250,0,$C7*BF$17*Assumptions!$C$7/12)*0.5</f>
        <v>0.40625000000000006</v>
      </c>
      <c r="BG20" s="56">
        <f>IF(BG$17&lt;250,0,$C7*BG$17*Assumptions!$C$7/12)*0.5</f>
        <v>0.40625000000000006</v>
      </c>
      <c r="BH20" s="56">
        <f>IF(BH$17&lt;250,0,$C7*BH$17*Assumptions!$C$7/12)*0.5</f>
        <v>0.40625000000000006</v>
      </c>
      <c r="BI20" s="56">
        <f>IF(BI$17&lt;250,0,$C7*BI$17*Assumptions!$C$7/12)*0.5</f>
        <v>0.40625000000000006</v>
      </c>
      <c r="BJ20" s="56">
        <f>IF(BJ$17&lt;250,0,$C7*BJ$17*Assumptions!$C$7/12)*0.5</f>
        <v>0.40625000000000006</v>
      </c>
      <c r="BK20" s="56">
        <f>IF(BK$17&lt;250,0,$C7*BK$17*Assumptions!$C$7/12)*0.5</f>
        <v>0.40625000000000006</v>
      </c>
      <c r="BL20" s="56">
        <f>IF(BL$17&lt;250,0,$C7*BL$17*Assumptions!$C$7/12)*0.5</f>
        <v>0.40625000000000006</v>
      </c>
      <c r="BM20" s="56">
        <f>IF(BM$17&lt;250,0,$C7*BM$17*Assumptions!$C$7/12)*0.5</f>
        <v>0.40625000000000006</v>
      </c>
      <c r="BN20" s="56">
        <f>IF(BN$17&lt;250,0,$C7*BN$17*Assumptions!$C$7/12)*0.5</f>
        <v>0.40625000000000006</v>
      </c>
      <c r="BO20" s="56">
        <f>IF(BO$17&lt;250,0,$C7*BO$17*Assumptions!$C$7/12)*0.5</f>
        <v>0.40625000000000006</v>
      </c>
      <c r="BP20" s="56">
        <f>IF(BP$17&lt;250,0,$C7*BP$17*Assumptions!$C$7/12)*0.5</f>
        <v>0.40625000000000006</v>
      </c>
      <c r="BQ20" s="56">
        <f>IF(BQ$17&lt;250,0,$C7*BQ$17*Assumptions!$C$7/12)*0.5</f>
        <v>0.40625000000000006</v>
      </c>
      <c r="BR20" s="56">
        <f>IF(BR$17&lt;250,0,$C7*BR$17*Assumptions!$C$7/12)*0.5</f>
        <v>0.40625000000000006</v>
      </c>
      <c r="BS20" s="56">
        <f>IF(BS$17&lt;250,0,$C7*BS$17*Assumptions!$C$7/12)*0.5</f>
        <v>0.40625000000000006</v>
      </c>
      <c r="BT20" s="56">
        <f>IF(BT$17&lt;250,0,$C7*BT$17*Assumptions!$C$7/12)*0.5</f>
        <v>0.40625000000000006</v>
      </c>
      <c r="BU20" s="56">
        <f>IF(BU$17&lt;250,0,$C7*BU$17*Assumptions!$C$7/12)*0.5</f>
        <v>0.40625000000000006</v>
      </c>
      <c r="BV20" s="56">
        <f>IF(BV$17&lt;250,0,$C7*BV$17*Assumptions!$C$7/12)*0.5</f>
        <v>0.40625000000000006</v>
      </c>
      <c r="BW20" s="56">
        <f>IF(BW$17&lt;250,0,$C7*BW$17*Assumptions!$C$7/12)*0.5</f>
        <v>0.40625000000000006</v>
      </c>
      <c r="BX20" s="56">
        <f>IF(BX$17&lt;250,0,$C7*BX$17*Assumptions!$C$7/12)*0.5</f>
        <v>0.40625000000000006</v>
      </c>
      <c r="BY20" s="56">
        <f>IF(BY$17&lt;250,0,$C7*BY$17*Assumptions!$C$7/12)*0.5</f>
        <v>0.40625000000000006</v>
      </c>
      <c r="BZ20" s="56">
        <f>IF(BZ$17&lt;250,0,$C7*BZ$17*Assumptions!$C$7/12)*0.5</f>
        <v>0.40625000000000006</v>
      </c>
      <c r="CA20" s="56">
        <f>IF(CA$17&lt;250,0,$C7*CA$17*Assumptions!$C$7/12)*0.5</f>
        <v>0.40625000000000006</v>
      </c>
      <c r="CB20" s="56">
        <f>IF(CB$17&lt;250,0,$C7*CB$17*Assumptions!$C$7/12)*0.5</f>
        <v>0.40625000000000006</v>
      </c>
      <c r="CC20" s="56">
        <f>IF(CC$17&lt;250,0,$C7*CC$17*Assumptions!$C$7/12)*0.5</f>
        <v>0.40625000000000006</v>
      </c>
      <c r="CD20" s="56">
        <f>IF(CD$17&lt;250,0,$C7*CD$17*Assumptions!$C$7/12)*0.5</f>
        <v>0.40625000000000006</v>
      </c>
      <c r="CE20" s="56">
        <f>IF(CE$17&lt;250,0,$C7*CE$17*Assumptions!$C$7/12)*0.5</f>
        <v>0.40625000000000006</v>
      </c>
      <c r="CF20" s="56">
        <f>IF(CF$17&lt;250,0,$C7*CF$17*Assumptions!$C$7/12)*0.5</f>
        <v>0.40625000000000006</v>
      </c>
      <c r="CG20" s="56">
        <f>IF(CG$17&lt;250,0,$C7*CG$17*Assumptions!$C$7/12)*0.5</f>
        <v>0.40625000000000006</v>
      </c>
      <c r="CH20" s="56">
        <f>IF(CH$17&lt;250,0,$C7*CH$17*Assumptions!$C$7/12)*0.5</f>
        <v>0.40625000000000006</v>
      </c>
      <c r="CI20" s="56">
        <f>IF(CI$17&lt;250,0,$C7*CI$17*Assumptions!$C$7/12)*0.5</f>
        <v>0.40625000000000006</v>
      </c>
      <c r="CJ20" s="56">
        <f>IF(CJ$17&lt;250,0,$C7*CJ$17*Assumptions!$C$7/12)*0.5</f>
        <v>0.40625000000000006</v>
      </c>
      <c r="CK20" s="56">
        <f>IF(CK$17&lt;250,0,$C7*CK$17*Assumptions!$C$7/12)*0.5</f>
        <v>0.40625000000000006</v>
      </c>
      <c r="CL20" s="56">
        <f>IF(CL$17&lt;250,0,$C7*CL$17*Assumptions!$C$7/12)*0.5</f>
        <v>0.40625000000000006</v>
      </c>
      <c r="CM20" s="56">
        <f>IF(CM$17&lt;250,0,$C7*CM$17*Assumptions!$C$7/12)*0.5</f>
        <v>0.40625000000000006</v>
      </c>
      <c r="CN20" s="56">
        <f>IF(CN$17&lt;250,0,$C7*CN$17*Assumptions!$C$7/12)*0.5</f>
        <v>0.40625000000000006</v>
      </c>
      <c r="CO20" s="56">
        <f>IF(CO$17&lt;250,0,$C7*CO$17*Assumptions!$C$7/12)*0.5</f>
        <v>0.40625000000000006</v>
      </c>
      <c r="CP20" s="56">
        <f>IF(CP$17&lt;250,0,$C7*CP$17*Assumptions!$C$7/12)*0.5</f>
        <v>0.40625000000000006</v>
      </c>
      <c r="CQ20" s="56">
        <f>IF(CQ$17&lt;250,0,$C7*CQ$17*Assumptions!$C$7/12)*0.5</f>
        <v>0.40625000000000006</v>
      </c>
      <c r="CR20" s="56">
        <f>IF(CR$17&lt;250,0,$C7*CR$17*Assumptions!$C$7/12)*0.5</f>
        <v>0.40625000000000006</v>
      </c>
      <c r="CS20" s="56">
        <f>IF(CS$17&lt;250,0,$C7*CS$17*Assumptions!$C$7/12)*0.5</f>
        <v>0.40625000000000006</v>
      </c>
      <c r="CT20" s="56">
        <f>IF(CT$17&lt;250,0,$C7*CT$17*Assumptions!$C$7/12)*0.5</f>
        <v>0.40625000000000006</v>
      </c>
      <c r="CU20" s="56">
        <f>IF(CU$17&lt;250,0,$C7*CU$17*Assumptions!$C$7/12)*0.5</f>
        <v>0.40625000000000006</v>
      </c>
      <c r="CV20" s="56">
        <f>IF(CV$17&lt;250,0,$C7*CV$17*Assumptions!$C$7/12)*0.5</f>
        <v>0.40625000000000006</v>
      </c>
      <c r="CW20" s="56">
        <f>IF(CW$17&lt;250,0,$C7*CW$17*Assumptions!$C$7/12)*0.5</f>
        <v>0.40625000000000006</v>
      </c>
      <c r="CX20" s="56">
        <f>IF(CX$17&lt;250,0,$C7*CX$17*Assumptions!$C$7/12)*0.5</f>
        <v>0.40625000000000006</v>
      </c>
      <c r="CY20" s="56">
        <f>IF(CY$17&lt;250,0,$C7*CY$17*Assumptions!$C$7/12)*0.5</f>
        <v>0.40625000000000006</v>
      </c>
      <c r="CZ20" s="56">
        <f>IF(CZ$17&lt;250,0,$C7*CZ$17*Assumptions!$C$7/12)*0.5</f>
        <v>0.40625000000000006</v>
      </c>
      <c r="DA20" s="56">
        <f>IF(DA$17&lt;250,0,$C7*DA$17*Assumptions!$C$7/12)*0.5</f>
        <v>0.40625000000000006</v>
      </c>
      <c r="DB20" s="56">
        <f>IF(DB$17&lt;250,0,$C7*DB$17*Assumptions!$C$7/12)*0.5</f>
        <v>0.40625000000000006</v>
      </c>
      <c r="DC20" s="56">
        <f>IF(DC$17&lt;250,0,$C7*DC$17*Assumptions!$C$7/12)*0.5</f>
        <v>0.40625000000000006</v>
      </c>
      <c r="DD20" s="56">
        <f>IF(DD$17&lt;250,0,$C7*DD$17*Assumptions!$C$7/12)*0.5</f>
        <v>0.40625000000000006</v>
      </c>
      <c r="DE20" s="56">
        <f>IF(DE$17&lt;250,0,$C7*DE$17*Assumptions!$C$7/12)*0.5</f>
        <v>0.40625000000000006</v>
      </c>
      <c r="DF20" s="56">
        <f>IF(DF$17&lt;250,0,$C7*DF$17*Assumptions!$C$7/12)*0.5</f>
        <v>0.40625000000000006</v>
      </c>
      <c r="DG20" s="56">
        <f>IF(DG$17&lt;250,0,$C7*DG$17*Assumptions!$C$7/12)*0.5</f>
        <v>0.40625000000000006</v>
      </c>
      <c r="DH20" s="56">
        <f>IF(DH$17&lt;250,0,$C7*DH$17*Assumptions!$C$7/12)*0.5</f>
        <v>0.40625000000000006</v>
      </c>
      <c r="DI20" s="56">
        <f>IF(DI$17&lt;250,0,$C7*DI$17*Assumptions!$C$7/12)*0.5</f>
        <v>0.40625000000000006</v>
      </c>
      <c r="DJ20" s="56">
        <f>IF(DJ$17&lt;250,0,$C7*DJ$17*Assumptions!$C$7/12)*0.5</f>
        <v>0.40625000000000006</v>
      </c>
      <c r="DK20" s="56">
        <f>IF(DK$17&lt;250,0,$C7*DK$17*Assumptions!$C$7/12)*0.5</f>
        <v>0.40625000000000006</v>
      </c>
      <c r="DL20" s="56">
        <f>IF(DL$17&lt;250,0,$C7*DL$17*Assumptions!$C$7/12)*0.5</f>
        <v>0.40625000000000006</v>
      </c>
      <c r="DM20" s="56">
        <f>IF(DM$17&lt;250,0,$C7*DM$17*Assumptions!$C$7/12)*0.5</f>
        <v>0.40625000000000006</v>
      </c>
      <c r="DN20" s="56">
        <f>IF(DN$17&lt;250,0,$C7*DN$17*Assumptions!$C$7/12)*0.5</f>
        <v>0.40625000000000006</v>
      </c>
      <c r="DO20" s="56">
        <f>IF(DO$17&lt;250,0,$C7*DO$17*Assumptions!$C$7/12)*0.5</f>
        <v>0.40625000000000006</v>
      </c>
      <c r="DP20" s="56">
        <f>IF(DP$17&lt;250,0,$C7*DP$17*Assumptions!$C$7/12)*0.5</f>
        <v>0.40625000000000006</v>
      </c>
      <c r="DQ20" s="56">
        <f>IF(DQ$17&lt;250,0,$C7*DQ$17*Assumptions!$C$7/12)*0.5</f>
        <v>0.40625000000000006</v>
      </c>
      <c r="DR20" s="56">
        <f>IF(DR$17&lt;250,0,$C7*DR$17*Assumptions!$C$7/12)*0.5</f>
        <v>0.40625000000000006</v>
      </c>
      <c r="DS20" s="56">
        <f>IF(DS$17&lt;250,0,$C7*DS$17*Assumptions!$C$7/12)*0.5</f>
        <v>0.40625000000000006</v>
      </c>
      <c r="DT20" s="56">
        <f>IF(DT$17&lt;250,0,$C7*DT$17*Assumptions!$C$7/12)*0.5</f>
        <v>0.40625000000000006</v>
      </c>
      <c r="DU20" s="56">
        <f>IF(DU$17&lt;250,0,$C7*DU$17*Assumptions!$C$7/12)*0.5</f>
        <v>0.40625000000000006</v>
      </c>
      <c r="DV20" s="56">
        <f>IF(DV$17&lt;250,0,$C7*DV$17*Assumptions!$C$7/12)*0.5</f>
        <v>0.40625000000000006</v>
      </c>
      <c r="DW20" s="56">
        <f>IF(DW$17&lt;250,0,$C7*DW$17*Assumptions!$C$7/12)*0.5</f>
        <v>0.40625000000000006</v>
      </c>
    </row>
    <row r="21" spans="2:127" x14ac:dyDescent="0.3">
      <c r="B21" s="53" t="str">
        <f t="shared" si="0"/>
        <v>indium</v>
      </c>
      <c r="C21" s="56">
        <f>IF(C$17&lt;250,0,$C8*C$17*Assumptions!$C$7/12)*0.5</f>
        <v>0</v>
      </c>
      <c r="D21" s="56">
        <f>IF(D$17&lt;250,0,$C8*D$17*Assumptions!$C$7/12)*0.5</f>
        <v>0</v>
      </c>
      <c r="E21" s="56">
        <f>IF(E$17&lt;250,0,$C8*E$17*Assumptions!$C$7/12)*0.5</f>
        <v>0</v>
      </c>
      <c r="F21" s="56">
        <f>IF(F$17&lt;250,0,$C8*F$17*Assumptions!$C$7/12)*0.5</f>
        <v>0</v>
      </c>
      <c r="G21" s="56">
        <f>IF(G$17&lt;250,0,$C8*G$17*Assumptions!$C$7/12)*0.5</f>
        <v>0.93979166666666647</v>
      </c>
      <c r="H21" s="56">
        <f>IF(H$17&lt;250,0,$C8*H$17*Assumptions!$C$7/12)*0.5</f>
        <v>0.93979166666666647</v>
      </c>
      <c r="I21" s="56">
        <f>IF(I$17&lt;250,0,$C8*I$17*Assumptions!$C$7/12)*0.5</f>
        <v>0.93979166666666647</v>
      </c>
      <c r="J21" s="56">
        <f>IF(J$17&lt;250,0,$C8*J$17*Assumptions!$C$7/12)*0.5</f>
        <v>0.93979166666666647</v>
      </c>
      <c r="K21" s="56">
        <f>IF(K$17&lt;250,0,$C8*K$17*Assumptions!$C$7/12)*0.5</f>
        <v>0.93979166666666647</v>
      </c>
      <c r="L21" s="56">
        <f>IF(L$17&lt;250,0,$C8*L$17*Assumptions!$C$7/12)*0.5</f>
        <v>1.8795833333333329</v>
      </c>
      <c r="M21" s="56">
        <f>IF(M$17&lt;250,0,$C8*M$17*Assumptions!$C$7/12)*0.5</f>
        <v>1.8795833333333329</v>
      </c>
      <c r="N21" s="56">
        <f>IF(N$17&lt;250,0,$C8*N$17*Assumptions!$C$7/12)*0.5</f>
        <v>1.8795833333333329</v>
      </c>
      <c r="O21" s="56">
        <f>IF(O$17&lt;250,0,$C8*O$17*Assumptions!$C$7/12)*0.5</f>
        <v>1.8795833333333329</v>
      </c>
      <c r="P21" s="56">
        <f>IF(P$17&lt;250,0,$C8*P$17*Assumptions!$C$7/12)*0.5</f>
        <v>1.8795833333333329</v>
      </c>
      <c r="Q21" s="56">
        <f>IF(Q$17&lt;250,0,$C8*Q$17*Assumptions!$C$7/12)*0.5</f>
        <v>1.8795833333333329</v>
      </c>
      <c r="R21" s="56">
        <f>IF(R$17&lt;250,0,$C8*R$17*Assumptions!$C$7/12)*0.5</f>
        <v>1.8795833333333329</v>
      </c>
      <c r="S21" s="56">
        <f>IF(S$17&lt;250,0,$C8*S$17*Assumptions!$C$7/12)*0.5</f>
        <v>1.8795833333333329</v>
      </c>
      <c r="T21" s="56">
        <f>IF(T$17&lt;250,0,$C8*T$17*Assumptions!$C$7/12)*0.5</f>
        <v>1.8795833333333329</v>
      </c>
      <c r="U21" s="56">
        <f>IF(U$17&lt;250,0,$C8*U$17*Assumptions!$C$7/12)*0.5</f>
        <v>1.8795833333333329</v>
      </c>
      <c r="V21" s="56">
        <f>IF(V$17&lt;250,0,$C8*V$17*Assumptions!$C$7/12)*0.5</f>
        <v>1.8795833333333329</v>
      </c>
      <c r="W21" s="56">
        <f>IF(W$17&lt;250,0,$C8*W$17*Assumptions!$C$7/12)*0.5</f>
        <v>1.8795833333333329</v>
      </c>
      <c r="X21" s="56">
        <f>IF(X$17&lt;250,0,$C8*X$17*Assumptions!$C$7/12)*0.5</f>
        <v>1.8795833333333329</v>
      </c>
      <c r="Y21" s="56">
        <f>IF(Y$17&lt;250,0,$C8*Y$17*Assumptions!$C$7/12)*0.5</f>
        <v>1.8795833333333329</v>
      </c>
      <c r="Z21" s="56">
        <f>IF(Z$17&lt;250,0,$C8*Z$17*Assumptions!$C$7/12)*0.5</f>
        <v>1.8795833333333329</v>
      </c>
      <c r="AA21" s="56">
        <f>IF(AA$17&lt;250,0,$C8*AA$17*Assumptions!$C$7/12)*0.5</f>
        <v>1.8795833333333329</v>
      </c>
      <c r="AB21" s="56">
        <f>IF(AB$17&lt;250,0,$C8*AB$17*Assumptions!$C$7/12)*0.5</f>
        <v>1.8795833333333329</v>
      </c>
      <c r="AC21" s="56">
        <f>IF(AC$17&lt;250,0,$C8*AC$17*Assumptions!$C$7/12)*0.5</f>
        <v>1.8795833333333329</v>
      </c>
      <c r="AD21" s="56">
        <f>IF(AD$17&lt;250,0,$C8*AD$17*Assumptions!$C$7/12)*0.5</f>
        <v>1.8795833333333329</v>
      </c>
      <c r="AE21" s="56">
        <f>IF(AE$17&lt;250,0,$C8*AE$17*Assumptions!$C$7/12)*0.5</f>
        <v>1.8795833333333329</v>
      </c>
      <c r="AF21" s="56">
        <f>IF(AF$17&lt;250,0,$C8*AF$17*Assumptions!$C$7/12)*0.5</f>
        <v>1.8795833333333329</v>
      </c>
      <c r="AG21" s="56">
        <f>IF(AG$17&lt;250,0,$C8*AG$17*Assumptions!$C$7/12)*0.5</f>
        <v>1.8795833333333329</v>
      </c>
      <c r="AH21" s="56">
        <f>IF(AH$17&lt;250,0,$C8*AH$17*Assumptions!$C$7/12)*0.5</f>
        <v>1.8795833333333329</v>
      </c>
      <c r="AI21" s="56">
        <f>IF(AI$17&lt;250,0,$C8*AI$17*Assumptions!$C$7/12)*0.5</f>
        <v>1.8795833333333329</v>
      </c>
      <c r="AJ21" s="56">
        <f>IF(AJ$17&lt;250,0,$C8*AJ$17*Assumptions!$C$7/12)*0.5</f>
        <v>1.8795833333333329</v>
      </c>
      <c r="AK21" s="56">
        <f>IF(AK$17&lt;250,0,$C8*AK$17*Assumptions!$C$7/12)*0.5</f>
        <v>1.8795833333333329</v>
      </c>
      <c r="AL21" s="56">
        <f>IF(AL$17&lt;250,0,$C8*AL$17*Assumptions!$C$7/12)*0.5</f>
        <v>1.8795833333333329</v>
      </c>
      <c r="AM21" s="56">
        <f>IF(AM$17&lt;250,0,$C8*AM$17*Assumptions!$C$7/12)*0.5</f>
        <v>1.8795833333333329</v>
      </c>
      <c r="AN21" s="56">
        <f>IF(AN$17&lt;250,0,$C8*AN$17*Assumptions!$C$7/12)*0.5</f>
        <v>1.8795833333333329</v>
      </c>
      <c r="AO21" s="56">
        <f>IF(AO$17&lt;250,0,$C8*AO$17*Assumptions!$C$7/12)*0.5</f>
        <v>1.8795833333333329</v>
      </c>
      <c r="AP21" s="56">
        <f>IF(AP$17&lt;250,0,$C8*AP$17*Assumptions!$C$7/12)*0.5</f>
        <v>1.8795833333333329</v>
      </c>
      <c r="AQ21" s="56">
        <f>IF(AQ$17&lt;250,0,$C8*AQ$17*Assumptions!$C$7/12)*0.5</f>
        <v>1.8795833333333329</v>
      </c>
      <c r="AR21" s="56">
        <f>IF(AR$17&lt;250,0,$C8*AR$17*Assumptions!$C$7/12)*0.5</f>
        <v>1.8795833333333329</v>
      </c>
      <c r="AS21" s="56">
        <f>IF(AS$17&lt;250,0,$C8*AS$17*Assumptions!$C$7/12)*0.5</f>
        <v>1.8795833333333329</v>
      </c>
      <c r="AT21" s="56">
        <f>IF(AT$17&lt;250,0,$C8*AT$17*Assumptions!$C$7/12)*0.5</f>
        <v>1.8795833333333329</v>
      </c>
      <c r="AU21" s="56">
        <f>IF(AU$17&lt;250,0,$C8*AU$17*Assumptions!$C$7/12)*0.5</f>
        <v>1.8795833333333329</v>
      </c>
      <c r="AV21" s="56">
        <f>IF(AV$17&lt;250,0,$C8*AV$17*Assumptions!$C$7/12)*0.5</f>
        <v>1.8795833333333329</v>
      </c>
      <c r="AW21" s="56">
        <f>IF(AW$17&lt;250,0,$C8*AW$17*Assumptions!$C$7/12)*0.5</f>
        <v>1.8795833333333329</v>
      </c>
      <c r="AX21" s="56">
        <f>IF(AX$17&lt;250,0,$C8*AX$17*Assumptions!$C$7/12)*0.5</f>
        <v>1.8795833333333329</v>
      </c>
      <c r="AY21" s="56">
        <f>IF(AY$17&lt;250,0,$C8*AY$17*Assumptions!$C$7/12)*0.5</f>
        <v>1.8795833333333329</v>
      </c>
      <c r="AZ21" s="56">
        <f>IF(AZ$17&lt;250,0,$C8*AZ$17*Assumptions!$C$7/12)*0.5</f>
        <v>1.8795833333333329</v>
      </c>
      <c r="BA21" s="56">
        <f>IF(BA$17&lt;250,0,$C8*BA$17*Assumptions!$C$7/12)*0.5</f>
        <v>1.8795833333333329</v>
      </c>
      <c r="BB21" s="56">
        <f>IF(BB$17&lt;250,0,$C8*BB$17*Assumptions!$C$7/12)*0.5</f>
        <v>1.8795833333333329</v>
      </c>
      <c r="BC21" s="56">
        <f>IF(BC$17&lt;250,0,$C8*BC$17*Assumptions!$C$7/12)*0.5</f>
        <v>1.8795833333333329</v>
      </c>
      <c r="BD21" s="56">
        <f>IF(BD$17&lt;250,0,$C8*BD$17*Assumptions!$C$7/12)*0.5</f>
        <v>1.8795833333333329</v>
      </c>
      <c r="BE21" s="56">
        <f>IF(BE$17&lt;250,0,$C8*BE$17*Assumptions!$C$7/12)*0.5</f>
        <v>1.8795833333333329</v>
      </c>
      <c r="BF21" s="56">
        <f>IF(BF$17&lt;250,0,$C8*BF$17*Assumptions!$C$7/12)*0.5</f>
        <v>1.8795833333333329</v>
      </c>
      <c r="BG21" s="56">
        <f>IF(BG$17&lt;250,0,$C8*BG$17*Assumptions!$C$7/12)*0.5</f>
        <v>1.8795833333333329</v>
      </c>
      <c r="BH21" s="56">
        <f>IF(BH$17&lt;250,0,$C8*BH$17*Assumptions!$C$7/12)*0.5</f>
        <v>1.8795833333333329</v>
      </c>
      <c r="BI21" s="56">
        <f>IF(BI$17&lt;250,0,$C8*BI$17*Assumptions!$C$7/12)*0.5</f>
        <v>1.8795833333333329</v>
      </c>
      <c r="BJ21" s="56">
        <f>IF(BJ$17&lt;250,0,$C8*BJ$17*Assumptions!$C$7/12)*0.5</f>
        <v>1.8795833333333329</v>
      </c>
      <c r="BK21" s="56">
        <f>IF(BK$17&lt;250,0,$C8*BK$17*Assumptions!$C$7/12)*0.5</f>
        <v>1.8795833333333329</v>
      </c>
      <c r="BL21" s="56">
        <f>IF(BL$17&lt;250,0,$C8*BL$17*Assumptions!$C$7/12)*0.5</f>
        <v>1.8795833333333329</v>
      </c>
      <c r="BM21" s="56">
        <f>IF(BM$17&lt;250,0,$C8*BM$17*Assumptions!$C$7/12)*0.5</f>
        <v>1.8795833333333329</v>
      </c>
      <c r="BN21" s="56">
        <f>IF(BN$17&lt;250,0,$C8*BN$17*Assumptions!$C$7/12)*0.5</f>
        <v>1.8795833333333329</v>
      </c>
      <c r="BO21" s="56">
        <f>IF(BO$17&lt;250,0,$C8*BO$17*Assumptions!$C$7/12)*0.5</f>
        <v>1.8795833333333329</v>
      </c>
      <c r="BP21" s="56">
        <f>IF(BP$17&lt;250,0,$C8*BP$17*Assumptions!$C$7/12)*0.5</f>
        <v>1.8795833333333329</v>
      </c>
      <c r="BQ21" s="56">
        <f>IF(BQ$17&lt;250,0,$C8*BQ$17*Assumptions!$C$7/12)*0.5</f>
        <v>1.8795833333333329</v>
      </c>
      <c r="BR21" s="56">
        <f>IF(BR$17&lt;250,0,$C8*BR$17*Assumptions!$C$7/12)*0.5</f>
        <v>1.8795833333333329</v>
      </c>
      <c r="BS21" s="56">
        <f>IF(BS$17&lt;250,0,$C8*BS$17*Assumptions!$C$7/12)*0.5</f>
        <v>1.8795833333333329</v>
      </c>
      <c r="BT21" s="56">
        <f>IF(BT$17&lt;250,0,$C8*BT$17*Assumptions!$C$7/12)*0.5</f>
        <v>1.8795833333333329</v>
      </c>
      <c r="BU21" s="56">
        <f>IF(BU$17&lt;250,0,$C8*BU$17*Assumptions!$C$7/12)*0.5</f>
        <v>1.8795833333333329</v>
      </c>
      <c r="BV21" s="56">
        <f>IF(BV$17&lt;250,0,$C8*BV$17*Assumptions!$C$7/12)*0.5</f>
        <v>1.8795833333333329</v>
      </c>
      <c r="BW21" s="56">
        <f>IF(BW$17&lt;250,0,$C8*BW$17*Assumptions!$C$7/12)*0.5</f>
        <v>1.8795833333333329</v>
      </c>
      <c r="BX21" s="56">
        <f>IF(BX$17&lt;250,0,$C8*BX$17*Assumptions!$C$7/12)*0.5</f>
        <v>1.8795833333333329</v>
      </c>
      <c r="BY21" s="56">
        <f>IF(BY$17&lt;250,0,$C8*BY$17*Assumptions!$C$7/12)*0.5</f>
        <v>1.8795833333333329</v>
      </c>
      <c r="BZ21" s="56">
        <f>IF(BZ$17&lt;250,0,$C8*BZ$17*Assumptions!$C$7/12)*0.5</f>
        <v>1.8795833333333329</v>
      </c>
      <c r="CA21" s="56">
        <f>IF(CA$17&lt;250,0,$C8*CA$17*Assumptions!$C$7/12)*0.5</f>
        <v>1.8795833333333329</v>
      </c>
      <c r="CB21" s="56">
        <f>IF(CB$17&lt;250,0,$C8*CB$17*Assumptions!$C$7/12)*0.5</f>
        <v>1.8795833333333329</v>
      </c>
      <c r="CC21" s="56">
        <f>IF(CC$17&lt;250,0,$C8*CC$17*Assumptions!$C$7/12)*0.5</f>
        <v>1.8795833333333329</v>
      </c>
      <c r="CD21" s="56">
        <f>IF(CD$17&lt;250,0,$C8*CD$17*Assumptions!$C$7/12)*0.5</f>
        <v>1.8795833333333329</v>
      </c>
      <c r="CE21" s="56">
        <f>IF(CE$17&lt;250,0,$C8*CE$17*Assumptions!$C$7/12)*0.5</f>
        <v>1.8795833333333329</v>
      </c>
      <c r="CF21" s="56">
        <f>IF(CF$17&lt;250,0,$C8*CF$17*Assumptions!$C$7/12)*0.5</f>
        <v>1.8795833333333329</v>
      </c>
      <c r="CG21" s="56">
        <f>IF(CG$17&lt;250,0,$C8*CG$17*Assumptions!$C$7/12)*0.5</f>
        <v>1.8795833333333329</v>
      </c>
      <c r="CH21" s="56">
        <f>IF(CH$17&lt;250,0,$C8*CH$17*Assumptions!$C$7/12)*0.5</f>
        <v>1.8795833333333329</v>
      </c>
      <c r="CI21" s="56">
        <f>IF(CI$17&lt;250,0,$C8*CI$17*Assumptions!$C$7/12)*0.5</f>
        <v>1.8795833333333329</v>
      </c>
      <c r="CJ21" s="56">
        <f>IF(CJ$17&lt;250,0,$C8*CJ$17*Assumptions!$C$7/12)*0.5</f>
        <v>1.8795833333333329</v>
      </c>
      <c r="CK21" s="56">
        <f>IF(CK$17&lt;250,0,$C8*CK$17*Assumptions!$C$7/12)*0.5</f>
        <v>1.8795833333333329</v>
      </c>
      <c r="CL21" s="56">
        <f>IF(CL$17&lt;250,0,$C8*CL$17*Assumptions!$C$7/12)*0.5</f>
        <v>1.8795833333333329</v>
      </c>
      <c r="CM21" s="56">
        <f>IF(CM$17&lt;250,0,$C8*CM$17*Assumptions!$C$7/12)*0.5</f>
        <v>1.8795833333333329</v>
      </c>
      <c r="CN21" s="56">
        <f>IF(CN$17&lt;250,0,$C8*CN$17*Assumptions!$C$7/12)*0.5</f>
        <v>1.8795833333333329</v>
      </c>
      <c r="CO21" s="56">
        <f>IF(CO$17&lt;250,0,$C8*CO$17*Assumptions!$C$7/12)*0.5</f>
        <v>1.8795833333333329</v>
      </c>
      <c r="CP21" s="56">
        <f>IF(CP$17&lt;250,0,$C8*CP$17*Assumptions!$C$7/12)*0.5</f>
        <v>1.8795833333333329</v>
      </c>
      <c r="CQ21" s="56">
        <f>IF(CQ$17&lt;250,0,$C8*CQ$17*Assumptions!$C$7/12)*0.5</f>
        <v>1.8795833333333329</v>
      </c>
      <c r="CR21" s="56">
        <f>IF(CR$17&lt;250,0,$C8*CR$17*Assumptions!$C$7/12)*0.5</f>
        <v>1.8795833333333329</v>
      </c>
      <c r="CS21" s="56">
        <f>IF(CS$17&lt;250,0,$C8*CS$17*Assumptions!$C$7/12)*0.5</f>
        <v>1.8795833333333329</v>
      </c>
      <c r="CT21" s="56">
        <f>IF(CT$17&lt;250,0,$C8*CT$17*Assumptions!$C$7/12)*0.5</f>
        <v>1.8795833333333329</v>
      </c>
      <c r="CU21" s="56">
        <f>IF(CU$17&lt;250,0,$C8*CU$17*Assumptions!$C$7/12)*0.5</f>
        <v>1.8795833333333329</v>
      </c>
      <c r="CV21" s="56">
        <f>IF(CV$17&lt;250,0,$C8*CV$17*Assumptions!$C$7/12)*0.5</f>
        <v>1.8795833333333329</v>
      </c>
      <c r="CW21" s="56">
        <f>IF(CW$17&lt;250,0,$C8*CW$17*Assumptions!$C$7/12)*0.5</f>
        <v>1.8795833333333329</v>
      </c>
      <c r="CX21" s="56">
        <f>IF(CX$17&lt;250,0,$C8*CX$17*Assumptions!$C$7/12)*0.5</f>
        <v>1.8795833333333329</v>
      </c>
      <c r="CY21" s="56">
        <f>IF(CY$17&lt;250,0,$C8*CY$17*Assumptions!$C$7/12)*0.5</f>
        <v>1.8795833333333329</v>
      </c>
      <c r="CZ21" s="56">
        <f>IF(CZ$17&lt;250,0,$C8*CZ$17*Assumptions!$C$7/12)*0.5</f>
        <v>1.8795833333333329</v>
      </c>
      <c r="DA21" s="56">
        <f>IF(DA$17&lt;250,0,$C8*DA$17*Assumptions!$C$7/12)*0.5</f>
        <v>1.8795833333333329</v>
      </c>
      <c r="DB21" s="56">
        <f>IF(DB$17&lt;250,0,$C8*DB$17*Assumptions!$C$7/12)*0.5</f>
        <v>1.8795833333333329</v>
      </c>
      <c r="DC21" s="56">
        <f>IF(DC$17&lt;250,0,$C8*DC$17*Assumptions!$C$7/12)*0.5</f>
        <v>1.8795833333333329</v>
      </c>
      <c r="DD21" s="56">
        <f>IF(DD$17&lt;250,0,$C8*DD$17*Assumptions!$C$7/12)*0.5</f>
        <v>1.8795833333333329</v>
      </c>
      <c r="DE21" s="56">
        <f>IF(DE$17&lt;250,0,$C8*DE$17*Assumptions!$C$7/12)*0.5</f>
        <v>1.8795833333333329</v>
      </c>
      <c r="DF21" s="56">
        <f>IF(DF$17&lt;250,0,$C8*DF$17*Assumptions!$C$7/12)*0.5</f>
        <v>1.8795833333333329</v>
      </c>
      <c r="DG21" s="56">
        <f>IF(DG$17&lt;250,0,$C8*DG$17*Assumptions!$C$7/12)*0.5</f>
        <v>1.8795833333333329</v>
      </c>
      <c r="DH21" s="56">
        <f>IF(DH$17&lt;250,0,$C8*DH$17*Assumptions!$C$7/12)*0.5</f>
        <v>1.8795833333333329</v>
      </c>
      <c r="DI21" s="56">
        <f>IF(DI$17&lt;250,0,$C8*DI$17*Assumptions!$C$7/12)*0.5</f>
        <v>1.8795833333333329</v>
      </c>
      <c r="DJ21" s="56">
        <f>IF(DJ$17&lt;250,0,$C8*DJ$17*Assumptions!$C$7/12)*0.5</f>
        <v>1.8795833333333329</v>
      </c>
      <c r="DK21" s="56">
        <f>IF(DK$17&lt;250,0,$C8*DK$17*Assumptions!$C$7/12)*0.5</f>
        <v>1.8795833333333329</v>
      </c>
      <c r="DL21" s="56">
        <f>IF(DL$17&lt;250,0,$C8*DL$17*Assumptions!$C$7/12)*0.5</f>
        <v>1.8795833333333329</v>
      </c>
      <c r="DM21" s="56">
        <f>IF(DM$17&lt;250,0,$C8*DM$17*Assumptions!$C$7/12)*0.5</f>
        <v>1.8795833333333329</v>
      </c>
      <c r="DN21" s="56">
        <f>IF(DN$17&lt;250,0,$C8*DN$17*Assumptions!$C$7/12)*0.5</f>
        <v>1.8795833333333329</v>
      </c>
      <c r="DO21" s="56">
        <f>IF(DO$17&lt;250,0,$C8*DO$17*Assumptions!$C$7/12)*0.5</f>
        <v>1.8795833333333329</v>
      </c>
      <c r="DP21" s="56">
        <f>IF(DP$17&lt;250,0,$C8*DP$17*Assumptions!$C$7/12)*0.5</f>
        <v>1.8795833333333329</v>
      </c>
      <c r="DQ21" s="56">
        <f>IF(DQ$17&lt;250,0,$C8*DQ$17*Assumptions!$C$7/12)*0.5</f>
        <v>1.8795833333333329</v>
      </c>
      <c r="DR21" s="56">
        <f>IF(DR$17&lt;250,0,$C8*DR$17*Assumptions!$C$7/12)*0.5</f>
        <v>1.8795833333333329</v>
      </c>
      <c r="DS21" s="56">
        <f>IF(DS$17&lt;250,0,$C8*DS$17*Assumptions!$C$7/12)*0.5</f>
        <v>1.8795833333333329</v>
      </c>
      <c r="DT21" s="56">
        <f>IF(DT$17&lt;250,0,$C8*DT$17*Assumptions!$C$7/12)*0.5</f>
        <v>1.8795833333333329</v>
      </c>
      <c r="DU21" s="56">
        <f>IF(DU$17&lt;250,0,$C8*DU$17*Assumptions!$C$7/12)*0.5</f>
        <v>1.8795833333333329</v>
      </c>
      <c r="DV21" s="56">
        <f>IF(DV$17&lt;250,0,$C8*DV$17*Assumptions!$C$7/12)*0.5</f>
        <v>1.8795833333333329</v>
      </c>
      <c r="DW21" s="56">
        <f>IF(DW$17&lt;250,0,$C8*DW$17*Assumptions!$C$7/12)*0.5</f>
        <v>1.8795833333333329</v>
      </c>
    </row>
    <row r="22" spans="2:127" x14ac:dyDescent="0.3">
      <c r="B22" s="53" t="str">
        <f t="shared" si="0"/>
        <v>Tellurium</v>
      </c>
      <c r="C22" s="56">
        <f>IF(C$17&lt;250,0,$C9*C$17*Assumptions!$C$7/12)*0.5</f>
        <v>0</v>
      </c>
      <c r="D22" s="56">
        <f>IF(D$17&lt;250,0,$C9*D$17*Assumptions!$C$7/12)*0.5</f>
        <v>0</v>
      </c>
      <c r="E22" s="56">
        <f>IF(E$17&lt;250,0,$C9*E$17*Assumptions!$C$7/12)*0.5</f>
        <v>0</v>
      </c>
      <c r="F22" s="56">
        <f>IF(F$17&lt;250,0,$C9*F$17*Assumptions!$C$7/12)*0.5</f>
        <v>0</v>
      </c>
      <c r="G22" s="56">
        <f>IF(G$17&lt;250,0,$C9*G$17*Assumptions!$C$7/12)*0.5</f>
        <v>2.3596354166666664</v>
      </c>
      <c r="H22" s="56">
        <f>IF(H$17&lt;250,0,$C9*H$17*Assumptions!$C$7/12)*0.5</f>
        <v>2.3596354166666664</v>
      </c>
      <c r="I22" s="56">
        <f>IF(I$17&lt;250,0,$C9*I$17*Assumptions!$C$7/12)*0.5</f>
        <v>2.3596354166666664</v>
      </c>
      <c r="J22" s="56">
        <f>IF(J$17&lt;250,0,$C9*J$17*Assumptions!$C$7/12)*0.5</f>
        <v>2.3596354166666664</v>
      </c>
      <c r="K22" s="56">
        <f>IF(K$17&lt;250,0,$C9*K$17*Assumptions!$C$7/12)*0.5</f>
        <v>2.3596354166666664</v>
      </c>
      <c r="L22" s="56">
        <f>IF(L$17&lt;250,0,$C9*L$17*Assumptions!$C$7/12)*0.5</f>
        <v>4.7192708333333329</v>
      </c>
      <c r="M22" s="56">
        <f>IF(M$17&lt;250,0,$C9*M$17*Assumptions!$C$7/12)*0.5</f>
        <v>4.7192708333333329</v>
      </c>
      <c r="N22" s="56">
        <f>IF(N$17&lt;250,0,$C9*N$17*Assumptions!$C$7/12)*0.5</f>
        <v>4.7192708333333329</v>
      </c>
      <c r="O22" s="56">
        <f>IF(O$17&lt;250,0,$C9*O$17*Assumptions!$C$7/12)*0.5</f>
        <v>4.7192708333333329</v>
      </c>
      <c r="P22" s="56">
        <f>IF(P$17&lt;250,0,$C9*P$17*Assumptions!$C$7/12)*0.5</f>
        <v>4.7192708333333329</v>
      </c>
      <c r="Q22" s="56">
        <f>IF(Q$17&lt;250,0,$C9*Q$17*Assumptions!$C$7/12)*0.5</f>
        <v>4.7192708333333329</v>
      </c>
      <c r="R22" s="56">
        <f>IF(R$17&lt;250,0,$C9*R$17*Assumptions!$C$7/12)*0.5</f>
        <v>4.7192708333333329</v>
      </c>
      <c r="S22" s="56">
        <f>IF(S$17&lt;250,0,$C9*S$17*Assumptions!$C$7/12)*0.5</f>
        <v>4.7192708333333329</v>
      </c>
      <c r="T22" s="56">
        <f>IF(T$17&lt;250,0,$C9*T$17*Assumptions!$C$7/12)*0.5</f>
        <v>4.7192708333333329</v>
      </c>
      <c r="U22" s="56">
        <f>IF(U$17&lt;250,0,$C9*U$17*Assumptions!$C$7/12)*0.5</f>
        <v>4.7192708333333329</v>
      </c>
      <c r="V22" s="56">
        <f>IF(V$17&lt;250,0,$C9*V$17*Assumptions!$C$7/12)*0.5</f>
        <v>4.7192708333333329</v>
      </c>
      <c r="W22" s="56">
        <f>IF(W$17&lt;250,0,$C9*W$17*Assumptions!$C$7/12)*0.5</f>
        <v>4.7192708333333329</v>
      </c>
      <c r="X22" s="56">
        <f>IF(X$17&lt;250,0,$C9*X$17*Assumptions!$C$7/12)*0.5</f>
        <v>4.7192708333333329</v>
      </c>
      <c r="Y22" s="56">
        <f>IF(Y$17&lt;250,0,$C9*Y$17*Assumptions!$C$7/12)*0.5</f>
        <v>4.7192708333333329</v>
      </c>
      <c r="Z22" s="56">
        <f>IF(Z$17&lt;250,0,$C9*Z$17*Assumptions!$C$7/12)*0.5</f>
        <v>4.7192708333333329</v>
      </c>
      <c r="AA22" s="56">
        <f>IF(AA$17&lt;250,0,$C9*AA$17*Assumptions!$C$7/12)*0.5</f>
        <v>4.7192708333333329</v>
      </c>
      <c r="AB22" s="56">
        <f>IF(AB$17&lt;250,0,$C9*AB$17*Assumptions!$C$7/12)*0.5</f>
        <v>4.7192708333333329</v>
      </c>
      <c r="AC22" s="56">
        <f>IF(AC$17&lt;250,0,$C9*AC$17*Assumptions!$C$7/12)*0.5</f>
        <v>4.7192708333333329</v>
      </c>
      <c r="AD22" s="56">
        <f>IF(AD$17&lt;250,0,$C9*AD$17*Assumptions!$C$7/12)*0.5</f>
        <v>4.7192708333333329</v>
      </c>
      <c r="AE22" s="56">
        <f>IF(AE$17&lt;250,0,$C9*AE$17*Assumptions!$C$7/12)*0.5</f>
        <v>4.7192708333333329</v>
      </c>
      <c r="AF22" s="56">
        <f>IF(AF$17&lt;250,0,$C9*AF$17*Assumptions!$C$7/12)*0.5</f>
        <v>4.7192708333333329</v>
      </c>
      <c r="AG22" s="56">
        <f>IF(AG$17&lt;250,0,$C9*AG$17*Assumptions!$C$7/12)*0.5</f>
        <v>4.7192708333333329</v>
      </c>
      <c r="AH22" s="56">
        <f>IF(AH$17&lt;250,0,$C9*AH$17*Assumptions!$C$7/12)*0.5</f>
        <v>4.7192708333333329</v>
      </c>
      <c r="AI22" s="56">
        <f>IF(AI$17&lt;250,0,$C9*AI$17*Assumptions!$C$7/12)*0.5</f>
        <v>4.7192708333333329</v>
      </c>
      <c r="AJ22" s="56">
        <f>IF(AJ$17&lt;250,0,$C9*AJ$17*Assumptions!$C$7/12)*0.5</f>
        <v>4.7192708333333329</v>
      </c>
      <c r="AK22" s="56">
        <f>IF(AK$17&lt;250,0,$C9*AK$17*Assumptions!$C$7/12)*0.5</f>
        <v>4.7192708333333329</v>
      </c>
      <c r="AL22" s="56">
        <f>IF(AL$17&lt;250,0,$C9*AL$17*Assumptions!$C$7/12)*0.5</f>
        <v>4.7192708333333329</v>
      </c>
      <c r="AM22" s="56">
        <f>IF(AM$17&lt;250,0,$C9*AM$17*Assumptions!$C$7/12)*0.5</f>
        <v>4.7192708333333329</v>
      </c>
      <c r="AN22" s="56">
        <f>IF(AN$17&lt;250,0,$C9*AN$17*Assumptions!$C$7/12)*0.5</f>
        <v>4.7192708333333329</v>
      </c>
      <c r="AO22" s="56">
        <f>IF(AO$17&lt;250,0,$C9*AO$17*Assumptions!$C$7/12)*0.5</f>
        <v>4.7192708333333329</v>
      </c>
      <c r="AP22" s="56">
        <f>IF(AP$17&lt;250,0,$C9*AP$17*Assumptions!$C$7/12)*0.5</f>
        <v>4.7192708333333329</v>
      </c>
      <c r="AQ22" s="56">
        <f>IF(AQ$17&lt;250,0,$C9*AQ$17*Assumptions!$C$7/12)*0.5</f>
        <v>4.7192708333333329</v>
      </c>
      <c r="AR22" s="56">
        <f>IF(AR$17&lt;250,0,$C9*AR$17*Assumptions!$C$7/12)*0.5</f>
        <v>4.7192708333333329</v>
      </c>
      <c r="AS22" s="56">
        <f>IF(AS$17&lt;250,0,$C9*AS$17*Assumptions!$C$7/12)*0.5</f>
        <v>4.7192708333333329</v>
      </c>
      <c r="AT22" s="56">
        <f>IF(AT$17&lt;250,0,$C9*AT$17*Assumptions!$C$7/12)*0.5</f>
        <v>4.7192708333333329</v>
      </c>
      <c r="AU22" s="56">
        <f>IF(AU$17&lt;250,0,$C9*AU$17*Assumptions!$C$7/12)*0.5</f>
        <v>4.7192708333333329</v>
      </c>
      <c r="AV22" s="56">
        <f>IF(AV$17&lt;250,0,$C9*AV$17*Assumptions!$C$7/12)*0.5</f>
        <v>4.7192708333333329</v>
      </c>
      <c r="AW22" s="56">
        <f>IF(AW$17&lt;250,0,$C9*AW$17*Assumptions!$C$7/12)*0.5</f>
        <v>4.7192708333333329</v>
      </c>
      <c r="AX22" s="56">
        <f>IF(AX$17&lt;250,0,$C9*AX$17*Assumptions!$C$7/12)*0.5</f>
        <v>4.7192708333333329</v>
      </c>
      <c r="AY22" s="56">
        <f>IF(AY$17&lt;250,0,$C9*AY$17*Assumptions!$C$7/12)*0.5</f>
        <v>4.7192708333333329</v>
      </c>
      <c r="AZ22" s="56">
        <f>IF(AZ$17&lt;250,0,$C9*AZ$17*Assumptions!$C$7/12)*0.5</f>
        <v>4.7192708333333329</v>
      </c>
      <c r="BA22" s="56">
        <f>IF(BA$17&lt;250,0,$C9*BA$17*Assumptions!$C$7/12)*0.5</f>
        <v>4.7192708333333329</v>
      </c>
      <c r="BB22" s="56">
        <f>IF(BB$17&lt;250,0,$C9*BB$17*Assumptions!$C$7/12)*0.5</f>
        <v>4.7192708333333329</v>
      </c>
      <c r="BC22" s="56">
        <f>IF(BC$17&lt;250,0,$C9*BC$17*Assumptions!$C$7/12)*0.5</f>
        <v>4.7192708333333329</v>
      </c>
      <c r="BD22" s="56">
        <f>IF(BD$17&lt;250,0,$C9*BD$17*Assumptions!$C$7/12)*0.5</f>
        <v>4.7192708333333329</v>
      </c>
      <c r="BE22" s="56">
        <f>IF(BE$17&lt;250,0,$C9*BE$17*Assumptions!$C$7/12)*0.5</f>
        <v>4.7192708333333329</v>
      </c>
      <c r="BF22" s="56">
        <f>IF(BF$17&lt;250,0,$C9*BF$17*Assumptions!$C$7/12)*0.5</f>
        <v>4.7192708333333329</v>
      </c>
      <c r="BG22" s="56">
        <f>IF(BG$17&lt;250,0,$C9*BG$17*Assumptions!$C$7/12)*0.5</f>
        <v>4.7192708333333329</v>
      </c>
      <c r="BH22" s="56">
        <f>IF(BH$17&lt;250,0,$C9*BH$17*Assumptions!$C$7/12)*0.5</f>
        <v>4.7192708333333329</v>
      </c>
      <c r="BI22" s="56">
        <f>IF(BI$17&lt;250,0,$C9*BI$17*Assumptions!$C$7/12)*0.5</f>
        <v>4.7192708333333329</v>
      </c>
      <c r="BJ22" s="56">
        <f>IF(BJ$17&lt;250,0,$C9*BJ$17*Assumptions!$C$7/12)*0.5</f>
        <v>4.7192708333333329</v>
      </c>
      <c r="BK22" s="56">
        <f>IF(BK$17&lt;250,0,$C9*BK$17*Assumptions!$C$7/12)*0.5</f>
        <v>4.7192708333333329</v>
      </c>
      <c r="BL22" s="56">
        <f>IF(BL$17&lt;250,0,$C9*BL$17*Assumptions!$C$7/12)*0.5</f>
        <v>4.7192708333333329</v>
      </c>
      <c r="BM22" s="56">
        <f>IF(BM$17&lt;250,0,$C9*BM$17*Assumptions!$C$7/12)*0.5</f>
        <v>4.7192708333333329</v>
      </c>
      <c r="BN22" s="56">
        <f>IF(BN$17&lt;250,0,$C9*BN$17*Assumptions!$C$7/12)*0.5</f>
        <v>4.7192708333333329</v>
      </c>
      <c r="BO22" s="56">
        <f>IF(BO$17&lt;250,0,$C9*BO$17*Assumptions!$C$7/12)*0.5</f>
        <v>4.7192708333333329</v>
      </c>
      <c r="BP22" s="56">
        <f>IF(BP$17&lt;250,0,$C9*BP$17*Assumptions!$C$7/12)*0.5</f>
        <v>4.7192708333333329</v>
      </c>
      <c r="BQ22" s="56">
        <f>IF(BQ$17&lt;250,0,$C9*BQ$17*Assumptions!$C$7/12)*0.5</f>
        <v>4.7192708333333329</v>
      </c>
      <c r="BR22" s="56">
        <f>IF(BR$17&lt;250,0,$C9*BR$17*Assumptions!$C$7/12)*0.5</f>
        <v>4.7192708333333329</v>
      </c>
      <c r="BS22" s="56">
        <f>IF(BS$17&lt;250,0,$C9*BS$17*Assumptions!$C$7/12)*0.5</f>
        <v>4.7192708333333329</v>
      </c>
      <c r="BT22" s="56">
        <f>IF(BT$17&lt;250,0,$C9*BT$17*Assumptions!$C$7/12)*0.5</f>
        <v>4.7192708333333329</v>
      </c>
      <c r="BU22" s="56">
        <f>IF(BU$17&lt;250,0,$C9*BU$17*Assumptions!$C$7/12)*0.5</f>
        <v>4.7192708333333329</v>
      </c>
      <c r="BV22" s="56">
        <f>IF(BV$17&lt;250,0,$C9*BV$17*Assumptions!$C$7/12)*0.5</f>
        <v>4.7192708333333329</v>
      </c>
      <c r="BW22" s="56">
        <f>IF(BW$17&lt;250,0,$C9*BW$17*Assumptions!$C$7/12)*0.5</f>
        <v>4.7192708333333329</v>
      </c>
      <c r="BX22" s="56">
        <f>IF(BX$17&lt;250,0,$C9*BX$17*Assumptions!$C$7/12)*0.5</f>
        <v>4.7192708333333329</v>
      </c>
      <c r="BY22" s="56">
        <f>IF(BY$17&lt;250,0,$C9*BY$17*Assumptions!$C$7/12)*0.5</f>
        <v>4.7192708333333329</v>
      </c>
      <c r="BZ22" s="56">
        <f>IF(BZ$17&lt;250,0,$C9*BZ$17*Assumptions!$C$7/12)*0.5</f>
        <v>4.7192708333333329</v>
      </c>
      <c r="CA22" s="56">
        <f>IF(CA$17&lt;250,0,$C9*CA$17*Assumptions!$C$7/12)*0.5</f>
        <v>4.7192708333333329</v>
      </c>
      <c r="CB22" s="56">
        <f>IF(CB$17&lt;250,0,$C9*CB$17*Assumptions!$C$7/12)*0.5</f>
        <v>4.7192708333333329</v>
      </c>
      <c r="CC22" s="56">
        <f>IF(CC$17&lt;250,0,$C9*CC$17*Assumptions!$C$7/12)*0.5</f>
        <v>4.7192708333333329</v>
      </c>
      <c r="CD22" s="56">
        <f>IF(CD$17&lt;250,0,$C9*CD$17*Assumptions!$C$7/12)*0.5</f>
        <v>4.7192708333333329</v>
      </c>
      <c r="CE22" s="56">
        <f>IF(CE$17&lt;250,0,$C9*CE$17*Assumptions!$C$7/12)*0.5</f>
        <v>4.7192708333333329</v>
      </c>
      <c r="CF22" s="56">
        <f>IF(CF$17&lt;250,0,$C9*CF$17*Assumptions!$C$7/12)*0.5</f>
        <v>4.7192708333333329</v>
      </c>
      <c r="CG22" s="56">
        <f>IF(CG$17&lt;250,0,$C9*CG$17*Assumptions!$C$7/12)*0.5</f>
        <v>4.7192708333333329</v>
      </c>
      <c r="CH22" s="56">
        <f>IF(CH$17&lt;250,0,$C9*CH$17*Assumptions!$C$7/12)*0.5</f>
        <v>4.7192708333333329</v>
      </c>
      <c r="CI22" s="56">
        <f>IF(CI$17&lt;250,0,$C9*CI$17*Assumptions!$C$7/12)*0.5</f>
        <v>4.7192708333333329</v>
      </c>
      <c r="CJ22" s="56">
        <f>IF(CJ$17&lt;250,0,$C9*CJ$17*Assumptions!$C$7/12)*0.5</f>
        <v>4.7192708333333329</v>
      </c>
      <c r="CK22" s="56">
        <f>IF(CK$17&lt;250,0,$C9*CK$17*Assumptions!$C$7/12)*0.5</f>
        <v>4.7192708333333329</v>
      </c>
      <c r="CL22" s="56">
        <f>IF(CL$17&lt;250,0,$C9*CL$17*Assumptions!$C$7/12)*0.5</f>
        <v>4.7192708333333329</v>
      </c>
      <c r="CM22" s="56">
        <f>IF(CM$17&lt;250,0,$C9*CM$17*Assumptions!$C$7/12)*0.5</f>
        <v>4.7192708333333329</v>
      </c>
      <c r="CN22" s="56">
        <f>IF(CN$17&lt;250,0,$C9*CN$17*Assumptions!$C$7/12)*0.5</f>
        <v>4.7192708333333329</v>
      </c>
      <c r="CO22" s="56">
        <f>IF(CO$17&lt;250,0,$C9*CO$17*Assumptions!$C$7/12)*0.5</f>
        <v>4.7192708333333329</v>
      </c>
      <c r="CP22" s="56">
        <f>IF(CP$17&lt;250,0,$C9*CP$17*Assumptions!$C$7/12)*0.5</f>
        <v>4.7192708333333329</v>
      </c>
      <c r="CQ22" s="56">
        <f>IF(CQ$17&lt;250,0,$C9*CQ$17*Assumptions!$C$7/12)*0.5</f>
        <v>4.7192708333333329</v>
      </c>
      <c r="CR22" s="56">
        <f>IF(CR$17&lt;250,0,$C9*CR$17*Assumptions!$C$7/12)*0.5</f>
        <v>4.7192708333333329</v>
      </c>
      <c r="CS22" s="56">
        <f>IF(CS$17&lt;250,0,$C9*CS$17*Assumptions!$C$7/12)*0.5</f>
        <v>4.7192708333333329</v>
      </c>
      <c r="CT22" s="56">
        <f>IF(CT$17&lt;250,0,$C9*CT$17*Assumptions!$C$7/12)*0.5</f>
        <v>4.7192708333333329</v>
      </c>
      <c r="CU22" s="56">
        <f>IF(CU$17&lt;250,0,$C9*CU$17*Assumptions!$C$7/12)*0.5</f>
        <v>4.7192708333333329</v>
      </c>
      <c r="CV22" s="56">
        <f>IF(CV$17&lt;250,0,$C9*CV$17*Assumptions!$C$7/12)*0.5</f>
        <v>4.7192708333333329</v>
      </c>
      <c r="CW22" s="56">
        <f>IF(CW$17&lt;250,0,$C9*CW$17*Assumptions!$C$7/12)*0.5</f>
        <v>4.7192708333333329</v>
      </c>
      <c r="CX22" s="56">
        <f>IF(CX$17&lt;250,0,$C9*CX$17*Assumptions!$C$7/12)*0.5</f>
        <v>4.7192708333333329</v>
      </c>
      <c r="CY22" s="56">
        <f>IF(CY$17&lt;250,0,$C9*CY$17*Assumptions!$C$7/12)*0.5</f>
        <v>4.7192708333333329</v>
      </c>
      <c r="CZ22" s="56">
        <f>IF(CZ$17&lt;250,0,$C9*CZ$17*Assumptions!$C$7/12)*0.5</f>
        <v>4.7192708333333329</v>
      </c>
      <c r="DA22" s="56">
        <f>IF(DA$17&lt;250,0,$C9*DA$17*Assumptions!$C$7/12)*0.5</f>
        <v>4.7192708333333329</v>
      </c>
      <c r="DB22" s="56">
        <f>IF(DB$17&lt;250,0,$C9*DB$17*Assumptions!$C$7/12)*0.5</f>
        <v>4.7192708333333329</v>
      </c>
      <c r="DC22" s="56">
        <f>IF(DC$17&lt;250,0,$C9*DC$17*Assumptions!$C$7/12)*0.5</f>
        <v>4.7192708333333329</v>
      </c>
      <c r="DD22" s="56">
        <f>IF(DD$17&lt;250,0,$C9*DD$17*Assumptions!$C$7/12)*0.5</f>
        <v>4.7192708333333329</v>
      </c>
      <c r="DE22" s="56">
        <f>IF(DE$17&lt;250,0,$C9*DE$17*Assumptions!$C$7/12)*0.5</f>
        <v>4.7192708333333329</v>
      </c>
      <c r="DF22" s="56">
        <f>IF(DF$17&lt;250,0,$C9*DF$17*Assumptions!$C$7/12)*0.5</f>
        <v>4.7192708333333329</v>
      </c>
      <c r="DG22" s="56">
        <f>IF(DG$17&lt;250,0,$C9*DG$17*Assumptions!$C$7/12)*0.5</f>
        <v>4.7192708333333329</v>
      </c>
      <c r="DH22" s="56">
        <f>IF(DH$17&lt;250,0,$C9*DH$17*Assumptions!$C$7/12)*0.5</f>
        <v>4.7192708333333329</v>
      </c>
      <c r="DI22" s="56">
        <f>IF(DI$17&lt;250,0,$C9*DI$17*Assumptions!$C$7/12)*0.5</f>
        <v>4.7192708333333329</v>
      </c>
      <c r="DJ22" s="56">
        <f>IF(DJ$17&lt;250,0,$C9*DJ$17*Assumptions!$C$7/12)*0.5</f>
        <v>4.7192708333333329</v>
      </c>
      <c r="DK22" s="56">
        <f>IF(DK$17&lt;250,0,$C9*DK$17*Assumptions!$C$7/12)*0.5</f>
        <v>4.7192708333333329</v>
      </c>
      <c r="DL22" s="56">
        <f>IF(DL$17&lt;250,0,$C9*DL$17*Assumptions!$C$7/12)*0.5</f>
        <v>4.7192708333333329</v>
      </c>
      <c r="DM22" s="56">
        <f>IF(DM$17&lt;250,0,$C9*DM$17*Assumptions!$C$7/12)*0.5</f>
        <v>4.7192708333333329</v>
      </c>
      <c r="DN22" s="56">
        <f>IF(DN$17&lt;250,0,$C9*DN$17*Assumptions!$C$7/12)*0.5</f>
        <v>4.7192708333333329</v>
      </c>
      <c r="DO22" s="56">
        <f>IF(DO$17&lt;250,0,$C9*DO$17*Assumptions!$C$7/12)*0.5</f>
        <v>4.7192708333333329</v>
      </c>
      <c r="DP22" s="56">
        <f>IF(DP$17&lt;250,0,$C9*DP$17*Assumptions!$C$7/12)*0.5</f>
        <v>4.7192708333333329</v>
      </c>
      <c r="DQ22" s="56">
        <f>IF(DQ$17&lt;250,0,$C9*DQ$17*Assumptions!$C$7/12)*0.5</f>
        <v>4.7192708333333329</v>
      </c>
      <c r="DR22" s="56">
        <f>IF(DR$17&lt;250,0,$C9*DR$17*Assumptions!$C$7/12)*0.5</f>
        <v>4.7192708333333329</v>
      </c>
      <c r="DS22" s="56">
        <f>IF(DS$17&lt;250,0,$C9*DS$17*Assumptions!$C$7/12)*0.5</f>
        <v>4.7192708333333329</v>
      </c>
      <c r="DT22" s="56">
        <f>IF(DT$17&lt;250,0,$C9*DT$17*Assumptions!$C$7/12)*0.5</f>
        <v>4.7192708333333329</v>
      </c>
      <c r="DU22" s="56">
        <f>IF(DU$17&lt;250,0,$C9*DU$17*Assumptions!$C$7/12)*0.5</f>
        <v>4.7192708333333329</v>
      </c>
      <c r="DV22" s="56">
        <f>IF(DV$17&lt;250,0,$C9*DV$17*Assumptions!$C$7/12)*0.5</f>
        <v>4.7192708333333329</v>
      </c>
      <c r="DW22" s="56">
        <f>IF(DW$17&lt;250,0,$C9*DW$17*Assumptions!$C$7/12)*0.5</f>
        <v>4.7192708333333329</v>
      </c>
    </row>
    <row r="23" spans="2:127" x14ac:dyDescent="0.3">
      <c r="B23" s="53" t="s">
        <v>211</v>
      </c>
      <c r="C23" s="56">
        <f>IF(C$17&lt;250,0,$C10*C$17*Assumptions!$C$7/12)*0.5</f>
        <v>0</v>
      </c>
      <c r="D23" s="56">
        <f>IF(D$17&lt;250,0,$C10*D$17*Assumptions!$C$7/12)*0.5</f>
        <v>0</v>
      </c>
      <c r="E23" s="56">
        <f>IF(E$17&lt;250,0,$C10*E$17*Assumptions!$C$7/12)*0.5</f>
        <v>0</v>
      </c>
      <c r="F23" s="56">
        <f>IF(F$17&lt;250,0,$C10*F$17*Assumptions!$C$7/12)*0.5</f>
        <v>0</v>
      </c>
      <c r="G23" s="56">
        <f>IF(G$17&lt;250,0,$C10*G$17*Assumptions!$C$7/12)*0.5</f>
        <v>1.1848958333333333</v>
      </c>
      <c r="H23" s="56">
        <f>IF(H$17&lt;250,0,$C10*H$17*Assumptions!$C$7/12)*0.5</f>
        <v>1.1848958333333333</v>
      </c>
      <c r="I23" s="56">
        <f>IF(I$17&lt;250,0,$C10*I$17*Assumptions!$C$7/12)*0.5</f>
        <v>1.1848958333333333</v>
      </c>
      <c r="J23" s="56">
        <f>IF(J$17&lt;250,0,$C10*J$17*Assumptions!$C$7/12)*0.5</f>
        <v>1.1848958333333333</v>
      </c>
      <c r="K23" s="56">
        <f>IF(K$17&lt;250,0,$C10*K$17*Assumptions!$C$7/12)*0.5</f>
        <v>1.1848958333333333</v>
      </c>
      <c r="L23" s="56">
        <f>IF(L$17&lt;250,0,$C10*L$17*Assumptions!$C$7/12)*0.5</f>
        <v>2.3697916666666665</v>
      </c>
      <c r="M23" s="56">
        <f>IF(M$17&lt;250,0,$C10*M$17*Assumptions!$C$7/12)*0.5</f>
        <v>2.3697916666666665</v>
      </c>
      <c r="N23" s="56">
        <f>IF(N$17&lt;250,0,$C10*N$17*Assumptions!$C$7/12)*0.5</f>
        <v>2.3697916666666665</v>
      </c>
      <c r="O23" s="56">
        <f>IF(O$17&lt;250,0,$C10*O$17*Assumptions!$C$7/12)*0.5</f>
        <v>2.3697916666666665</v>
      </c>
      <c r="P23" s="56">
        <f>IF(P$17&lt;250,0,$C10*P$17*Assumptions!$C$7/12)*0.5</f>
        <v>2.3697916666666665</v>
      </c>
      <c r="Q23" s="56">
        <f>IF(Q$17&lt;250,0,$C10*Q$17*Assumptions!$C$7/12)*0.5</f>
        <v>2.3697916666666665</v>
      </c>
      <c r="R23" s="56">
        <f>IF(R$17&lt;250,0,$C10*R$17*Assumptions!$C$7/12)*0.5</f>
        <v>2.3697916666666665</v>
      </c>
      <c r="S23" s="56">
        <f>IF(S$17&lt;250,0,$C10*S$17*Assumptions!$C$7/12)*0.5</f>
        <v>2.3697916666666665</v>
      </c>
      <c r="T23" s="56">
        <f>IF(T$17&lt;250,0,$C10*T$17*Assumptions!$C$7/12)*0.5</f>
        <v>2.3697916666666665</v>
      </c>
      <c r="U23" s="56">
        <f>IF(U$17&lt;250,0,$C10*U$17*Assumptions!$C$7/12)*0.5</f>
        <v>2.3697916666666665</v>
      </c>
      <c r="V23" s="56">
        <f>IF(V$17&lt;250,0,$C10*V$17*Assumptions!$C$7/12)*0.5</f>
        <v>2.3697916666666665</v>
      </c>
      <c r="W23" s="56">
        <f>IF(W$17&lt;250,0,$C10*W$17*Assumptions!$C$7/12)*0.5</f>
        <v>2.3697916666666665</v>
      </c>
      <c r="X23" s="56">
        <f>IF(X$17&lt;250,0,$C10*X$17*Assumptions!$C$7/12)*0.5</f>
        <v>2.3697916666666665</v>
      </c>
      <c r="Y23" s="56">
        <f>IF(Y$17&lt;250,0,$C10*Y$17*Assumptions!$C$7/12)*0.5</f>
        <v>2.3697916666666665</v>
      </c>
      <c r="Z23" s="56">
        <f>IF(Z$17&lt;250,0,$C10*Z$17*Assumptions!$C$7/12)*0.5</f>
        <v>2.3697916666666665</v>
      </c>
      <c r="AA23" s="56">
        <f>IF(AA$17&lt;250,0,$C10*AA$17*Assumptions!$C$7/12)*0.5</f>
        <v>2.3697916666666665</v>
      </c>
      <c r="AB23" s="56">
        <f>IF(AB$17&lt;250,0,$C10*AB$17*Assumptions!$C$7/12)*0.5</f>
        <v>2.3697916666666665</v>
      </c>
      <c r="AC23" s="56">
        <f>IF(AC$17&lt;250,0,$C10*AC$17*Assumptions!$C$7/12)*0.5</f>
        <v>2.3697916666666665</v>
      </c>
      <c r="AD23" s="56">
        <f>IF(AD$17&lt;250,0,$C10*AD$17*Assumptions!$C$7/12)*0.5</f>
        <v>2.3697916666666665</v>
      </c>
      <c r="AE23" s="56">
        <f>IF(AE$17&lt;250,0,$C10*AE$17*Assumptions!$C$7/12)*0.5</f>
        <v>2.3697916666666665</v>
      </c>
      <c r="AF23" s="56">
        <f>IF(AF$17&lt;250,0,$C10*AF$17*Assumptions!$C$7/12)*0.5</f>
        <v>2.3697916666666665</v>
      </c>
      <c r="AG23" s="56">
        <f>IF(AG$17&lt;250,0,$C10*AG$17*Assumptions!$C$7/12)*0.5</f>
        <v>2.3697916666666665</v>
      </c>
      <c r="AH23" s="56">
        <f>IF(AH$17&lt;250,0,$C10*AH$17*Assumptions!$C$7/12)*0.5</f>
        <v>2.3697916666666665</v>
      </c>
      <c r="AI23" s="56">
        <f>IF(AI$17&lt;250,0,$C10*AI$17*Assumptions!$C$7/12)*0.5</f>
        <v>2.3697916666666665</v>
      </c>
      <c r="AJ23" s="56">
        <f>IF(AJ$17&lt;250,0,$C10*AJ$17*Assumptions!$C$7/12)*0.5</f>
        <v>2.3697916666666665</v>
      </c>
      <c r="AK23" s="56">
        <f>IF(AK$17&lt;250,0,$C10*AK$17*Assumptions!$C$7/12)*0.5</f>
        <v>2.3697916666666665</v>
      </c>
      <c r="AL23" s="56">
        <f>IF(AL$17&lt;250,0,$C10*AL$17*Assumptions!$C$7/12)*0.5</f>
        <v>2.3697916666666665</v>
      </c>
      <c r="AM23" s="56">
        <f>IF(AM$17&lt;250,0,$C10*AM$17*Assumptions!$C$7/12)*0.5</f>
        <v>2.3697916666666665</v>
      </c>
      <c r="AN23" s="56">
        <f>IF(AN$17&lt;250,0,$C10*AN$17*Assumptions!$C$7/12)*0.5</f>
        <v>2.3697916666666665</v>
      </c>
      <c r="AO23" s="56">
        <f>IF(AO$17&lt;250,0,$C10*AO$17*Assumptions!$C$7/12)*0.5</f>
        <v>2.3697916666666665</v>
      </c>
      <c r="AP23" s="56">
        <f>IF(AP$17&lt;250,0,$C10*AP$17*Assumptions!$C$7/12)*0.5</f>
        <v>2.3697916666666665</v>
      </c>
      <c r="AQ23" s="56">
        <f>IF(AQ$17&lt;250,0,$C10*AQ$17*Assumptions!$C$7/12)*0.5</f>
        <v>2.3697916666666665</v>
      </c>
      <c r="AR23" s="56">
        <f>IF(AR$17&lt;250,0,$C10*AR$17*Assumptions!$C$7/12)*0.5</f>
        <v>2.3697916666666665</v>
      </c>
      <c r="AS23" s="56">
        <f>IF(AS$17&lt;250,0,$C10*AS$17*Assumptions!$C$7/12)*0.5</f>
        <v>2.3697916666666665</v>
      </c>
      <c r="AT23" s="56">
        <f>IF(AT$17&lt;250,0,$C10*AT$17*Assumptions!$C$7/12)*0.5</f>
        <v>2.3697916666666665</v>
      </c>
      <c r="AU23" s="56">
        <f>IF(AU$17&lt;250,0,$C10*AU$17*Assumptions!$C$7/12)*0.5</f>
        <v>2.3697916666666665</v>
      </c>
      <c r="AV23" s="56">
        <f>IF(AV$17&lt;250,0,$C10*AV$17*Assumptions!$C$7/12)*0.5</f>
        <v>2.3697916666666665</v>
      </c>
      <c r="AW23" s="56">
        <f>IF(AW$17&lt;250,0,$C10*AW$17*Assumptions!$C$7/12)*0.5</f>
        <v>2.3697916666666665</v>
      </c>
      <c r="AX23" s="56">
        <f>IF(AX$17&lt;250,0,$C10*AX$17*Assumptions!$C$7/12)*0.5</f>
        <v>2.3697916666666665</v>
      </c>
      <c r="AY23" s="56">
        <f>IF(AY$17&lt;250,0,$C10*AY$17*Assumptions!$C$7/12)*0.5</f>
        <v>2.3697916666666665</v>
      </c>
      <c r="AZ23" s="56">
        <f>IF(AZ$17&lt;250,0,$C10*AZ$17*Assumptions!$C$7/12)*0.5</f>
        <v>2.3697916666666665</v>
      </c>
      <c r="BA23" s="56">
        <f>IF(BA$17&lt;250,0,$C10*BA$17*Assumptions!$C$7/12)*0.5</f>
        <v>2.3697916666666665</v>
      </c>
      <c r="BB23" s="56">
        <f>IF(BB$17&lt;250,0,$C10*BB$17*Assumptions!$C$7/12)*0.5</f>
        <v>2.3697916666666665</v>
      </c>
      <c r="BC23" s="56">
        <f>IF(BC$17&lt;250,0,$C10*BC$17*Assumptions!$C$7/12)*0.5</f>
        <v>2.3697916666666665</v>
      </c>
      <c r="BD23" s="56">
        <f>IF(BD$17&lt;250,0,$C10*BD$17*Assumptions!$C$7/12)*0.5</f>
        <v>2.3697916666666665</v>
      </c>
      <c r="BE23" s="56">
        <f>IF(BE$17&lt;250,0,$C10*BE$17*Assumptions!$C$7/12)*0.5</f>
        <v>2.3697916666666665</v>
      </c>
      <c r="BF23" s="56">
        <f>IF(BF$17&lt;250,0,$C10*BF$17*Assumptions!$C$7/12)*0.5</f>
        <v>2.3697916666666665</v>
      </c>
      <c r="BG23" s="56">
        <f>IF(BG$17&lt;250,0,$C10*BG$17*Assumptions!$C$7/12)*0.5</f>
        <v>2.3697916666666665</v>
      </c>
      <c r="BH23" s="56">
        <f>IF(BH$17&lt;250,0,$C10*BH$17*Assumptions!$C$7/12)*0.5</f>
        <v>2.3697916666666665</v>
      </c>
      <c r="BI23" s="56">
        <f>IF(BI$17&lt;250,0,$C10*BI$17*Assumptions!$C$7/12)*0.5</f>
        <v>2.3697916666666665</v>
      </c>
      <c r="BJ23" s="56">
        <f>IF(BJ$17&lt;250,0,$C10*BJ$17*Assumptions!$C$7/12)*0.5</f>
        <v>2.3697916666666665</v>
      </c>
      <c r="BK23" s="56">
        <f>IF(BK$17&lt;250,0,$C10*BK$17*Assumptions!$C$7/12)*0.5</f>
        <v>2.3697916666666665</v>
      </c>
      <c r="BL23" s="56">
        <f>IF(BL$17&lt;250,0,$C10*BL$17*Assumptions!$C$7/12)*0.5</f>
        <v>2.3697916666666665</v>
      </c>
      <c r="BM23" s="56">
        <f>IF(BM$17&lt;250,0,$C10*BM$17*Assumptions!$C$7/12)*0.5</f>
        <v>2.3697916666666665</v>
      </c>
      <c r="BN23" s="56">
        <f>IF(BN$17&lt;250,0,$C10*BN$17*Assumptions!$C$7/12)*0.5</f>
        <v>2.3697916666666665</v>
      </c>
      <c r="BO23" s="56">
        <f>IF(BO$17&lt;250,0,$C10*BO$17*Assumptions!$C$7/12)*0.5</f>
        <v>2.3697916666666665</v>
      </c>
      <c r="BP23" s="56">
        <f>IF(BP$17&lt;250,0,$C10*BP$17*Assumptions!$C$7/12)*0.5</f>
        <v>2.3697916666666665</v>
      </c>
      <c r="BQ23" s="56">
        <f>IF(BQ$17&lt;250,0,$C10*BQ$17*Assumptions!$C$7/12)*0.5</f>
        <v>2.3697916666666665</v>
      </c>
      <c r="BR23" s="56">
        <f>IF(BR$17&lt;250,0,$C10*BR$17*Assumptions!$C$7/12)*0.5</f>
        <v>2.3697916666666665</v>
      </c>
      <c r="BS23" s="56">
        <f>IF(BS$17&lt;250,0,$C10*BS$17*Assumptions!$C$7/12)*0.5</f>
        <v>2.3697916666666665</v>
      </c>
      <c r="BT23" s="56">
        <f>IF(BT$17&lt;250,0,$C10*BT$17*Assumptions!$C$7/12)*0.5</f>
        <v>2.3697916666666665</v>
      </c>
      <c r="BU23" s="56">
        <f>IF(BU$17&lt;250,0,$C10*BU$17*Assumptions!$C$7/12)*0.5</f>
        <v>2.3697916666666665</v>
      </c>
      <c r="BV23" s="56">
        <f>IF(BV$17&lt;250,0,$C10*BV$17*Assumptions!$C$7/12)*0.5</f>
        <v>2.3697916666666665</v>
      </c>
      <c r="BW23" s="56">
        <f>IF(BW$17&lt;250,0,$C10*BW$17*Assumptions!$C$7/12)*0.5</f>
        <v>2.3697916666666665</v>
      </c>
      <c r="BX23" s="56">
        <f>IF(BX$17&lt;250,0,$C10*BX$17*Assumptions!$C$7/12)*0.5</f>
        <v>2.3697916666666665</v>
      </c>
      <c r="BY23" s="56">
        <f>IF(BY$17&lt;250,0,$C10*BY$17*Assumptions!$C$7/12)*0.5</f>
        <v>2.3697916666666665</v>
      </c>
      <c r="BZ23" s="56">
        <f>IF(BZ$17&lt;250,0,$C10*BZ$17*Assumptions!$C$7/12)*0.5</f>
        <v>2.3697916666666665</v>
      </c>
      <c r="CA23" s="56">
        <f>IF(CA$17&lt;250,0,$C10*CA$17*Assumptions!$C$7/12)*0.5</f>
        <v>2.3697916666666665</v>
      </c>
      <c r="CB23" s="56">
        <f>IF(CB$17&lt;250,0,$C10*CB$17*Assumptions!$C$7/12)*0.5</f>
        <v>2.3697916666666665</v>
      </c>
      <c r="CC23" s="56">
        <f>IF(CC$17&lt;250,0,$C10*CC$17*Assumptions!$C$7/12)*0.5</f>
        <v>2.3697916666666665</v>
      </c>
      <c r="CD23" s="56">
        <f>IF(CD$17&lt;250,0,$C10*CD$17*Assumptions!$C$7/12)*0.5</f>
        <v>2.3697916666666665</v>
      </c>
      <c r="CE23" s="56">
        <f>IF(CE$17&lt;250,0,$C10*CE$17*Assumptions!$C$7/12)*0.5</f>
        <v>2.3697916666666665</v>
      </c>
      <c r="CF23" s="56">
        <f>IF(CF$17&lt;250,0,$C10*CF$17*Assumptions!$C$7/12)*0.5</f>
        <v>2.3697916666666665</v>
      </c>
      <c r="CG23" s="56">
        <f>IF(CG$17&lt;250,0,$C10*CG$17*Assumptions!$C$7/12)*0.5</f>
        <v>2.3697916666666665</v>
      </c>
      <c r="CH23" s="56">
        <f>IF(CH$17&lt;250,0,$C10*CH$17*Assumptions!$C$7/12)*0.5</f>
        <v>2.3697916666666665</v>
      </c>
      <c r="CI23" s="56">
        <f>IF(CI$17&lt;250,0,$C10*CI$17*Assumptions!$C$7/12)*0.5</f>
        <v>2.3697916666666665</v>
      </c>
      <c r="CJ23" s="56">
        <f>IF(CJ$17&lt;250,0,$C10*CJ$17*Assumptions!$C$7/12)*0.5</f>
        <v>2.3697916666666665</v>
      </c>
      <c r="CK23" s="56">
        <f>IF(CK$17&lt;250,0,$C10*CK$17*Assumptions!$C$7/12)*0.5</f>
        <v>2.3697916666666665</v>
      </c>
      <c r="CL23" s="56">
        <f>IF(CL$17&lt;250,0,$C10*CL$17*Assumptions!$C$7/12)*0.5</f>
        <v>2.3697916666666665</v>
      </c>
      <c r="CM23" s="56">
        <f>IF(CM$17&lt;250,0,$C10*CM$17*Assumptions!$C$7/12)*0.5</f>
        <v>2.3697916666666665</v>
      </c>
      <c r="CN23" s="56">
        <f>IF(CN$17&lt;250,0,$C10*CN$17*Assumptions!$C$7/12)*0.5</f>
        <v>2.3697916666666665</v>
      </c>
      <c r="CO23" s="56">
        <f>IF(CO$17&lt;250,0,$C10*CO$17*Assumptions!$C$7/12)*0.5</f>
        <v>2.3697916666666665</v>
      </c>
      <c r="CP23" s="56">
        <f>IF(CP$17&lt;250,0,$C10*CP$17*Assumptions!$C$7/12)*0.5</f>
        <v>2.3697916666666665</v>
      </c>
      <c r="CQ23" s="56">
        <f>IF(CQ$17&lt;250,0,$C10*CQ$17*Assumptions!$C$7/12)*0.5</f>
        <v>2.3697916666666665</v>
      </c>
      <c r="CR23" s="56">
        <f>IF(CR$17&lt;250,0,$C10*CR$17*Assumptions!$C$7/12)*0.5</f>
        <v>2.3697916666666665</v>
      </c>
      <c r="CS23" s="56">
        <f>IF(CS$17&lt;250,0,$C10*CS$17*Assumptions!$C$7/12)*0.5</f>
        <v>2.3697916666666665</v>
      </c>
      <c r="CT23" s="56">
        <f>IF(CT$17&lt;250,0,$C10*CT$17*Assumptions!$C$7/12)*0.5</f>
        <v>2.3697916666666665</v>
      </c>
      <c r="CU23" s="56">
        <f>IF(CU$17&lt;250,0,$C10*CU$17*Assumptions!$C$7/12)*0.5</f>
        <v>2.3697916666666665</v>
      </c>
      <c r="CV23" s="56">
        <f>IF(CV$17&lt;250,0,$C10*CV$17*Assumptions!$C$7/12)*0.5</f>
        <v>2.3697916666666665</v>
      </c>
      <c r="CW23" s="56">
        <f>IF(CW$17&lt;250,0,$C10*CW$17*Assumptions!$C$7/12)*0.5</f>
        <v>2.3697916666666665</v>
      </c>
      <c r="CX23" s="56">
        <f>IF(CX$17&lt;250,0,$C10*CX$17*Assumptions!$C$7/12)*0.5</f>
        <v>2.3697916666666665</v>
      </c>
      <c r="CY23" s="56">
        <f>IF(CY$17&lt;250,0,$C10*CY$17*Assumptions!$C$7/12)*0.5</f>
        <v>2.3697916666666665</v>
      </c>
      <c r="CZ23" s="56">
        <f>IF(CZ$17&lt;250,0,$C10*CZ$17*Assumptions!$C$7/12)*0.5</f>
        <v>2.3697916666666665</v>
      </c>
      <c r="DA23" s="56">
        <f>IF(DA$17&lt;250,0,$C10*DA$17*Assumptions!$C$7/12)*0.5</f>
        <v>2.3697916666666665</v>
      </c>
      <c r="DB23" s="56">
        <f>IF(DB$17&lt;250,0,$C10*DB$17*Assumptions!$C$7/12)*0.5</f>
        <v>2.3697916666666665</v>
      </c>
      <c r="DC23" s="56">
        <f>IF(DC$17&lt;250,0,$C10*DC$17*Assumptions!$C$7/12)*0.5</f>
        <v>2.3697916666666665</v>
      </c>
      <c r="DD23" s="56">
        <f>IF(DD$17&lt;250,0,$C10*DD$17*Assumptions!$C$7/12)*0.5</f>
        <v>2.3697916666666665</v>
      </c>
      <c r="DE23" s="56">
        <f>IF(DE$17&lt;250,0,$C10*DE$17*Assumptions!$C$7/12)*0.5</f>
        <v>2.3697916666666665</v>
      </c>
      <c r="DF23" s="56">
        <f>IF(DF$17&lt;250,0,$C10*DF$17*Assumptions!$C$7/12)*0.5</f>
        <v>2.3697916666666665</v>
      </c>
      <c r="DG23" s="56">
        <f>IF(DG$17&lt;250,0,$C10*DG$17*Assumptions!$C$7/12)*0.5</f>
        <v>2.3697916666666665</v>
      </c>
      <c r="DH23" s="56">
        <f>IF(DH$17&lt;250,0,$C10*DH$17*Assumptions!$C$7/12)*0.5</f>
        <v>2.3697916666666665</v>
      </c>
      <c r="DI23" s="56">
        <f>IF(DI$17&lt;250,0,$C10*DI$17*Assumptions!$C$7/12)*0.5</f>
        <v>2.3697916666666665</v>
      </c>
      <c r="DJ23" s="56">
        <f>IF(DJ$17&lt;250,0,$C10*DJ$17*Assumptions!$C$7/12)*0.5</f>
        <v>2.3697916666666665</v>
      </c>
      <c r="DK23" s="56">
        <f>IF(DK$17&lt;250,0,$C10*DK$17*Assumptions!$C$7/12)*0.5</f>
        <v>2.3697916666666665</v>
      </c>
      <c r="DL23" s="56">
        <f>IF(DL$17&lt;250,0,$C10*DL$17*Assumptions!$C$7/12)*0.5</f>
        <v>2.3697916666666665</v>
      </c>
      <c r="DM23" s="56">
        <f>IF(DM$17&lt;250,0,$C10*DM$17*Assumptions!$C$7/12)*0.5</f>
        <v>2.3697916666666665</v>
      </c>
      <c r="DN23" s="56">
        <f>IF(DN$17&lt;250,0,$C10*DN$17*Assumptions!$C$7/12)*0.5</f>
        <v>2.3697916666666665</v>
      </c>
      <c r="DO23" s="56">
        <f>IF(DO$17&lt;250,0,$C10*DO$17*Assumptions!$C$7/12)*0.5</f>
        <v>2.3697916666666665</v>
      </c>
      <c r="DP23" s="56">
        <f>IF(DP$17&lt;250,0,$C10*DP$17*Assumptions!$C$7/12)*0.5</f>
        <v>2.3697916666666665</v>
      </c>
      <c r="DQ23" s="56">
        <f>IF(DQ$17&lt;250,0,$C10*DQ$17*Assumptions!$C$7/12)*0.5</f>
        <v>2.3697916666666665</v>
      </c>
      <c r="DR23" s="56">
        <f>IF(DR$17&lt;250,0,$C10*DR$17*Assumptions!$C$7/12)*0.5</f>
        <v>2.3697916666666665</v>
      </c>
      <c r="DS23" s="56">
        <f>IF(DS$17&lt;250,0,$C10*DS$17*Assumptions!$C$7/12)*0.5</f>
        <v>2.3697916666666665</v>
      </c>
      <c r="DT23" s="56">
        <f>IF(DT$17&lt;250,0,$C10*DT$17*Assumptions!$C$7/12)*0.5</f>
        <v>2.3697916666666665</v>
      </c>
      <c r="DU23" s="56">
        <f>IF(DU$17&lt;250,0,$C10*DU$17*Assumptions!$C$7/12)*0.5</f>
        <v>2.3697916666666665</v>
      </c>
      <c r="DV23" s="56">
        <f>IF(DV$17&lt;250,0,$C10*DV$17*Assumptions!$C$7/12)*0.5</f>
        <v>2.3697916666666665</v>
      </c>
      <c r="DW23" s="56">
        <f>IF(DW$17&lt;250,0,$C10*DW$17*Assumptions!$C$7/12)*0.5</f>
        <v>2.3697916666666665</v>
      </c>
    </row>
    <row r="24" spans="2:127" x14ac:dyDescent="0.3">
      <c r="B24" s="53" t="str">
        <f t="shared" si="0"/>
        <v>Nickel</v>
      </c>
      <c r="C24" s="56">
        <f>IF(C$17&lt;250,0,$C11*C$17*Assumptions!$C$7/12)*0.5</f>
        <v>0</v>
      </c>
      <c r="D24" s="56">
        <f>IF(D$17&lt;250,0,$C11*D$17*Assumptions!$C$7/12)*0.5</f>
        <v>0</v>
      </c>
      <c r="E24" s="56">
        <f>IF(E$17&lt;250,0,$C11*E$17*Assumptions!$C$7/12)*0.5</f>
        <v>0</v>
      </c>
      <c r="F24" s="56">
        <f>IF(F$17&lt;250,0,$C11*F$17*Assumptions!$C$7/12)*0.5</f>
        <v>0</v>
      </c>
      <c r="G24" s="56">
        <f>IF(G$17&lt;250,0,$C11*G$17*Assumptions!$C$7/12)*0.5</f>
        <v>0.18484374999999997</v>
      </c>
      <c r="H24" s="56">
        <f>IF(H$17&lt;250,0,$C11*H$17*Assumptions!$C$7/12)*0.5</f>
        <v>0.18484374999999997</v>
      </c>
      <c r="I24" s="56">
        <f>IF(I$17&lt;250,0,$C11*I$17*Assumptions!$C$7/12)*0.5</f>
        <v>0.18484374999999997</v>
      </c>
      <c r="J24" s="56">
        <f>IF(J$17&lt;250,0,$C11*J$17*Assumptions!$C$7/12)*0.5</f>
        <v>0.18484374999999997</v>
      </c>
      <c r="K24" s="56">
        <f>IF(K$17&lt;250,0,$C11*K$17*Assumptions!$C$7/12)*0.5</f>
        <v>0.18484374999999997</v>
      </c>
      <c r="L24" s="56">
        <f>IF(L$17&lt;250,0,$C11*L$17*Assumptions!$C$7/12)*0.5</f>
        <v>0.36968749999999995</v>
      </c>
      <c r="M24" s="56">
        <f>IF(M$17&lt;250,0,$C11*M$17*Assumptions!$C$7/12)*0.5</f>
        <v>0.36968749999999995</v>
      </c>
      <c r="N24" s="56">
        <f>IF(N$17&lt;250,0,$C11*N$17*Assumptions!$C$7/12)*0.5</f>
        <v>0.36968749999999995</v>
      </c>
      <c r="O24" s="56">
        <f>IF(O$17&lt;250,0,$C11*O$17*Assumptions!$C$7/12)*0.5</f>
        <v>0.36968749999999995</v>
      </c>
      <c r="P24" s="56">
        <f>IF(P$17&lt;250,0,$C11*P$17*Assumptions!$C$7/12)*0.5</f>
        <v>0.36968749999999995</v>
      </c>
      <c r="Q24" s="56">
        <f>IF(Q$17&lt;250,0,$C11*Q$17*Assumptions!$C$7/12)*0.5</f>
        <v>0.36968749999999995</v>
      </c>
      <c r="R24" s="56">
        <f>IF(R$17&lt;250,0,$C11*R$17*Assumptions!$C$7/12)*0.5</f>
        <v>0.36968749999999995</v>
      </c>
      <c r="S24" s="56">
        <f>IF(S$17&lt;250,0,$C11*S$17*Assumptions!$C$7/12)*0.5</f>
        <v>0.36968749999999995</v>
      </c>
      <c r="T24" s="56">
        <f>IF(T$17&lt;250,0,$C11*T$17*Assumptions!$C$7/12)*0.5</f>
        <v>0.36968749999999995</v>
      </c>
      <c r="U24" s="56">
        <f>IF(U$17&lt;250,0,$C11*U$17*Assumptions!$C$7/12)*0.5</f>
        <v>0.36968749999999995</v>
      </c>
      <c r="V24" s="56">
        <f>IF(V$17&lt;250,0,$C11*V$17*Assumptions!$C$7/12)*0.5</f>
        <v>0.36968749999999995</v>
      </c>
      <c r="W24" s="56">
        <f>IF(W$17&lt;250,0,$C11*W$17*Assumptions!$C$7/12)*0.5</f>
        <v>0.36968749999999995</v>
      </c>
      <c r="X24" s="56">
        <f>IF(X$17&lt;250,0,$C11*X$17*Assumptions!$C$7/12)*0.5</f>
        <v>0.36968749999999995</v>
      </c>
      <c r="Y24" s="56">
        <f>IF(Y$17&lt;250,0,$C11*Y$17*Assumptions!$C$7/12)*0.5</f>
        <v>0.36968749999999995</v>
      </c>
      <c r="Z24" s="56">
        <f>IF(Z$17&lt;250,0,$C11*Z$17*Assumptions!$C$7/12)*0.5</f>
        <v>0.36968749999999995</v>
      </c>
      <c r="AA24" s="56">
        <f>IF(AA$17&lt;250,0,$C11*AA$17*Assumptions!$C$7/12)*0.5</f>
        <v>0.36968749999999995</v>
      </c>
      <c r="AB24" s="56">
        <f>IF(AB$17&lt;250,0,$C11*AB$17*Assumptions!$C$7/12)*0.5</f>
        <v>0.36968749999999995</v>
      </c>
      <c r="AC24" s="56">
        <f>IF(AC$17&lt;250,0,$C11*AC$17*Assumptions!$C$7/12)*0.5</f>
        <v>0.36968749999999995</v>
      </c>
      <c r="AD24" s="56">
        <f>IF(AD$17&lt;250,0,$C11*AD$17*Assumptions!$C$7/12)*0.5</f>
        <v>0.36968749999999995</v>
      </c>
      <c r="AE24" s="56">
        <f>IF(AE$17&lt;250,0,$C11*AE$17*Assumptions!$C$7/12)*0.5</f>
        <v>0.36968749999999995</v>
      </c>
      <c r="AF24" s="56">
        <f>IF(AF$17&lt;250,0,$C11*AF$17*Assumptions!$C$7/12)*0.5</f>
        <v>0.36968749999999995</v>
      </c>
      <c r="AG24" s="56">
        <f>IF(AG$17&lt;250,0,$C11*AG$17*Assumptions!$C$7/12)*0.5</f>
        <v>0.36968749999999995</v>
      </c>
      <c r="AH24" s="56">
        <f>IF(AH$17&lt;250,0,$C11*AH$17*Assumptions!$C$7/12)*0.5</f>
        <v>0.36968749999999995</v>
      </c>
      <c r="AI24" s="56">
        <f>IF(AI$17&lt;250,0,$C11*AI$17*Assumptions!$C$7/12)*0.5</f>
        <v>0.36968749999999995</v>
      </c>
      <c r="AJ24" s="56">
        <f>IF(AJ$17&lt;250,0,$C11*AJ$17*Assumptions!$C$7/12)*0.5</f>
        <v>0.36968749999999995</v>
      </c>
      <c r="AK24" s="56">
        <f>IF(AK$17&lt;250,0,$C11*AK$17*Assumptions!$C$7/12)*0.5</f>
        <v>0.36968749999999995</v>
      </c>
      <c r="AL24" s="56">
        <f>IF(AL$17&lt;250,0,$C11*AL$17*Assumptions!$C$7/12)*0.5</f>
        <v>0.36968749999999995</v>
      </c>
      <c r="AM24" s="56">
        <f>IF(AM$17&lt;250,0,$C11*AM$17*Assumptions!$C$7/12)*0.5</f>
        <v>0.36968749999999995</v>
      </c>
      <c r="AN24" s="56">
        <f>IF(AN$17&lt;250,0,$C11*AN$17*Assumptions!$C$7/12)*0.5</f>
        <v>0.36968749999999995</v>
      </c>
      <c r="AO24" s="56">
        <f>IF(AO$17&lt;250,0,$C11*AO$17*Assumptions!$C$7/12)*0.5</f>
        <v>0.36968749999999995</v>
      </c>
      <c r="AP24" s="56">
        <f>IF(AP$17&lt;250,0,$C11*AP$17*Assumptions!$C$7/12)*0.5</f>
        <v>0.36968749999999995</v>
      </c>
      <c r="AQ24" s="56">
        <f>IF(AQ$17&lt;250,0,$C11*AQ$17*Assumptions!$C$7/12)*0.5</f>
        <v>0.36968749999999995</v>
      </c>
      <c r="AR24" s="56">
        <f>IF(AR$17&lt;250,0,$C11*AR$17*Assumptions!$C$7/12)*0.5</f>
        <v>0.36968749999999995</v>
      </c>
      <c r="AS24" s="56">
        <f>IF(AS$17&lt;250,0,$C11*AS$17*Assumptions!$C$7/12)*0.5</f>
        <v>0.36968749999999995</v>
      </c>
      <c r="AT24" s="56">
        <f>IF(AT$17&lt;250,0,$C11*AT$17*Assumptions!$C$7/12)*0.5</f>
        <v>0.36968749999999995</v>
      </c>
      <c r="AU24" s="56">
        <f>IF(AU$17&lt;250,0,$C11*AU$17*Assumptions!$C$7/12)*0.5</f>
        <v>0.36968749999999995</v>
      </c>
      <c r="AV24" s="56">
        <f>IF(AV$17&lt;250,0,$C11*AV$17*Assumptions!$C$7/12)*0.5</f>
        <v>0.36968749999999995</v>
      </c>
      <c r="AW24" s="56">
        <f>IF(AW$17&lt;250,0,$C11*AW$17*Assumptions!$C$7/12)*0.5</f>
        <v>0.36968749999999995</v>
      </c>
      <c r="AX24" s="56">
        <f>IF(AX$17&lt;250,0,$C11*AX$17*Assumptions!$C$7/12)*0.5</f>
        <v>0.36968749999999995</v>
      </c>
      <c r="AY24" s="56">
        <f>IF(AY$17&lt;250,0,$C11*AY$17*Assumptions!$C$7/12)*0.5</f>
        <v>0.36968749999999995</v>
      </c>
      <c r="AZ24" s="56">
        <f>IF(AZ$17&lt;250,0,$C11*AZ$17*Assumptions!$C$7/12)*0.5</f>
        <v>0.36968749999999995</v>
      </c>
      <c r="BA24" s="56">
        <f>IF(BA$17&lt;250,0,$C11*BA$17*Assumptions!$C$7/12)*0.5</f>
        <v>0.36968749999999995</v>
      </c>
      <c r="BB24" s="56">
        <f>IF(BB$17&lt;250,0,$C11*BB$17*Assumptions!$C$7/12)*0.5</f>
        <v>0.36968749999999995</v>
      </c>
      <c r="BC24" s="56">
        <f>IF(BC$17&lt;250,0,$C11*BC$17*Assumptions!$C$7/12)*0.5</f>
        <v>0.36968749999999995</v>
      </c>
      <c r="BD24" s="56">
        <f>IF(BD$17&lt;250,0,$C11*BD$17*Assumptions!$C$7/12)*0.5</f>
        <v>0.36968749999999995</v>
      </c>
      <c r="BE24" s="56">
        <f>IF(BE$17&lt;250,0,$C11*BE$17*Assumptions!$C$7/12)*0.5</f>
        <v>0.36968749999999995</v>
      </c>
      <c r="BF24" s="56">
        <f>IF(BF$17&lt;250,0,$C11*BF$17*Assumptions!$C$7/12)*0.5</f>
        <v>0.36968749999999995</v>
      </c>
      <c r="BG24" s="56">
        <f>IF(BG$17&lt;250,0,$C11*BG$17*Assumptions!$C$7/12)*0.5</f>
        <v>0.36968749999999995</v>
      </c>
      <c r="BH24" s="56">
        <f>IF(BH$17&lt;250,0,$C11*BH$17*Assumptions!$C$7/12)*0.5</f>
        <v>0.36968749999999995</v>
      </c>
      <c r="BI24" s="56">
        <f>IF(BI$17&lt;250,0,$C11*BI$17*Assumptions!$C$7/12)*0.5</f>
        <v>0.36968749999999995</v>
      </c>
      <c r="BJ24" s="56">
        <f>IF(BJ$17&lt;250,0,$C11*BJ$17*Assumptions!$C$7/12)*0.5</f>
        <v>0.36968749999999995</v>
      </c>
      <c r="BK24" s="56">
        <f>IF(BK$17&lt;250,0,$C11*BK$17*Assumptions!$C$7/12)*0.5</f>
        <v>0.36968749999999995</v>
      </c>
      <c r="BL24" s="56">
        <f>IF(BL$17&lt;250,0,$C11*BL$17*Assumptions!$C$7/12)*0.5</f>
        <v>0.36968749999999995</v>
      </c>
      <c r="BM24" s="56">
        <f>IF(BM$17&lt;250,0,$C11*BM$17*Assumptions!$C$7/12)*0.5</f>
        <v>0.36968749999999995</v>
      </c>
      <c r="BN24" s="56">
        <f>IF(BN$17&lt;250,0,$C11*BN$17*Assumptions!$C$7/12)*0.5</f>
        <v>0.36968749999999995</v>
      </c>
      <c r="BO24" s="56">
        <f>IF(BO$17&lt;250,0,$C11*BO$17*Assumptions!$C$7/12)*0.5</f>
        <v>0.36968749999999995</v>
      </c>
      <c r="BP24" s="56">
        <f>IF(BP$17&lt;250,0,$C11*BP$17*Assumptions!$C$7/12)*0.5</f>
        <v>0.36968749999999995</v>
      </c>
      <c r="BQ24" s="56">
        <f>IF(BQ$17&lt;250,0,$C11*BQ$17*Assumptions!$C$7/12)*0.5</f>
        <v>0.36968749999999995</v>
      </c>
      <c r="BR24" s="56">
        <f>IF(BR$17&lt;250,0,$C11*BR$17*Assumptions!$C$7/12)*0.5</f>
        <v>0.36968749999999995</v>
      </c>
      <c r="BS24" s="56">
        <f>IF(BS$17&lt;250,0,$C11*BS$17*Assumptions!$C$7/12)*0.5</f>
        <v>0.36968749999999995</v>
      </c>
      <c r="BT24" s="56">
        <f>IF(BT$17&lt;250,0,$C11*BT$17*Assumptions!$C$7/12)*0.5</f>
        <v>0.36968749999999995</v>
      </c>
      <c r="BU24" s="56">
        <f>IF(BU$17&lt;250,0,$C11*BU$17*Assumptions!$C$7/12)*0.5</f>
        <v>0.36968749999999995</v>
      </c>
      <c r="BV24" s="56">
        <f>IF(BV$17&lt;250,0,$C11*BV$17*Assumptions!$C$7/12)*0.5</f>
        <v>0.36968749999999995</v>
      </c>
      <c r="BW24" s="56">
        <f>IF(BW$17&lt;250,0,$C11*BW$17*Assumptions!$C$7/12)*0.5</f>
        <v>0.36968749999999995</v>
      </c>
      <c r="BX24" s="56">
        <f>IF(BX$17&lt;250,0,$C11*BX$17*Assumptions!$C$7/12)*0.5</f>
        <v>0.36968749999999995</v>
      </c>
      <c r="BY24" s="56">
        <f>IF(BY$17&lt;250,0,$C11*BY$17*Assumptions!$C$7/12)*0.5</f>
        <v>0.36968749999999995</v>
      </c>
      <c r="BZ24" s="56">
        <f>IF(BZ$17&lt;250,0,$C11*BZ$17*Assumptions!$C$7/12)*0.5</f>
        <v>0.36968749999999995</v>
      </c>
      <c r="CA24" s="56">
        <f>IF(CA$17&lt;250,0,$C11*CA$17*Assumptions!$C$7/12)*0.5</f>
        <v>0.36968749999999995</v>
      </c>
      <c r="CB24" s="56">
        <f>IF(CB$17&lt;250,0,$C11*CB$17*Assumptions!$C$7/12)*0.5</f>
        <v>0.36968749999999995</v>
      </c>
      <c r="CC24" s="56">
        <f>IF(CC$17&lt;250,0,$C11*CC$17*Assumptions!$C$7/12)*0.5</f>
        <v>0.36968749999999995</v>
      </c>
      <c r="CD24" s="56">
        <f>IF(CD$17&lt;250,0,$C11*CD$17*Assumptions!$C$7/12)*0.5</f>
        <v>0.36968749999999995</v>
      </c>
      <c r="CE24" s="56">
        <f>IF(CE$17&lt;250,0,$C11*CE$17*Assumptions!$C$7/12)*0.5</f>
        <v>0.36968749999999995</v>
      </c>
      <c r="CF24" s="56">
        <f>IF(CF$17&lt;250,0,$C11*CF$17*Assumptions!$C$7/12)*0.5</f>
        <v>0.36968749999999995</v>
      </c>
      <c r="CG24" s="56">
        <f>IF(CG$17&lt;250,0,$C11*CG$17*Assumptions!$C$7/12)*0.5</f>
        <v>0.36968749999999995</v>
      </c>
      <c r="CH24" s="56">
        <f>IF(CH$17&lt;250,0,$C11*CH$17*Assumptions!$C$7/12)*0.5</f>
        <v>0.36968749999999995</v>
      </c>
      <c r="CI24" s="56">
        <f>IF(CI$17&lt;250,0,$C11*CI$17*Assumptions!$C$7/12)*0.5</f>
        <v>0.36968749999999995</v>
      </c>
      <c r="CJ24" s="56">
        <f>IF(CJ$17&lt;250,0,$C11*CJ$17*Assumptions!$C$7/12)*0.5</f>
        <v>0.36968749999999995</v>
      </c>
      <c r="CK24" s="56">
        <f>IF(CK$17&lt;250,0,$C11*CK$17*Assumptions!$C$7/12)*0.5</f>
        <v>0.36968749999999995</v>
      </c>
      <c r="CL24" s="56">
        <f>IF(CL$17&lt;250,0,$C11*CL$17*Assumptions!$C$7/12)*0.5</f>
        <v>0.36968749999999995</v>
      </c>
      <c r="CM24" s="56">
        <f>IF(CM$17&lt;250,0,$C11*CM$17*Assumptions!$C$7/12)*0.5</f>
        <v>0.36968749999999995</v>
      </c>
      <c r="CN24" s="56">
        <f>IF(CN$17&lt;250,0,$C11*CN$17*Assumptions!$C$7/12)*0.5</f>
        <v>0.36968749999999995</v>
      </c>
      <c r="CO24" s="56">
        <f>IF(CO$17&lt;250,0,$C11*CO$17*Assumptions!$C$7/12)*0.5</f>
        <v>0.36968749999999995</v>
      </c>
      <c r="CP24" s="56">
        <f>IF(CP$17&lt;250,0,$C11*CP$17*Assumptions!$C$7/12)*0.5</f>
        <v>0.36968749999999995</v>
      </c>
      <c r="CQ24" s="56">
        <f>IF(CQ$17&lt;250,0,$C11*CQ$17*Assumptions!$C$7/12)*0.5</f>
        <v>0.36968749999999995</v>
      </c>
      <c r="CR24" s="56">
        <f>IF(CR$17&lt;250,0,$C11*CR$17*Assumptions!$C$7/12)*0.5</f>
        <v>0.36968749999999995</v>
      </c>
      <c r="CS24" s="56">
        <f>IF(CS$17&lt;250,0,$C11*CS$17*Assumptions!$C$7/12)*0.5</f>
        <v>0.36968749999999995</v>
      </c>
      <c r="CT24" s="56">
        <f>IF(CT$17&lt;250,0,$C11*CT$17*Assumptions!$C$7/12)*0.5</f>
        <v>0.36968749999999995</v>
      </c>
      <c r="CU24" s="56">
        <f>IF(CU$17&lt;250,0,$C11*CU$17*Assumptions!$C$7/12)*0.5</f>
        <v>0.36968749999999995</v>
      </c>
      <c r="CV24" s="56">
        <f>IF(CV$17&lt;250,0,$C11*CV$17*Assumptions!$C$7/12)*0.5</f>
        <v>0.36968749999999995</v>
      </c>
      <c r="CW24" s="56">
        <f>IF(CW$17&lt;250,0,$C11*CW$17*Assumptions!$C$7/12)*0.5</f>
        <v>0.36968749999999995</v>
      </c>
      <c r="CX24" s="56">
        <f>IF(CX$17&lt;250,0,$C11*CX$17*Assumptions!$C$7/12)*0.5</f>
        <v>0.36968749999999995</v>
      </c>
      <c r="CY24" s="56">
        <f>IF(CY$17&lt;250,0,$C11*CY$17*Assumptions!$C$7/12)*0.5</f>
        <v>0.36968749999999995</v>
      </c>
      <c r="CZ24" s="56">
        <f>IF(CZ$17&lt;250,0,$C11*CZ$17*Assumptions!$C$7/12)*0.5</f>
        <v>0.36968749999999995</v>
      </c>
      <c r="DA24" s="56">
        <f>IF(DA$17&lt;250,0,$C11*DA$17*Assumptions!$C$7/12)*0.5</f>
        <v>0.36968749999999995</v>
      </c>
      <c r="DB24" s="56">
        <f>IF(DB$17&lt;250,0,$C11*DB$17*Assumptions!$C$7/12)*0.5</f>
        <v>0.36968749999999995</v>
      </c>
      <c r="DC24" s="56">
        <f>IF(DC$17&lt;250,0,$C11*DC$17*Assumptions!$C$7/12)*0.5</f>
        <v>0.36968749999999995</v>
      </c>
      <c r="DD24" s="56">
        <f>IF(DD$17&lt;250,0,$C11*DD$17*Assumptions!$C$7/12)*0.5</f>
        <v>0.36968749999999995</v>
      </c>
      <c r="DE24" s="56">
        <f>IF(DE$17&lt;250,0,$C11*DE$17*Assumptions!$C$7/12)*0.5</f>
        <v>0.36968749999999995</v>
      </c>
      <c r="DF24" s="56">
        <f>IF(DF$17&lt;250,0,$C11*DF$17*Assumptions!$C$7/12)*0.5</f>
        <v>0.36968749999999995</v>
      </c>
      <c r="DG24" s="56">
        <f>IF(DG$17&lt;250,0,$C11*DG$17*Assumptions!$C$7/12)*0.5</f>
        <v>0.36968749999999995</v>
      </c>
      <c r="DH24" s="56">
        <f>IF(DH$17&lt;250,0,$C11*DH$17*Assumptions!$C$7/12)*0.5</f>
        <v>0.36968749999999995</v>
      </c>
      <c r="DI24" s="56">
        <f>IF(DI$17&lt;250,0,$C11*DI$17*Assumptions!$C$7/12)*0.5</f>
        <v>0.36968749999999995</v>
      </c>
      <c r="DJ24" s="56">
        <f>IF(DJ$17&lt;250,0,$C11*DJ$17*Assumptions!$C$7/12)*0.5</f>
        <v>0.36968749999999995</v>
      </c>
      <c r="DK24" s="56">
        <f>IF(DK$17&lt;250,0,$C11*DK$17*Assumptions!$C$7/12)*0.5</f>
        <v>0.36968749999999995</v>
      </c>
      <c r="DL24" s="56">
        <f>IF(DL$17&lt;250,0,$C11*DL$17*Assumptions!$C$7/12)*0.5</f>
        <v>0.36968749999999995</v>
      </c>
      <c r="DM24" s="56">
        <f>IF(DM$17&lt;250,0,$C11*DM$17*Assumptions!$C$7/12)*0.5</f>
        <v>0.36968749999999995</v>
      </c>
      <c r="DN24" s="56">
        <f>IF(DN$17&lt;250,0,$C11*DN$17*Assumptions!$C$7/12)*0.5</f>
        <v>0.36968749999999995</v>
      </c>
      <c r="DO24" s="56">
        <f>IF(DO$17&lt;250,0,$C11*DO$17*Assumptions!$C$7/12)*0.5</f>
        <v>0.36968749999999995</v>
      </c>
      <c r="DP24" s="56">
        <f>IF(DP$17&lt;250,0,$C11*DP$17*Assumptions!$C$7/12)*0.5</f>
        <v>0.36968749999999995</v>
      </c>
      <c r="DQ24" s="56">
        <f>IF(DQ$17&lt;250,0,$C11*DQ$17*Assumptions!$C$7/12)*0.5</f>
        <v>0.36968749999999995</v>
      </c>
      <c r="DR24" s="56">
        <f>IF(DR$17&lt;250,0,$C11*DR$17*Assumptions!$C$7/12)*0.5</f>
        <v>0.36968749999999995</v>
      </c>
      <c r="DS24" s="56">
        <f>IF(DS$17&lt;250,0,$C11*DS$17*Assumptions!$C$7/12)*0.5</f>
        <v>0.36968749999999995</v>
      </c>
      <c r="DT24" s="56">
        <f>IF(DT$17&lt;250,0,$C11*DT$17*Assumptions!$C$7/12)*0.5</f>
        <v>0.36968749999999995</v>
      </c>
      <c r="DU24" s="56">
        <f>IF(DU$17&lt;250,0,$C11*DU$17*Assumptions!$C$7/12)*0.5</f>
        <v>0.36968749999999995</v>
      </c>
      <c r="DV24" s="56">
        <f>IF(DV$17&lt;250,0,$C11*DV$17*Assumptions!$C$7/12)*0.5</f>
        <v>0.36968749999999995</v>
      </c>
      <c r="DW24" s="56">
        <f>IF(DW$17&lt;250,0,$C11*DW$17*Assumptions!$C$7/12)*0.5</f>
        <v>0.36968749999999995</v>
      </c>
    </row>
    <row r="25" spans="2:127" x14ac:dyDescent="0.3">
      <c r="B25" s="53" t="str">
        <f t="shared" si="0"/>
        <v>Cobalt</v>
      </c>
      <c r="C25" s="56">
        <f>IF(C$17&lt;250,0,$C12*C$17*Assumptions!$C$7/12)*0.5</f>
        <v>0</v>
      </c>
      <c r="D25" s="56">
        <f>IF(D$17&lt;250,0,$C12*D$17*Assumptions!$C$7/12)*0.5</f>
        <v>0</v>
      </c>
      <c r="E25" s="56">
        <f>IF(E$17&lt;250,0,$C12*E$17*Assumptions!$C$7/12)*0.5</f>
        <v>0</v>
      </c>
      <c r="F25" s="56">
        <f>IF(F$17&lt;250,0,$C12*F$17*Assumptions!$C$7/12)*0.5</f>
        <v>0</v>
      </c>
      <c r="G25" s="56">
        <f>IF(G$17&lt;250,0,$C12*G$17*Assumptions!$C$7/12)*0.5</f>
        <v>0.41234374999999995</v>
      </c>
      <c r="H25" s="56">
        <f>IF(H$17&lt;250,0,$C12*H$17*Assumptions!$C$7/12)*0.5</f>
        <v>0.41234374999999995</v>
      </c>
      <c r="I25" s="56">
        <f>IF(I$17&lt;250,0,$C12*I$17*Assumptions!$C$7/12)*0.5</f>
        <v>0.41234374999999995</v>
      </c>
      <c r="J25" s="56">
        <f>IF(J$17&lt;250,0,$C12*J$17*Assumptions!$C$7/12)*0.5</f>
        <v>0.41234374999999995</v>
      </c>
      <c r="K25" s="56">
        <f>IF(K$17&lt;250,0,$C12*K$17*Assumptions!$C$7/12)*0.5</f>
        <v>0.41234374999999995</v>
      </c>
      <c r="L25" s="56">
        <f>IF(L$17&lt;250,0,$C12*L$17*Assumptions!$C$7/12)*0.5</f>
        <v>0.82468749999999991</v>
      </c>
      <c r="M25" s="56">
        <f>IF(M$17&lt;250,0,$C12*M$17*Assumptions!$C$7/12)*0.5</f>
        <v>0.82468749999999991</v>
      </c>
      <c r="N25" s="56">
        <f>IF(N$17&lt;250,0,$C12*N$17*Assumptions!$C$7/12)*0.5</f>
        <v>0.82468749999999991</v>
      </c>
      <c r="O25" s="56">
        <f>IF(O$17&lt;250,0,$C12*O$17*Assumptions!$C$7/12)*0.5</f>
        <v>0.82468749999999991</v>
      </c>
      <c r="P25" s="56">
        <f>IF(P$17&lt;250,0,$C12*P$17*Assumptions!$C$7/12)*0.5</f>
        <v>0.82468749999999991</v>
      </c>
      <c r="Q25" s="56">
        <f>IF(Q$17&lt;250,0,$C12*Q$17*Assumptions!$C$7/12)*0.5</f>
        <v>0.82468749999999991</v>
      </c>
      <c r="R25" s="56">
        <f>IF(R$17&lt;250,0,$C12*R$17*Assumptions!$C$7/12)*0.5</f>
        <v>0.82468749999999991</v>
      </c>
      <c r="S25" s="56">
        <f>IF(S$17&lt;250,0,$C12*S$17*Assumptions!$C$7/12)*0.5</f>
        <v>0.82468749999999991</v>
      </c>
      <c r="T25" s="56">
        <f>IF(T$17&lt;250,0,$C12*T$17*Assumptions!$C$7/12)*0.5</f>
        <v>0.82468749999999991</v>
      </c>
      <c r="U25" s="56">
        <f>IF(U$17&lt;250,0,$C12*U$17*Assumptions!$C$7/12)*0.5</f>
        <v>0.82468749999999991</v>
      </c>
      <c r="V25" s="56">
        <f>IF(V$17&lt;250,0,$C12*V$17*Assumptions!$C$7/12)*0.5</f>
        <v>0.82468749999999991</v>
      </c>
      <c r="W25" s="56">
        <f>IF(W$17&lt;250,0,$C12*W$17*Assumptions!$C$7/12)*0.5</f>
        <v>0.82468749999999991</v>
      </c>
      <c r="X25" s="56">
        <f>IF(X$17&lt;250,0,$C12*X$17*Assumptions!$C$7/12)*0.5</f>
        <v>0.82468749999999991</v>
      </c>
      <c r="Y25" s="56">
        <f>IF(Y$17&lt;250,0,$C12*Y$17*Assumptions!$C$7/12)*0.5</f>
        <v>0.82468749999999991</v>
      </c>
      <c r="Z25" s="56">
        <f>IF(Z$17&lt;250,0,$C12*Z$17*Assumptions!$C$7/12)*0.5</f>
        <v>0.82468749999999991</v>
      </c>
      <c r="AA25" s="56">
        <f>IF(AA$17&lt;250,0,$C12*AA$17*Assumptions!$C$7/12)*0.5</f>
        <v>0.82468749999999991</v>
      </c>
      <c r="AB25" s="56">
        <f>IF(AB$17&lt;250,0,$C12*AB$17*Assumptions!$C$7/12)*0.5</f>
        <v>0.82468749999999991</v>
      </c>
      <c r="AC25" s="56">
        <f>IF(AC$17&lt;250,0,$C12*AC$17*Assumptions!$C$7/12)*0.5</f>
        <v>0.82468749999999991</v>
      </c>
      <c r="AD25" s="56">
        <f>IF(AD$17&lt;250,0,$C12*AD$17*Assumptions!$C$7/12)*0.5</f>
        <v>0.82468749999999991</v>
      </c>
      <c r="AE25" s="56">
        <f>IF(AE$17&lt;250,0,$C12*AE$17*Assumptions!$C$7/12)*0.5</f>
        <v>0.82468749999999991</v>
      </c>
      <c r="AF25" s="56">
        <f>IF(AF$17&lt;250,0,$C12*AF$17*Assumptions!$C$7/12)*0.5</f>
        <v>0.82468749999999991</v>
      </c>
      <c r="AG25" s="56">
        <f>IF(AG$17&lt;250,0,$C12*AG$17*Assumptions!$C$7/12)*0.5</f>
        <v>0.82468749999999991</v>
      </c>
      <c r="AH25" s="56">
        <f>IF(AH$17&lt;250,0,$C12*AH$17*Assumptions!$C$7/12)*0.5</f>
        <v>0.82468749999999991</v>
      </c>
      <c r="AI25" s="56">
        <f>IF(AI$17&lt;250,0,$C12*AI$17*Assumptions!$C$7/12)*0.5</f>
        <v>0.82468749999999991</v>
      </c>
      <c r="AJ25" s="56">
        <f>IF(AJ$17&lt;250,0,$C12*AJ$17*Assumptions!$C$7/12)*0.5</f>
        <v>0.82468749999999991</v>
      </c>
      <c r="AK25" s="56">
        <f>IF(AK$17&lt;250,0,$C12*AK$17*Assumptions!$C$7/12)*0.5</f>
        <v>0.82468749999999991</v>
      </c>
      <c r="AL25" s="56">
        <f>IF(AL$17&lt;250,0,$C12*AL$17*Assumptions!$C$7/12)*0.5</f>
        <v>0.82468749999999991</v>
      </c>
      <c r="AM25" s="56">
        <f>IF(AM$17&lt;250,0,$C12*AM$17*Assumptions!$C$7/12)*0.5</f>
        <v>0.82468749999999991</v>
      </c>
      <c r="AN25" s="56">
        <f>IF(AN$17&lt;250,0,$C12*AN$17*Assumptions!$C$7/12)*0.5</f>
        <v>0.82468749999999991</v>
      </c>
      <c r="AO25" s="56">
        <f>IF(AO$17&lt;250,0,$C12*AO$17*Assumptions!$C$7/12)*0.5</f>
        <v>0.82468749999999991</v>
      </c>
      <c r="AP25" s="56">
        <f>IF(AP$17&lt;250,0,$C12*AP$17*Assumptions!$C$7/12)*0.5</f>
        <v>0.82468749999999991</v>
      </c>
      <c r="AQ25" s="56">
        <f>IF(AQ$17&lt;250,0,$C12*AQ$17*Assumptions!$C$7/12)*0.5</f>
        <v>0.82468749999999991</v>
      </c>
      <c r="AR25" s="56">
        <f>IF(AR$17&lt;250,0,$C12*AR$17*Assumptions!$C$7/12)*0.5</f>
        <v>0.82468749999999991</v>
      </c>
      <c r="AS25" s="56">
        <f>IF(AS$17&lt;250,0,$C12*AS$17*Assumptions!$C$7/12)*0.5</f>
        <v>0.82468749999999991</v>
      </c>
      <c r="AT25" s="56">
        <f>IF(AT$17&lt;250,0,$C12*AT$17*Assumptions!$C$7/12)*0.5</f>
        <v>0.82468749999999991</v>
      </c>
      <c r="AU25" s="56">
        <f>IF(AU$17&lt;250,0,$C12*AU$17*Assumptions!$C$7/12)*0.5</f>
        <v>0.82468749999999991</v>
      </c>
      <c r="AV25" s="56">
        <f>IF(AV$17&lt;250,0,$C12*AV$17*Assumptions!$C$7/12)*0.5</f>
        <v>0.82468749999999991</v>
      </c>
      <c r="AW25" s="56">
        <f>IF(AW$17&lt;250,0,$C12*AW$17*Assumptions!$C$7/12)*0.5</f>
        <v>0.82468749999999991</v>
      </c>
      <c r="AX25" s="56">
        <f>IF(AX$17&lt;250,0,$C12*AX$17*Assumptions!$C$7/12)*0.5</f>
        <v>0.82468749999999991</v>
      </c>
      <c r="AY25" s="56">
        <f>IF(AY$17&lt;250,0,$C12*AY$17*Assumptions!$C$7/12)*0.5</f>
        <v>0.82468749999999991</v>
      </c>
      <c r="AZ25" s="56">
        <f>IF(AZ$17&lt;250,0,$C12*AZ$17*Assumptions!$C$7/12)*0.5</f>
        <v>0.82468749999999991</v>
      </c>
      <c r="BA25" s="56">
        <f>IF(BA$17&lt;250,0,$C12*BA$17*Assumptions!$C$7/12)*0.5</f>
        <v>0.82468749999999991</v>
      </c>
      <c r="BB25" s="56">
        <f>IF(BB$17&lt;250,0,$C12*BB$17*Assumptions!$C$7/12)*0.5</f>
        <v>0.82468749999999991</v>
      </c>
      <c r="BC25" s="56">
        <f>IF(BC$17&lt;250,0,$C12*BC$17*Assumptions!$C$7/12)*0.5</f>
        <v>0.82468749999999991</v>
      </c>
      <c r="BD25" s="56">
        <f>IF(BD$17&lt;250,0,$C12*BD$17*Assumptions!$C$7/12)*0.5</f>
        <v>0.82468749999999991</v>
      </c>
      <c r="BE25" s="56">
        <f>IF(BE$17&lt;250,0,$C12*BE$17*Assumptions!$C$7/12)*0.5</f>
        <v>0.82468749999999991</v>
      </c>
      <c r="BF25" s="56">
        <f>IF(BF$17&lt;250,0,$C12*BF$17*Assumptions!$C$7/12)*0.5</f>
        <v>0.82468749999999991</v>
      </c>
      <c r="BG25" s="56">
        <f>IF(BG$17&lt;250,0,$C12*BG$17*Assumptions!$C$7/12)*0.5</f>
        <v>0.82468749999999991</v>
      </c>
      <c r="BH25" s="56">
        <f>IF(BH$17&lt;250,0,$C12*BH$17*Assumptions!$C$7/12)*0.5</f>
        <v>0.82468749999999991</v>
      </c>
      <c r="BI25" s="56">
        <f>IF(BI$17&lt;250,0,$C12*BI$17*Assumptions!$C$7/12)*0.5</f>
        <v>0.82468749999999991</v>
      </c>
      <c r="BJ25" s="56">
        <f>IF(BJ$17&lt;250,0,$C12*BJ$17*Assumptions!$C$7/12)*0.5</f>
        <v>0.82468749999999991</v>
      </c>
      <c r="BK25" s="56">
        <f>IF(BK$17&lt;250,0,$C12*BK$17*Assumptions!$C$7/12)*0.5</f>
        <v>0.82468749999999991</v>
      </c>
      <c r="BL25" s="56">
        <f>IF(BL$17&lt;250,0,$C12*BL$17*Assumptions!$C$7/12)*0.5</f>
        <v>0.82468749999999991</v>
      </c>
      <c r="BM25" s="56">
        <f>IF(BM$17&lt;250,0,$C12*BM$17*Assumptions!$C$7/12)*0.5</f>
        <v>0.82468749999999991</v>
      </c>
      <c r="BN25" s="56">
        <f>IF(BN$17&lt;250,0,$C12*BN$17*Assumptions!$C$7/12)*0.5</f>
        <v>0.82468749999999991</v>
      </c>
      <c r="BO25" s="56">
        <f>IF(BO$17&lt;250,0,$C12*BO$17*Assumptions!$C$7/12)*0.5</f>
        <v>0.82468749999999991</v>
      </c>
      <c r="BP25" s="56">
        <f>IF(BP$17&lt;250,0,$C12*BP$17*Assumptions!$C$7/12)*0.5</f>
        <v>0.82468749999999991</v>
      </c>
      <c r="BQ25" s="56">
        <f>IF(BQ$17&lt;250,0,$C12*BQ$17*Assumptions!$C$7/12)*0.5</f>
        <v>0.82468749999999991</v>
      </c>
      <c r="BR25" s="56">
        <f>IF(BR$17&lt;250,0,$C12*BR$17*Assumptions!$C$7/12)*0.5</f>
        <v>0.82468749999999991</v>
      </c>
      <c r="BS25" s="56">
        <f>IF(BS$17&lt;250,0,$C12*BS$17*Assumptions!$C$7/12)*0.5</f>
        <v>0.82468749999999991</v>
      </c>
      <c r="BT25" s="56">
        <f>IF(BT$17&lt;250,0,$C12*BT$17*Assumptions!$C$7/12)*0.5</f>
        <v>0.82468749999999991</v>
      </c>
      <c r="BU25" s="56">
        <f>IF(BU$17&lt;250,0,$C12*BU$17*Assumptions!$C$7/12)*0.5</f>
        <v>0.82468749999999991</v>
      </c>
      <c r="BV25" s="56">
        <f>IF(BV$17&lt;250,0,$C12*BV$17*Assumptions!$C$7/12)*0.5</f>
        <v>0.82468749999999991</v>
      </c>
      <c r="BW25" s="56">
        <f>IF(BW$17&lt;250,0,$C12*BW$17*Assumptions!$C$7/12)*0.5</f>
        <v>0.82468749999999991</v>
      </c>
      <c r="BX25" s="56">
        <f>IF(BX$17&lt;250,0,$C12*BX$17*Assumptions!$C$7/12)*0.5</f>
        <v>0.82468749999999991</v>
      </c>
      <c r="BY25" s="56">
        <f>IF(BY$17&lt;250,0,$C12*BY$17*Assumptions!$C$7/12)*0.5</f>
        <v>0.82468749999999991</v>
      </c>
      <c r="BZ25" s="56">
        <f>IF(BZ$17&lt;250,0,$C12*BZ$17*Assumptions!$C$7/12)*0.5</f>
        <v>0.82468749999999991</v>
      </c>
      <c r="CA25" s="56">
        <f>IF(CA$17&lt;250,0,$C12*CA$17*Assumptions!$C$7/12)*0.5</f>
        <v>0.82468749999999991</v>
      </c>
      <c r="CB25" s="56">
        <f>IF(CB$17&lt;250,0,$C12*CB$17*Assumptions!$C$7/12)*0.5</f>
        <v>0.82468749999999991</v>
      </c>
      <c r="CC25" s="56">
        <f>IF(CC$17&lt;250,0,$C12*CC$17*Assumptions!$C$7/12)*0.5</f>
        <v>0.82468749999999991</v>
      </c>
      <c r="CD25" s="56">
        <f>IF(CD$17&lt;250,0,$C12*CD$17*Assumptions!$C$7/12)*0.5</f>
        <v>0.82468749999999991</v>
      </c>
      <c r="CE25" s="56">
        <f>IF(CE$17&lt;250,0,$C12*CE$17*Assumptions!$C$7/12)*0.5</f>
        <v>0.82468749999999991</v>
      </c>
      <c r="CF25" s="56">
        <f>IF(CF$17&lt;250,0,$C12*CF$17*Assumptions!$C$7/12)*0.5</f>
        <v>0.82468749999999991</v>
      </c>
      <c r="CG25" s="56">
        <f>IF(CG$17&lt;250,0,$C12*CG$17*Assumptions!$C$7/12)*0.5</f>
        <v>0.82468749999999991</v>
      </c>
      <c r="CH25" s="56">
        <f>IF(CH$17&lt;250,0,$C12*CH$17*Assumptions!$C$7/12)*0.5</f>
        <v>0.82468749999999991</v>
      </c>
      <c r="CI25" s="56">
        <f>IF(CI$17&lt;250,0,$C12*CI$17*Assumptions!$C$7/12)*0.5</f>
        <v>0.82468749999999991</v>
      </c>
      <c r="CJ25" s="56">
        <f>IF(CJ$17&lt;250,0,$C12*CJ$17*Assumptions!$C$7/12)*0.5</f>
        <v>0.82468749999999991</v>
      </c>
      <c r="CK25" s="56">
        <f>IF(CK$17&lt;250,0,$C12*CK$17*Assumptions!$C$7/12)*0.5</f>
        <v>0.82468749999999991</v>
      </c>
      <c r="CL25" s="56">
        <f>IF(CL$17&lt;250,0,$C12*CL$17*Assumptions!$C$7/12)*0.5</f>
        <v>0.82468749999999991</v>
      </c>
      <c r="CM25" s="56">
        <f>IF(CM$17&lt;250,0,$C12*CM$17*Assumptions!$C$7/12)*0.5</f>
        <v>0.82468749999999991</v>
      </c>
      <c r="CN25" s="56">
        <f>IF(CN$17&lt;250,0,$C12*CN$17*Assumptions!$C$7/12)*0.5</f>
        <v>0.82468749999999991</v>
      </c>
      <c r="CO25" s="56">
        <f>IF(CO$17&lt;250,0,$C12*CO$17*Assumptions!$C$7/12)*0.5</f>
        <v>0.82468749999999991</v>
      </c>
      <c r="CP25" s="56">
        <f>IF(CP$17&lt;250,0,$C12*CP$17*Assumptions!$C$7/12)*0.5</f>
        <v>0.82468749999999991</v>
      </c>
      <c r="CQ25" s="56">
        <f>IF(CQ$17&lt;250,0,$C12*CQ$17*Assumptions!$C$7/12)*0.5</f>
        <v>0.82468749999999991</v>
      </c>
      <c r="CR25" s="56">
        <f>IF(CR$17&lt;250,0,$C12*CR$17*Assumptions!$C$7/12)*0.5</f>
        <v>0.82468749999999991</v>
      </c>
      <c r="CS25" s="56">
        <f>IF(CS$17&lt;250,0,$C12*CS$17*Assumptions!$C$7/12)*0.5</f>
        <v>0.82468749999999991</v>
      </c>
      <c r="CT25" s="56">
        <f>IF(CT$17&lt;250,0,$C12*CT$17*Assumptions!$C$7/12)*0.5</f>
        <v>0.82468749999999991</v>
      </c>
      <c r="CU25" s="56">
        <f>IF(CU$17&lt;250,0,$C12*CU$17*Assumptions!$C$7/12)*0.5</f>
        <v>0.82468749999999991</v>
      </c>
      <c r="CV25" s="56">
        <f>IF(CV$17&lt;250,0,$C12*CV$17*Assumptions!$C$7/12)*0.5</f>
        <v>0.82468749999999991</v>
      </c>
      <c r="CW25" s="56">
        <f>IF(CW$17&lt;250,0,$C12*CW$17*Assumptions!$C$7/12)*0.5</f>
        <v>0.82468749999999991</v>
      </c>
      <c r="CX25" s="56">
        <f>IF(CX$17&lt;250,0,$C12*CX$17*Assumptions!$C$7/12)*0.5</f>
        <v>0.82468749999999991</v>
      </c>
      <c r="CY25" s="56">
        <f>IF(CY$17&lt;250,0,$C12*CY$17*Assumptions!$C$7/12)*0.5</f>
        <v>0.82468749999999991</v>
      </c>
      <c r="CZ25" s="56">
        <f>IF(CZ$17&lt;250,0,$C12*CZ$17*Assumptions!$C$7/12)*0.5</f>
        <v>0.82468749999999991</v>
      </c>
      <c r="DA25" s="56">
        <f>IF(DA$17&lt;250,0,$C12*DA$17*Assumptions!$C$7/12)*0.5</f>
        <v>0.82468749999999991</v>
      </c>
      <c r="DB25" s="56">
        <f>IF(DB$17&lt;250,0,$C12*DB$17*Assumptions!$C$7/12)*0.5</f>
        <v>0.82468749999999991</v>
      </c>
      <c r="DC25" s="56">
        <f>IF(DC$17&lt;250,0,$C12*DC$17*Assumptions!$C$7/12)*0.5</f>
        <v>0.82468749999999991</v>
      </c>
      <c r="DD25" s="56">
        <f>IF(DD$17&lt;250,0,$C12*DD$17*Assumptions!$C$7/12)*0.5</f>
        <v>0.82468749999999991</v>
      </c>
      <c r="DE25" s="56">
        <f>IF(DE$17&lt;250,0,$C12*DE$17*Assumptions!$C$7/12)*0.5</f>
        <v>0.82468749999999991</v>
      </c>
      <c r="DF25" s="56">
        <f>IF(DF$17&lt;250,0,$C12*DF$17*Assumptions!$C$7/12)*0.5</f>
        <v>0.82468749999999991</v>
      </c>
      <c r="DG25" s="56">
        <f>IF(DG$17&lt;250,0,$C12*DG$17*Assumptions!$C$7/12)*0.5</f>
        <v>0.82468749999999991</v>
      </c>
      <c r="DH25" s="56">
        <f>IF(DH$17&lt;250,0,$C12*DH$17*Assumptions!$C$7/12)*0.5</f>
        <v>0.82468749999999991</v>
      </c>
      <c r="DI25" s="56">
        <f>IF(DI$17&lt;250,0,$C12*DI$17*Assumptions!$C$7/12)*0.5</f>
        <v>0.82468749999999991</v>
      </c>
      <c r="DJ25" s="56">
        <f>IF(DJ$17&lt;250,0,$C12*DJ$17*Assumptions!$C$7/12)*0.5</f>
        <v>0.82468749999999991</v>
      </c>
      <c r="DK25" s="56">
        <f>IF(DK$17&lt;250,0,$C12*DK$17*Assumptions!$C$7/12)*0.5</f>
        <v>0.82468749999999991</v>
      </c>
      <c r="DL25" s="56">
        <f>IF(DL$17&lt;250,0,$C12*DL$17*Assumptions!$C$7/12)*0.5</f>
        <v>0.82468749999999991</v>
      </c>
      <c r="DM25" s="56">
        <f>IF(DM$17&lt;250,0,$C12*DM$17*Assumptions!$C$7/12)*0.5</f>
        <v>0.82468749999999991</v>
      </c>
      <c r="DN25" s="56">
        <f>IF(DN$17&lt;250,0,$C12*DN$17*Assumptions!$C$7/12)*0.5</f>
        <v>0.82468749999999991</v>
      </c>
      <c r="DO25" s="56">
        <f>IF(DO$17&lt;250,0,$C12*DO$17*Assumptions!$C$7/12)*0.5</f>
        <v>0.82468749999999991</v>
      </c>
      <c r="DP25" s="56">
        <f>IF(DP$17&lt;250,0,$C12*DP$17*Assumptions!$C$7/12)*0.5</f>
        <v>0.82468749999999991</v>
      </c>
      <c r="DQ25" s="56">
        <f>IF(DQ$17&lt;250,0,$C12*DQ$17*Assumptions!$C$7/12)*0.5</f>
        <v>0.82468749999999991</v>
      </c>
      <c r="DR25" s="56">
        <f>IF(DR$17&lt;250,0,$C12*DR$17*Assumptions!$C$7/12)*0.5</f>
        <v>0.82468749999999991</v>
      </c>
      <c r="DS25" s="56">
        <f>IF(DS$17&lt;250,0,$C12*DS$17*Assumptions!$C$7/12)*0.5</f>
        <v>0.82468749999999991</v>
      </c>
      <c r="DT25" s="56">
        <f>IF(DT$17&lt;250,0,$C12*DT$17*Assumptions!$C$7/12)*0.5</f>
        <v>0.82468749999999991</v>
      </c>
      <c r="DU25" s="56">
        <f>IF(DU$17&lt;250,0,$C12*DU$17*Assumptions!$C$7/12)*0.5</f>
        <v>0.82468749999999991</v>
      </c>
      <c r="DV25" s="56">
        <f>IF(DV$17&lt;250,0,$C12*DV$17*Assumptions!$C$7/12)*0.5</f>
        <v>0.82468749999999991</v>
      </c>
      <c r="DW25" s="56">
        <f>IF(DW$17&lt;250,0,$C12*DW$17*Assumptions!$C$7/12)*0.5</f>
        <v>0.82468749999999991</v>
      </c>
    </row>
    <row r="26" spans="2:127" x14ac:dyDescent="0.3">
      <c r="B26" s="53" t="str">
        <f t="shared" si="0"/>
        <v>Magnesium</v>
      </c>
      <c r="C26" s="56">
        <f>IF(C$17&lt;250,0,$C13*C$17*Assumptions!$C$7/12)*0.5</f>
        <v>0</v>
      </c>
      <c r="D26" s="56">
        <f>IF(D$17&lt;250,0,$C13*D$17*Assumptions!$C$7/12)*0.5</f>
        <v>0</v>
      </c>
      <c r="E26" s="56">
        <f>IF(E$17&lt;250,0,$C13*E$17*Assumptions!$C$7/12)*0.5</f>
        <v>0</v>
      </c>
      <c r="F26" s="56">
        <f>IF(F$17&lt;250,0,$C13*F$17*Assumptions!$C$7/12)*0.5</f>
        <v>0</v>
      </c>
      <c r="G26" s="56">
        <f>IF(G$17&lt;250,0,$C13*G$17*Assumptions!$C$7/12)*0.5</f>
        <v>11.84895833333333</v>
      </c>
      <c r="H26" s="56">
        <f>IF(H$17&lt;250,0,$C13*H$17*Assumptions!$C$7/12)*0.5</f>
        <v>11.84895833333333</v>
      </c>
      <c r="I26" s="56">
        <f>IF(I$17&lt;250,0,$C13*I$17*Assumptions!$C$7/12)*0.5</f>
        <v>11.84895833333333</v>
      </c>
      <c r="J26" s="56">
        <f>IF(J$17&lt;250,0,$C13*J$17*Assumptions!$C$7/12)*0.5</f>
        <v>11.84895833333333</v>
      </c>
      <c r="K26" s="56">
        <f>IF(K$17&lt;250,0,$C13*K$17*Assumptions!$C$7/12)*0.5</f>
        <v>11.84895833333333</v>
      </c>
      <c r="L26" s="56">
        <f>IF(L$17&lt;250,0,$C13*L$17*Assumptions!$C$7/12)*0.5</f>
        <v>23.697916666666661</v>
      </c>
      <c r="M26" s="56">
        <f>IF(M$17&lt;250,0,$C13*M$17*Assumptions!$C$7/12)*0.5</f>
        <v>23.697916666666661</v>
      </c>
      <c r="N26" s="56">
        <f>IF(N$17&lt;250,0,$C13*N$17*Assumptions!$C$7/12)*0.5</f>
        <v>23.697916666666661</v>
      </c>
      <c r="O26" s="56">
        <f>IF(O$17&lt;250,0,$C13*O$17*Assumptions!$C$7/12)*0.5</f>
        <v>23.697916666666661</v>
      </c>
      <c r="P26" s="56">
        <f>IF(P$17&lt;250,0,$C13*P$17*Assumptions!$C$7/12)*0.5</f>
        <v>23.697916666666661</v>
      </c>
      <c r="Q26" s="56">
        <f>IF(Q$17&lt;250,0,$C13*Q$17*Assumptions!$C$7/12)*0.5</f>
        <v>23.697916666666661</v>
      </c>
      <c r="R26" s="56">
        <f>IF(R$17&lt;250,0,$C13*R$17*Assumptions!$C$7/12)*0.5</f>
        <v>23.697916666666661</v>
      </c>
      <c r="S26" s="56">
        <f>IF(S$17&lt;250,0,$C13*S$17*Assumptions!$C$7/12)*0.5</f>
        <v>23.697916666666661</v>
      </c>
      <c r="T26" s="56">
        <f>IF(T$17&lt;250,0,$C13*T$17*Assumptions!$C$7/12)*0.5</f>
        <v>23.697916666666661</v>
      </c>
      <c r="U26" s="56">
        <f>IF(U$17&lt;250,0,$C13*U$17*Assumptions!$C$7/12)*0.5</f>
        <v>23.697916666666661</v>
      </c>
      <c r="V26" s="56">
        <f>IF(V$17&lt;250,0,$C13*V$17*Assumptions!$C$7/12)*0.5</f>
        <v>23.697916666666661</v>
      </c>
      <c r="W26" s="56">
        <f>IF(W$17&lt;250,0,$C13*W$17*Assumptions!$C$7/12)*0.5</f>
        <v>23.697916666666661</v>
      </c>
      <c r="X26" s="56">
        <f>IF(X$17&lt;250,0,$C13*X$17*Assumptions!$C$7/12)*0.5</f>
        <v>23.697916666666661</v>
      </c>
      <c r="Y26" s="56">
        <f>IF(Y$17&lt;250,0,$C13*Y$17*Assumptions!$C$7/12)*0.5</f>
        <v>23.697916666666661</v>
      </c>
      <c r="Z26" s="56">
        <f>IF(Z$17&lt;250,0,$C13*Z$17*Assumptions!$C$7/12)*0.5</f>
        <v>23.697916666666661</v>
      </c>
      <c r="AA26" s="56">
        <f>IF(AA$17&lt;250,0,$C13*AA$17*Assumptions!$C$7/12)*0.5</f>
        <v>23.697916666666661</v>
      </c>
      <c r="AB26" s="56">
        <f>IF(AB$17&lt;250,0,$C13*AB$17*Assumptions!$C$7/12)*0.5</f>
        <v>23.697916666666661</v>
      </c>
      <c r="AC26" s="56">
        <f>IF(AC$17&lt;250,0,$C13*AC$17*Assumptions!$C$7/12)*0.5</f>
        <v>23.697916666666661</v>
      </c>
      <c r="AD26" s="56">
        <f>IF(AD$17&lt;250,0,$C13*AD$17*Assumptions!$C$7/12)*0.5</f>
        <v>23.697916666666661</v>
      </c>
      <c r="AE26" s="56">
        <f>IF(AE$17&lt;250,0,$C13*AE$17*Assumptions!$C$7/12)*0.5</f>
        <v>23.697916666666661</v>
      </c>
      <c r="AF26" s="56">
        <f>IF(AF$17&lt;250,0,$C13*AF$17*Assumptions!$C$7/12)*0.5</f>
        <v>23.697916666666661</v>
      </c>
      <c r="AG26" s="56">
        <f>IF(AG$17&lt;250,0,$C13*AG$17*Assumptions!$C$7/12)*0.5</f>
        <v>23.697916666666661</v>
      </c>
      <c r="AH26" s="56">
        <f>IF(AH$17&lt;250,0,$C13*AH$17*Assumptions!$C$7/12)*0.5</f>
        <v>23.697916666666661</v>
      </c>
      <c r="AI26" s="56">
        <f>IF(AI$17&lt;250,0,$C13*AI$17*Assumptions!$C$7/12)*0.5</f>
        <v>23.697916666666661</v>
      </c>
      <c r="AJ26" s="56">
        <f>IF(AJ$17&lt;250,0,$C13*AJ$17*Assumptions!$C$7/12)*0.5</f>
        <v>23.697916666666661</v>
      </c>
      <c r="AK26" s="56">
        <f>IF(AK$17&lt;250,0,$C13*AK$17*Assumptions!$C$7/12)*0.5</f>
        <v>23.697916666666661</v>
      </c>
      <c r="AL26" s="56">
        <f>IF(AL$17&lt;250,0,$C13*AL$17*Assumptions!$C$7/12)*0.5</f>
        <v>23.697916666666661</v>
      </c>
      <c r="AM26" s="56">
        <f>IF(AM$17&lt;250,0,$C13*AM$17*Assumptions!$C$7/12)*0.5</f>
        <v>23.697916666666661</v>
      </c>
      <c r="AN26" s="56">
        <f>IF(AN$17&lt;250,0,$C13*AN$17*Assumptions!$C$7/12)*0.5</f>
        <v>23.697916666666661</v>
      </c>
      <c r="AO26" s="56">
        <f>IF(AO$17&lt;250,0,$C13*AO$17*Assumptions!$C$7/12)*0.5</f>
        <v>23.697916666666661</v>
      </c>
      <c r="AP26" s="56">
        <f>IF(AP$17&lt;250,0,$C13*AP$17*Assumptions!$C$7/12)*0.5</f>
        <v>23.697916666666661</v>
      </c>
      <c r="AQ26" s="56">
        <f>IF(AQ$17&lt;250,0,$C13*AQ$17*Assumptions!$C$7/12)*0.5</f>
        <v>23.697916666666661</v>
      </c>
      <c r="AR26" s="56">
        <f>IF(AR$17&lt;250,0,$C13*AR$17*Assumptions!$C$7/12)*0.5</f>
        <v>23.697916666666661</v>
      </c>
      <c r="AS26" s="56">
        <f>IF(AS$17&lt;250,0,$C13*AS$17*Assumptions!$C$7/12)*0.5</f>
        <v>23.697916666666661</v>
      </c>
      <c r="AT26" s="56">
        <f>IF(AT$17&lt;250,0,$C13*AT$17*Assumptions!$C$7/12)*0.5</f>
        <v>23.697916666666661</v>
      </c>
      <c r="AU26" s="56">
        <f>IF(AU$17&lt;250,0,$C13*AU$17*Assumptions!$C$7/12)*0.5</f>
        <v>23.697916666666661</v>
      </c>
      <c r="AV26" s="56">
        <f>IF(AV$17&lt;250,0,$C13*AV$17*Assumptions!$C$7/12)*0.5</f>
        <v>23.697916666666661</v>
      </c>
      <c r="AW26" s="56">
        <f>IF(AW$17&lt;250,0,$C13*AW$17*Assumptions!$C$7/12)*0.5</f>
        <v>23.697916666666661</v>
      </c>
      <c r="AX26" s="56">
        <f>IF(AX$17&lt;250,0,$C13*AX$17*Assumptions!$C$7/12)*0.5</f>
        <v>23.697916666666661</v>
      </c>
      <c r="AY26" s="56">
        <f>IF(AY$17&lt;250,0,$C13*AY$17*Assumptions!$C$7/12)*0.5</f>
        <v>23.697916666666661</v>
      </c>
      <c r="AZ26" s="56">
        <f>IF(AZ$17&lt;250,0,$C13*AZ$17*Assumptions!$C$7/12)*0.5</f>
        <v>23.697916666666661</v>
      </c>
      <c r="BA26" s="56">
        <f>IF(BA$17&lt;250,0,$C13*BA$17*Assumptions!$C$7/12)*0.5</f>
        <v>23.697916666666661</v>
      </c>
      <c r="BB26" s="56">
        <f>IF(BB$17&lt;250,0,$C13*BB$17*Assumptions!$C$7/12)*0.5</f>
        <v>23.697916666666661</v>
      </c>
      <c r="BC26" s="56">
        <f>IF(BC$17&lt;250,0,$C13*BC$17*Assumptions!$C$7/12)*0.5</f>
        <v>23.697916666666661</v>
      </c>
      <c r="BD26" s="56">
        <f>IF(BD$17&lt;250,0,$C13*BD$17*Assumptions!$C$7/12)*0.5</f>
        <v>23.697916666666661</v>
      </c>
      <c r="BE26" s="56">
        <f>IF(BE$17&lt;250,0,$C13*BE$17*Assumptions!$C$7/12)*0.5</f>
        <v>23.697916666666661</v>
      </c>
      <c r="BF26" s="56">
        <f>IF(BF$17&lt;250,0,$C13*BF$17*Assumptions!$C$7/12)*0.5</f>
        <v>23.697916666666661</v>
      </c>
      <c r="BG26" s="56">
        <f>IF(BG$17&lt;250,0,$C13*BG$17*Assumptions!$C$7/12)*0.5</f>
        <v>23.697916666666661</v>
      </c>
      <c r="BH26" s="56">
        <f>IF(BH$17&lt;250,0,$C13*BH$17*Assumptions!$C$7/12)*0.5</f>
        <v>23.697916666666661</v>
      </c>
      <c r="BI26" s="56">
        <f>IF(BI$17&lt;250,0,$C13*BI$17*Assumptions!$C$7/12)*0.5</f>
        <v>23.697916666666661</v>
      </c>
      <c r="BJ26" s="56">
        <f>IF(BJ$17&lt;250,0,$C13*BJ$17*Assumptions!$C$7/12)*0.5</f>
        <v>23.697916666666661</v>
      </c>
      <c r="BK26" s="56">
        <f>IF(BK$17&lt;250,0,$C13*BK$17*Assumptions!$C$7/12)*0.5</f>
        <v>23.697916666666661</v>
      </c>
      <c r="BL26" s="56">
        <f>IF(BL$17&lt;250,0,$C13*BL$17*Assumptions!$C$7/12)*0.5</f>
        <v>23.697916666666661</v>
      </c>
      <c r="BM26" s="56">
        <f>IF(BM$17&lt;250,0,$C13*BM$17*Assumptions!$C$7/12)*0.5</f>
        <v>23.697916666666661</v>
      </c>
      <c r="BN26" s="56">
        <f>IF(BN$17&lt;250,0,$C13*BN$17*Assumptions!$C$7/12)*0.5</f>
        <v>23.697916666666661</v>
      </c>
      <c r="BO26" s="56">
        <f>IF(BO$17&lt;250,0,$C13*BO$17*Assumptions!$C$7/12)*0.5</f>
        <v>23.697916666666661</v>
      </c>
      <c r="BP26" s="56">
        <f>IF(BP$17&lt;250,0,$C13*BP$17*Assumptions!$C$7/12)*0.5</f>
        <v>23.697916666666661</v>
      </c>
      <c r="BQ26" s="56">
        <f>IF(BQ$17&lt;250,0,$C13*BQ$17*Assumptions!$C$7/12)*0.5</f>
        <v>23.697916666666661</v>
      </c>
      <c r="BR26" s="56">
        <f>IF(BR$17&lt;250,0,$C13*BR$17*Assumptions!$C$7/12)*0.5</f>
        <v>23.697916666666661</v>
      </c>
      <c r="BS26" s="56">
        <f>IF(BS$17&lt;250,0,$C13*BS$17*Assumptions!$C$7/12)*0.5</f>
        <v>23.697916666666661</v>
      </c>
      <c r="BT26" s="56">
        <f>IF(BT$17&lt;250,0,$C13*BT$17*Assumptions!$C$7/12)*0.5</f>
        <v>23.697916666666661</v>
      </c>
      <c r="BU26" s="56">
        <f>IF(BU$17&lt;250,0,$C13*BU$17*Assumptions!$C$7/12)*0.5</f>
        <v>23.697916666666661</v>
      </c>
      <c r="BV26" s="56">
        <f>IF(BV$17&lt;250,0,$C13*BV$17*Assumptions!$C$7/12)*0.5</f>
        <v>23.697916666666661</v>
      </c>
      <c r="BW26" s="56">
        <f>IF(BW$17&lt;250,0,$C13*BW$17*Assumptions!$C$7/12)*0.5</f>
        <v>23.697916666666661</v>
      </c>
      <c r="BX26" s="56">
        <f>IF(BX$17&lt;250,0,$C13*BX$17*Assumptions!$C$7/12)*0.5</f>
        <v>23.697916666666661</v>
      </c>
      <c r="BY26" s="56">
        <f>IF(BY$17&lt;250,0,$C13*BY$17*Assumptions!$C$7/12)*0.5</f>
        <v>23.697916666666661</v>
      </c>
      <c r="BZ26" s="56">
        <f>IF(BZ$17&lt;250,0,$C13*BZ$17*Assumptions!$C$7/12)*0.5</f>
        <v>23.697916666666661</v>
      </c>
      <c r="CA26" s="56">
        <f>IF(CA$17&lt;250,0,$C13*CA$17*Assumptions!$C$7/12)*0.5</f>
        <v>23.697916666666661</v>
      </c>
      <c r="CB26" s="56">
        <f>IF(CB$17&lt;250,0,$C13*CB$17*Assumptions!$C$7/12)*0.5</f>
        <v>23.697916666666661</v>
      </c>
      <c r="CC26" s="56">
        <f>IF(CC$17&lt;250,0,$C13*CC$17*Assumptions!$C$7/12)*0.5</f>
        <v>23.697916666666661</v>
      </c>
      <c r="CD26" s="56">
        <f>IF(CD$17&lt;250,0,$C13*CD$17*Assumptions!$C$7/12)*0.5</f>
        <v>23.697916666666661</v>
      </c>
      <c r="CE26" s="56">
        <f>IF(CE$17&lt;250,0,$C13*CE$17*Assumptions!$C$7/12)*0.5</f>
        <v>23.697916666666661</v>
      </c>
      <c r="CF26" s="56">
        <f>IF(CF$17&lt;250,0,$C13*CF$17*Assumptions!$C$7/12)*0.5</f>
        <v>23.697916666666661</v>
      </c>
      <c r="CG26" s="56">
        <f>IF(CG$17&lt;250,0,$C13*CG$17*Assumptions!$C$7/12)*0.5</f>
        <v>23.697916666666661</v>
      </c>
      <c r="CH26" s="56">
        <f>IF(CH$17&lt;250,0,$C13*CH$17*Assumptions!$C$7/12)*0.5</f>
        <v>23.697916666666661</v>
      </c>
      <c r="CI26" s="56">
        <f>IF(CI$17&lt;250,0,$C13*CI$17*Assumptions!$C$7/12)*0.5</f>
        <v>23.697916666666661</v>
      </c>
      <c r="CJ26" s="56">
        <f>IF(CJ$17&lt;250,0,$C13*CJ$17*Assumptions!$C$7/12)*0.5</f>
        <v>23.697916666666661</v>
      </c>
      <c r="CK26" s="56">
        <f>IF(CK$17&lt;250,0,$C13*CK$17*Assumptions!$C$7/12)*0.5</f>
        <v>23.697916666666661</v>
      </c>
      <c r="CL26" s="56">
        <f>IF(CL$17&lt;250,0,$C13*CL$17*Assumptions!$C$7/12)*0.5</f>
        <v>23.697916666666661</v>
      </c>
      <c r="CM26" s="56">
        <f>IF(CM$17&lt;250,0,$C13*CM$17*Assumptions!$C$7/12)*0.5</f>
        <v>23.697916666666661</v>
      </c>
      <c r="CN26" s="56">
        <f>IF(CN$17&lt;250,0,$C13*CN$17*Assumptions!$C$7/12)*0.5</f>
        <v>23.697916666666661</v>
      </c>
      <c r="CO26" s="56">
        <f>IF(CO$17&lt;250,0,$C13*CO$17*Assumptions!$C$7/12)*0.5</f>
        <v>23.697916666666661</v>
      </c>
      <c r="CP26" s="56">
        <f>IF(CP$17&lt;250,0,$C13*CP$17*Assumptions!$C$7/12)*0.5</f>
        <v>23.697916666666661</v>
      </c>
      <c r="CQ26" s="56">
        <f>IF(CQ$17&lt;250,0,$C13*CQ$17*Assumptions!$C$7/12)*0.5</f>
        <v>23.697916666666661</v>
      </c>
      <c r="CR26" s="56">
        <f>IF(CR$17&lt;250,0,$C13*CR$17*Assumptions!$C$7/12)*0.5</f>
        <v>23.697916666666661</v>
      </c>
      <c r="CS26" s="56">
        <f>IF(CS$17&lt;250,0,$C13*CS$17*Assumptions!$C$7/12)*0.5</f>
        <v>23.697916666666661</v>
      </c>
      <c r="CT26" s="56">
        <f>IF(CT$17&lt;250,0,$C13*CT$17*Assumptions!$C$7/12)*0.5</f>
        <v>23.697916666666661</v>
      </c>
      <c r="CU26" s="56">
        <f>IF(CU$17&lt;250,0,$C13*CU$17*Assumptions!$C$7/12)*0.5</f>
        <v>23.697916666666661</v>
      </c>
      <c r="CV26" s="56">
        <f>IF(CV$17&lt;250,0,$C13*CV$17*Assumptions!$C$7/12)*0.5</f>
        <v>23.697916666666661</v>
      </c>
      <c r="CW26" s="56">
        <f>IF(CW$17&lt;250,0,$C13*CW$17*Assumptions!$C$7/12)*0.5</f>
        <v>23.697916666666661</v>
      </c>
      <c r="CX26" s="56">
        <f>IF(CX$17&lt;250,0,$C13*CX$17*Assumptions!$C$7/12)*0.5</f>
        <v>23.697916666666661</v>
      </c>
      <c r="CY26" s="56">
        <f>IF(CY$17&lt;250,0,$C13*CY$17*Assumptions!$C$7/12)*0.5</f>
        <v>23.697916666666661</v>
      </c>
      <c r="CZ26" s="56">
        <f>IF(CZ$17&lt;250,0,$C13*CZ$17*Assumptions!$C$7/12)*0.5</f>
        <v>23.697916666666661</v>
      </c>
      <c r="DA26" s="56">
        <f>IF(DA$17&lt;250,0,$C13*DA$17*Assumptions!$C$7/12)*0.5</f>
        <v>23.697916666666661</v>
      </c>
      <c r="DB26" s="56">
        <f>IF(DB$17&lt;250,0,$C13*DB$17*Assumptions!$C$7/12)*0.5</f>
        <v>23.697916666666661</v>
      </c>
      <c r="DC26" s="56">
        <f>IF(DC$17&lt;250,0,$C13*DC$17*Assumptions!$C$7/12)*0.5</f>
        <v>23.697916666666661</v>
      </c>
      <c r="DD26" s="56">
        <f>IF(DD$17&lt;250,0,$C13*DD$17*Assumptions!$C$7/12)*0.5</f>
        <v>23.697916666666661</v>
      </c>
      <c r="DE26" s="56">
        <f>IF(DE$17&lt;250,0,$C13*DE$17*Assumptions!$C$7/12)*0.5</f>
        <v>23.697916666666661</v>
      </c>
      <c r="DF26" s="56">
        <f>IF(DF$17&lt;250,0,$C13*DF$17*Assumptions!$C$7/12)*0.5</f>
        <v>23.697916666666661</v>
      </c>
      <c r="DG26" s="56">
        <f>IF(DG$17&lt;250,0,$C13*DG$17*Assumptions!$C$7/12)*0.5</f>
        <v>23.697916666666661</v>
      </c>
      <c r="DH26" s="56">
        <f>IF(DH$17&lt;250,0,$C13*DH$17*Assumptions!$C$7/12)*0.5</f>
        <v>23.697916666666661</v>
      </c>
      <c r="DI26" s="56">
        <f>IF(DI$17&lt;250,0,$C13*DI$17*Assumptions!$C$7/12)*0.5</f>
        <v>23.697916666666661</v>
      </c>
      <c r="DJ26" s="56">
        <f>IF(DJ$17&lt;250,0,$C13*DJ$17*Assumptions!$C$7/12)*0.5</f>
        <v>23.697916666666661</v>
      </c>
      <c r="DK26" s="56">
        <f>IF(DK$17&lt;250,0,$C13*DK$17*Assumptions!$C$7/12)*0.5</f>
        <v>23.697916666666661</v>
      </c>
      <c r="DL26" s="56">
        <f>IF(DL$17&lt;250,0,$C13*DL$17*Assumptions!$C$7/12)*0.5</f>
        <v>23.697916666666661</v>
      </c>
      <c r="DM26" s="56">
        <f>IF(DM$17&lt;250,0,$C13*DM$17*Assumptions!$C$7/12)*0.5</f>
        <v>23.697916666666661</v>
      </c>
      <c r="DN26" s="56">
        <f>IF(DN$17&lt;250,0,$C13*DN$17*Assumptions!$C$7/12)*0.5</f>
        <v>23.697916666666661</v>
      </c>
      <c r="DO26" s="56">
        <f>IF(DO$17&lt;250,0,$C13*DO$17*Assumptions!$C$7/12)*0.5</f>
        <v>23.697916666666661</v>
      </c>
      <c r="DP26" s="56">
        <f>IF(DP$17&lt;250,0,$C13*DP$17*Assumptions!$C$7/12)*0.5</f>
        <v>23.697916666666661</v>
      </c>
      <c r="DQ26" s="56">
        <f>IF(DQ$17&lt;250,0,$C13*DQ$17*Assumptions!$C$7/12)*0.5</f>
        <v>23.697916666666661</v>
      </c>
      <c r="DR26" s="56">
        <f>IF(DR$17&lt;250,0,$C13*DR$17*Assumptions!$C$7/12)*0.5</f>
        <v>23.697916666666661</v>
      </c>
      <c r="DS26" s="56">
        <f>IF(DS$17&lt;250,0,$C13*DS$17*Assumptions!$C$7/12)*0.5</f>
        <v>23.697916666666661</v>
      </c>
      <c r="DT26" s="56">
        <f>IF(DT$17&lt;250,0,$C13*DT$17*Assumptions!$C$7/12)*0.5</f>
        <v>23.697916666666661</v>
      </c>
      <c r="DU26" s="56">
        <f>IF(DU$17&lt;250,0,$C13*DU$17*Assumptions!$C$7/12)*0.5</f>
        <v>23.697916666666661</v>
      </c>
      <c r="DV26" s="56">
        <f>IF(DV$17&lt;250,0,$C13*DV$17*Assumptions!$C$7/12)*0.5</f>
        <v>23.697916666666661</v>
      </c>
      <c r="DW26" s="56">
        <f>IF(DW$17&lt;250,0,$C13*DW$17*Assumptions!$C$7/12)*0.5</f>
        <v>23.697916666666661</v>
      </c>
    </row>
    <row r="27" spans="2:127" x14ac:dyDescent="0.3">
      <c r="B27" s="53" t="str">
        <f t="shared" si="0"/>
        <v>Rubidium</v>
      </c>
      <c r="C27" s="56">
        <f>IF(C$17&lt;250,0,$C14*C$17*Assumptions!$C$7/12)*0.5</f>
        <v>0</v>
      </c>
      <c r="D27" s="56">
        <f>IF(D$17&lt;250,0,$C14*D$17*Assumptions!$C$7/12)*0.5</f>
        <v>0</v>
      </c>
      <c r="E27" s="56">
        <f>IF(E$17&lt;250,0,$C14*E$17*Assumptions!$C$7/12)*0.5</f>
        <v>0</v>
      </c>
      <c r="F27" s="56">
        <f>IF(F$17&lt;250,0,$C14*F$17*Assumptions!$C$7/12)*0.5</f>
        <v>0</v>
      </c>
      <c r="G27" s="56">
        <f>IF(G$17&lt;250,0,$C14*G$17*Assumptions!$C$7/12)*0.5</f>
        <v>0.106640625</v>
      </c>
      <c r="H27" s="56">
        <f>IF(H$17&lt;250,0,$C14*H$17*Assumptions!$C$7/12)*0.5</f>
        <v>0.106640625</v>
      </c>
      <c r="I27" s="56">
        <f>IF(I$17&lt;250,0,$C14*I$17*Assumptions!$C$7/12)*0.5</f>
        <v>0.106640625</v>
      </c>
      <c r="J27" s="56">
        <f>IF(J$17&lt;250,0,$C14*J$17*Assumptions!$C$7/12)*0.5</f>
        <v>0.106640625</v>
      </c>
      <c r="K27" s="56">
        <f>IF(K$17&lt;250,0,$C14*K$17*Assumptions!$C$7/12)*0.5</f>
        <v>0.106640625</v>
      </c>
      <c r="L27" s="56">
        <f>IF(L$17&lt;250,0,$C14*L$17*Assumptions!$C$7/12)*0.5</f>
        <v>0.21328125000000001</v>
      </c>
      <c r="M27" s="56">
        <f>IF(M$17&lt;250,0,$C14*M$17*Assumptions!$C$7/12)*0.5</f>
        <v>0.21328125000000001</v>
      </c>
      <c r="N27" s="56">
        <f>IF(N$17&lt;250,0,$C14*N$17*Assumptions!$C$7/12)*0.5</f>
        <v>0.21328125000000001</v>
      </c>
      <c r="O27" s="56">
        <f>IF(O$17&lt;250,0,$C14*O$17*Assumptions!$C$7/12)*0.5</f>
        <v>0.21328125000000001</v>
      </c>
      <c r="P27" s="56">
        <f>IF(P$17&lt;250,0,$C14*P$17*Assumptions!$C$7/12)*0.5</f>
        <v>0.21328125000000001</v>
      </c>
      <c r="Q27" s="56">
        <f>IF(Q$17&lt;250,0,$C14*Q$17*Assumptions!$C$7/12)*0.5</f>
        <v>0.21328125000000001</v>
      </c>
      <c r="R27" s="56">
        <f>IF(R$17&lt;250,0,$C14*R$17*Assumptions!$C$7/12)*0.5</f>
        <v>0.21328125000000001</v>
      </c>
      <c r="S27" s="56">
        <f>IF(S$17&lt;250,0,$C14*S$17*Assumptions!$C$7/12)*0.5</f>
        <v>0.21328125000000001</v>
      </c>
      <c r="T27" s="56">
        <f>IF(T$17&lt;250,0,$C14*T$17*Assumptions!$C$7/12)*0.5</f>
        <v>0.21328125000000001</v>
      </c>
      <c r="U27" s="56">
        <f>IF(U$17&lt;250,0,$C14*U$17*Assumptions!$C$7/12)*0.5</f>
        <v>0.21328125000000001</v>
      </c>
      <c r="V27" s="56">
        <f>IF(V$17&lt;250,0,$C14*V$17*Assumptions!$C$7/12)*0.5</f>
        <v>0.21328125000000001</v>
      </c>
      <c r="W27" s="56">
        <f>IF(W$17&lt;250,0,$C14*W$17*Assumptions!$C$7/12)*0.5</f>
        <v>0.21328125000000001</v>
      </c>
      <c r="X27" s="56">
        <f>IF(X$17&lt;250,0,$C14*X$17*Assumptions!$C$7/12)*0.5</f>
        <v>0.21328125000000001</v>
      </c>
      <c r="Y27" s="56">
        <f>IF(Y$17&lt;250,0,$C14*Y$17*Assumptions!$C$7/12)*0.5</f>
        <v>0.21328125000000001</v>
      </c>
      <c r="Z27" s="56">
        <f>IF(Z$17&lt;250,0,$C14*Z$17*Assumptions!$C$7/12)*0.5</f>
        <v>0.21328125000000001</v>
      </c>
      <c r="AA27" s="56">
        <f>IF(AA$17&lt;250,0,$C14*AA$17*Assumptions!$C$7/12)*0.5</f>
        <v>0.21328125000000001</v>
      </c>
      <c r="AB27" s="56">
        <f>IF(AB$17&lt;250,0,$C14*AB$17*Assumptions!$C$7/12)*0.5</f>
        <v>0.21328125000000001</v>
      </c>
      <c r="AC27" s="56">
        <f>IF(AC$17&lt;250,0,$C14*AC$17*Assumptions!$C$7/12)*0.5</f>
        <v>0.21328125000000001</v>
      </c>
      <c r="AD27" s="56">
        <f>IF(AD$17&lt;250,0,$C14*AD$17*Assumptions!$C$7/12)*0.5</f>
        <v>0.21328125000000001</v>
      </c>
      <c r="AE27" s="56">
        <f>IF(AE$17&lt;250,0,$C14*AE$17*Assumptions!$C$7/12)*0.5</f>
        <v>0.21328125000000001</v>
      </c>
      <c r="AF27" s="56">
        <f>IF(AF$17&lt;250,0,$C14*AF$17*Assumptions!$C$7/12)*0.5</f>
        <v>0.21328125000000001</v>
      </c>
      <c r="AG27" s="56">
        <f>IF(AG$17&lt;250,0,$C14*AG$17*Assumptions!$C$7/12)*0.5</f>
        <v>0.21328125000000001</v>
      </c>
      <c r="AH27" s="56">
        <f>IF(AH$17&lt;250,0,$C14*AH$17*Assumptions!$C$7/12)*0.5</f>
        <v>0.21328125000000001</v>
      </c>
      <c r="AI27" s="56">
        <f>IF(AI$17&lt;250,0,$C14*AI$17*Assumptions!$C$7/12)*0.5</f>
        <v>0.21328125000000001</v>
      </c>
      <c r="AJ27" s="56">
        <f>IF(AJ$17&lt;250,0,$C14*AJ$17*Assumptions!$C$7/12)*0.5</f>
        <v>0.21328125000000001</v>
      </c>
      <c r="AK27" s="56">
        <f>IF(AK$17&lt;250,0,$C14*AK$17*Assumptions!$C$7/12)*0.5</f>
        <v>0.21328125000000001</v>
      </c>
      <c r="AL27" s="56">
        <f>IF(AL$17&lt;250,0,$C14*AL$17*Assumptions!$C$7/12)*0.5</f>
        <v>0.21328125000000001</v>
      </c>
      <c r="AM27" s="56">
        <f>IF(AM$17&lt;250,0,$C14*AM$17*Assumptions!$C$7/12)*0.5</f>
        <v>0.21328125000000001</v>
      </c>
      <c r="AN27" s="56">
        <f>IF(AN$17&lt;250,0,$C14*AN$17*Assumptions!$C$7/12)*0.5</f>
        <v>0.21328125000000001</v>
      </c>
      <c r="AO27" s="56">
        <f>IF(AO$17&lt;250,0,$C14*AO$17*Assumptions!$C$7/12)*0.5</f>
        <v>0.21328125000000001</v>
      </c>
      <c r="AP27" s="56">
        <f>IF(AP$17&lt;250,0,$C14*AP$17*Assumptions!$C$7/12)*0.5</f>
        <v>0.21328125000000001</v>
      </c>
      <c r="AQ27" s="56">
        <f>IF(AQ$17&lt;250,0,$C14*AQ$17*Assumptions!$C$7/12)*0.5</f>
        <v>0.21328125000000001</v>
      </c>
      <c r="AR27" s="56">
        <f>IF(AR$17&lt;250,0,$C14*AR$17*Assumptions!$C$7/12)*0.5</f>
        <v>0.21328125000000001</v>
      </c>
      <c r="AS27" s="56">
        <f>IF(AS$17&lt;250,0,$C14*AS$17*Assumptions!$C$7/12)*0.5</f>
        <v>0.21328125000000001</v>
      </c>
      <c r="AT27" s="56">
        <f>IF(AT$17&lt;250,0,$C14*AT$17*Assumptions!$C$7/12)*0.5</f>
        <v>0.21328125000000001</v>
      </c>
      <c r="AU27" s="56">
        <f>IF(AU$17&lt;250,0,$C14*AU$17*Assumptions!$C$7/12)*0.5</f>
        <v>0.21328125000000001</v>
      </c>
      <c r="AV27" s="56">
        <f>IF(AV$17&lt;250,0,$C14*AV$17*Assumptions!$C$7/12)*0.5</f>
        <v>0.21328125000000001</v>
      </c>
      <c r="AW27" s="56">
        <f>IF(AW$17&lt;250,0,$C14*AW$17*Assumptions!$C$7/12)*0.5</f>
        <v>0.21328125000000001</v>
      </c>
      <c r="AX27" s="56">
        <f>IF(AX$17&lt;250,0,$C14*AX$17*Assumptions!$C$7/12)*0.5</f>
        <v>0.21328125000000001</v>
      </c>
      <c r="AY27" s="56">
        <f>IF(AY$17&lt;250,0,$C14*AY$17*Assumptions!$C$7/12)*0.5</f>
        <v>0.21328125000000001</v>
      </c>
      <c r="AZ27" s="56">
        <f>IF(AZ$17&lt;250,0,$C14*AZ$17*Assumptions!$C$7/12)*0.5</f>
        <v>0.21328125000000001</v>
      </c>
      <c r="BA27" s="56">
        <f>IF(BA$17&lt;250,0,$C14*BA$17*Assumptions!$C$7/12)*0.5</f>
        <v>0.21328125000000001</v>
      </c>
      <c r="BB27" s="56">
        <f>IF(BB$17&lt;250,0,$C14*BB$17*Assumptions!$C$7/12)*0.5</f>
        <v>0.21328125000000001</v>
      </c>
      <c r="BC27" s="56">
        <f>IF(BC$17&lt;250,0,$C14*BC$17*Assumptions!$C$7/12)*0.5</f>
        <v>0.21328125000000001</v>
      </c>
      <c r="BD27" s="56">
        <f>IF(BD$17&lt;250,0,$C14*BD$17*Assumptions!$C$7/12)*0.5</f>
        <v>0.21328125000000001</v>
      </c>
      <c r="BE27" s="56">
        <f>IF(BE$17&lt;250,0,$C14*BE$17*Assumptions!$C$7/12)*0.5</f>
        <v>0.21328125000000001</v>
      </c>
      <c r="BF27" s="56">
        <f>IF(BF$17&lt;250,0,$C14*BF$17*Assumptions!$C$7/12)*0.5</f>
        <v>0.21328125000000001</v>
      </c>
      <c r="BG27" s="56">
        <f>IF(BG$17&lt;250,0,$C14*BG$17*Assumptions!$C$7/12)*0.5</f>
        <v>0.21328125000000001</v>
      </c>
      <c r="BH27" s="56">
        <f>IF(BH$17&lt;250,0,$C14*BH$17*Assumptions!$C$7/12)*0.5</f>
        <v>0.21328125000000001</v>
      </c>
      <c r="BI27" s="56">
        <f>IF(BI$17&lt;250,0,$C14*BI$17*Assumptions!$C$7/12)*0.5</f>
        <v>0.21328125000000001</v>
      </c>
      <c r="BJ27" s="56">
        <f>IF(BJ$17&lt;250,0,$C14*BJ$17*Assumptions!$C$7/12)*0.5</f>
        <v>0.21328125000000001</v>
      </c>
      <c r="BK27" s="56">
        <f>IF(BK$17&lt;250,0,$C14*BK$17*Assumptions!$C$7/12)*0.5</f>
        <v>0.21328125000000001</v>
      </c>
      <c r="BL27" s="56">
        <f>IF(BL$17&lt;250,0,$C14*BL$17*Assumptions!$C$7/12)*0.5</f>
        <v>0.21328125000000001</v>
      </c>
      <c r="BM27" s="56">
        <f>IF(BM$17&lt;250,0,$C14*BM$17*Assumptions!$C$7/12)*0.5</f>
        <v>0.21328125000000001</v>
      </c>
      <c r="BN27" s="56">
        <f>IF(BN$17&lt;250,0,$C14*BN$17*Assumptions!$C$7/12)*0.5</f>
        <v>0.21328125000000001</v>
      </c>
      <c r="BO27" s="56">
        <f>IF(BO$17&lt;250,0,$C14*BO$17*Assumptions!$C$7/12)*0.5</f>
        <v>0.21328125000000001</v>
      </c>
      <c r="BP27" s="56">
        <f>IF(BP$17&lt;250,0,$C14*BP$17*Assumptions!$C$7/12)*0.5</f>
        <v>0.21328125000000001</v>
      </c>
      <c r="BQ27" s="56">
        <f>IF(BQ$17&lt;250,0,$C14*BQ$17*Assumptions!$C$7/12)*0.5</f>
        <v>0.21328125000000001</v>
      </c>
      <c r="BR27" s="56">
        <f>IF(BR$17&lt;250,0,$C14*BR$17*Assumptions!$C$7/12)*0.5</f>
        <v>0.21328125000000001</v>
      </c>
      <c r="BS27" s="56">
        <f>IF(BS$17&lt;250,0,$C14*BS$17*Assumptions!$C$7/12)*0.5</f>
        <v>0.21328125000000001</v>
      </c>
      <c r="BT27" s="56">
        <f>IF(BT$17&lt;250,0,$C14*BT$17*Assumptions!$C$7/12)*0.5</f>
        <v>0.21328125000000001</v>
      </c>
      <c r="BU27" s="56">
        <f>IF(BU$17&lt;250,0,$C14*BU$17*Assumptions!$C$7/12)*0.5</f>
        <v>0.21328125000000001</v>
      </c>
      <c r="BV27" s="56">
        <f>IF(BV$17&lt;250,0,$C14*BV$17*Assumptions!$C$7/12)*0.5</f>
        <v>0.21328125000000001</v>
      </c>
      <c r="BW27" s="56">
        <f>IF(BW$17&lt;250,0,$C14*BW$17*Assumptions!$C$7/12)*0.5</f>
        <v>0.21328125000000001</v>
      </c>
      <c r="BX27" s="56">
        <f>IF(BX$17&lt;250,0,$C14*BX$17*Assumptions!$C$7/12)*0.5</f>
        <v>0.21328125000000001</v>
      </c>
      <c r="BY27" s="56">
        <f>IF(BY$17&lt;250,0,$C14*BY$17*Assumptions!$C$7/12)*0.5</f>
        <v>0.21328125000000001</v>
      </c>
      <c r="BZ27" s="56">
        <f>IF(BZ$17&lt;250,0,$C14*BZ$17*Assumptions!$C$7/12)*0.5</f>
        <v>0.21328125000000001</v>
      </c>
      <c r="CA27" s="56">
        <f>IF(CA$17&lt;250,0,$C14*CA$17*Assumptions!$C$7/12)*0.5</f>
        <v>0.21328125000000001</v>
      </c>
      <c r="CB27" s="56">
        <f>IF(CB$17&lt;250,0,$C14*CB$17*Assumptions!$C$7/12)*0.5</f>
        <v>0.21328125000000001</v>
      </c>
      <c r="CC27" s="56">
        <f>IF(CC$17&lt;250,0,$C14*CC$17*Assumptions!$C$7/12)*0.5</f>
        <v>0.21328125000000001</v>
      </c>
      <c r="CD27" s="56">
        <f>IF(CD$17&lt;250,0,$C14*CD$17*Assumptions!$C$7/12)*0.5</f>
        <v>0.21328125000000001</v>
      </c>
      <c r="CE27" s="56">
        <f>IF(CE$17&lt;250,0,$C14*CE$17*Assumptions!$C$7/12)*0.5</f>
        <v>0.21328125000000001</v>
      </c>
      <c r="CF27" s="56">
        <f>IF(CF$17&lt;250,0,$C14*CF$17*Assumptions!$C$7/12)*0.5</f>
        <v>0.21328125000000001</v>
      </c>
      <c r="CG27" s="56">
        <f>IF(CG$17&lt;250,0,$C14*CG$17*Assumptions!$C$7/12)*0.5</f>
        <v>0.21328125000000001</v>
      </c>
      <c r="CH27" s="56">
        <f>IF(CH$17&lt;250,0,$C14*CH$17*Assumptions!$C$7/12)*0.5</f>
        <v>0.21328125000000001</v>
      </c>
      <c r="CI27" s="56">
        <f>IF(CI$17&lt;250,0,$C14*CI$17*Assumptions!$C$7/12)*0.5</f>
        <v>0.21328125000000001</v>
      </c>
      <c r="CJ27" s="56">
        <f>IF(CJ$17&lt;250,0,$C14*CJ$17*Assumptions!$C$7/12)*0.5</f>
        <v>0.21328125000000001</v>
      </c>
      <c r="CK27" s="56">
        <f>IF(CK$17&lt;250,0,$C14*CK$17*Assumptions!$C$7/12)*0.5</f>
        <v>0.21328125000000001</v>
      </c>
      <c r="CL27" s="56">
        <f>IF(CL$17&lt;250,0,$C14*CL$17*Assumptions!$C$7/12)*0.5</f>
        <v>0.21328125000000001</v>
      </c>
      <c r="CM27" s="56">
        <f>IF(CM$17&lt;250,0,$C14*CM$17*Assumptions!$C$7/12)*0.5</f>
        <v>0.21328125000000001</v>
      </c>
      <c r="CN27" s="56">
        <f>IF(CN$17&lt;250,0,$C14*CN$17*Assumptions!$C$7/12)*0.5</f>
        <v>0.21328125000000001</v>
      </c>
      <c r="CO27" s="56">
        <f>IF(CO$17&lt;250,0,$C14*CO$17*Assumptions!$C$7/12)*0.5</f>
        <v>0.21328125000000001</v>
      </c>
      <c r="CP27" s="56">
        <f>IF(CP$17&lt;250,0,$C14*CP$17*Assumptions!$C$7/12)*0.5</f>
        <v>0.21328125000000001</v>
      </c>
      <c r="CQ27" s="56">
        <f>IF(CQ$17&lt;250,0,$C14*CQ$17*Assumptions!$C$7/12)*0.5</f>
        <v>0.21328125000000001</v>
      </c>
      <c r="CR27" s="56">
        <f>IF(CR$17&lt;250,0,$C14*CR$17*Assumptions!$C$7/12)*0.5</f>
        <v>0.21328125000000001</v>
      </c>
      <c r="CS27" s="56">
        <f>IF(CS$17&lt;250,0,$C14*CS$17*Assumptions!$C$7/12)*0.5</f>
        <v>0.21328125000000001</v>
      </c>
      <c r="CT27" s="56">
        <f>IF(CT$17&lt;250,0,$C14*CT$17*Assumptions!$C$7/12)*0.5</f>
        <v>0.21328125000000001</v>
      </c>
      <c r="CU27" s="56">
        <f>IF(CU$17&lt;250,0,$C14*CU$17*Assumptions!$C$7/12)*0.5</f>
        <v>0.21328125000000001</v>
      </c>
      <c r="CV27" s="56">
        <f>IF(CV$17&lt;250,0,$C14*CV$17*Assumptions!$C$7/12)*0.5</f>
        <v>0.21328125000000001</v>
      </c>
      <c r="CW27" s="56">
        <f>IF(CW$17&lt;250,0,$C14*CW$17*Assumptions!$C$7/12)*0.5</f>
        <v>0.21328125000000001</v>
      </c>
      <c r="CX27" s="56">
        <f>IF(CX$17&lt;250,0,$C14*CX$17*Assumptions!$C$7/12)*0.5</f>
        <v>0.21328125000000001</v>
      </c>
      <c r="CY27" s="56">
        <f>IF(CY$17&lt;250,0,$C14*CY$17*Assumptions!$C$7/12)*0.5</f>
        <v>0.21328125000000001</v>
      </c>
      <c r="CZ27" s="56">
        <f>IF(CZ$17&lt;250,0,$C14*CZ$17*Assumptions!$C$7/12)*0.5</f>
        <v>0.21328125000000001</v>
      </c>
      <c r="DA27" s="56">
        <f>IF(DA$17&lt;250,0,$C14*DA$17*Assumptions!$C$7/12)*0.5</f>
        <v>0.21328125000000001</v>
      </c>
      <c r="DB27" s="56">
        <f>IF(DB$17&lt;250,0,$C14*DB$17*Assumptions!$C$7/12)*0.5</f>
        <v>0.21328125000000001</v>
      </c>
      <c r="DC27" s="56">
        <f>IF(DC$17&lt;250,0,$C14*DC$17*Assumptions!$C$7/12)*0.5</f>
        <v>0.21328125000000001</v>
      </c>
      <c r="DD27" s="56">
        <f>IF(DD$17&lt;250,0,$C14*DD$17*Assumptions!$C$7/12)*0.5</f>
        <v>0.21328125000000001</v>
      </c>
      <c r="DE27" s="56">
        <f>IF(DE$17&lt;250,0,$C14*DE$17*Assumptions!$C$7/12)*0.5</f>
        <v>0.21328125000000001</v>
      </c>
      <c r="DF27" s="56">
        <f>IF(DF$17&lt;250,0,$C14*DF$17*Assumptions!$C$7/12)*0.5</f>
        <v>0.21328125000000001</v>
      </c>
      <c r="DG27" s="56">
        <f>IF(DG$17&lt;250,0,$C14*DG$17*Assumptions!$C$7/12)*0.5</f>
        <v>0.21328125000000001</v>
      </c>
      <c r="DH27" s="56">
        <f>IF(DH$17&lt;250,0,$C14*DH$17*Assumptions!$C$7/12)*0.5</f>
        <v>0.21328125000000001</v>
      </c>
      <c r="DI27" s="56">
        <f>IF(DI$17&lt;250,0,$C14*DI$17*Assumptions!$C$7/12)*0.5</f>
        <v>0.21328125000000001</v>
      </c>
      <c r="DJ27" s="56">
        <f>IF(DJ$17&lt;250,0,$C14*DJ$17*Assumptions!$C$7/12)*0.5</f>
        <v>0.21328125000000001</v>
      </c>
      <c r="DK27" s="56">
        <f>IF(DK$17&lt;250,0,$C14*DK$17*Assumptions!$C$7/12)*0.5</f>
        <v>0.21328125000000001</v>
      </c>
      <c r="DL27" s="56">
        <f>IF(DL$17&lt;250,0,$C14*DL$17*Assumptions!$C$7/12)*0.5</f>
        <v>0.21328125000000001</v>
      </c>
      <c r="DM27" s="56">
        <f>IF(DM$17&lt;250,0,$C14*DM$17*Assumptions!$C$7/12)*0.5</f>
        <v>0.21328125000000001</v>
      </c>
      <c r="DN27" s="56">
        <f>IF(DN$17&lt;250,0,$C14*DN$17*Assumptions!$C$7/12)*0.5</f>
        <v>0.21328125000000001</v>
      </c>
      <c r="DO27" s="56">
        <f>IF(DO$17&lt;250,0,$C14*DO$17*Assumptions!$C$7/12)*0.5</f>
        <v>0.21328125000000001</v>
      </c>
      <c r="DP27" s="56">
        <f>IF(DP$17&lt;250,0,$C14*DP$17*Assumptions!$C$7/12)*0.5</f>
        <v>0.21328125000000001</v>
      </c>
      <c r="DQ27" s="56">
        <f>IF(DQ$17&lt;250,0,$C14*DQ$17*Assumptions!$C$7/12)*0.5</f>
        <v>0.21328125000000001</v>
      </c>
      <c r="DR27" s="56">
        <f>IF(DR$17&lt;250,0,$C14*DR$17*Assumptions!$C$7/12)*0.5</f>
        <v>0.21328125000000001</v>
      </c>
      <c r="DS27" s="56">
        <f>IF(DS$17&lt;250,0,$C14*DS$17*Assumptions!$C$7/12)*0.5</f>
        <v>0.21328125000000001</v>
      </c>
      <c r="DT27" s="56">
        <f>IF(DT$17&lt;250,0,$C14*DT$17*Assumptions!$C$7/12)*0.5</f>
        <v>0.21328125000000001</v>
      </c>
      <c r="DU27" s="56">
        <f>IF(DU$17&lt;250,0,$C14*DU$17*Assumptions!$C$7/12)*0.5</f>
        <v>0.21328125000000001</v>
      </c>
      <c r="DV27" s="56">
        <f>IF(DV$17&lt;250,0,$C14*DV$17*Assumptions!$C$7/12)*0.5</f>
        <v>0.21328125000000001</v>
      </c>
      <c r="DW27" s="56">
        <f>IF(DW$17&lt;250,0,$C14*DW$17*Assumptions!$C$7/12)*0.5</f>
        <v>0.21328125000000001</v>
      </c>
    </row>
    <row r="28" spans="2:127" x14ac:dyDescent="0.3"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</row>
    <row r="29" spans="2:127" x14ac:dyDescent="0.3">
      <c r="B29" s="65" t="s">
        <v>208</v>
      </c>
    </row>
    <row r="30" spans="2:127" x14ac:dyDescent="0.3">
      <c r="B30" s="53" t="str">
        <f>+B18</f>
        <v>Germanium</v>
      </c>
      <c r="C30" s="128">
        <f>INDEX('Commodity Prices'!$D$7:$D$22,MATCH($B30,'Commodity Prices'!$B$7:$B$22,0))*C18</f>
        <v>0</v>
      </c>
      <c r="D30" s="128">
        <f>INDEX('Commodity Prices'!$D$7:$D$22,MATCH($B30,'Commodity Prices'!$B$7:$B$22,0))*D18</f>
        <v>0</v>
      </c>
      <c r="E30" s="128">
        <f>INDEX('Commodity Prices'!$D$7:$D$22,MATCH($B30,'Commodity Prices'!$B$7:$B$22,0))*E18</f>
        <v>0</v>
      </c>
      <c r="F30" s="128">
        <f>INDEX('Commodity Prices'!$D$7:$D$22,MATCH($B30,'Commodity Prices'!$B$7:$B$22,0))*F18</f>
        <v>0</v>
      </c>
      <c r="G30" s="128">
        <f>INDEX('Commodity Prices'!$D$7:$D$22,MATCH($B30,'Commodity Prices'!$B$7:$B$22,0))*G18</f>
        <v>1162382.8125</v>
      </c>
      <c r="H30" s="128">
        <f>INDEX('Commodity Prices'!$D$7:$D$22,MATCH($B30,'Commodity Prices'!$B$7:$B$22,0))*H18</f>
        <v>1162382.8125</v>
      </c>
      <c r="I30" s="128">
        <f>INDEX('Commodity Prices'!$D$7:$D$22,MATCH($B30,'Commodity Prices'!$B$7:$B$22,0))*I18</f>
        <v>1162382.8125</v>
      </c>
      <c r="J30" s="128">
        <f>INDEX('Commodity Prices'!$D$7:$D$22,MATCH($B30,'Commodity Prices'!$B$7:$B$22,0))*J18</f>
        <v>1162382.8125</v>
      </c>
      <c r="K30" s="128">
        <f>INDEX('Commodity Prices'!$D$7:$D$22,MATCH($B30,'Commodity Prices'!$B$7:$B$22,0))*K18</f>
        <v>1162382.8125</v>
      </c>
      <c r="L30" s="128">
        <f>INDEX('Commodity Prices'!$D$7:$D$22,MATCH($B30,'Commodity Prices'!$B$7:$B$22,0))*L18</f>
        <v>2324765.625</v>
      </c>
      <c r="M30" s="128">
        <f>INDEX('Commodity Prices'!$D$7:$D$22,MATCH($B30,'Commodity Prices'!$B$7:$B$22,0))*M18</f>
        <v>2324765.625</v>
      </c>
      <c r="N30" s="128">
        <f>INDEX('Commodity Prices'!$D$7:$D$22,MATCH($B30,'Commodity Prices'!$B$7:$B$22,0))*N18</f>
        <v>2324765.625</v>
      </c>
      <c r="O30" s="128">
        <f>INDEX('Commodity Prices'!$D$7:$D$22,MATCH($B30,'Commodity Prices'!$B$7:$B$22,0))*O18</f>
        <v>2324765.625</v>
      </c>
      <c r="P30" s="128">
        <f>INDEX('Commodity Prices'!$D$7:$D$22,MATCH($B30,'Commodity Prices'!$B$7:$B$22,0))*P18</f>
        <v>2324765.625</v>
      </c>
      <c r="Q30" s="128">
        <f>INDEX('Commodity Prices'!$D$7:$D$22,MATCH($B30,'Commodity Prices'!$B$7:$B$22,0))*Q18</f>
        <v>2324765.625</v>
      </c>
      <c r="R30" s="128">
        <f>INDEX('Commodity Prices'!$D$7:$D$22,MATCH($B30,'Commodity Prices'!$B$7:$B$22,0))*R18</f>
        <v>2324765.625</v>
      </c>
      <c r="S30" s="128">
        <f>INDEX('Commodity Prices'!$D$7:$D$22,MATCH($B30,'Commodity Prices'!$B$7:$B$22,0))*S18</f>
        <v>2324765.625</v>
      </c>
      <c r="T30" s="128">
        <f>INDEX('Commodity Prices'!$D$7:$D$22,MATCH($B30,'Commodity Prices'!$B$7:$B$22,0))*T18</f>
        <v>2324765.625</v>
      </c>
      <c r="U30" s="128">
        <f>INDEX('Commodity Prices'!$D$7:$D$22,MATCH($B30,'Commodity Prices'!$B$7:$B$22,0))*U18</f>
        <v>2324765.625</v>
      </c>
      <c r="V30" s="128">
        <f>INDEX('Commodity Prices'!$D$7:$D$22,MATCH($B30,'Commodity Prices'!$B$7:$B$22,0))*V18</f>
        <v>2324765.625</v>
      </c>
      <c r="W30" s="128">
        <f>INDEX('Commodity Prices'!$D$7:$D$22,MATCH($B30,'Commodity Prices'!$B$7:$B$22,0))*W18</f>
        <v>2324765.625</v>
      </c>
      <c r="X30" s="128">
        <f>INDEX('Commodity Prices'!$D$7:$D$22,MATCH($B30,'Commodity Prices'!$B$7:$B$22,0))*X18</f>
        <v>2324765.625</v>
      </c>
      <c r="Y30" s="128">
        <f>INDEX('Commodity Prices'!$D$7:$D$22,MATCH($B30,'Commodity Prices'!$B$7:$B$22,0))*Y18</f>
        <v>2324765.625</v>
      </c>
      <c r="Z30" s="128">
        <f>INDEX('Commodity Prices'!$D$7:$D$22,MATCH($B30,'Commodity Prices'!$B$7:$B$22,0))*Z18</f>
        <v>2324765.625</v>
      </c>
      <c r="AA30" s="128">
        <f>INDEX('Commodity Prices'!$D$7:$D$22,MATCH($B30,'Commodity Prices'!$B$7:$B$22,0))*AA18</f>
        <v>2324765.625</v>
      </c>
      <c r="AB30" s="128">
        <f>INDEX('Commodity Prices'!$D$7:$D$22,MATCH($B30,'Commodity Prices'!$B$7:$B$22,0))*AB18</f>
        <v>2324765.625</v>
      </c>
      <c r="AC30" s="128">
        <f>INDEX('Commodity Prices'!$D$7:$D$22,MATCH($B30,'Commodity Prices'!$B$7:$B$22,0))*AC18</f>
        <v>2324765.625</v>
      </c>
      <c r="AD30" s="128">
        <f>INDEX('Commodity Prices'!$D$7:$D$22,MATCH($B30,'Commodity Prices'!$B$7:$B$22,0))*AD18</f>
        <v>2324765.625</v>
      </c>
      <c r="AE30" s="128">
        <f>INDEX('Commodity Prices'!$D$7:$D$22,MATCH($B30,'Commodity Prices'!$B$7:$B$22,0))*AE18</f>
        <v>2324765.625</v>
      </c>
      <c r="AF30" s="128">
        <f>INDEX('Commodity Prices'!$D$7:$D$22,MATCH($B30,'Commodity Prices'!$B$7:$B$22,0))*AF18</f>
        <v>2324765.625</v>
      </c>
      <c r="AG30" s="128">
        <f>INDEX('Commodity Prices'!$D$7:$D$22,MATCH($B30,'Commodity Prices'!$B$7:$B$22,0))*AG18</f>
        <v>2324765.625</v>
      </c>
      <c r="AH30" s="128">
        <f>INDEX('Commodity Prices'!$D$7:$D$22,MATCH($B30,'Commodity Prices'!$B$7:$B$22,0))*AH18</f>
        <v>2324765.625</v>
      </c>
      <c r="AI30" s="128">
        <f>INDEX('Commodity Prices'!$D$7:$D$22,MATCH($B30,'Commodity Prices'!$B$7:$B$22,0))*AI18</f>
        <v>2324765.625</v>
      </c>
      <c r="AJ30" s="128">
        <f>INDEX('Commodity Prices'!$D$7:$D$22,MATCH($B30,'Commodity Prices'!$B$7:$B$22,0))*AJ18</f>
        <v>2324765.625</v>
      </c>
      <c r="AK30" s="128">
        <f>INDEX('Commodity Prices'!$D$7:$D$22,MATCH($B30,'Commodity Prices'!$B$7:$B$22,0))*AK18</f>
        <v>2324765.625</v>
      </c>
      <c r="AL30" s="128">
        <f>INDEX('Commodity Prices'!$D$7:$D$22,MATCH($B30,'Commodity Prices'!$B$7:$B$22,0))*AL18</f>
        <v>2324765.625</v>
      </c>
      <c r="AM30" s="128">
        <f>INDEX('Commodity Prices'!$D$7:$D$22,MATCH($B30,'Commodity Prices'!$B$7:$B$22,0))*AM18</f>
        <v>2324765.625</v>
      </c>
      <c r="AN30" s="128">
        <f>INDEX('Commodity Prices'!$D$7:$D$22,MATCH($B30,'Commodity Prices'!$B$7:$B$22,0))*AN18</f>
        <v>2324765.625</v>
      </c>
      <c r="AO30" s="128">
        <f>INDEX('Commodity Prices'!$D$7:$D$22,MATCH($B30,'Commodity Prices'!$B$7:$B$22,0))*AO18</f>
        <v>2324765.625</v>
      </c>
      <c r="AP30" s="128">
        <f>INDEX('Commodity Prices'!$D$7:$D$22,MATCH($B30,'Commodity Prices'!$B$7:$B$22,0))*AP18</f>
        <v>2324765.625</v>
      </c>
      <c r="AQ30" s="128">
        <f>INDEX('Commodity Prices'!$D$7:$D$22,MATCH($B30,'Commodity Prices'!$B$7:$B$22,0))*AQ18</f>
        <v>2324765.625</v>
      </c>
      <c r="AR30" s="128">
        <f>INDEX('Commodity Prices'!$D$7:$D$22,MATCH($B30,'Commodity Prices'!$B$7:$B$22,0))*AR18</f>
        <v>2324765.625</v>
      </c>
      <c r="AS30" s="128">
        <f>INDEX('Commodity Prices'!$D$7:$D$22,MATCH($B30,'Commodity Prices'!$B$7:$B$22,0))*AS18</f>
        <v>2324765.625</v>
      </c>
      <c r="AT30" s="128">
        <f>INDEX('Commodity Prices'!$D$7:$D$22,MATCH($B30,'Commodity Prices'!$B$7:$B$22,0))*AT18</f>
        <v>2324765.625</v>
      </c>
      <c r="AU30" s="128">
        <f>INDEX('Commodity Prices'!$D$7:$D$22,MATCH($B30,'Commodity Prices'!$B$7:$B$22,0))*AU18</f>
        <v>2324765.625</v>
      </c>
      <c r="AV30" s="128">
        <f>INDEX('Commodity Prices'!$D$7:$D$22,MATCH($B30,'Commodity Prices'!$B$7:$B$22,0))*AV18</f>
        <v>2324765.625</v>
      </c>
      <c r="AW30" s="128">
        <f>INDEX('Commodity Prices'!$D$7:$D$22,MATCH($B30,'Commodity Prices'!$B$7:$B$22,0))*AW18</f>
        <v>2324765.625</v>
      </c>
      <c r="AX30" s="128">
        <f>INDEX('Commodity Prices'!$D$7:$D$22,MATCH($B30,'Commodity Prices'!$B$7:$B$22,0))*AX18</f>
        <v>2324765.625</v>
      </c>
      <c r="AY30" s="128">
        <f>INDEX('Commodity Prices'!$D$7:$D$22,MATCH($B30,'Commodity Prices'!$B$7:$B$22,0))*AY18</f>
        <v>2324765.625</v>
      </c>
      <c r="AZ30" s="128">
        <f>INDEX('Commodity Prices'!$D$7:$D$22,MATCH($B30,'Commodity Prices'!$B$7:$B$22,0))*AZ18</f>
        <v>2324765.625</v>
      </c>
      <c r="BA30" s="128">
        <f>INDEX('Commodity Prices'!$D$7:$D$22,MATCH($B30,'Commodity Prices'!$B$7:$B$22,0))*BA18</f>
        <v>2324765.625</v>
      </c>
      <c r="BB30" s="128">
        <f>INDEX('Commodity Prices'!$D$7:$D$22,MATCH($B30,'Commodity Prices'!$B$7:$B$22,0))*BB18</f>
        <v>2324765.625</v>
      </c>
      <c r="BC30" s="128">
        <f>INDEX('Commodity Prices'!$D$7:$D$22,MATCH($B30,'Commodity Prices'!$B$7:$B$22,0))*BC18</f>
        <v>2324765.625</v>
      </c>
      <c r="BD30" s="128">
        <f>INDEX('Commodity Prices'!$D$7:$D$22,MATCH($B30,'Commodity Prices'!$B$7:$B$22,0))*BD18</f>
        <v>2324765.625</v>
      </c>
      <c r="BE30" s="128">
        <f>INDEX('Commodity Prices'!$D$7:$D$22,MATCH($B30,'Commodity Prices'!$B$7:$B$22,0))*BE18</f>
        <v>2324765.625</v>
      </c>
      <c r="BF30" s="128">
        <f>INDEX('Commodity Prices'!$D$7:$D$22,MATCH($B30,'Commodity Prices'!$B$7:$B$22,0))*BF18</f>
        <v>2324765.625</v>
      </c>
      <c r="BG30" s="128">
        <f>INDEX('Commodity Prices'!$D$7:$D$22,MATCH($B30,'Commodity Prices'!$B$7:$B$22,0))*BG18</f>
        <v>2324765.625</v>
      </c>
      <c r="BH30" s="128">
        <f>INDEX('Commodity Prices'!$D$7:$D$22,MATCH($B30,'Commodity Prices'!$B$7:$B$22,0))*BH18</f>
        <v>2324765.625</v>
      </c>
      <c r="BI30" s="128">
        <f>INDEX('Commodity Prices'!$D$7:$D$22,MATCH($B30,'Commodity Prices'!$B$7:$B$22,0))*BI18</f>
        <v>2324765.625</v>
      </c>
      <c r="BJ30" s="128">
        <f>INDEX('Commodity Prices'!$D$7:$D$22,MATCH($B30,'Commodity Prices'!$B$7:$B$22,0))*BJ18</f>
        <v>2324765.625</v>
      </c>
      <c r="BK30" s="128">
        <f>INDEX('Commodity Prices'!$D$7:$D$22,MATCH($B30,'Commodity Prices'!$B$7:$B$22,0))*BK18</f>
        <v>2324765.625</v>
      </c>
      <c r="BL30" s="128">
        <f>INDEX('Commodity Prices'!$D$7:$D$22,MATCH($B30,'Commodity Prices'!$B$7:$B$22,0))*BL18</f>
        <v>2324765.625</v>
      </c>
      <c r="BM30" s="128">
        <f>INDEX('Commodity Prices'!$D$7:$D$22,MATCH($B30,'Commodity Prices'!$B$7:$B$22,0))*BM18</f>
        <v>2324765.625</v>
      </c>
      <c r="BN30" s="128">
        <f>INDEX('Commodity Prices'!$D$7:$D$22,MATCH($B30,'Commodity Prices'!$B$7:$B$22,0))*BN18</f>
        <v>2324765.625</v>
      </c>
      <c r="BO30" s="128">
        <f>INDEX('Commodity Prices'!$D$7:$D$22,MATCH($B30,'Commodity Prices'!$B$7:$B$22,0))*BO18</f>
        <v>2324765.625</v>
      </c>
      <c r="BP30" s="128">
        <f>INDEX('Commodity Prices'!$D$7:$D$22,MATCH($B30,'Commodity Prices'!$B$7:$B$22,0))*BP18</f>
        <v>2324765.625</v>
      </c>
      <c r="BQ30" s="128">
        <f>INDEX('Commodity Prices'!$D$7:$D$22,MATCH($B30,'Commodity Prices'!$B$7:$B$22,0))*BQ18</f>
        <v>2324765.625</v>
      </c>
      <c r="BR30" s="128">
        <f>INDEX('Commodity Prices'!$D$7:$D$22,MATCH($B30,'Commodity Prices'!$B$7:$B$22,0))*BR18</f>
        <v>2324765.625</v>
      </c>
      <c r="BS30" s="128">
        <f>INDEX('Commodity Prices'!$D$7:$D$22,MATCH($B30,'Commodity Prices'!$B$7:$B$22,0))*BS18</f>
        <v>2324765.625</v>
      </c>
      <c r="BT30" s="128">
        <f>INDEX('Commodity Prices'!$D$7:$D$22,MATCH($B30,'Commodity Prices'!$B$7:$B$22,0))*BT18</f>
        <v>2324765.625</v>
      </c>
      <c r="BU30" s="128">
        <f>INDEX('Commodity Prices'!$D$7:$D$22,MATCH($B30,'Commodity Prices'!$B$7:$B$22,0))*BU18</f>
        <v>2324765.625</v>
      </c>
      <c r="BV30" s="128">
        <f>INDEX('Commodity Prices'!$D$7:$D$22,MATCH($B30,'Commodity Prices'!$B$7:$B$22,0))*BV18</f>
        <v>2324765.625</v>
      </c>
      <c r="BW30" s="128">
        <f>INDEX('Commodity Prices'!$D$7:$D$22,MATCH($B30,'Commodity Prices'!$B$7:$B$22,0))*BW18</f>
        <v>2324765.625</v>
      </c>
      <c r="BX30" s="128">
        <f>INDEX('Commodity Prices'!$D$7:$D$22,MATCH($B30,'Commodity Prices'!$B$7:$B$22,0))*BX18</f>
        <v>2324765.625</v>
      </c>
      <c r="BY30" s="128">
        <f>INDEX('Commodity Prices'!$D$7:$D$22,MATCH($B30,'Commodity Prices'!$B$7:$B$22,0))*BY18</f>
        <v>2324765.625</v>
      </c>
      <c r="BZ30" s="128">
        <f>INDEX('Commodity Prices'!$D$7:$D$22,MATCH($B30,'Commodity Prices'!$B$7:$B$22,0))*BZ18</f>
        <v>2324765.625</v>
      </c>
      <c r="CA30" s="128">
        <f>INDEX('Commodity Prices'!$D$7:$D$22,MATCH($B30,'Commodity Prices'!$B$7:$B$22,0))*CA18</f>
        <v>2324765.625</v>
      </c>
      <c r="CB30" s="128">
        <f>INDEX('Commodity Prices'!$D$7:$D$22,MATCH($B30,'Commodity Prices'!$B$7:$B$22,0))*CB18</f>
        <v>2324765.625</v>
      </c>
      <c r="CC30" s="128">
        <f>INDEX('Commodity Prices'!$D$7:$D$22,MATCH($B30,'Commodity Prices'!$B$7:$B$22,0))*CC18</f>
        <v>2324765.625</v>
      </c>
      <c r="CD30" s="128">
        <f>INDEX('Commodity Prices'!$D$7:$D$22,MATCH($B30,'Commodity Prices'!$B$7:$B$22,0))*CD18</f>
        <v>2324765.625</v>
      </c>
      <c r="CE30" s="128">
        <f>INDEX('Commodity Prices'!$D$7:$D$22,MATCH($B30,'Commodity Prices'!$B$7:$B$22,0))*CE18</f>
        <v>2324765.625</v>
      </c>
      <c r="CF30" s="128">
        <f>INDEX('Commodity Prices'!$D$7:$D$22,MATCH($B30,'Commodity Prices'!$B$7:$B$22,0))*CF18</f>
        <v>2324765.625</v>
      </c>
      <c r="CG30" s="128">
        <f>INDEX('Commodity Prices'!$D$7:$D$22,MATCH($B30,'Commodity Prices'!$B$7:$B$22,0))*CG18</f>
        <v>2324765.625</v>
      </c>
      <c r="CH30" s="128">
        <f>INDEX('Commodity Prices'!$D$7:$D$22,MATCH($B30,'Commodity Prices'!$B$7:$B$22,0))*CH18</f>
        <v>2324765.625</v>
      </c>
      <c r="CI30" s="128">
        <f>INDEX('Commodity Prices'!$D$7:$D$22,MATCH($B30,'Commodity Prices'!$B$7:$B$22,0))*CI18</f>
        <v>2324765.625</v>
      </c>
      <c r="CJ30" s="128">
        <f>INDEX('Commodity Prices'!$D$7:$D$22,MATCH($B30,'Commodity Prices'!$B$7:$B$22,0))*CJ18</f>
        <v>2324765.625</v>
      </c>
      <c r="CK30" s="128">
        <f>INDEX('Commodity Prices'!$D$7:$D$22,MATCH($B30,'Commodity Prices'!$B$7:$B$22,0))*CK18</f>
        <v>2324765.625</v>
      </c>
      <c r="CL30" s="128">
        <f>INDEX('Commodity Prices'!$D$7:$D$22,MATCH($B30,'Commodity Prices'!$B$7:$B$22,0))*CL18</f>
        <v>2324765.625</v>
      </c>
      <c r="CM30" s="128">
        <f>INDEX('Commodity Prices'!$D$7:$D$22,MATCH($B30,'Commodity Prices'!$B$7:$B$22,0))*CM18</f>
        <v>2324765.625</v>
      </c>
      <c r="CN30" s="128">
        <f>INDEX('Commodity Prices'!$D$7:$D$22,MATCH($B30,'Commodity Prices'!$B$7:$B$22,0))*CN18</f>
        <v>2324765.625</v>
      </c>
      <c r="CO30" s="128">
        <f>INDEX('Commodity Prices'!$D$7:$D$22,MATCH($B30,'Commodity Prices'!$B$7:$B$22,0))*CO18</f>
        <v>2324765.625</v>
      </c>
      <c r="CP30" s="128">
        <f>INDEX('Commodity Prices'!$D$7:$D$22,MATCH($B30,'Commodity Prices'!$B$7:$B$22,0))*CP18</f>
        <v>2324765.625</v>
      </c>
      <c r="CQ30" s="128">
        <f>INDEX('Commodity Prices'!$D$7:$D$22,MATCH($B30,'Commodity Prices'!$B$7:$B$22,0))*CQ18</f>
        <v>2324765.625</v>
      </c>
      <c r="CR30" s="128">
        <f>INDEX('Commodity Prices'!$D$7:$D$22,MATCH($B30,'Commodity Prices'!$B$7:$B$22,0))*CR18</f>
        <v>2324765.625</v>
      </c>
      <c r="CS30" s="128">
        <f>INDEX('Commodity Prices'!$D$7:$D$22,MATCH($B30,'Commodity Prices'!$B$7:$B$22,0))*CS18</f>
        <v>2324765.625</v>
      </c>
      <c r="CT30" s="128">
        <f>INDEX('Commodity Prices'!$D$7:$D$22,MATCH($B30,'Commodity Prices'!$B$7:$B$22,0))*CT18</f>
        <v>2324765.625</v>
      </c>
      <c r="CU30" s="128">
        <f>INDEX('Commodity Prices'!$D$7:$D$22,MATCH($B30,'Commodity Prices'!$B$7:$B$22,0))*CU18</f>
        <v>2324765.625</v>
      </c>
      <c r="CV30" s="128">
        <f>INDEX('Commodity Prices'!$D$7:$D$22,MATCH($B30,'Commodity Prices'!$B$7:$B$22,0))*CV18</f>
        <v>2324765.625</v>
      </c>
      <c r="CW30" s="128">
        <f>INDEX('Commodity Prices'!$D$7:$D$22,MATCH($B30,'Commodity Prices'!$B$7:$B$22,0))*CW18</f>
        <v>2324765.625</v>
      </c>
      <c r="CX30" s="128">
        <f>INDEX('Commodity Prices'!$D$7:$D$22,MATCH($B30,'Commodity Prices'!$B$7:$B$22,0))*CX18</f>
        <v>2324765.625</v>
      </c>
      <c r="CY30" s="128">
        <f>INDEX('Commodity Prices'!$D$7:$D$22,MATCH($B30,'Commodity Prices'!$B$7:$B$22,0))*CY18</f>
        <v>2324765.625</v>
      </c>
      <c r="CZ30" s="128">
        <f>INDEX('Commodity Prices'!$D$7:$D$22,MATCH($B30,'Commodity Prices'!$B$7:$B$22,0))*CZ18</f>
        <v>2324765.625</v>
      </c>
      <c r="DA30" s="128">
        <f>INDEX('Commodity Prices'!$D$7:$D$22,MATCH($B30,'Commodity Prices'!$B$7:$B$22,0))*DA18</f>
        <v>2324765.625</v>
      </c>
      <c r="DB30" s="128">
        <f>INDEX('Commodity Prices'!$D$7:$D$22,MATCH($B30,'Commodity Prices'!$B$7:$B$22,0))*DB18</f>
        <v>2324765.625</v>
      </c>
      <c r="DC30" s="128">
        <f>INDEX('Commodity Prices'!$D$7:$D$22,MATCH($B30,'Commodity Prices'!$B$7:$B$22,0))*DC18</f>
        <v>2324765.625</v>
      </c>
      <c r="DD30" s="128">
        <f>INDEX('Commodity Prices'!$D$7:$D$22,MATCH($B30,'Commodity Prices'!$B$7:$B$22,0))*DD18</f>
        <v>2324765.625</v>
      </c>
      <c r="DE30" s="128">
        <f>INDEX('Commodity Prices'!$D$7:$D$22,MATCH($B30,'Commodity Prices'!$B$7:$B$22,0))*DE18</f>
        <v>2324765.625</v>
      </c>
      <c r="DF30" s="128">
        <f>INDEX('Commodity Prices'!$D$7:$D$22,MATCH($B30,'Commodity Prices'!$B$7:$B$22,0))*DF18</f>
        <v>2324765.625</v>
      </c>
      <c r="DG30" s="128">
        <f>INDEX('Commodity Prices'!$D$7:$D$22,MATCH($B30,'Commodity Prices'!$B$7:$B$22,0))*DG18</f>
        <v>2324765.625</v>
      </c>
      <c r="DH30" s="128">
        <f>INDEX('Commodity Prices'!$D$7:$D$22,MATCH($B30,'Commodity Prices'!$B$7:$B$22,0))*DH18</f>
        <v>2324765.625</v>
      </c>
      <c r="DI30" s="128">
        <f>INDEX('Commodity Prices'!$D$7:$D$22,MATCH($B30,'Commodity Prices'!$B$7:$B$22,0))*DI18</f>
        <v>2324765.625</v>
      </c>
      <c r="DJ30" s="128">
        <f>INDEX('Commodity Prices'!$D$7:$D$22,MATCH($B30,'Commodity Prices'!$B$7:$B$22,0))*DJ18</f>
        <v>2324765.625</v>
      </c>
      <c r="DK30" s="128">
        <f>INDEX('Commodity Prices'!$D$7:$D$22,MATCH($B30,'Commodity Prices'!$B$7:$B$22,0))*DK18</f>
        <v>2324765.625</v>
      </c>
      <c r="DL30" s="128">
        <f>INDEX('Commodity Prices'!$D$7:$D$22,MATCH($B30,'Commodity Prices'!$B$7:$B$22,0))*DL18</f>
        <v>2324765.625</v>
      </c>
      <c r="DM30" s="128">
        <f>INDEX('Commodity Prices'!$D$7:$D$22,MATCH($B30,'Commodity Prices'!$B$7:$B$22,0))*DM18</f>
        <v>2324765.625</v>
      </c>
      <c r="DN30" s="128">
        <f>INDEX('Commodity Prices'!$D$7:$D$22,MATCH($B30,'Commodity Prices'!$B$7:$B$22,0))*DN18</f>
        <v>2324765.625</v>
      </c>
      <c r="DO30" s="128">
        <f>INDEX('Commodity Prices'!$D$7:$D$22,MATCH($B30,'Commodity Prices'!$B$7:$B$22,0))*DO18</f>
        <v>2324765.625</v>
      </c>
      <c r="DP30" s="128">
        <f>INDEX('Commodity Prices'!$D$7:$D$22,MATCH($B30,'Commodity Prices'!$B$7:$B$22,0))*DP18</f>
        <v>2324765.625</v>
      </c>
      <c r="DQ30" s="128">
        <f>INDEX('Commodity Prices'!$D$7:$D$22,MATCH($B30,'Commodity Prices'!$B$7:$B$22,0))*DQ18</f>
        <v>2324765.625</v>
      </c>
      <c r="DR30" s="128">
        <f>INDEX('Commodity Prices'!$D$7:$D$22,MATCH($B30,'Commodity Prices'!$B$7:$B$22,0))*DR18</f>
        <v>2324765.625</v>
      </c>
      <c r="DS30" s="128">
        <f>INDEX('Commodity Prices'!$D$7:$D$22,MATCH($B30,'Commodity Prices'!$B$7:$B$22,0))*DS18</f>
        <v>2324765.625</v>
      </c>
      <c r="DT30" s="128">
        <f>INDEX('Commodity Prices'!$D$7:$D$22,MATCH($B30,'Commodity Prices'!$B$7:$B$22,0))*DT18</f>
        <v>2324765.625</v>
      </c>
      <c r="DU30" s="128">
        <f>INDEX('Commodity Prices'!$D$7:$D$22,MATCH($B30,'Commodity Prices'!$B$7:$B$22,0))*DU18</f>
        <v>2324765.625</v>
      </c>
      <c r="DV30" s="128">
        <f>INDEX('Commodity Prices'!$D$7:$D$22,MATCH($B30,'Commodity Prices'!$B$7:$B$22,0))*DV18</f>
        <v>2324765.625</v>
      </c>
      <c r="DW30" s="128">
        <f>INDEX('Commodity Prices'!$D$7:$D$22,MATCH($B30,'Commodity Prices'!$B$7:$B$22,0))*DW18</f>
        <v>2324765.625</v>
      </c>
    </row>
    <row r="31" spans="2:127" x14ac:dyDescent="0.3">
      <c r="B31" s="53" t="str">
        <f t="shared" ref="B31:B39" si="1">+B19</f>
        <v>Hafnium</v>
      </c>
      <c r="C31" s="128">
        <f>INDEX('Commodity Prices'!$D$7:$D$22,MATCH($B31,'Commodity Prices'!$B$7:$B$22,0))*C19</f>
        <v>0</v>
      </c>
      <c r="D31" s="128">
        <f>INDEX('Commodity Prices'!$D$7:$D$22,MATCH($B31,'Commodity Prices'!$B$7:$B$22,0))*D19</f>
        <v>0</v>
      </c>
      <c r="E31" s="128">
        <f>INDEX('Commodity Prices'!$D$7:$D$22,MATCH($B31,'Commodity Prices'!$B$7:$B$22,0))*E19</f>
        <v>0</v>
      </c>
      <c r="F31" s="128">
        <f>INDEX('Commodity Prices'!$D$7:$D$22,MATCH($B31,'Commodity Prices'!$B$7:$B$22,0))*F19</f>
        <v>0</v>
      </c>
      <c r="G31" s="128">
        <f>INDEX('Commodity Prices'!$D$7:$D$22,MATCH($B31,'Commodity Prices'!$B$7:$B$22,0))*G19</f>
        <v>277265.62499999994</v>
      </c>
      <c r="H31" s="128">
        <f>INDEX('Commodity Prices'!$D$7:$D$22,MATCH($B31,'Commodity Prices'!$B$7:$B$22,0))*H19</f>
        <v>277265.62499999994</v>
      </c>
      <c r="I31" s="128">
        <f>INDEX('Commodity Prices'!$D$7:$D$22,MATCH($B31,'Commodity Prices'!$B$7:$B$22,0))*I19</f>
        <v>277265.62499999994</v>
      </c>
      <c r="J31" s="128">
        <f>INDEX('Commodity Prices'!$D$7:$D$22,MATCH($B31,'Commodity Prices'!$B$7:$B$22,0))*J19</f>
        <v>277265.62499999994</v>
      </c>
      <c r="K31" s="128">
        <f>INDEX('Commodity Prices'!$D$7:$D$22,MATCH($B31,'Commodity Prices'!$B$7:$B$22,0))*K19</f>
        <v>277265.62499999994</v>
      </c>
      <c r="L31" s="128">
        <f>INDEX('Commodity Prices'!$D$7:$D$22,MATCH($B31,'Commodity Prices'!$B$7:$B$22,0))*L19</f>
        <v>554531.24999999988</v>
      </c>
      <c r="M31" s="128">
        <f>INDEX('Commodity Prices'!$D$7:$D$22,MATCH($B31,'Commodity Prices'!$B$7:$B$22,0))*M19</f>
        <v>554531.24999999988</v>
      </c>
      <c r="N31" s="128">
        <f>INDEX('Commodity Prices'!$D$7:$D$22,MATCH($B31,'Commodity Prices'!$B$7:$B$22,0))*N19</f>
        <v>554531.24999999988</v>
      </c>
      <c r="O31" s="128">
        <f>INDEX('Commodity Prices'!$D$7:$D$22,MATCH($B31,'Commodity Prices'!$B$7:$B$22,0))*O19</f>
        <v>554531.24999999988</v>
      </c>
      <c r="P31" s="128">
        <f>INDEX('Commodity Prices'!$D$7:$D$22,MATCH($B31,'Commodity Prices'!$B$7:$B$22,0))*P19</f>
        <v>554531.24999999988</v>
      </c>
      <c r="Q31" s="128">
        <f>INDEX('Commodity Prices'!$D$7:$D$22,MATCH($B31,'Commodity Prices'!$B$7:$B$22,0))*Q19</f>
        <v>554531.24999999988</v>
      </c>
      <c r="R31" s="128">
        <f>INDEX('Commodity Prices'!$D$7:$D$22,MATCH($B31,'Commodity Prices'!$B$7:$B$22,0))*R19</f>
        <v>554531.24999999988</v>
      </c>
      <c r="S31" s="128">
        <f>INDEX('Commodity Prices'!$D$7:$D$22,MATCH($B31,'Commodity Prices'!$B$7:$B$22,0))*S19</f>
        <v>554531.24999999988</v>
      </c>
      <c r="T31" s="128">
        <f>INDEX('Commodity Prices'!$D$7:$D$22,MATCH($B31,'Commodity Prices'!$B$7:$B$22,0))*T19</f>
        <v>554531.24999999988</v>
      </c>
      <c r="U31" s="128">
        <f>INDEX('Commodity Prices'!$D$7:$D$22,MATCH($B31,'Commodity Prices'!$B$7:$B$22,0))*U19</f>
        <v>554531.24999999988</v>
      </c>
      <c r="V31" s="128">
        <f>INDEX('Commodity Prices'!$D$7:$D$22,MATCH($B31,'Commodity Prices'!$B$7:$B$22,0))*V19</f>
        <v>554531.24999999988</v>
      </c>
      <c r="W31" s="128">
        <f>INDEX('Commodity Prices'!$D$7:$D$22,MATCH($B31,'Commodity Prices'!$B$7:$B$22,0))*W19</f>
        <v>554531.24999999988</v>
      </c>
      <c r="X31" s="128">
        <f>INDEX('Commodity Prices'!$D$7:$D$22,MATCH($B31,'Commodity Prices'!$B$7:$B$22,0))*X19</f>
        <v>554531.24999999988</v>
      </c>
      <c r="Y31" s="128">
        <f>INDEX('Commodity Prices'!$D$7:$D$22,MATCH($B31,'Commodity Prices'!$B$7:$B$22,0))*Y19</f>
        <v>554531.24999999988</v>
      </c>
      <c r="Z31" s="128">
        <f>INDEX('Commodity Prices'!$D$7:$D$22,MATCH($B31,'Commodity Prices'!$B$7:$B$22,0))*Z19</f>
        <v>554531.24999999988</v>
      </c>
      <c r="AA31" s="128">
        <f>INDEX('Commodity Prices'!$D$7:$D$22,MATCH($B31,'Commodity Prices'!$B$7:$B$22,0))*AA19</f>
        <v>554531.24999999988</v>
      </c>
      <c r="AB31" s="128">
        <f>INDEX('Commodity Prices'!$D$7:$D$22,MATCH($B31,'Commodity Prices'!$B$7:$B$22,0))*AB19</f>
        <v>554531.24999999988</v>
      </c>
      <c r="AC31" s="128">
        <f>INDEX('Commodity Prices'!$D$7:$D$22,MATCH($B31,'Commodity Prices'!$B$7:$B$22,0))*AC19</f>
        <v>554531.24999999988</v>
      </c>
      <c r="AD31" s="128">
        <f>INDEX('Commodity Prices'!$D$7:$D$22,MATCH($B31,'Commodity Prices'!$B$7:$B$22,0))*AD19</f>
        <v>554531.24999999988</v>
      </c>
      <c r="AE31" s="128">
        <f>INDEX('Commodity Prices'!$D$7:$D$22,MATCH($B31,'Commodity Prices'!$B$7:$B$22,0))*AE19</f>
        <v>554531.24999999988</v>
      </c>
      <c r="AF31" s="128">
        <f>INDEX('Commodity Prices'!$D$7:$D$22,MATCH($B31,'Commodity Prices'!$B$7:$B$22,0))*AF19</f>
        <v>554531.24999999988</v>
      </c>
      <c r="AG31" s="128">
        <f>INDEX('Commodity Prices'!$D$7:$D$22,MATCH($B31,'Commodity Prices'!$B$7:$B$22,0))*AG19</f>
        <v>554531.24999999988</v>
      </c>
      <c r="AH31" s="128">
        <f>INDEX('Commodity Prices'!$D$7:$D$22,MATCH($B31,'Commodity Prices'!$B$7:$B$22,0))*AH19</f>
        <v>554531.24999999988</v>
      </c>
      <c r="AI31" s="128">
        <f>INDEX('Commodity Prices'!$D$7:$D$22,MATCH($B31,'Commodity Prices'!$B$7:$B$22,0))*AI19</f>
        <v>554531.24999999988</v>
      </c>
      <c r="AJ31" s="128">
        <f>INDEX('Commodity Prices'!$D$7:$D$22,MATCH($B31,'Commodity Prices'!$B$7:$B$22,0))*AJ19</f>
        <v>554531.24999999988</v>
      </c>
      <c r="AK31" s="128">
        <f>INDEX('Commodity Prices'!$D$7:$D$22,MATCH($B31,'Commodity Prices'!$B$7:$B$22,0))*AK19</f>
        <v>554531.24999999988</v>
      </c>
      <c r="AL31" s="128">
        <f>INDEX('Commodity Prices'!$D$7:$D$22,MATCH($B31,'Commodity Prices'!$B$7:$B$22,0))*AL19</f>
        <v>554531.24999999988</v>
      </c>
      <c r="AM31" s="128">
        <f>INDEX('Commodity Prices'!$D$7:$D$22,MATCH($B31,'Commodity Prices'!$B$7:$B$22,0))*AM19</f>
        <v>554531.24999999988</v>
      </c>
      <c r="AN31" s="128">
        <f>INDEX('Commodity Prices'!$D$7:$D$22,MATCH($B31,'Commodity Prices'!$B$7:$B$22,0))*AN19</f>
        <v>554531.24999999988</v>
      </c>
      <c r="AO31" s="128">
        <f>INDEX('Commodity Prices'!$D$7:$D$22,MATCH($B31,'Commodity Prices'!$B$7:$B$22,0))*AO19</f>
        <v>554531.24999999988</v>
      </c>
      <c r="AP31" s="128">
        <f>INDEX('Commodity Prices'!$D$7:$D$22,MATCH($B31,'Commodity Prices'!$B$7:$B$22,0))*AP19</f>
        <v>554531.24999999988</v>
      </c>
      <c r="AQ31" s="128">
        <f>INDEX('Commodity Prices'!$D$7:$D$22,MATCH($B31,'Commodity Prices'!$B$7:$B$22,0))*AQ19</f>
        <v>554531.24999999988</v>
      </c>
      <c r="AR31" s="128">
        <f>INDEX('Commodity Prices'!$D$7:$D$22,MATCH($B31,'Commodity Prices'!$B$7:$B$22,0))*AR19</f>
        <v>554531.24999999988</v>
      </c>
      <c r="AS31" s="128">
        <f>INDEX('Commodity Prices'!$D$7:$D$22,MATCH($B31,'Commodity Prices'!$B$7:$B$22,0))*AS19</f>
        <v>554531.24999999988</v>
      </c>
      <c r="AT31" s="128">
        <f>INDEX('Commodity Prices'!$D$7:$D$22,MATCH($B31,'Commodity Prices'!$B$7:$B$22,0))*AT19</f>
        <v>554531.24999999988</v>
      </c>
      <c r="AU31" s="128">
        <f>INDEX('Commodity Prices'!$D$7:$D$22,MATCH($B31,'Commodity Prices'!$B$7:$B$22,0))*AU19</f>
        <v>554531.24999999988</v>
      </c>
      <c r="AV31" s="128">
        <f>INDEX('Commodity Prices'!$D$7:$D$22,MATCH($B31,'Commodity Prices'!$B$7:$B$22,0))*AV19</f>
        <v>554531.24999999988</v>
      </c>
      <c r="AW31" s="128">
        <f>INDEX('Commodity Prices'!$D$7:$D$22,MATCH($B31,'Commodity Prices'!$B$7:$B$22,0))*AW19</f>
        <v>554531.24999999988</v>
      </c>
      <c r="AX31" s="128">
        <f>INDEX('Commodity Prices'!$D$7:$D$22,MATCH($B31,'Commodity Prices'!$B$7:$B$22,0))*AX19</f>
        <v>554531.24999999988</v>
      </c>
      <c r="AY31" s="128">
        <f>INDEX('Commodity Prices'!$D$7:$D$22,MATCH($B31,'Commodity Prices'!$B$7:$B$22,0))*AY19</f>
        <v>554531.24999999988</v>
      </c>
      <c r="AZ31" s="128">
        <f>INDEX('Commodity Prices'!$D$7:$D$22,MATCH($B31,'Commodity Prices'!$B$7:$B$22,0))*AZ19</f>
        <v>554531.24999999988</v>
      </c>
      <c r="BA31" s="128">
        <f>INDEX('Commodity Prices'!$D$7:$D$22,MATCH($B31,'Commodity Prices'!$B$7:$B$22,0))*BA19</f>
        <v>554531.24999999988</v>
      </c>
      <c r="BB31" s="128">
        <f>INDEX('Commodity Prices'!$D$7:$D$22,MATCH($B31,'Commodity Prices'!$B$7:$B$22,0))*BB19</f>
        <v>554531.24999999988</v>
      </c>
      <c r="BC31" s="128">
        <f>INDEX('Commodity Prices'!$D$7:$D$22,MATCH($B31,'Commodity Prices'!$B$7:$B$22,0))*BC19</f>
        <v>554531.24999999988</v>
      </c>
      <c r="BD31" s="128">
        <f>INDEX('Commodity Prices'!$D$7:$D$22,MATCH($B31,'Commodity Prices'!$B$7:$B$22,0))*BD19</f>
        <v>554531.24999999988</v>
      </c>
      <c r="BE31" s="128">
        <f>INDEX('Commodity Prices'!$D$7:$D$22,MATCH($B31,'Commodity Prices'!$B$7:$B$22,0))*BE19</f>
        <v>554531.24999999988</v>
      </c>
      <c r="BF31" s="128">
        <f>INDEX('Commodity Prices'!$D$7:$D$22,MATCH($B31,'Commodity Prices'!$B$7:$B$22,0))*BF19</f>
        <v>554531.24999999988</v>
      </c>
      <c r="BG31" s="128">
        <f>INDEX('Commodity Prices'!$D$7:$D$22,MATCH($B31,'Commodity Prices'!$B$7:$B$22,0))*BG19</f>
        <v>554531.24999999988</v>
      </c>
      <c r="BH31" s="128">
        <f>INDEX('Commodity Prices'!$D$7:$D$22,MATCH($B31,'Commodity Prices'!$B$7:$B$22,0))*BH19</f>
        <v>554531.24999999988</v>
      </c>
      <c r="BI31" s="128">
        <f>INDEX('Commodity Prices'!$D$7:$D$22,MATCH($B31,'Commodity Prices'!$B$7:$B$22,0))*BI19</f>
        <v>554531.24999999988</v>
      </c>
      <c r="BJ31" s="128">
        <f>INDEX('Commodity Prices'!$D$7:$D$22,MATCH($B31,'Commodity Prices'!$B$7:$B$22,0))*BJ19</f>
        <v>554531.24999999988</v>
      </c>
      <c r="BK31" s="128">
        <f>INDEX('Commodity Prices'!$D$7:$D$22,MATCH($B31,'Commodity Prices'!$B$7:$B$22,0))*BK19</f>
        <v>554531.24999999988</v>
      </c>
      <c r="BL31" s="128">
        <f>INDEX('Commodity Prices'!$D$7:$D$22,MATCH($B31,'Commodity Prices'!$B$7:$B$22,0))*BL19</f>
        <v>554531.24999999988</v>
      </c>
      <c r="BM31" s="128">
        <f>INDEX('Commodity Prices'!$D$7:$D$22,MATCH($B31,'Commodity Prices'!$B$7:$B$22,0))*BM19</f>
        <v>554531.24999999988</v>
      </c>
      <c r="BN31" s="128">
        <f>INDEX('Commodity Prices'!$D$7:$D$22,MATCH($B31,'Commodity Prices'!$B$7:$B$22,0))*BN19</f>
        <v>554531.24999999988</v>
      </c>
      <c r="BO31" s="128">
        <f>INDEX('Commodity Prices'!$D$7:$D$22,MATCH($B31,'Commodity Prices'!$B$7:$B$22,0))*BO19</f>
        <v>554531.24999999988</v>
      </c>
      <c r="BP31" s="128">
        <f>INDEX('Commodity Prices'!$D$7:$D$22,MATCH($B31,'Commodity Prices'!$B$7:$B$22,0))*BP19</f>
        <v>554531.24999999988</v>
      </c>
      <c r="BQ31" s="128">
        <f>INDEX('Commodity Prices'!$D$7:$D$22,MATCH($B31,'Commodity Prices'!$B$7:$B$22,0))*BQ19</f>
        <v>554531.24999999988</v>
      </c>
      <c r="BR31" s="128">
        <f>INDEX('Commodity Prices'!$D$7:$D$22,MATCH($B31,'Commodity Prices'!$B$7:$B$22,0))*BR19</f>
        <v>554531.24999999988</v>
      </c>
      <c r="BS31" s="128">
        <f>INDEX('Commodity Prices'!$D$7:$D$22,MATCH($B31,'Commodity Prices'!$B$7:$B$22,0))*BS19</f>
        <v>554531.24999999988</v>
      </c>
      <c r="BT31" s="128">
        <f>INDEX('Commodity Prices'!$D$7:$D$22,MATCH($B31,'Commodity Prices'!$B$7:$B$22,0))*BT19</f>
        <v>554531.24999999988</v>
      </c>
      <c r="BU31" s="128">
        <f>INDEX('Commodity Prices'!$D$7:$D$22,MATCH($B31,'Commodity Prices'!$B$7:$B$22,0))*BU19</f>
        <v>554531.24999999988</v>
      </c>
      <c r="BV31" s="128">
        <f>INDEX('Commodity Prices'!$D$7:$D$22,MATCH($B31,'Commodity Prices'!$B$7:$B$22,0))*BV19</f>
        <v>554531.24999999988</v>
      </c>
      <c r="BW31" s="128">
        <f>INDEX('Commodity Prices'!$D$7:$D$22,MATCH($B31,'Commodity Prices'!$B$7:$B$22,0))*BW19</f>
        <v>554531.24999999988</v>
      </c>
      <c r="BX31" s="128">
        <f>INDEX('Commodity Prices'!$D$7:$D$22,MATCH($B31,'Commodity Prices'!$B$7:$B$22,0))*BX19</f>
        <v>554531.24999999988</v>
      </c>
      <c r="BY31" s="128">
        <f>INDEX('Commodity Prices'!$D$7:$D$22,MATCH($B31,'Commodity Prices'!$B$7:$B$22,0))*BY19</f>
        <v>554531.24999999988</v>
      </c>
      <c r="BZ31" s="128">
        <f>INDEX('Commodity Prices'!$D$7:$D$22,MATCH($B31,'Commodity Prices'!$B$7:$B$22,0))*BZ19</f>
        <v>554531.24999999988</v>
      </c>
      <c r="CA31" s="128">
        <f>INDEX('Commodity Prices'!$D$7:$D$22,MATCH($B31,'Commodity Prices'!$B$7:$B$22,0))*CA19</f>
        <v>554531.24999999988</v>
      </c>
      <c r="CB31" s="128">
        <f>INDEX('Commodity Prices'!$D$7:$D$22,MATCH($B31,'Commodity Prices'!$B$7:$B$22,0))*CB19</f>
        <v>554531.24999999988</v>
      </c>
      <c r="CC31" s="128">
        <f>INDEX('Commodity Prices'!$D$7:$D$22,MATCH($B31,'Commodity Prices'!$B$7:$B$22,0))*CC19</f>
        <v>554531.24999999988</v>
      </c>
      <c r="CD31" s="128">
        <f>INDEX('Commodity Prices'!$D$7:$D$22,MATCH($B31,'Commodity Prices'!$B$7:$B$22,0))*CD19</f>
        <v>554531.24999999988</v>
      </c>
      <c r="CE31" s="128">
        <f>INDEX('Commodity Prices'!$D$7:$D$22,MATCH($B31,'Commodity Prices'!$B$7:$B$22,0))*CE19</f>
        <v>554531.24999999988</v>
      </c>
      <c r="CF31" s="128">
        <f>INDEX('Commodity Prices'!$D$7:$D$22,MATCH($B31,'Commodity Prices'!$B$7:$B$22,0))*CF19</f>
        <v>554531.24999999988</v>
      </c>
      <c r="CG31" s="128">
        <f>INDEX('Commodity Prices'!$D$7:$D$22,MATCH($B31,'Commodity Prices'!$B$7:$B$22,0))*CG19</f>
        <v>554531.24999999988</v>
      </c>
      <c r="CH31" s="128">
        <f>INDEX('Commodity Prices'!$D$7:$D$22,MATCH($B31,'Commodity Prices'!$B$7:$B$22,0))*CH19</f>
        <v>554531.24999999988</v>
      </c>
      <c r="CI31" s="128">
        <f>INDEX('Commodity Prices'!$D$7:$D$22,MATCH($B31,'Commodity Prices'!$B$7:$B$22,0))*CI19</f>
        <v>554531.24999999988</v>
      </c>
      <c r="CJ31" s="128">
        <f>INDEX('Commodity Prices'!$D$7:$D$22,MATCH($B31,'Commodity Prices'!$B$7:$B$22,0))*CJ19</f>
        <v>554531.24999999988</v>
      </c>
      <c r="CK31" s="128">
        <f>INDEX('Commodity Prices'!$D$7:$D$22,MATCH($B31,'Commodity Prices'!$B$7:$B$22,0))*CK19</f>
        <v>554531.24999999988</v>
      </c>
      <c r="CL31" s="128">
        <f>INDEX('Commodity Prices'!$D$7:$D$22,MATCH($B31,'Commodity Prices'!$B$7:$B$22,0))*CL19</f>
        <v>554531.24999999988</v>
      </c>
      <c r="CM31" s="128">
        <f>INDEX('Commodity Prices'!$D$7:$D$22,MATCH($B31,'Commodity Prices'!$B$7:$B$22,0))*CM19</f>
        <v>554531.24999999988</v>
      </c>
      <c r="CN31" s="128">
        <f>INDEX('Commodity Prices'!$D$7:$D$22,MATCH($B31,'Commodity Prices'!$B$7:$B$22,0))*CN19</f>
        <v>554531.24999999988</v>
      </c>
      <c r="CO31" s="128">
        <f>INDEX('Commodity Prices'!$D$7:$D$22,MATCH($B31,'Commodity Prices'!$B$7:$B$22,0))*CO19</f>
        <v>554531.24999999988</v>
      </c>
      <c r="CP31" s="128">
        <f>INDEX('Commodity Prices'!$D$7:$D$22,MATCH($B31,'Commodity Prices'!$B$7:$B$22,0))*CP19</f>
        <v>554531.24999999988</v>
      </c>
      <c r="CQ31" s="128">
        <f>INDEX('Commodity Prices'!$D$7:$D$22,MATCH($B31,'Commodity Prices'!$B$7:$B$22,0))*CQ19</f>
        <v>554531.24999999988</v>
      </c>
      <c r="CR31" s="128">
        <f>INDEX('Commodity Prices'!$D$7:$D$22,MATCH($B31,'Commodity Prices'!$B$7:$B$22,0))*CR19</f>
        <v>554531.24999999988</v>
      </c>
      <c r="CS31" s="128">
        <f>INDEX('Commodity Prices'!$D$7:$D$22,MATCH($B31,'Commodity Prices'!$B$7:$B$22,0))*CS19</f>
        <v>554531.24999999988</v>
      </c>
      <c r="CT31" s="128">
        <f>INDEX('Commodity Prices'!$D$7:$D$22,MATCH($B31,'Commodity Prices'!$B$7:$B$22,0))*CT19</f>
        <v>554531.24999999988</v>
      </c>
      <c r="CU31" s="128">
        <f>INDEX('Commodity Prices'!$D$7:$D$22,MATCH($B31,'Commodity Prices'!$B$7:$B$22,0))*CU19</f>
        <v>554531.24999999988</v>
      </c>
      <c r="CV31" s="128">
        <f>INDEX('Commodity Prices'!$D$7:$D$22,MATCH($B31,'Commodity Prices'!$B$7:$B$22,0))*CV19</f>
        <v>554531.24999999988</v>
      </c>
      <c r="CW31" s="128">
        <f>INDEX('Commodity Prices'!$D$7:$D$22,MATCH($B31,'Commodity Prices'!$B$7:$B$22,0))*CW19</f>
        <v>554531.24999999988</v>
      </c>
      <c r="CX31" s="128">
        <f>INDEX('Commodity Prices'!$D$7:$D$22,MATCH($B31,'Commodity Prices'!$B$7:$B$22,0))*CX19</f>
        <v>554531.24999999988</v>
      </c>
      <c r="CY31" s="128">
        <f>INDEX('Commodity Prices'!$D$7:$D$22,MATCH($B31,'Commodity Prices'!$B$7:$B$22,0))*CY19</f>
        <v>554531.24999999988</v>
      </c>
      <c r="CZ31" s="128">
        <f>INDEX('Commodity Prices'!$D$7:$D$22,MATCH($B31,'Commodity Prices'!$B$7:$B$22,0))*CZ19</f>
        <v>554531.24999999988</v>
      </c>
      <c r="DA31" s="128">
        <f>INDEX('Commodity Prices'!$D$7:$D$22,MATCH($B31,'Commodity Prices'!$B$7:$B$22,0))*DA19</f>
        <v>554531.24999999988</v>
      </c>
      <c r="DB31" s="128">
        <f>INDEX('Commodity Prices'!$D$7:$D$22,MATCH($B31,'Commodity Prices'!$B$7:$B$22,0))*DB19</f>
        <v>554531.24999999988</v>
      </c>
      <c r="DC31" s="128">
        <f>INDEX('Commodity Prices'!$D$7:$D$22,MATCH($B31,'Commodity Prices'!$B$7:$B$22,0))*DC19</f>
        <v>554531.24999999988</v>
      </c>
      <c r="DD31" s="128">
        <f>INDEX('Commodity Prices'!$D$7:$D$22,MATCH($B31,'Commodity Prices'!$B$7:$B$22,0))*DD19</f>
        <v>554531.24999999988</v>
      </c>
      <c r="DE31" s="128">
        <f>INDEX('Commodity Prices'!$D$7:$D$22,MATCH($B31,'Commodity Prices'!$B$7:$B$22,0))*DE19</f>
        <v>554531.24999999988</v>
      </c>
      <c r="DF31" s="128">
        <f>INDEX('Commodity Prices'!$D$7:$D$22,MATCH($B31,'Commodity Prices'!$B$7:$B$22,0))*DF19</f>
        <v>554531.24999999988</v>
      </c>
      <c r="DG31" s="128">
        <f>INDEX('Commodity Prices'!$D$7:$D$22,MATCH($B31,'Commodity Prices'!$B$7:$B$22,0))*DG19</f>
        <v>554531.24999999988</v>
      </c>
      <c r="DH31" s="128">
        <f>INDEX('Commodity Prices'!$D$7:$D$22,MATCH($B31,'Commodity Prices'!$B$7:$B$22,0))*DH19</f>
        <v>554531.24999999988</v>
      </c>
      <c r="DI31" s="128">
        <f>INDEX('Commodity Prices'!$D$7:$D$22,MATCH($B31,'Commodity Prices'!$B$7:$B$22,0))*DI19</f>
        <v>554531.24999999988</v>
      </c>
      <c r="DJ31" s="128">
        <f>INDEX('Commodity Prices'!$D$7:$D$22,MATCH($B31,'Commodity Prices'!$B$7:$B$22,0))*DJ19</f>
        <v>554531.24999999988</v>
      </c>
      <c r="DK31" s="128">
        <f>INDEX('Commodity Prices'!$D$7:$D$22,MATCH($B31,'Commodity Prices'!$B$7:$B$22,0))*DK19</f>
        <v>554531.24999999988</v>
      </c>
      <c r="DL31" s="128">
        <f>INDEX('Commodity Prices'!$D$7:$D$22,MATCH($B31,'Commodity Prices'!$B$7:$B$22,0))*DL19</f>
        <v>554531.24999999988</v>
      </c>
      <c r="DM31" s="128">
        <f>INDEX('Commodity Prices'!$D$7:$D$22,MATCH($B31,'Commodity Prices'!$B$7:$B$22,0))*DM19</f>
        <v>554531.24999999988</v>
      </c>
      <c r="DN31" s="128">
        <f>INDEX('Commodity Prices'!$D$7:$D$22,MATCH($B31,'Commodity Prices'!$B$7:$B$22,0))*DN19</f>
        <v>554531.24999999988</v>
      </c>
      <c r="DO31" s="128">
        <f>INDEX('Commodity Prices'!$D$7:$D$22,MATCH($B31,'Commodity Prices'!$B$7:$B$22,0))*DO19</f>
        <v>554531.24999999988</v>
      </c>
      <c r="DP31" s="128">
        <f>INDEX('Commodity Prices'!$D$7:$D$22,MATCH($B31,'Commodity Prices'!$B$7:$B$22,0))*DP19</f>
        <v>554531.24999999988</v>
      </c>
      <c r="DQ31" s="128">
        <f>INDEX('Commodity Prices'!$D$7:$D$22,MATCH($B31,'Commodity Prices'!$B$7:$B$22,0))*DQ19</f>
        <v>554531.24999999988</v>
      </c>
      <c r="DR31" s="128">
        <f>INDEX('Commodity Prices'!$D$7:$D$22,MATCH($B31,'Commodity Prices'!$B$7:$B$22,0))*DR19</f>
        <v>554531.24999999988</v>
      </c>
      <c r="DS31" s="128">
        <f>INDEX('Commodity Prices'!$D$7:$D$22,MATCH($B31,'Commodity Prices'!$B$7:$B$22,0))*DS19</f>
        <v>554531.24999999988</v>
      </c>
      <c r="DT31" s="128">
        <f>INDEX('Commodity Prices'!$D$7:$D$22,MATCH($B31,'Commodity Prices'!$B$7:$B$22,0))*DT19</f>
        <v>554531.24999999988</v>
      </c>
      <c r="DU31" s="128">
        <f>INDEX('Commodity Prices'!$D$7:$D$22,MATCH($B31,'Commodity Prices'!$B$7:$B$22,0))*DU19</f>
        <v>554531.24999999988</v>
      </c>
      <c r="DV31" s="128">
        <f>INDEX('Commodity Prices'!$D$7:$D$22,MATCH($B31,'Commodity Prices'!$B$7:$B$22,0))*DV19</f>
        <v>554531.24999999988</v>
      </c>
      <c r="DW31" s="128">
        <f>INDEX('Commodity Prices'!$D$7:$D$22,MATCH($B31,'Commodity Prices'!$B$7:$B$22,0))*DW19</f>
        <v>554531.24999999988</v>
      </c>
    </row>
    <row r="32" spans="2:127" x14ac:dyDescent="0.3">
      <c r="B32" s="53" t="str">
        <f t="shared" si="1"/>
        <v>Gallium</v>
      </c>
      <c r="C32" s="128">
        <f>INDEX('Commodity Prices'!$D$7:$D$22,MATCH($B32,'Commodity Prices'!$B$7:$B$22,0))*C20</f>
        <v>0</v>
      </c>
      <c r="D32" s="128">
        <f>INDEX('Commodity Prices'!$D$7:$D$22,MATCH($B32,'Commodity Prices'!$B$7:$B$22,0))*D20</f>
        <v>0</v>
      </c>
      <c r="E32" s="128">
        <f>INDEX('Commodity Prices'!$D$7:$D$22,MATCH($B32,'Commodity Prices'!$B$7:$B$22,0))*E20</f>
        <v>0</v>
      </c>
      <c r="F32" s="128">
        <f>INDEX('Commodity Prices'!$D$7:$D$22,MATCH($B32,'Commodity Prices'!$B$7:$B$22,0))*F20</f>
        <v>0</v>
      </c>
      <c r="G32" s="128">
        <f>INDEX('Commodity Prices'!$D$7:$D$22,MATCH($B32,'Commodity Prices'!$B$7:$B$22,0))*G20</f>
        <v>121875.00000000001</v>
      </c>
      <c r="H32" s="128">
        <f>INDEX('Commodity Prices'!$D$7:$D$22,MATCH($B32,'Commodity Prices'!$B$7:$B$22,0))*H20</f>
        <v>121875.00000000001</v>
      </c>
      <c r="I32" s="128">
        <f>INDEX('Commodity Prices'!$D$7:$D$22,MATCH($B32,'Commodity Prices'!$B$7:$B$22,0))*I20</f>
        <v>121875.00000000001</v>
      </c>
      <c r="J32" s="128">
        <f>INDEX('Commodity Prices'!$D$7:$D$22,MATCH($B32,'Commodity Prices'!$B$7:$B$22,0))*J20</f>
        <v>121875.00000000001</v>
      </c>
      <c r="K32" s="128">
        <f>INDEX('Commodity Prices'!$D$7:$D$22,MATCH($B32,'Commodity Prices'!$B$7:$B$22,0))*K20</f>
        <v>121875.00000000001</v>
      </c>
      <c r="L32" s="128">
        <f>INDEX('Commodity Prices'!$D$7:$D$22,MATCH($B32,'Commodity Prices'!$B$7:$B$22,0))*L20</f>
        <v>243750.00000000003</v>
      </c>
      <c r="M32" s="128">
        <f>INDEX('Commodity Prices'!$D$7:$D$22,MATCH($B32,'Commodity Prices'!$B$7:$B$22,0))*M20</f>
        <v>243750.00000000003</v>
      </c>
      <c r="N32" s="128">
        <f>INDEX('Commodity Prices'!$D$7:$D$22,MATCH($B32,'Commodity Prices'!$B$7:$B$22,0))*N20</f>
        <v>243750.00000000003</v>
      </c>
      <c r="O32" s="128">
        <f>INDEX('Commodity Prices'!$D$7:$D$22,MATCH($B32,'Commodity Prices'!$B$7:$B$22,0))*O20</f>
        <v>243750.00000000003</v>
      </c>
      <c r="P32" s="128">
        <f>INDEX('Commodity Prices'!$D$7:$D$22,MATCH($B32,'Commodity Prices'!$B$7:$B$22,0))*P20</f>
        <v>243750.00000000003</v>
      </c>
      <c r="Q32" s="128">
        <f>INDEX('Commodity Prices'!$D$7:$D$22,MATCH($B32,'Commodity Prices'!$B$7:$B$22,0))*Q20</f>
        <v>243750.00000000003</v>
      </c>
      <c r="R32" s="128">
        <f>INDEX('Commodity Prices'!$D$7:$D$22,MATCH($B32,'Commodity Prices'!$B$7:$B$22,0))*R20</f>
        <v>243750.00000000003</v>
      </c>
      <c r="S32" s="128">
        <f>INDEX('Commodity Prices'!$D$7:$D$22,MATCH($B32,'Commodity Prices'!$B$7:$B$22,0))*S20</f>
        <v>243750.00000000003</v>
      </c>
      <c r="T32" s="128">
        <f>INDEX('Commodity Prices'!$D$7:$D$22,MATCH($B32,'Commodity Prices'!$B$7:$B$22,0))*T20</f>
        <v>243750.00000000003</v>
      </c>
      <c r="U32" s="128">
        <f>INDEX('Commodity Prices'!$D$7:$D$22,MATCH($B32,'Commodity Prices'!$B$7:$B$22,0))*U20</f>
        <v>243750.00000000003</v>
      </c>
      <c r="V32" s="128">
        <f>INDEX('Commodity Prices'!$D$7:$D$22,MATCH($B32,'Commodity Prices'!$B$7:$B$22,0))*V20</f>
        <v>243750.00000000003</v>
      </c>
      <c r="W32" s="128">
        <f>INDEX('Commodity Prices'!$D$7:$D$22,MATCH($B32,'Commodity Prices'!$B$7:$B$22,0))*W20</f>
        <v>243750.00000000003</v>
      </c>
      <c r="X32" s="128">
        <f>INDEX('Commodity Prices'!$D$7:$D$22,MATCH($B32,'Commodity Prices'!$B$7:$B$22,0))*X20</f>
        <v>243750.00000000003</v>
      </c>
      <c r="Y32" s="128">
        <f>INDEX('Commodity Prices'!$D$7:$D$22,MATCH($B32,'Commodity Prices'!$B$7:$B$22,0))*Y20</f>
        <v>243750.00000000003</v>
      </c>
      <c r="Z32" s="128">
        <f>INDEX('Commodity Prices'!$D$7:$D$22,MATCH($B32,'Commodity Prices'!$B$7:$B$22,0))*Z20</f>
        <v>243750.00000000003</v>
      </c>
      <c r="AA32" s="128">
        <f>INDEX('Commodity Prices'!$D$7:$D$22,MATCH($B32,'Commodity Prices'!$B$7:$B$22,0))*AA20</f>
        <v>243750.00000000003</v>
      </c>
      <c r="AB32" s="128">
        <f>INDEX('Commodity Prices'!$D$7:$D$22,MATCH($B32,'Commodity Prices'!$B$7:$B$22,0))*AB20</f>
        <v>243750.00000000003</v>
      </c>
      <c r="AC32" s="128">
        <f>INDEX('Commodity Prices'!$D$7:$D$22,MATCH($B32,'Commodity Prices'!$B$7:$B$22,0))*AC20</f>
        <v>243750.00000000003</v>
      </c>
      <c r="AD32" s="128">
        <f>INDEX('Commodity Prices'!$D$7:$D$22,MATCH($B32,'Commodity Prices'!$B$7:$B$22,0))*AD20</f>
        <v>243750.00000000003</v>
      </c>
      <c r="AE32" s="128">
        <f>INDEX('Commodity Prices'!$D$7:$D$22,MATCH($B32,'Commodity Prices'!$B$7:$B$22,0))*AE20</f>
        <v>243750.00000000003</v>
      </c>
      <c r="AF32" s="128">
        <f>INDEX('Commodity Prices'!$D$7:$D$22,MATCH($B32,'Commodity Prices'!$B$7:$B$22,0))*AF20</f>
        <v>243750.00000000003</v>
      </c>
      <c r="AG32" s="128">
        <f>INDEX('Commodity Prices'!$D$7:$D$22,MATCH($B32,'Commodity Prices'!$B$7:$B$22,0))*AG20</f>
        <v>243750.00000000003</v>
      </c>
      <c r="AH32" s="128">
        <f>INDEX('Commodity Prices'!$D$7:$D$22,MATCH($B32,'Commodity Prices'!$B$7:$B$22,0))*AH20</f>
        <v>243750.00000000003</v>
      </c>
      <c r="AI32" s="128">
        <f>INDEX('Commodity Prices'!$D$7:$D$22,MATCH($B32,'Commodity Prices'!$B$7:$B$22,0))*AI20</f>
        <v>243750.00000000003</v>
      </c>
      <c r="AJ32" s="128">
        <f>INDEX('Commodity Prices'!$D$7:$D$22,MATCH($B32,'Commodity Prices'!$B$7:$B$22,0))*AJ20</f>
        <v>243750.00000000003</v>
      </c>
      <c r="AK32" s="128">
        <f>INDEX('Commodity Prices'!$D$7:$D$22,MATCH($B32,'Commodity Prices'!$B$7:$B$22,0))*AK20</f>
        <v>243750.00000000003</v>
      </c>
      <c r="AL32" s="128">
        <f>INDEX('Commodity Prices'!$D$7:$D$22,MATCH($B32,'Commodity Prices'!$B$7:$B$22,0))*AL20</f>
        <v>243750.00000000003</v>
      </c>
      <c r="AM32" s="128">
        <f>INDEX('Commodity Prices'!$D$7:$D$22,MATCH($B32,'Commodity Prices'!$B$7:$B$22,0))*AM20</f>
        <v>243750.00000000003</v>
      </c>
      <c r="AN32" s="128">
        <f>INDEX('Commodity Prices'!$D$7:$D$22,MATCH($B32,'Commodity Prices'!$B$7:$B$22,0))*AN20</f>
        <v>243750.00000000003</v>
      </c>
      <c r="AO32" s="128">
        <f>INDEX('Commodity Prices'!$D$7:$D$22,MATCH($B32,'Commodity Prices'!$B$7:$B$22,0))*AO20</f>
        <v>243750.00000000003</v>
      </c>
      <c r="AP32" s="128">
        <f>INDEX('Commodity Prices'!$D$7:$D$22,MATCH($B32,'Commodity Prices'!$B$7:$B$22,0))*AP20</f>
        <v>243750.00000000003</v>
      </c>
      <c r="AQ32" s="128">
        <f>INDEX('Commodity Prices'!$D$7:$D$22,MATCH($B32,'Commodity Prices'!$B$7:$B$22,0))*AQ20</f>
        <v>243750.00000000003</v>
      </c>
      <c r="AR32" s="128">
        <f>INDEX('Commodity Prices'!$D$7:$D$22,MATCH($B32,'Commodity Prices'!$B$7:$B$22,0))*AR20</f>
        <v>243750.00000000003</v>
      </c>
      <c r="AS32" s="128">
        <f>INDEX('Commodity Prices'!$D$7:$D$22,MATCH($B32,'Commodity Prices'!$B$7:$B$22,0))*AS20</f>
        <v>243750.00000000003</v>
      </c>
      <c r="AT32" s="128">
        <f>INDEX('Commodity Prices'!$D$7:$D$22,MATCH($B32,'Commodity Prices'!$B$7:$B$22,0))*AT20</f>
        <v>243750.00000000003</v>
      </c>
      <c r="AU32" s="128">
        <f>INDEX('Commodity Prices'!$D$7:$D$22,MATCH($B32,'Commodity Prices'!$B$7:$B$22,0))*AU20</f>
        <v>243750.00000000003</v>
      </c>
      <c r="AV32" s="128">
        <f>INDEX('Commodity Prices'!$D$7:$D$22,MATCH($B32,'Commodity Prices'!$B$7:$B$22,0))*AV20</f>
        <v>243750.00000000003</v>
      </c>
      <c r="AW32" s="128">
        <f>INDEX('Commodity Prices'!$D$7:$D$22,MATCH($B32,'Commodity Prices'!$B$7:$B$22,0))*AW20</f>
        <v>243750.00000000003</v>
      </c>
      <c r="AX32" s="128">
        <f>INDEX('Commodity Prices'!$D$7:$D$22,MATCH($B32,'Commodity Prices'!$B$7:$B$22,0))*AX20</f>
        <v>243750.00000000003</v>
      </c>
      <c r="AY32" s="128">
        <f>INDEX('Commodity Prices'!$D$7:$D$22,MATCH($B32,'Commodity Prices'!$B$7:$B$22,0))*AY20</f>
        <v>243750.00000000003</v>
      </c>
      <c r="AZ32" s="128">
        <f>INDEX('Commodity Prices'!$D$7:$D$22,MATCH($B32,'Commodity Prices'!$B$7:$B$22,0))*AZ20</f>
        <v>243750.00000000003</v>
      </c>
      <c r="BA32" s="128">
        <f>INDEX('Commodity Prices'!$D$7:$D$22,MATCH($B32,'Commodity Prices'!$B$7:$B$22,0))*BA20</f>
        <v>243750.00000000003</v>
      </c>
      <c r="BB32" s="128">
        <f>INDEX('Commodity Prices'!$D$7:$D$22,MATCH($B32,'Commodity Prices'!$B$7:$B$22,0))*BB20</f>
        <v>243750.00000000003</v>
      </c>
      <c r="BC32" s="128">
        <f>INDEX('Commodity Prices'!$D$7:$D$22,MATCH($B32,'Commodity Prices'!$B$7:$B$22,0))*BC20</f>
        <v>243750.00000000003</v>
      </c>
      <c r="BD32" s="128">
        <f>INDEX('Commodity Prices'!$D$7:$D$22,MATCH($B32,'Commodity Prices'!$B$7:$B$22,0))*BD20</f>
        <v>243750.00000000003</v>
      </c>
      <c r="BE32" s="128">
        <f>INDEX('Commodity Prices'!$D$7:$D$22,MATCH($B32,'Commodity Prices'!$B$7:$B$22,0))*BE20</f>
        <v>243750.00000000003</v>
      </c>
      <c r="BF32" s="128">
        <f>INDEX('Commodity Prices'!$D$7:$D$22,MATCH($B32,'Commodity Prices'!$B$7:$B$22,0))*BF20</f>
        <v>243750.00000000003</v>
      </c>
      <c r="BG32" s="128">
        <f>INDEX('Commodity Prices'!$D$7:$D$22,MATCH($B32,'Commodity Prices'!$B$7:$B$22,0))*BG20</f>
        <v>243750.00000000003</v>
      </c>
      <c r="BH32" s="128">
        <f>INDEX('Commodity Prices'!$D$7:$D$22,MATCH($B32,'Commodity Prices'!$B$7:$B$22,0))*BH20</f>
        <v>243750.00000000003</v>
      </c>
      <c r="BI32" s="128">
        <f>INDEX('Commodity Prices'!$D$7:$D$22,MATCH($B32,'Commodity Prices'!$B$7:$B$22,0))*BI20</f>
        <v>243750.00000000003</v>
      </c>
      <c r="BJ32" s="128">
        <f>INDEX('Commodity Prices'!$D$7:$D$22,MATCH($B32,'Commodity Prices'!$B$7:$B$22,0))*BJ20</f>
        <v>243750.00000000003</v>
      </c>
      <c r="BK32" s="128">
        <f>INDEX('Commodity Prices'!$D$7:$D$22,MATCH($B32,'Commodity Prices'!$B$7:$B$22,0))*BK20</f>
        <v>243750.00000000003</v>
      </c>
      <c r="BL32" s="128">
        <f>INDEX('Commodity Prices'!$D$7:$D$22,MATCH($B32,'Commodity Prices'!$B$7:$B$22,0))*BL20</f>
        <v>243750.00000000003</v>
      </c>
      <c r="BM32" s="128">
        <f>INDEX('Commodity Prices'!$D$7:$D$22,MATCH($B32,'Commodity Prices'!$B$7:$B$22,0))*BM20</f>
        <v>243750.00000000003</v>
      </c>
      <c r="BN32" s="128">
        <f>INDEX('Commodity Prices'!$D$7:$D$22,MATCH($B32,'Commodity Prices'!$B$7:$B$22,0))*BN20</f>
        <v>243750.00000000003</v>
      </c>
      <c r="BO32" s="128">
        <f>INDEX('Commodity Prices'!$D$7:$D$22,MATCH($B32,'Commodity Prices'!$B$7:$B$22,0))*BO20</f>
        <v>243750.00000000003</v>
      </c>
      <c r="BP32" s="128">
        <f>INDEX('Commodity Prices'!$D$7:$D$22,MATCH($B32,'Commodity Prices'!$B$7:$B$22,0))*BP20</f>
        <v>243750.00000000003</v>
      </c>
      <c r="BQ32" s="128">
        <f>INDEX('Commodity Prices'!$D$7:$D$22,MATCH($B32,'Commodity Prices'!$B$7:$B$22,0))*BQ20</f>
        <v>243750.00000000003</v>
      </c>
      <c r="BR32" s="128">
        <f>INDEX('Commodity Prices'!$D$7:$D$22,MATCH($B32,'Commodity Prices'!$B$7:$B$22,0))*BR20</f>
        <v>243750.00000000003</v>
      </c>
      <c r="BS32" s="128">
        <f>INDEX('Commodity Prices'!$D$7:$D$22,MATCH($B32,'Commodity Prices'!$B$7:$B$22,0))*BS20</f>
        <v>243750.00000000003</v>
      </c>
      <c r="BT32" s="128">
        <f>INDEX('Commodity Prices'!$D$7:$D$22,MATCH($B32,'Commodity Prices'!$B$7:$B$22,0))*BT20</f>
        <v>243750.00000000003</v>
      </c>
      <c r="BU32" s="128">
        <f>INDEX('Commodity Prices'!$D$7:$D$22,MATCH($B32,'Commodity Prices'!$B$7:$B$22,0))*BU20</f>
        <v>243750.00000000003</v>
      </c>
      <c r="BV32" s="128">
        <f>INDEX('Commodity Prices'!$D$7:$D$22,MATCH($B32,'Commodity Prices'!$B$7:$B$22,0))*BV20</f>
        <v>243750.00000000003</v>
      </c>
      <c r="BW32" s="128">
        <f>INDEX('Commodity Prices'!$D$7:$D$22,MATCH($B32,'Commodity Prices'!$B$7:$B$22,0))*BW20</f>
        <v>243750.00000000003</v>
      </c>
      <c r="BX32" s="128">
        <f>INDEX('Commodity Prices'!$D$7:$D$22,MATCH($B32,'Commodity Prices'!$B$7:$B$22,0))*BX20</f>
        <v>243750.00000000003</v>
      </c>
      <c r="BY32" s="128">
        <f>INDEX('Commodity Prices'!$D$7:$D$22,MATCH($B32,'Commodity Prices'!$B$7:$B$22,0))*BY20</f>
        <v>243750.00000000003</v>
      </c>
      <c r="BZ32" s="128">
        <f>INDEX('Commodity Prices'!$D$7:$D$22,MATCH($B32,'Commodity Prices'!$B$7:$B$22,0))*BZ20</f>
        <v>243750.00000000003</v>
      </c>
      <c r="CA32" s="128">
        <f>INDEX('Commodity Prices'!$D$7:$D$22,MATCH($B32,'Commodity Prices'!$B$7:$B$22,0))*CA20</f>
        <v>243750.00000000003</v>
      </c>
      <c r="CB32" s="128">
        <f>INDEX('Commodity Prices'!$D$7:$D$22,MATCH($B32,'Commodity Prices'!$B$7:$B$22,0))*CB20</f>
        <v>243750.00000000003</v>
      </c>
      <c r="CC32" s="128">
        <f>INDEX('Commodity Prices'!$D$7:$D$22,MATCH($B32,'Commodity Prices'!$B$7:$B$22,0))*CC20</f>
        <v>243750.00000000003</v>
      </c>
      <c r="CD32" s="128">
        <f>INDEX('Commodity Prices'!$D$7:$D$22,MATCH($B32,'Commodity Prices'!$B$7:$B$22,0))*CD20</f>
        <v>243750.00000000003</v>
      </c>
      <c r="CE32" s="128">
        <f>INDEX('Commodity Prices'!$D$7:$D$22,MATCH($B32,'Commodity Prices'!$B$7:$B$22,0))*CE20</f>
        <v>243750.00000000003</v>
      </c>
      <c r="CF32" s="128">
        <f>INDEX('Commodity Prices'!$D$7:$D$22,MATCH($B32,'Commodity Prices'!$B$7:$B$22,0))*CF20</f>
        <v>243750.00000000003</v>
      </c>
      <c r="CG32" s="128">
        <f>INDEX('Commodity Prices'!$D$7:$D$22,MATCH($B32,'Commodity Prices'!$B$7:$B$22,0))*CG20</f>
        <v>243750.00000000003</v>
      </c>
      <c r="CH32" s="128">
        <f>INDEX('Commodity Prices'!$D$7:$D$22,MATCH($B32,'Commodity Prices'!$B$7:$B$22,0))*CH20</f>
        <v>243750.00000000003</v>
      </c>
      <c r="CI32" s="128">
        <f>INDEX('Commodity Prices'!$D$7:$D$22,MATCH($B32,'Commodity Prices'!$B$7:$B$22,0))*CI20</f>
        <v>243750.00000000003</v>
      </c>
      <c r="CJ32" s="128">
        <f>INDEX('Commodity Prices'!$D$7:$D$22,MATCH($B32,'Commodity Prices'!$B$7:$B$22,0))*CJ20</f>
        <v>243750.00000000003</v>
      </c>
      <c r="CK32" s="128">
        <f>INDEX('Commodity Prices'!$D$7:$D$22,MATCH($B32,'Commodity Prices'!$B$7:$B$22,0))*CK20</f>
        <v>243750.00000000003</v>
      </c>
      <c r="CL32" s="128">
        <f>INDEX('Commodity Prices'!$D$7:$D$22,MATCH($B32,'Commodity Prices'!$B$7:$B$22,0))*CL20</f>
        <v>243750.00000000003</v>
      </c>
      <c r="CM32" s="128">
        <f>INDEX('Commodity Prices'!$D$7:$D$22,MATCH($B32,'Commodity Prices'!$B$7:$B$22,0))*CM20</f>
        <v>243750.00000000003</v>
      </c>
      <c r="CN32" s="128">
        <f>INDEX('Commodity Prices'!$D$7:$D$22,MATCH($B32,'Commodity Prices'!$B$7:$B$22,0))*CN20</f>
        <v>243750.00000000003</v>
      </c>
      <c r="CO32" s="128">
        <f>INDEX('Commodity Prices'!$D$7:$D$22,MATCH($B32,'Commodity Prices'!$B$7:$B$22,0))*CO20</f>
        <v>243750.00000000003</v>
      </c>
      <c r="CP32" s="128">
        <f>INDEX('Commodity Prices'!$D$7:$D$22,MATCH($B32,'Commodity Prices'!$B$7:$B$22,0))*CP20</f>
        <v>243750.00000000003</v>
      </c>
      <c r="CQ32" s="128">
        <f>INDEX('Commodity Prices'!$D$7:$D$22,MATCH($B32,'Commodity Prices'!$B$7:$B$22,0))*CQ20</f>
        <v>243750.00000000003</v>
      </c>
      <c r="CR32" s="128">
        <f>INDEX('Commodity Prices'!$D$7:$D$22,MATCH($B32,'Commodity Prices'!$B$7:$B$22,0))*CR20</f>
        <v>243750.00000000003</v>
      </c>
      <c r="CS32" s="128">
        <f>INDEX('Commodity Prices'!$D$7:$D$22,MATCH($B32,'Commodity Prices'!$B$7:$B$22,0))*CS20</f>
        <v>243750.00000000003</v>
      </c>
      <c r="CT32" s="128">
        <f>INDEX('Commodity Prices'!$D$7:$D$22,MATCH($B32,'Commodity Prices'!$B$7:$B$22,0))*CT20</f>
        <v>243750.00000000003</v>
      </c>
      <c r="CU32" s="128">
        <f>INDEX('Commodity Prices'!$D$7:$D$22,MATCH($B32,'Commodity Prices'!$B$7:$B$22,0))*CU20</f>
        <v>243750.00000000003</v>
      </c>
      <c r="CV32" s="128">
        <f>INDEX('Commodity Prices'!$D$7:$D$22,MATCH($B32,'Commodity Prices'!$B$7:$B$22,0))*CV20</f>
        <v>243750.00000000003</v>
      </c>
      <c r="CW32" s="128">
        <f>INDEX('Commodity Prices'!$D$7:$D$22,MATCH($B32,'Commodity Prices'!$B$7:$B$22,0))*CW20</f>
        <v>243750.00000000003</v>
      </c>
      <c r="CX32" s="128">
        <f>INDEX('Commodity Prices'!$D$7:$D$22,MATCH($B32,'Commodity Prices'!$B$7:$B$22,0))*CX20</f>
        <v>243750.00000000003</v>
      </c>
      <c r="CY32" s="128">
        <f>INDEX('Commodity Prices'!$D$7:$D$22,MATCH($B32,'Commodity Prices'!$B$7:$B$22,0))*CY20</f>
        <v>243750.00000000003</v>
      </c>
      <c r="CZ32" s="128">
        <f>INDEX('Commodity Prices'!$D$7:$D$22,MATCH($B32,'Commodity Prices'!$B$7:$B$22,0))*CZ20</f>
        <v>243750.00000000003</v>
      </c>
      <c r="DA32" s="128">
        <f>INDEX('Commodity Prices'!$D$7:$D$22,MATCH($B32,'Commodity Prices'!$B$7:$B$22,0))*DA20</f>
        <v>243750.00000000003</v>
      </c>
      <c r="DB32" s="128">
        <f>INDEX('Commodity Prices'!$D$7:$D$22,MATCH($B32,'Commodity Prices'!$B$7:$B$22,0))*DB20</f>
        <v>243750.00000000003</v>
      </c>
      <c r="DC32" s="128">
        <f>INDEX('Commodity Prices'!$D$7:$D$22,MATCH($B32,'Commodity Prices'!$B$7:$B$22,0))*DC20</f>
        <v>243750.00000000003</v>
      </c>
      <c r="DD32" s="128">
        <f>INDEX('Commodity Prices'!$D$7:$D$22,MATCH($B32,'Commodity Prices'!$B$7:$B$22,0))*DD20</f>
        <v>243750.00000000003</v>
      </c>
      <c r="DE32" s="128">
        <f>INDEX('Commodity Prices'!$D$7:$D$22,MATCH($B32,'Commodity Prices'!$B$7:$B$22,0))*DE20</f>
        <v>243750.00000000003</v>
      </c>
      <c r="DF32" s="128">
        <f>INDEX('Commodity Prices'!$D$7:$D$22,MATCH($B32,'Commodity Prices'!$B$7:$B$22,0))*DF20</f>
        <v>243750.00000000003</v>
      </c>
      <c r="DG32" s="128">
        <f>INDEX('Commodity Prices'!$D$7:$D$22,MATCH($B32,'Commodity Prices'!$B$7:$B$22,0))*DG20</f>
        <v>243750.00000000003</v>
      </c>
      <c r="DH32" s="128">
        <f>INDEX('Commodity Prices'!$D$7:$D$22,MATCH($B32,'Commodity Prices'!$B$7:$B$22,0))*DH20</f>
        <v>243750.00000000003</v>
      </c>
      <c r="DI32" s="128">
        <f>INDEX('Commodity Prices'!$D$7:$D$22,MATCH($B32,'Commodity Prices'!$B$7:$B$22,0))*DI20</f>
        <v>243750.00000000003</v>
      </c>
      <c r="DJ32" s="128">
        <f>INDEX('Commodity Prices'!$D$7:$D$22,MATCH($B32,'Commodity Prices'!$B$7:$B$22,0))*DJ20</f>
        <v>243750.00000000003</v>
      </c>
      <c r="DK32" s="128">
        <f>INDEX('Commodity Prices'!$D$7:$D$22,MATCH($B32,'Commodity Prices'!$B$7:$B$22,0))*DK20</f>
        <v>243750.00000000003</v>
      </c>
      <c r="DL32" s="128">
        <f>INDEX('Commodity Prices'!$D$7:$D$22,MATCH($B32,'Commodity Prices'!$B$7:$B$22,0))*DL20</f>
        <v>243750.00000000003</v>
      </c>
      <c r="DM32" s="128">
        <f>INDEX('Commodity Prices'!$D$7:$D$22,MATCH($B32,'Commodity Prices'!$B$7:$B$22,0))*DM20</f>
        <v>243750.00000000003</v>
      </c>
      <c r="DN32" s="128">
        <f>INDEX('Commodity Prices'!$D$7:$D$22,MATCH($B32,'Commodity Prices'!$B$7:$B$22,0))*DN20</f>
        <v>243750.00000000003</v>
      </c>
      <c r="DO32" s="128">
        <f>INDEX('Commodity Prices'!$D$7:$D$22,MATCH($B32,'Commodity Prices'!$B$7:$B$22,0))*DO20</f>
        <v>243750.00000000003</v>
      </c>
      <c r="DP32" s="128">
        <f>INDEX('Commodity Prices'!$D$7:$D$22,MATCH($B32,'Commodity Prices'!$B$7:$B$22,0))*DP20</f>
        <v>243750.00000000003</v>
      </c>
      <c r="DQ32" s="128">
        <f>INDEX('Commodity Prices'!$D$7:$D$22,MATCH($B32,'Commodity Prices'!$B$7:$B$22,0))*DQ20</f>
        <v>243750.00000000003</v>
      </c>
      <c r="DR32" s="128">
        <f>INDEX('Commodity Prices'!$D$7:$D$22,MATCH($B32,'Commodity Prices'!$B$7:$B$22,0))*DR20</f>
        <v>243750.00000000003</v>
      </c>
      <c r="DS32" s="128">
        <f>INDEX('Commodity Prices'!$D$7:$D$22,MATCH($B32,'Commodity Prices'!$B$7:$B$22,0))*DS20</f>
        <v>243750.00000000003</v>
      </c>
      <c r="DT32" s="128">
        <f>INDEX('Commodity Prices'!$D$7:$D$22,MATCH($B32,'Commodity Prices'!$B$7:$B$22,0))*DT20</f>
        <v>243750.00000000003</v>
      </c>
      <c r="DU32" s="128">
        <f>INDEX('Commodity Prices'!$D$7:$D$22,MATCH($B32,'Commodity Prices'!$B$7:$B$22,0))*DU20</f>
        <v>243750.00000000003</v>
      </c>
      <c r="DV32" s="128">
        <f>INDEX('Commodity Prices'!$D$7:$D$22,MATCH($B32,'Commodity Prices'!$B$7:$B$22,0))*DV20</f>
        <v>243750.00000000003</v>
      </c>
      <c r="DW32" s="128">
        <f>INDEX('Commodity Prices'!$D$7:$D$22,MATCH($B32,'Commodity Prices'!$B$7:$B$22,0))*DW20</f>
        <v>243750.00000000003</v>
      </c>
    </row>
    <row r="33" spans="2:127" x14ac:dyDescent="0.3">
      <c r="B33" s="53" t="str">
        <f t="shared" si="1"/>
        <v>indium</v>
      </c>
      <c r="C33" s="128">
        <f>INDEX('Commodity Prices'!$D$7:$D$22,MATCH($B33,'Commodity Prices'!$B$7:$B$22,0))*C21</f>
        <v>0</v>
      </c>
      <c r="D33" s="128">
        <f>INDEX('Commodity Prices'!$D$7:$D$22,MATCH($B33,'Commodity Prices'!$B$7:$B$22,0))*D21</f>
        <v>0</v>
      </c>
      <c r="E33" s="128">
        <f>INDEX('Commodity Prices'!$D$7:$D$22,MATCH($B33,'Commodity Prices'!$B$7:$B$22,0))*E21</f>
        <v>0</v>
      </c>
      <c r="F33" s="128">
        <f>INDEX('Commodity Prices'!$D$7:$D$22,MATCH($B33,'Commodity Prices'!$B$7:$B$22,0))*F21</f>
        <v>0</v>
      </c>
      <c r="G33" s="128">
        <f>INDEX('Commodity Prices'!$D$7:$D$22,MATCH($B33,'Commodity Prices'!$B$7:$B$22,0))*G21</f>
        <v>187958.33333333328</v>
      </c>
      <c r="H33" s="128">
        <f>INDEX('Commodity Prices'!$D$7:$D$22,MATCH($B33,'Commodity Prices'!$B$7:$B$22,0))*H21</f>
        <v>187958.33333333328</v>
      </c>
      <c r="I33" s="128">
        <f>INDEX('Commodity Prices'!$D$7:$D$22,MATCH($B33,'Commodity Prices'!$B$7:$B$22,0))*I21</f>
        <v>187958.33333333328</v>
      </c>
      <c r="J33" s="128">
        <f>INDEX('Commodity Prices'!$D$7:$D$22,MATCH($B33,'Commodity Prices'!$B$7:$B$22,0))*J21</f>
        <v>187958.33333333328</v>
      </c>
      <c r="K33" s="128">
        <f>INDEX('Commodity Prices'!$D$7:$D$22,MATCH($B33,'Commodity Prices'!$B$7:$B$22,0))*K21</f>
        <v>187958.33333333328</v>
      </c>
      <c r="L33" s="128">
        <f>INDEX('Commodity Prices'!$D$7:$D$22,MATCH($B33,'Commodity Prices'!$B$7:$B$22,0))*L21</f>
        <v>375916.66666666657</v>
      </c>
      <c r="M33" s="128">
        <f>INDEX('Commodity Prices'!$D$7:$D$22,MATCH($B33,'Commodity Prices'!$B$7:$B$22,0))*M21</f>
        <v>375916.66666666657</v>
      </c>
      <c r="N33" s="128">
        <f>INDEX('Commodity Prices'!$D$7:$D$22,MATCH($B33,'Commodity Prices'!$B$7:$B$22,0))*N21</f>
        <v>375916.66666666657</v>
      </c>
      <c r="O33" s="128">
        <f>INDEX('Commodity Prices'!$D$7:$D$22,MATCH($B33,'Commodity Prices'!$B$7:$B$22,0))*O21</f>
        <v>375916.66666666657</v>
      </c>
      <c r="P33" s="128">
        <f>INDEX('Commodity Prices'!$D$7:$D$22,MATCH($B33,'Commodity Prices'!$B$7:$B$22,0))*P21</f>
        <v>375916.66666666657</v>
      </c>
      <c r="Q33" s="128">
        <f>INDEX('Commodity Prices'!$D$7:$D$22,MATCH($B33,'Commodity Prices'!$B$7:$B$22,0))*Q21</f>
        <v>375916.66666666657</v>
      </c>
      <c r="R33" s="128">
        <f>INDEX('Commodity Prices'!$D$7:$D$22,MATCH($B33,'Commodity Prices'!$B$7:$B$22,0))*R21</f>
        <v>375916.66666666657</v>
      </c>
      <c r="S33" s="128">
        <f>INDEX('Commodity Prices'!$D$7:$D$22,MATCH($B33,'Commodity Prices'!$B$7:$B$22,0))*S21</f>
        <v>375916.66666666657</v>
      </c>
      <c r="T33" s="128">
        <f>INDEX('Commodity Prices'!$D$7:$D$22,MATCH($B33,'Commodity Prices'!$B$7:$B$22,0))*T21</f>
        <v>375916.66666666657</v>
      </c>
      <c r="U33" s="128">
        <f>INDEX('Commodity Prices'!$D$7:$D$22,MATCH($B33,'Commodity Prices'!$B$7:$B$22,0))*U21</f>
        <v>375916.66666666657</v>
      </c>
      <c r="V33" s="128">
        <f>INDEX('Commodity Prices'!$D$7:$D$22,MATCH($B33,'Commodity Prices'!$B$7:$B$22,0))*V21</f>
        <v>375916.66666666657</v>
      </c>
      <c r="W33" s="128">
        <f>INDEX('Commodity Prices'!$D$7:$D$22,MATCH($B33,'Commodity Prices'!$B$7:$B$22,0))*W21</f>
        <v>375916.66666666657</v>
      </c>
      <c r="X33" s="128">
        <f>INDEX('Commodity Prices'!$D$7:$D$22,MATCH($B33,'Commodity Prices'!$B$7:$B$22,0))*X21</f>
        <v>375916.66666666657</v>
      </c>
      <c r="Y33" s="128">
        <f>INDEX('Commodity Prices'!$D$7:$D$22,MATCH($B33,'Commodity Prices'!$B$7:$B$22,0))*Y21</f>
        <v>375916.66666666657</v>
      </c>
      <c r="Z33" s="128">
        <f>INDEX('Commodity Prices'!$D$7:$D$22,MATCH($B33,'Commodity Prices'!$B$7:$B$22,0))*Z21</f>
        <v>375916.66666666657</v>
      </c>
      <c r="AA33" s="128">
        <f>INDEX('Commodity Prices'!$D$7:$D$22,MATCH($B33,'Commodity Prices'!$B$7:$B$22,0))*AA21</f>
        <v>375916.66666666657</v>
      </c>
      <c r="AB33" s="128">
        <f>INDEX('Commodity Prices'!$D$7:$D$22,MATCH($B33,'Commodity Prices'!$B$7:$B$22,0))*AB21</f>
        <v>375916.66666666657</v>
      </c>
      <c r="AC33" s="128">
        <f>INDEX('Commodity Prices'!$D$7:$D$22,MATCH($B33,'Commodity Prices'!$B$7:$B$22,0))*AC21</f>
        <v>375916.66666666657</v>
      </c>
      <c r="AD33" s="128">
        <f>INDEX('Commodity Prices'!$D$7:$D$22,MATCH($B33,'Commodity Prices'!$B$7:$B$22,0))*AD21</f>
        <v>375916.66666666657</v>
      </c>
      <c r="AE33" s="128">
        <f>INDEX('Commodity Prices'!$D$7:$D$22,MATCH($B33,'Commodity Prices'!$B$7:$B$22,0))*AE21</f>
        <v>375916.66666666657</v>
      </c>
      <c r="AF33" s="128">
        <f>INDEX('Commodity Prices'!$D$7:$D$22,MATCH($B33,'Commodity Prices'!$B$7:$B$22,0))*AF21</f>
        <v>375916.66666666657</v>
      </c>
      <c r="AG33" s="128">
        <f>INDEX('Commodity Prices'!$D$7:$D$22,MATCH($B33,'Commodity Prices'!$B$7:$B$22,0))*AG21</f>
        <v>375916.66666666657</v>
      </c>
      <c r="AH33" s="128">
        <f>INDEX('Commodity Prices'!$D$7:$D$22,MATCH($B33,'Commodity Prices'!$B$7:$B$22,0))*AH21</f>
        <v>375916.66666666657</v>
      </c>
      <c r="AI33" s="128">
        <f>INDEX('Commodity Prices'!$D$7:$D$22,MATCH($B33,'Commodity Prices'!$B$7:$B$22,0))*AI21</f>
        <v>375916.66666666657</v>
      </c>
      <c r="AJ33" s="128">
        <f>INDEX('Commodity Prices'!$D$7:$D$22,MATCH($B33,'Commodity Prices'!$B$7:$B$22,0))*AJ21</f>
        <v>375916.66666666657</v>
      </c>
      <c r="AK33" s="128">
        <f>INDEX('Commodity Prices'!$D$7:$D$22,MATCH($B33,'Commodity Prices'!$B$7:$B$22,0))*AK21</f>
        <v>375916.66666666657</v>
      </c>
      <c r="AL33" s="128">
        <f>INDEX('Commodity Prices'!$D$7:$D$22,MATCH($B33,'Commodity Prices'!$B$7:$B$22,0))*AL21</f>
        <v>375916.66666666657</v>
      </c>
      <c r="AM33" s="128">
        <f>INDEX('Commodity Prices'!$D$7:$D$22,MATCH($B33,'Commodity Prices'!$B$7:$B$22,0))*AM21</f>
        <v>375916.66666666657</v>
      </c>
      <c r="AN33" s="128">
        <f>INDEX('Commodity Prices'!$D$7:$D$22,MATCH($B33,'Commodity Prices'!$B$7:$B$22,0))*AN21</f>
        <v>375916.66666666657</v>
      </c>
      <c r="AO33" s="128">
        <f>INDEX('Commodity Prices'!$D$7:$D$22,MATCH($B33,'Commodity Prices'!$B$7:$B$22,0))*AO21</f>
        <v>375916.66666666657</v>
      </c>
      <c r="AP33" s="128">
        <f>INDEX('Commodity Prices'!$D$7:$D$22,MATCH($B33,'Commodity Prices'!$B$7:$B$22,0))*AP21</f>
        <v>375916.66666666657</v>
      </c>
      <c r="AQ33" s="128">
        <f>INDEX('Commodity Prices'!$D$7:$D$22,MATCH($B33,'Commodity Prices'!$B$7:$B$22,0))*AQ21</f>
        <v>375916.66666666657</v>
      </c>
      <c r="AR33" s="128">
        <f>INDEX('Commodity Prices'!$D$7:$D$22,MATCH($B33,'Commodity Prices'!$B$7:$B$22,0))*AR21</f>
        <v>375916.66666666657</v>
      </c>
      <c r="AS33" s="128">
        <f>INDEX('Commodity Prices'!$D$7:$D$22,MATCH($B33,'Commodity Prices'!$B$7:$B$22,0))*AS21</f>
        <v>375916.66666666657</v>
      </c>
      <c r="AT33" s="128">
        <f>INDEX('Commodity Prices'!$D$7:$D$22,MATCH($B33,'Commodity Prices'!$B$7:$B$22,0))*AT21</f>
        <v>375916.66666666657</v>
      </c>
      <c r="AU33" s="128">
        <f>INDEX('Commodity Prices'!$D$7:$D$22,MATCH($B33,'Commodity Prices'!$B$7:$B$22,0))*AU21</f>
        <v>375916.66666666657</v>
      </c>
      <c r="AV33" s="128">
        <f>INDEX('Commodity Prices'!$D$7:$D$22,MATCH($B33,'Commodity Prices'!$B$7:$B$22,0))*AV21</f>
        <v>375916.66666666657</v>
      </c>
      <c r="AW33" s="128">
        <f>INDEX('Commodity Prices'!$D$7:$D$22,MATCH($B33,'Commodity Prices'!$B$7:$B$22,0))*AW21</f>
        <v>375916.66666666657</v>
      </c>
      <c r="AX33" s="128">
        <f>INDEX('Commodity Prices'!$D$7:$D$22,MATCH($B33,'Commodity Prices'!$B$7:$B$22,0))*AX21</f>
        <v>375916.66666666657</v>
      </c>
      <c r="AY33" s="128">
        <f>INDEX('Commodity Prices'!$D$7:$D$22,MATCH($B33,'Commodity Prices'!$B$7:$B$22,0))*AY21</f>
        <v>375916.66666666657</v>
      </c>
      <c r="AZ33" s="128">
        <f>INDEX('Commodity Prices'!$D$7:$D$22,MATCH($B33,'Commodity Prices'!$B$7:$B$22,0))*AZ21</f>
        <v>375916.66666666657</v>
      </c>
      <c r="BA33" s="128">
        <f>INDEX('Commodity Prices'!$D$7:$D$22,MATCH($B33,'Commodity Prices'!$B$7:$B$22,0))*BA21</f>
        <v>375916.66666666657</v>
      </c>
      <c r="BB33" s="128">
        <f>INDEX('Commodity Prices'!$D$7:$D$22,MATCH($B33,'Commodity Prices'!$B$7:$B$22,0))*BB21</f>
        <v>375916.66666666657</v>
      </c>
      <c r="BC33" s="128">
        <f>INDEX('Commodity Prices'!$D$7:$D$22,MATCH($B33,'Commodity Prices'!$B$7:$B$22,0))*BC21</f>
        <v>375916.66666666657</v>
      </c>
      <c r="BD33" s="128">
        <f>INDEX('Commodity Prices'!$D$7:$D$22,MATCH($B33,'Commodity Prices'!$B$7:$B$22,0))*BD21</f>
        <v>375916.66666666657</v>
      </c>
      <c r="BE33" s="128">
        <f>INDEX('Commodity Prices'!$D$7:$D$22,MATCH($B33,'Commodity Prices'!$B$7:$B$22,0))*BE21</f>
        <v>375916.66666666657</v>
      </c>
      <c r="BF33" s="128">
        <f>INDEX('Commodity Prices'!$D$7:$D$22,MATCH($B33,'Commodity Prices'!$B$7:$B$22,0))*BF21</f>
        <v>375916.66666666657</v>
      </c>
      <c r="BG33" s="128">
        <f>INDEX('Commodity Prices'!$D$7:$D$22,MATCH($B33,'Commodity Prices'!$B$7:$B$22,0))*BG21</f>
        <v>375916.66666666657</v>
      </c>
      <c r="BH33" s="128">
        <f>INDEX('Commodity Prices'!$D$7:$D$22,MATCH($B33,'Commodity Prices'!$B$7:$B$22,0))*BH21</f>
        <v>375916.66666666657</v>
      </c>
      <c r="BI33" s="128">
        <f>INDEX('Commodity Prices'!$D$7:$D$22,MATCH($B33,'Commodity Prices'!$B$7:$B$22,0))*BI21</f>
        <v>375916.66666666657</v>
      </c>
      <c r="BJ33" s="128">
        <f>INDEX('Commodity Prices'!$D$7:$D$22,MATCH($B33,'Commodity Prices'!$B$7:$B$22,0))*BJ21</f>
        <v>375916.66666666657</v>
      </c>
      <c r="BK33" s="128">
        <f>INDEX('Commodity Prices'!$D$7:$D$22,MATCH($B33,'Commodity Prices'!$B$7:$B$22,0))*BK21</f>
        <v>375916.66666666657</v>
      </c>
      <c r="BL33" s="128">
        <f>INDEX('Commodity Prices'!$D$7:$D$22,MATCH($B33,'Commodity Prices'!$B$7:$B$22,0))*BL21</f>
        <v>375916.66666666657</v>
      </c>
      <c r="BM33" s="128">
        <f>INDEX('Commodity Prices'!$D$7:$D$22,MATCH($B33,'Commodity Prices'!$B$7:$B$22,0))*BM21</f>
        <v>375916.66666666657</v>
      </c>
      <c r="BN33" s="128">
        <f>INDEX('Commodity Prices'!$D$7:$D$22,MATCH($B33,'Commodity Prices'!$B$7:$B$22,0))*BN21</f>
        <v>375916.66666666657</v>
      </c>
      <c r="BO33" s="128">
        <f>INDEX('Commodity Prices'!$D$7:$D$22,MATCH($B33,'Commodity Prices'!$B$7:$B$22,0))*BO21</f>
        <v>375916.66666666657</v>
      </c>
      <c r="BP33" s="128">
        <f>INDEX('Commodity Prices'!$D$7:$D$22,MATCH($B33,'Commodity Prices'!$B$7:$B$22,0))*BP21</f>
        <v>375916.66666666657</v>
      </c>
      <c r="BQ33" s="128">
        <f>INDEX('Commodity Prices'!$D$7:$D$22,MATCH($B33,'Commodity Prices'!$B$7:$B$22,0))*BQ21</f>
        <v>375916.66666666657</v>
      </c>
      <c r="BR33" s="128">
        <f>INDEX('Commodity Prices'!$D$7:$D$22,MATCH($B33,'Commodity Prices'!$B$7:$B$22,0))*BR21</f>
        <v>375916.66666666657</v>
      </c>
      <c r="BS33" s="128">
        <f>INDEX('Commodity Prices'!$D$7:$D$22,MATCH($B33,'Commodity Prices'!$B$7:$B$22,0))*BS21</f>
        <v>375916.66666666657</v>
      </c>
      <c r="BT33" s="128">
        <f>INDEX('Commodity Prices'!$D$7:$D$22,MATCH($B33,'Commodity Prices'!$B$7:$B$22,0))*BT21</f>
        <v>375916.66666666657</v>
      </c>
      <c r="BU33" s="128">
        <f>INDEX('Commodity Prices'!$D$7:$D$22,MATCH($B33,'Commodity Prices'!$B$7:$B$22,0))*BU21</f>
        <v>375916.66666666657</v>
      </c>
      <c r="BV33" s="128">
        <f>INDEX('Commodity Prices'!$D$7:$D$22,MATCH($B33,'Commodity Prices'!$B$7:$B$22,0))*BV21</f>
        <v>375916.66666666657</v>
      </c>
      <c r="BW33" s="128">
        <f>INDEX('Commodity Prices'!$D$7:$D$22,MATCH($B33,'Commodity Prices'!$B$7:$B$22,0))*BW21</f>
        <v>375916.66666666657</v>
      </c>
      <c r="BX33" s="128">
        <f>INDEX('Commodity Prices'!$D$7:$D$22,MATCH($B33,'Commodity Prices'!$B$7:$B$22,0))*BX21</f>
        <v>375916.66666666657</v>
      </c>
      <c r="BY33" s="128">
        <f>INDEX('Commodity Prices'!$D$7:$D$22,MATCH($B33,'Commodity Prices'!$B$7:$B$22,0))*BY21</f>
        <v>375916.66666666657</v>
      </c>
      <c r="BZ33" s="128">
        <f>INDEX('Commodity Prices'!$D$7:$D$22,MATCH($B33,'Commodity Prices'!$B$7:$B$22,0))*BZ21</f>
        <v>375916.66666666657</v>
      </c>
      <c r="CA33" s="128">
        <f>INDEX('Commodity Prices'!$D$7:$D$22,MATCH($B33,'Commodity Prices'!$B$7:$B$22,0))*CA21</f>
        <v>375916.66666666657</v>
      </c>
      <c r="CB33" s="128">
        <f>INDEX('Commodity Prices'!$D$7:$D$22,MATCH($B33,'Commodity Prices'!$B$7:$B$22,0))*CB21</f>
        <v>375916.66666666657</v>
      </c>
      <c r="CC33" s="128">
        <f>INDEX('Commodity Prices'!$D$7:$D$22,MATCH($B33,'Commodity Prices'!$B$7:$B$22,0))*CC21</f>
        <v>375916.66666666657</v>
      </c>
      <c r="CD33" s="128">
        <f>INDEX('Commodity Prices'!$D$7:$D$22,MATCH($B33,'Commodity Prices'!$B$7:$B$22,0))*CD21</f>
        <v>375916.66666666657</v>
      </c>
      <c r="CE33" s="128">
        <f>INDEX('Commodity Prices'!$D$7:$D$22,MATCH($B33,'Commodity Prices'!$B$7:$B$22,0))*CE21</f>
        <v>375916.66666666657</v>
      </c>
      <c r="CF33" s="128">
        <f>INDEX('Commodity Prices'!$D$7:$D$22,MATCH($B33,'Commodity Prices'!$B$7:$B$22,0))*CF21</f>
        <v>375916.66666666657</v>
      </c>
      <c r="CG33" s="128">
        <f>INDEX('Commodity Prices'!$D$7:$D$22,MATCH($B33,'Commodity Prices'!$B$7:$B$22,0))*CG21</f>
        <v>375916.66666666657</v>
      </c>
      <c r="CH33" s="128">
        <f>INDEX('Commodity Prices'!$D$7:$D$22,MATCH($B33,'Commodity Prices'!$B$7:$B$22,0))*CH21</f>
        <v>375916.66666666657</v>
      </c>
      <c r="CI33" s="128">
        <f>INDEX('Commodity Prices'!$D$7:$D$22,MATCH($B33,'Commodity Prices'!$B$7:$B$22,0))*CI21</f>
        <v>375916.66666666657</v>
      </c>
      <c r="CJ33" s="128">
        <f>INDEX('Commodity Prices'!$D$7:$D$22,MATCH($B33,'Commodity Prices'!$B$7:$B$22,0))*CJ21</f>
        <v>375916.66666666657</v>
      </c>
      <c r="CK33" s="128">
        <f>INDEX('Commodity Prices'!$D$7:$D$22,MATCH($B33,'Commodity Prices'!$B$7:$B$22,0))*CK21</f>
        <v>375916.66666666657</v>
      </c>
      <c r="CL33" s="128">
        <f>INDEX('Commodity Prices'!$D$7:$D$22,MATCH($B33,'Commodity Prices'!$B$7:$B$22,0))*CL21</f>
        <v>375916.66666666657</v>
      </c>
      <c r="CM33" s="128">
        <f>INDEX('Commodity Prices'!$D$7:$D$22,MATCH($B33,'Commodity Prices'!$B$7:$B$22,0))*CM21</f>
        <v>375916.66666666657</v>
      </c>
      <c r="CN33" s="128">
        <f>INDEX('Commodity Prices'!$D$7:$D$22,MATCH($B33,'Commodity Prices'!$B$7:$B$22,0))*CN21</f>
        <v>375916.66666666657</v>
      </c>
      <c r="CO33" s="128">
        <f>INDEX('Commodity Prices'!$D$7:$D$22,MATCH($B33,'Commodity Prices'!$B$7:$B$22,0))*CO21</f>
        <v>375916.66666666657</v>
      </c>
      <c r="CP33" s="128">
        <f>INDEX('Commodity Prices'!$D$7:$D$22,MATCH($B33,'Commodity Prices'!$B$7:$B$22,0))*CP21</f>
        <v>375916.66666666657</v>
      </c>
      <c r="CQ33" s="128">
        <f>INDEX('Commodity Prices'!$D$7:$D$22,MATCH($B33,'Commodity Prices'!$B$7:$B$22,0))*CQ21</f>
        <v>375916.66666666657</v>
      </c>
      <c r="CR33" s="128">
        <f>INDEX('Commodity Prices'!$D$7:$D$22,MATCH($B33,'Commodity Prices'!$B$7:$B$22,0))*CR21</f>
        <v>375916.66666666657</v>
      </c>
      <c r="CS33" s="128">
        <f>INDEX('Commodity Prices'!$D$7:$D$22,MATCH($B33,'Commodity Prices'!$B$7:$B$22,0))*CS21</f>
        <v>375916.66666666657</v>
      </c>
      <c r="CT33" s="128">
        <f>INDEX('Commodity Prices'!$D$7:$D$22,MATCH($B33,'Commodity Prices'!$B$7:$B$22,0))*CT21</f>
        <v>375916.66666666657</v>
      </c>
      <c r="CU33" s="128">
        <f>INDEX('Commodity Prices'!$D$7:$D$22,MATCH($B33,'Commodity Prices'!$B$7:$B$22,0))*CU21</f>
        <v>375916.66666666657</v>
      </c>
      <c r="CV33" s="128">
        <f>INDEX('Commodity Prices'!$D$7:$D$22,MATCH($B33,'Commodity Prices'!$B$7:$B$22,0))*CV21</f>
        <v>375916.66666666657</v>
      </c>
      <c r="CW33" s="128">
        <f>INDEX('Commodity Prices'!$D$7:$D$22,MATCH($B33,'Commodity Prices'!$B$7:$B$22,0))*CW21</f>
        <v>375916.66666666657</v>
      </c>
      <c r="CX33" s="128">
        <f>INDEX('Commodity Prices'!$D$7:$D$22,MATCH($B33,'Commodity Prices'!$B$7:$B$22,0))*CX21</f>
        <v>375916.66666666657</v>
      </c>
      <c r="CY33" s="128">
        <f>INDEX('Commodity Prices'!$D$7:$D$22,MATCH($B33,'Commodity Prices'!$B$7:$B$22,0))*CY21</f>
        <v>375916.66666666657</v>
      </c>
      <c r="CZ33" s="128">
        <f>INDEX('Commodity Prices'!$D$7:$D$22,MATCH($B33,'Commodity Prices'!$B$7:$B$22,0))*CZ21</f>
        <v>375916.66666666657</v>
      </c>
      <c r="DA33" s="128">
        <f>INDEX('Commodity Prices'!$D$7:$D$22,MATCH($B33,'Commodity Prices'!$B$7:$B$22,0))*DA21</f>
        <v>375916.66666666657</v>
      </c>
      <c r="DB33" s="128">
        <f>INDEX('Commodity Prices'!$D$7:$D$22,MATCH($B33,'Commodity Prices'!$B$7:$B$22,0))*DB21</f>
        <v>375916.66666666657</v>
      </c>
      <c r="DC33" s="128">
        <f>INDEX('Commodity Prices'!$D$7:$D$22,MATCH($B33,'Commodity Prices'!$B$7:$B$22,0))*DC21</f>
        <v>375916.66666666657</v>
      </c>
      <c r="DD33" s="128">
        <f>INDEX('Commodity Prices'!$D$7:$D$22,MATCH($B33,'Commodity Prices'!$B$7:$B$22,0))*DD21</f>
        <v>375916.66666666657</v>
      </c>
      <c r="DE33" s="128">
        <f>INDEX('Commodity Prices'!$D$7:$D$22,MATCH($B33,'Commodity Prices'!$B$7:$B$22,0))*DE21</f>
        <v>375916.66666666657</v>
      </c>
      <c r="DF33" s="128">
        <f>INDEX('Commodity Prices'!$D$7:$D$22,MATCH($B33,'Commodity Prices'!$B$7:$B$22,0))*DF21</f>
        <v>375916.66666666657</v>
      </c>
      <c r="DG33" s="128">
        <f>INDEX('Commodity Prices'!$D$7:$D$22,MATCH($B33,'Commodity Prices'!$B$7:$B$22,0))*DG21</f>
        <v>375916.66666666657</v>
      </c>
      <c r="DH33" s="128">
        <f>INDEX('Commodity Prices'!$D$7:$D$22,MATCH($B33,'Commodity Prices'!$B$7:$B$22,0))*DH21</f>
        <v>375916.66666666657</v>
      </c>
      <c r="DI33" s="128">
        <f>INDEX('Commodity Prices'!$D$7:$D$22,MATCH($B33,'Commodity Prices'!$B$7:$B$22,0))*DI21</f>
        <v>375916.66666666657</v>
      </c>
      <c r="DJ33" s="128">
        <f>INDEX('Commodity Prices'!$D$7:$D$22,MATCH($B33,'Commodity Prices'!$B$7:$B$22,0))*DJ21</f>
        <v>375916.66666666657</v>
      </c>
      <c r="DK33" s="128">
        <f>INDEX('Commodity Prices'!$D$7:$D$22,MATCH($B33,'Commodity Prices'!$B$7:$B$22,0))*DK21</f>
        <v>375916.66666666657</v>
      </c>
      <c r="DL33" s="128">
        <f>INDEX('Commodity Prices'!$D$7:$D$22,MATCH($B33,'Commodity Prices'!$B$7:$B$22,0))*DL21</f>
        <v>375916.66666666657</v>
      </c>
      <c r="DM33" s="128">
        <f>INDEX('Commodity Prices'!$D$7:$D$22,MATCH($B33,'Commodity Prices'!$B$7:$B$22,0))*DM21</f>
        <v>375916.66666666657</v>
      </c>
      <c r="DN33" s="128">
        <f>INDEX('Commodity Prices'!$D$7:$D$22,MATCH($B33,'Commodity Prices'!$B$7:$B$22,0))*DN21</f>
        <v>375916.66666666657</v>
      </c>
      <c r="DO33" s="128">
        <f>INDEX('Commodity Prices'!$D$7:$D$22,MATCH($B33,'Commodity Prices'!$B$7:$B$22,0))*DO21</f>
        <v>375916.66666666657</v>
      </c>
      <c r="DP33" s="128">
        <f>INDEX('Commodity Prices'!$D$7:$D$22,MATCH($B33,'Commodity Prices'!$B$7:$B$22,0))*DP21</f>
        <v>375916.66666666657</v>
      </c>
      <c r="DQ33" s="128">
        <f>INDEX('Commodity Prices'!$D$7:$D$22,MATCH($B33,'Commodity Prices'!$B$7:$B$22,0))*DQ21</f>
        <v>375916.66666666657</v>
      </c>
      <c r="DR33" s="128">
        <f>INDEX('Commodity Prices'!$D$7:$D$22,MATCH($B33,'Commodity Prices'!$B$7:$B$22,0))*DR21</f>
        <v>375916.66666666657</v>
      </c>
      <c r="DS33" s="128">
        <f>INDEX('Commodity Prices'!$D$7:$D$22,MATCH($B33,'Commodity Prices'!$B$7:$B$22,0))*DS21</f>
        <v>375916.66666666657</v>
      </c>
      <c r="DT33" s="128">
        <f>INDEX('Commodity Prices'!$D$7:$D$22,MATCH($B33,'Commodity Prices'!$B$7:$B$22,0))*DT21</f>
        <v>375916.66666666657</v>
      </c>
      <c r="DU33" s="128">
        <f>INDEX('Commodity Prices'!$D$7:$D$22,MATCH($B33,'Commodity Prices'!$B$7:$B$22,0))*DU21</f>
        <v>375916.66666666657</v>
      </c>
      <c r="DV33" s="128">
        <f>INDEX('Commodity Prices'!$D$7:$D$22,MATCH($B33,'Commodity Prices'!$B$7:$B$22,0))*DV21</f>
        <v>375916.66666666657</v>
      </c>
      <c r="DW33" s="128">
        <f>INDEX('Commodity Prices'!$D$7:$D$22,MATCH($B33,'Commodity Prices'!$B$7:$B$22,0))*DW21</f>
        <v>375916.66666666657</v>
      </c>
    </row>
    <row r="34" spans="2:127" x14ac:dyDescent="0.3">
      <c r="B34" s="53" t="str">
        <f t="shared" si="1"/>
        <v>Tellurium</v>
      </c>
      <c r="C34" s="128">
        <f>INDEX('Commodity Prices'!$D$7:$D$22,MATCH($B34,'Commodity Prices'!$B$7:$B$22,0))*C22</f>
        <v>0</v>
      </c>
      <c r="D34" s="128">
        <f>INDEX('Commodity Prices'!$D$7:$D$22,MATCH($B34,'Commodity Prices'!$B$7:$B$22,0))*D22</f>
        <v>0</v>
      </c>
      <c r="E34" s="128">
        <f>INDEX('Commodity Prices'!$D$7:$D$22,MATCH($B34,'Commodity Prices'!$B$7:$B$22,0))*E22</f>
        <v>0</v>
      </c>
      <c r="F34" s="128">
        <f>INDEX('Commodity Prices'!$D$7:$D$22,MATCH($B34,'Commodity Prices'!$B$7:$B$22,0))*F22</f>
        <v>0</v>
      </c>
      <c r="G34" s="128">
        <f>INDEX('Commodity Prices'!$D$7:$D$22,MATCH($B34,'Commodity Prices'!$B$7:$B$22,0))*G22</f>
        <v>165174.47916666666</v>
      </c>
      <c r="H34" s="128">
        <f>INDEX('Commodity Prices'!$D$7:$D$22,MATCH($B34,'Commodity Prices'!$B$7:$B$22,0))*H22</f>
        <v>165174.47916666666</v>
      </c>
      <c r="I34" s="128">
        <f>INDEX('Commodity Prices'!$D$7:$D$22,MATCH($B34,'Commodity Prices'!$B$7:$B$22,0))*I22</f>
        <v>165174.47916666666</v>
      </c>
      <c r="J34" s="128">
        <f>INDEX('Commodity Prices'!$D$7:$D$22,MATCH($B34,'Commodity Prices'!$B$7:$B$22,0))*J22</f>
        <v>165174.47916666666</v>
      </c>
      <c r="K34" s="128">
        <f>INDEX('Commodity Prices'!$D$7:$D$22,MATCH($B34,'Commodity Prices'!$B$7:$B$22,0))*K22</f>
        <v>165174.47916666666</v>
      </c>
      <c r="L34" s="128">
        <f>INDEX('Commodity Prices'!$D$7:$D$22,MATCH($B34,'Commodity Prices'!$B$7:$B$22,0))*L22</f>
        <v>330348.95833333331</v>
      </c>
      <c r="M34" s="128">
        <f>INDEX('Commodity Prices'!$D$7:$D$22,MATCH($B34,'Commodity Prices'!$B$7:$B$22,0))*M22</f>
        <v>330348.95833333331</v>
      </c>
      <c r="N34" s="128">
        <f>INDEX('Commodity Prices'!$D$7:$D$22,MATCH($B34,'Commodity Prices'!$B$7:$B$22,0))*N22</f>
        <v>330348.95833333331</v>
      </c>
      <c r="O34" s="128">
        <f>INDEX('Commodity Prices'!$D$7:$D$22,MATCH($B34,'Commodity Prices'!$B$7:$B$22,0))*O22</f>
        <v>330348.95833333331</v>
      </c>
      <c r="P34" s="128">
        <f>INDEX('Commodity Prices'!$D$7:$D$22,MATCH($B34,'Commodity Prices'!$B$7:$B$22,0))*P22</f>
        <v>330348.95833333331</v>
      </c>
      <c r="Q34" s="128">
        <f>INDEX('Commodity Prices'!$D$7:$D$22,MATCH($B34,'Commodity Prices'!$B$7:$B$22,0))*Q22</f>
        <v>330348.95833333331</v>
      </c>
      <c r="R34" s="128">
        <f>INDEX('Commodity Prices'!$D$7:$D$22,MATCH($B34,'Commodity Prices'!$B$7:$B$22,0))*R22</f>
        <v>330348.95833333331</v>
      </c>
      <c r="S34" s="128">
        <f>INDEX('Commodity Prices'!$D$7:$D$22,MATCH($B34,'Commodity Prices'!$B$7:$B$22,0))*S22</f>
        <v>330348.95833333331</v>
      </c>
      <c r="T34" s="128">
        <f>INDEX('Commodity Prices'!$D$7:$D$22,MATCH($B34,'Commodity Prices'!$B$7:$B$22,0))*T22</f>
        <v>330348.95833333331</v>
      </c>
      <c r="U34" s="128">
        <f>INDEX('Commodity Prices'!$D$7:$D$22,MATCH($B34,'Commodity Prices'!$B$7:$B$22,0))*U22</f>
        <v>330348.95833333331</v>
      </c>
      <c r="V34" s="128">
        <f>INDEX('Commodity Prices'!$D$7:$D$22,MATCH($B34,'Commodity Prices'!$B$7:$B$22,0))*V22</f>
        <v>330348.95833333331</v>
      </c>
      <c r="W34" s="128">
        <f>INDEX('Commodity Prices'!$D$7:$D$22,MATCH($B34,'Commodity Prices'!$B$7:$B$22,0))*W22</f>
        <v>330348.95833333331</v>
      </c>
      <c r="X34" s="128">
        <f>INDEX('Commodity Prices'!$D$7:$D$22,MATCH($B34,'Commodity Prices'!$B$7:$B$22,0))*X22</f>
        <v>330348.95833333331</v>
      </c>
      <c r="Y34" s="128">
        <f>INDEX('Commodity Prices'!$D$7:$D$22,MATCH($B34,'Commodity Prices'!$B$7:$B$22,0))*Y22</f>
        <v>330348.95833333331</v>
      </c>
      <c r="Z34" s="128">
        <f>INDEX('Commodity Prices'!$D$7:$D$22,MATCH($B34,'Commodity Prices'!$B$7:$B$22,0))*Z22</f>
        <v>330348.95833333331</v>
      </c>
      <c r="AA34" s="128">
        <f>INDEX('Commodity Prices'!$D$7:$D$22,MATCH($B34,'Commodity Prices'!$B$7:$B$22,0))*AA22</f>
        <v>330348.95833333331</v>
      </c>
      <c r="AB34" s="128">
        <f>INDEX('Commodity Prices'!$D$7:$D$22,MATCH($B34,'Commodity Prices'!$B$7:$B$22,0))*AB22</f>
        <v>330348.95833333331</v>
      </c>
      <c r="AC34" s="128">
        <f>INDEX('Commodity Prices'!$D$7:$D$22,MATCH($B34,'Commodity Prices'!$B$7:$B$22,0))*AC22</f>
        <v>330348.95833333331</v>
      </c>
      <c r="AD34" s="128">
        <f>INDEX('Commodity Prices'!$D$7:$D$22,MATCH($B34,'Commodity Prices'!$B$7:$B$22,0))*AD22</f>
        <v>330348.95833333331</v>
      </c>
      <c r="AE34" s="128">
        <f>INDEX('Commodity Prices'!$D$7:$D$22,MATCH($B34,'Commodity Prices'!$B$7:$B$22,0))*AE22</f>
        <v>330348.95833333331</v>
      </c>
      <c r="AF34" s="128">
        <f>INDEX('Commodity Prices'!$D$7:$D$22,MATCH($B34,'Commodity Prices'!$B$7:$B$22,0))*AF22</f>
        <v>330348.95833333331</v>
      </c>
      <c r="AG34" s="128">
        <f>INDEX('Commodity Prices'!$D$7:$D$22,MATCH($B34,'Commodity Prices'!$B$7:$B$22,0))*AG22</f>
        <v>330348.95833333331</v>
      </c>
      <c r="AH34" s="128">
        <f>INDEX('Commodity Prices'!$D$7:$D$22,MATCH($B34,'Commodity Prices'!$B$7:$B$22,0))*AH22</f>
        <v>330348.95833333331</v>
      </c>
      <c r="AI34" s="128">
        <f>INDEX('Commodity Prices'!$D$7:$D$22,MATCH($B34,'Commodity Prices'!$B$7:$B$22,0))*AI22</f>
        <v>330348.95833333331</v>
      </c>
      <c r="AJ34" s="128">
        <f>INDEX('Commodity Prices'!$D$7:$D$22,MATCH($B34,'Commodity Prices'!$B$7:$B$22,0))*AJ22</f>
        <v>330348.95833333331</v>
      </c>
      <c r="AK34" s="128">
        <f>INDEX('Commodity Prices'!$D$7:$D$22,MATCH($B34,'Commodity Prices'!$B$7:$B$22,0))*AK22</f>
        <v>330348.95833333331</v>
      </c>
      <c r="AL34" s="128">
        <f>INDEX('Commodity Prices'!$D$7:$D$22,MATCH($B34,'Commodity Prices'!$B$7:$B$22,0))*AL22</f>
        <v>330348.95833333331</v>
      </c>
      <c r="AM34" s="128">
        <f>INDEX('Commodity Prices'!$D$7:$D$22,MATCH($B34,'Commodity Prices'!$B$7:$B$22,0))*AM22</f>
        <v>330348.95833333331</v>
      </c>
      <c r="AN34" s="128">
        <f>INDEX('Commodity Prices'!$D$7:$D$22,MATCH($B34,'Commodity Prices'!$B$7:$B$22,0))*AN22</f>
        <v>330348.95833333331</v>
      </c>
      <c r="AO34" s="128">
        <f>INDEX('Commodity Prices'!$D$7:$D$22,MATCH($B34,'Commodity Prices'!$B$7:$B$22,0))*AO22</f>
        <v>330348.95833333331</v>
      </c>
      <c r="AP34" s="128">
        <f>INDEX('Commodity Prices'!$D$7:$D$22,MATCH($B34,'Commodity Prices'!$B$7:$B$22,0))*AP22</f>
        <v>330348.95833333331</v>
      </c>
      <c r="AQ34" s="128">
        <f>INDEX('Commodity Prices'!$D$7:$D$22,MATCH($B34,'Commodity Prices'!$B$7:$B$22,0))*AQ22</f>
        <v>330348.95833333331</v>
      </c>
      <c r="AR34" s="128">
        <f>INDEX('Commodity Prices'!$D$7:$D$22,MATCH($B34,'Commodity Prices'!$B$7:$B$22,0))*AR22</f>
        <v>330348.95833333331</v>
      </c>
      <c r="AS34" s="128">
        <f>INDEX('Commodity Prices'!$D$7:$D$22,MATCH($B34,'Commodity Prices'!$B$7:$B$22,0))*AS22</f>
        <v>330348.95833333331</v>
      </c>
      <c r="AT34" s="128">
        <f>INDEX('Commodity Prices'!$D$7:$D$22,MATCH($B34,'Commodity Prices'!$B$7:$B$22,0))*AT22</f>
        <v>330348.95833333331</v>
      </c>
      <c r="AU34" s="128">
        <f>INDEX('Commodity Prices'!$D$7:$D$22,MATCH($B34,'Commodity Prices'!$B$7:$B$22,0))*AU22</f>
        <v>330348.95833333331</v>
      </c>
      <c r="AV34" s="128">
        <f>INDEX('Commodity Prices'!$D$7:$D$22,MATCH($B34,'Commodity Prices'!$B$7:$B$22,0))*AV22</f>
        <v>330348.95833333331</v>
      </c>
      <c r="AW34" s="128">
        <f>INDEX('Commodity Prices'!$D$7:$D$22,MATCH($B34,'Commodity Prices'!$B$7:$B$22,0))*AW22</f>
        <v>330348.95833333331</v>
      </c>
      <c r="AX34" s="128">
        <f>INDEX('Commodity Prices'!$D$7:$D$22,MATCH($B34,'Commodity Prices'!$B$7:$B$22,0))*AX22</f>
        <v>330348.95833333331</v>
      </c>
      <c r="AY34" s="128">
        <f>INDEX('Commodity Prices'!$D$7:$D$22,MATCH($B34,'Commodity Prices'!$B$7:$B$22,0))*AY22</f>
        <v>330348.95833333331</v>
      </c>
      <c r="AZ34" s="128">
        <f>INDEX('Commodity Prices'!$D$7:$D$22,MATCH($B34,'Commodity Prices'!$B$7:$B$22,0))*AZ22</f>
        <v>330348.95833333331</v>
      </c>
      <c r="BA34" s="128">
        <f>INDEX('Commodity Prices'!$D$7:$D$22,MATCH($B34,'Commodity Prices'!$B$7:$B$22,0))*BA22</f>
        <v>330348.95833333331</v>
      </c>
      <c r="BB34" s="128">
        <f>INDEX('Commodity Prices'!$D$7:$D$22,MATCH($B34,'Commodity Prices'!$B$7:$B$22,0))*BB22</f>
        <v>330348.95833333331</v>
      </c>
      <c r="BC34" s="128">
        <f>INDEX('Commodity Prices'!$D$7:$D$22,MATCH($B34,'Commodity Prices'!$B$7:$B$22,0))*BC22</f>
        <v>330348.95833333331</v>
      </c>
      <c r="BD34" s="128">
        <f>INDEX('Commodity Prices'!$D$7:$D$22,MATCH($B34,'Commodity Prices'!$B$7:$B$22,0))*BD22</f>
        <v>330348.95833333331</v>
      </c>
      <c r="BE34" s="128">
        <f>INDEX('Commodity Prices'!$D$7:$D$22,MATCH($B34,'Commodity Prices'!$B$7:$B$22,0))*BE22</f>
        <v>330348.95833333331</v>
      </c>
      <c r="BF34" s="128">
        <f>INDEX('Commodity Prices'!$D$7:$D$22,MATCH($B34,'Commodity Prices'!$B$7:$B$22,0))*BF22</f>
        <v>330348.95833333331</v>
      </c>
      <c r="BG34" s="128">
        <f>INDEX('Commodity Prices'!$D$7:$D$22,MATCH($B34,'Commodity Prices'!$B$7:$B$22,0))*BG22</f>
        <v>330348.95833333331</v>
      </c>
      <c r="BH34" s="128">
        <f>INDEX('Commodity Prices'!$D$7:$D$22,MATCH($B34,'Commodity Prices'!$B$7:$B$22,0))*BH22</f>
        <v>330348.95833333331</v>
      </c>
      <c r="BI34" s="128">
        <f>INDEX('Commodity Prices'!$D$7:$D$22,MATCH($B34,'Commodity Prices'!$B$7:$B$22,0))*BI22</f>
        <v>330348.95833333331</v>
      </c>
      <c r="BJ34" s="128">
        <f>INDEX('Commodity Prices'!$D$7:$D$22,MATCH($B34,'Commodity Prices'!$B$7:$B$22,0))*BJ22</f>
        <v>330348.95833333331</v>
      </c>
      <c r="BK34" s="128">
        <f>INDEX('Commodity Prices'!$D$7:$D$22,MATCH($B34,'Commodity Prices'!$B$7:$B$22,0))*BK22</f>
        <v>330348.95833333331</v>
      </c>
      <c r="BL34" s="128">
        <f>INDEX('Commodity Prices'!$D$7:$D$22,MATCH($B34,'Commodity Prices'!$B$7:$B$22,0))*BL22</f>
        <v>330348.95833333331</v>
      </c>
      <c r="BM34" s="128">
        <f>INDEX('Commodity Prices'!$D$7:$D$22,MATCH($B34,'Commodity Prices'!$B$7:$B$22,0))*BM22</f>
        <v>330348.95833333331</v>
      </c>
      <c r="BN34" s="128">
        <f>INDEX('Commodity Prices'!$D$7:$D$22,MATCH($B34,'Commodity Prices'!$B$7:$B$22,0))*BN22</f>
        <v>330348.95833333331</v>
      </c>
      <c r="BO34" s="128">
        <f>INDEX('Commodity Prices'!$D$7:$D$22,MATCH($B34,'Commodity Prices'!$B$7:$B$22,0))*BO22</f>
        <v>330348.95833333331</v>
      </c>
      <c r="BP34" s="128">
        <f>INDEX('Commodity Prices'!$D$7:$D$22,MATCH($B34,'Commodity Prices'!$B$7:$B$22,0))*BP22</f>
        <v>330348.95833333331</v>
      </c>
      <c r="BQ34" s="128">
        <f>INDEX('Commodity Prices'!$D$7:$D$22,MATCH($B34,'Commodity Prices'!$B$7:$B$22,0))*BQ22</f>
        <v>330348.95833333331</v>
      </c>
      <c r="BR34" s="128">
        <f>INDEX('Commodity Prices'!$D$7:$D$22,MATCH($B34,'Commodity Prices'!$B$7:$B$22,0))*BR22</f>
        <v>330348.95833333331</v>
      </c>
      <c r="BS34" s="128">
        <f>INDEX('Commodity Prices'!$D$7:$D$22,MATCH($B34,'Commodity Prices'!$B$7:$B$22,0))*BS22</f>
        <v>330348.95833333331</v>
      </c>
      <c r="BT34" s="128">
        <f>INDEX('Commodity Prices'!$D$7:$D$22,MATCH($B34,'Commodity Prices'!$B$7:$B$22,0))*BT22</f>
        <v>330348.95833333331</v>
      </c>
      <c r="BU34" s="128">
        <f>INDEX('Commodity Prices'!$D$7:$D$22,MATCH($B34,'Commodity Prices'!$B$7:$B$22,0))*BU22</f>
        <v>330348.95833333331</v>
      </c>
      <c r="BV34" s="128">
        <f>INDEX('Commodity Prices'!$D$7:$D$22,MATCH($B34,'Commodity Prices'!$B$7:$B$22,0))*BV22</f>
        <v>330348.95833333331</v>
      </c>
      <c r="BW34" s="128">
        <f>INDEX('Commodity Prices'!$D$7:$D$22,MATCH($B34,'Commodity Prices'!$B$7:$B$22,0))*BW22</f>
        <v>330348.95833333331</v>
      </c>
      <c r="BX34" s="128">
        <f>INDEX('Commodity Prices'!$D$7:$D$22,MATCH($B34,'Commodity Prices'!$B$7:$B$22,0))*BX22</f>
        <v>330348.95833333331</v>
      </c>
      <c r="BY34" s="128">
        <f>INDEX('Commodity Prices'!$D$7:$D$22,MATCH($B34,'Commodity Prices'!$B$7:$B$22,0))*BY22</f>
        <v>330348.95833333331</v>
      </c>
      <c r="BZ34" s="128">
        <f>INDEX('Commodity Prices'!$D$7:$D$22,MATCH($B34,'Commodity Prices'!$B$7:$B$22,0))*BZ22</f>
        <v>330348.95833333331</v>
      </c>
      <c r="CA34" s="128">
        <f>INDEX('Commodity Prices'!$D$7:$D$22,MATCH($B34,'Commodity Prices'!$B$7:$B$22,0))*CA22</f>
        <v>330348.95833333331</v>
      </c>
      <c r="CB34" s="128">
        <f>INDEX('Commodity Prices'!$D$7:$D$22,MATCH($B34,'Commodity Prices'!$B$7:$B$22,0))*CB22</f>
        <v>330348.95833333331</v>
      </c>
      <c r="CC34" s="128">
        <f>INDEX('Commodity Prices'!$D$7:$D$22,MATCH($B34,'Commodity Prices'!$B$7:$B$22,0))*CC22</f>
        <v>330348.95833333331</v>
      </c>
      <c r="CD34" s="128">
        <f>INDEX('Commodity Prices'!$D$7:$D$22,MATCH($B34,'Commodity Prices'!$B$7:$B$22,0))*CD22</f>
        <v>330348.95833333331</v>
      </c>
      <c r="CE34" s="128">
        <f>INDEX('Commodity Prices'!$D$7:$D$22,MATCH($B34,'Commodity Prices'!$B$7:$B$22,0))*CE22</f>
        <v>330348.95833333331</v>
      </c>
      <c r="CF34" s="128">
        <f>INDEX('Commodity Prices'!$D$7:$D$22,MATCH($B34,'Commodity Prices'!$B$7:$B$22,0))*CF22</f>
        <v>330348.95833333331</v>
      </c>
      <c r="CG34" s="128">
        <f>INDEX('Commodity Prices'!$D$7:$D$22,MATCH($B34,'Commodity Prices'!$B$7:$B$22,0))*CG22</f>
        <v>330348.95833333331</v>
      </c>
      <c r="CH34" s="128">
        <f>INDEX('Commodity Prices'!$D$7:$D$22,MATCH($B34,'Commodity Prices'!$B$7:$B$22,0))*CH22</f>
        <v>330348.95833333331</v>
      </c>
      <c r="CI34" s="128">
        <f>INDEX('Commodity Prices'!$D$7:$D$22,MATCH($B34,'Commodity Prices'!$B$7:$B$22,0))*CI22</f>
        <v>330348.95833333331</v>
      </c>
      <c r="CJ34" s="128">
        <f>INDEX('Commodity Prices'!$D$7:$D$22,MATCH($B34,'Commodity Prices'!$B$7:$B$22,0))*CJ22</f>
        <v>330348.95833333331</v>
      </c>
      <c r="CK34" s="128">
        <f>INDEX('Commodity Prices'!$D$7:$D$22,MATCH($B34,'Commodity Prices'!$B$7:$B$22,0))*CK22</f>
        <v>330348.95833333331</v>
      </c>
      <c r="CL34" s="128">
        <f>INDEX('Commodity Prices'!$D$7:$D$22,MATCH($B34,'Commodity Prices'!$B$7:$B$22,0))*CL22</f>
        <v>330348.95833333331</v>
      </c>
      <c r="CM34" s="128">
        <f>INDEX('Commodity Prices'!$D$7:$D$22,MATCH($B34,'Commodity Prices'!$B$7:$B$22,0))*CM22</f>
        <v>330348.95833333331</v>
      </c>
      <c r="CN34" s="128">
        <f>INDEX('Commodity Prices'!$D$7:$D$22,MATCH($B34,'Commodity Prices'!$B$7:$B$22,0))*CN22</f>
        <v>330348.95833333331</v>
      </c>
      <c r="CO34" s="128">
        <f>INDEX('Commodity Prices'!$D$7:$D$22,MATCH($B34,'Commodity Prices'!$B$7:$B$22,0))*CO22</f>
        <v>330348.95833333331</v>
      </c>
      <c r="CP34" s="128">
        <f>INDEX('Commodity Prices'!$D$7:$D$22,MATCH($B34,'Commodity Prices'!$B$7:$B$22,0))*CP22</f>
        <v>330348.95833333331</v>
      </c>
      <c r="CQ34" s="128">
        <f>INDEX('Commodity Prices'!$D$7:$D$22,MATCH($B34,'Commodity Prices'!$B$7:$B$22,0))*CQ22</f>
        <v>330348.95833333331</v>
      </c>
      <c r="CR34" s="128">
        <f>INDEX('Commodity Prices'!$D$7:$D$22,MATCH($B34,'Commodity Prices'!$B$7:$B$22,0))*CR22</f>
        <v>330348.95833333331</v>
      </c>
      <c r="CS34" s="128">
        <f>INDEX('Commodity Prices'!$D$7:$D$22,MATCH($B34,'Commodity Prices'!$B$7:$B$22,0))*CS22</f>
        <v>330348.95833333331</v>
      </c>
      <c r="CT34" s="128">
        <f>INDEX('Commodity Prices'!$D$7:$D$22,MATCH($B34,'Commodity Prices'!$B$7:$B$22,0))*CT22</f>
        <v>330348.95833333331</v>
      </c>
      <c r="CU34" s="128">
        <f>INDEX('Commodity Prices'!$D$7:$D$22,MATCH($B34,'Commodity Prices'!$B$7:$B$22,0))*CU22</f>
        <v>330348.95833333331</v>
      </c>
      <c r="CV34" s="128">
        <f>INDEX('Commodity Prices'!$D$7:$D$22,MATCH($B34,'Commodity Prices'!$B$7:$B$22,0))*CV22</f>
        <v>330348.95833333331</v>
      </c>
      <c r="CW34" s="128">
        <f>INDEX('Commodity Prices'!$D$7:$D$22,MATCH($B34,'Commodity Prices'!$B$7:$B$22,0))*CW22</f>
        <v>330348.95833333331</v>
      </c>
      <c r="CX34" s="128">
        <f>INDEX('Commodity Prices'!$D$7:$D$22,MATCH($B34,'Commodity Prices'!$B$7:$B$22,0))*CX22</f>
        <v>330348.95833333331</v>
      </c>
      <c r="CY34" s="128">
        <f>INDEX('Commodity Prices'!$D$7:$D$22,MATCH($B34,'Commodity Prices'!$B$7:$B$22,0))*CY22</f>
        <v>330348.95833333331</v>
      </c>
      <c r="CZ34" s="128">
        <f>INDEX('Commodity Prices'!$D$7:$D$22,MATCH($B34,'Commodity Prices'!$B$7:$B$22,0))*CZ22</f>
        <v>330348.95833333331</v>
      </c>
      <c r="DA34" s="128">
        <f>INDEX('Commodity Prices'!$D$7:$D$22,MATCH($B34,'Commodity Prices'!$B$7:$B$22,0))*DA22</f>
        <v>330348.95833333331</v>
      </c>
      <c r="DB34" s="128">
        <f>INDEX('Commodity Prices'!$D$7:$D$22,MATCH($B34,'Commodity Prices'!$B$7:$B$22,0))*DB22</f>
        <v>330348.95833333331</v>
      </c>
      <c r="DC34" s="128">
        <f>INDEX('Commodity Prices'!$D$7:$D$22,MATCH($B34,'Commodity Prices'!$B$7:$B$22,0))*DC22</f>
        <v>330348.95833333331</v>
      </c>
      <c r="DD34" s="128">
        <f>INDEX('Commodity Prices'!$D$7:$D$22,MATCH($B34,'Commodity Prices'!$B$7:$B$22,0))*DD22</f>
        <v>330348.95833333331</v>
      </c>
      <c r="DE34" s="128">
        <f>INDEX('Commodity Prices'!$D$7:$D$22,MATCH($B34,'Commodity Prices'!$B$7:$B$22,0))*DE22</f>
        <v>330348.95833333331</v>
      </c>
      <c r="DF34" s="128">
        <f>INDEX('Commodity Prices'!$D$7:$D$22,MATCH($B34,'Commodity Prices'!$B$7:$B$22,0))*DF22</f>
        <v>330348.95833333331</v>
      </c>
      <c r="DG34" s="128">
        <f>INDEX('Commodity Prices'!$D$7:$D$22,MATCH($B34,'Commodity Prices'!$B$7:$B$22,0))*DG22</f>
        <v>330348.95833333331</v>
      </c>
      <c r="DH34" s="128">
        <f>INDEX('Commodity Prices'!$D$7:$D$22,MATCH($B34,'Commodity Prices'!$B$7:$B$22,0))*DH22</f>
        <v>330348.95833333331</v>
      </c>
      <c r="DI34" s="128">
        <f>INDEX('Commodity Prices'!$D$7:$D$22,MATCH($B34,'Commodity Prices'!$B$7:$B$22,0))*DI22</f>
        <v>330348.95833333331</v>
      </c>
      <c r="DJ34" s="128">
        <f>INDEX('Commodity Prices'!$D$7:$D$22,MATCH($B34,'Commodity Prices'!$B$7:$B$22,0))*DJ22</f>
        <v>330348.95833333331</v>
      </c>
      <c r="DK34" s="128">
        <f>INDEX('Commodity Prices'!$D$7:$D$22,MATCH($B34,'Commodity Prices'!$B$7:$B$22,0))*DK22</f>
        <v>330348.95833333331</v>
      </c>
      <c r="DL34" s="128">
        <f>INDEX('Commodity Prices'!$D$7:$D$22,MATCH($B34,'Commodity Prices'!$B$7:$B$22,0))*DL22</f>
        <v>330348.95833333331</v>
      </c>
      <c r="DM34" s="128">
        <f>INDEX('Commodity Prices'!$D$7:$D$22,MATCH($B34,'Commodity Prices'!$B$7:$B$22,0))*DM22</f>
        <v>330348.95833333331</v>
      </c>
      <c r="DN34" s="128">
        <f>INDEX('Commodity Prices'!$D$7:$D$22,MATCH($B34,'Commodity Prices'!$B$7:$B$22,0))*DN22</f>
        <v>330348.95833333331</v>
      </c>
      <c r="DO34" s="128">
        <f>INDEX('Commodity Prices'!$D$7:$D$22,MATCH($B34,'Commodity Prices'!$B$7:$B$22,0))*DO22</f>
        <v>330348.95833333331</v>
      </c>
      <c r="DP34" s="128">
        <f>INDEX('Commodity Prices'!$D$7:$D$22,MATCH($B34,'Commodity Prices'!$B$7:$B$22,0))*DP22</f>
        <v>330348.95833333331</v>
      </c>
      <c r="DQ34" s="128">
        <f>INDEX('Commodity Prices'!$D$7:$D$22,MATCH($B34,'Commodity Prices'!$B$7:$B$22,0))*DQ22</f>
        <v>330348.95833333331</v>
      </c>
      <c r="DR34" s="128">
        <f>INDEX('Commodity Prices'!$D$7:$D$22,MATCH($B34,'Commodity Prices'!$B$7:$B$22,0))*DR22</f>
        <v>330348.95833333331</v>
      </c>
      <c r="DS34" s="128">
        <f>INDEX('Commodity Prices'!$D$7:$D$22,MATCH($B34,'Commodity Prices'!$B$7:$B$22,0))*DS22</f>
        <v>330348.95833333331</v>
      </c>
      <c r="DT34" s="128">
        <f>INDEX('Commodity Prices'!$D$7:$D$22,MATCH($B34,'Commodity Prices'!$B$7:$B$22,0))*DT22</f>
        <v>330348.95833333331</v>
      </c>
      <c r="DU34" s="128">
        <f>INDEX('Commodity Prices'!$D$7:$D$22,MATCH($B34,'Commodity Prices'!$B$7:$B$22,0))*DU22</f>
        <v>330348.95833333331</v>
      </c>
      <c r="DV34" s="128">
        <f>INDEX('Commodity Prices'!$D$7:$D$22,MATCH($B34,'Commodity Prices'!$B$7:$B$22,0))*DV22</f>
        <v>330348.95833333331</v>
      </c>
      <c r="DW34" s="128">
        <f>INDEX('Commodity Prices'!$D$7:$D$22,MATCH($B34,'Commodity Prices'!$B$7:$B$22,0))*DW22</f>
        <v>330348.95833333331</v>
      </c>
    </row>
    <row r="35" spans="2:127" x14ac:dyDescent="0.3">
      <c r="B35" s="53" t="s">
        <v>331</v>
      </c>
      <c r="C35" s="128">
        <f>INDEX('Commodity Prices'!$D$7:$D$22,MATCH($B35,'Commodity Prices'!$B$7:$B$22,0))*C23</f>
        <v>0</v>
      </c>
      <c r="D35" s="128">
        <f>INDEX('Commodity Prices'!$D$7:$D$22,MATCH($B35,'Commodity Prices'!$B$7:$B$22,0))*D23</f>
        <v>0</v>
      </c>
      <c r="E35" s="128">
        <f>INDEX('Commodity Prices'!$D$7:$D$22,MATCH($B35,'Commodity Prices'!$B$7:$B$22,0))*E23</f>
        <v>0</v>
      </c>
      <c r="F35" s="128">
        <f>INDEX('Commodity Prices'!$D$7:$D$22,MATCH($B35,'Commodity Prices'!$B$7:$B$22,0))*F23</f>
        <v>0</v>
      </c>
      <c r="G35" s="128">
        <f>INDEX('Commodity Prices'!$D$7:$D$22,MATCH($B35,'Commodity Prices'!$B$7:$B$22,0))*G23</f>
        <v>2962.239583333333</v>
      </c>
      <c r="H35" s="128">
        <f>INDEX('Commodity Prices'!$D$7:$D$22,MATCH($B35,'Commodity Prices'!$B$7:$B$22,0))*H23</f>
        <v>2962.239583333333</v>
      </c>
      <c r="I35" s="128">
        <f>INDEX('Commodity Prices'!$D$7:$D$22,MATCH($B35,'Commodity Prices'!$B$7:$B$22,0))*I23</f>
        <v>2962.239583333333</v>
      </c>
      <c r="J35" s="128">
        <f>INDEX('Commodity Prices'!$D$7:$D$22,MATCH($B35,'Commodity Prices'!$B$7:$B$22,0))*J23</f>
        <v>2962.239583333333</v>
      </c>
      <c r="K35" s="128">
        <f>INDEX('Commodity Prices'!$D$7:$D$22,MATCH($B35,'Commodity Prices'!$B$7:$B$22,0))*K23</f>
        <v>2962.239583333333</v>
      </c>
      <c r="L35" s="128">
        <f>INDEX('Commodity Prices'!$D$7:$D$22,MATCH($B35,'Commodity Prices'!$B$7:$B$22,0))*L23</f>
        <v>5924.4791666666661</v>
      </c>
      <c r="M35" s="128">
        <f>INDEX('Commodity Prices'!$D$7:$D$22,MATCH($B35,'Commodity Prices'!$B$7:$B$22,0))*M23</f>
        <v>5924.4791666666661</v>
      </c>
      <c r="N35" s="128">
        <f>INDEX('Commodity Prices'!$D$7:$D$22,MATCH($B35,'Commodity Prices'!$B$7:$B$22,0))*N23</f>
        <v>5924.4791666666661</v>
      </c>
      <c r="O35" s="128">
        <f>INDEX('Commodity Prices'!$D$7:$D$22,MATCH($B35,'Commodity Prices'!$B$7:$B$22,0))*O23</f>
        <v>5924.4791666666661</v>
      </c>
      <c r="P35" s="128">
        <f>INDEX('Commodity Prices'!$D$7:$D$22,MATCH($B35,'Commodity Prices'!$B$7:$B$22,0))*P23</f>
        <v>5924.4791666666661</v>
      </c>
      <c r="Q35" s="128">
        <f>INDEX('Commodity Prices'!$D$7:$D$22,MATCH($B35,'Commodity Prices'!$B$7:$B$22,0))*Q23</f>
        <v>5924.4791666666661</v>
      </c>
      <c r="R35" s="128">
        <f>INDEX('Commodity Prices'!$D$7:$D$22,MATCH($B35,'Commodity Prices'!$B$7:$B$22,0))*R23</f>
        <v>5924.4791666666661</v>
      </c>
      <c r="S35" s="128">
        <f>INDEX('Commodity Prices'!$D$7:$D$22,MATCH($B35,'Commodity Prices'!$B$7:$B$22,0))*S23</f>
        <v>5924.4791666666661</v>
      </c>
      <c r="T35" s="128">
        <f>INDEX('Commodity Prices'!$D$7:$D$22,MATCH($B35,'Commodity Prices'!$B$7:$B$22,0))*T23</f>
        <v>5924.4791666666661</v>
      </c>
      <c r="U35" s="128">
        <f>INDEX('Commodity Prices'!$D$7:$D$22,MATCH($B35,'Commodity Prices'!$B$7:$B$22,0))*U23</f>
        <v>5924.4791666666661</v>
      </c>
      <c r="V35" s="128">
        <f>INDEX('Commodity Prices'!$D$7:$D$22,MATCH($B35,'Commodity Prices'!$B$7:$B$22,0))*V23</f>
        <v>5924.4791666666661</v>
      </c>
      <c r="W35" s="128">
        <f>INDEX('Commodity Prices'!$D$7:$D$22,MATCH($B35,'Commodity Prices'!$B$7:$B$22,0))*W23</f>
        <v>5924.4791666666661</v>
      </c>
      <c r="X35" s="128">
        <f>INDEX('Commodity Prices'!$D$7:$D$22,MATCH($B35,'Commodity Prices'!$B$7:$B$22,0))*X23</f>
        <v>5924.4791666666661</v>
      </c>
      <c r="Y35" s="128">
        <f>INDEX('Commodity Prices'!$D$7:$D$22,MATCH($B35,'Commodity Prices'!$B$7:$B$22,0))*Y23</f>
        <v>5924.4791666666661</v>
      </c>
      <c r="Z35" s="128">
        <f>INDEX('Commodity Prices'!$D$7:$D$22,MATCH($B35,'Commodity Prices'!$B$7:$B$22,0))*Z23</f>
        <v>5924.4791666666661</v>
      </c>
      <c r="AA35" s="128">
        <f>INDEX('Commodity Prices'!$D$7:$D$22,MATCH($B35,'Commodity Prices'!$B$7:$B$22,0))*AA23</f>
        <v>5924.4791666666661</v>
      </c>
      <c r="AB35" s="128">
        <f>INDEX('Commodity Prices'!$D$7:$D$22,MATCH($B35,'Commodity Prices'!$B$7:$B$22,0))*AB23</f>
        <v>5924.4791666666661</v>
      </c>
      <c r="AC35" s="128">
        <f>INDEX('Commodity Prices'!$D$7:$D$22,MATCH($B35,'Commodity Prices'!$B$7:$B$22,0))*AC23</f>
        <v>5924.4791666666661</v>
      </c>
      <c r="AD35" s="128">
        <f>INDEX('Commodity Prices'!$D$7:$D$22,MATCH($B35,'Commodity Prices'!$B$7:$B$22,0))*AD23</f>
        <v>5924.4791666666661</v>
      </c>
      <c r="AE35" s="128">
        <f>INDEX('Commodity Prices'!$D$7:$D$22,MATCH($B35,'Commodity Prices'!$B$7:$B$22,0))*AE23</f>
        <v>5924.4791666666661</v>
      </c>
      <c r="AF35" s="128">
        <f>INDEX('Commodity Prices'!$D$7:$D$22,MATCH($B35,'Commodity Prices'!$B$7:$B$22,0))*AF23</f>
        <v>5924.4791666666661</v>
      </c>
      <c r="AG35" s="128">
        <f>INDEX('Commodity Prices'!$D$7:$D$22,MATCH($B35,'Commodity Prices'!$B$7:$B$22,0))*AG23</f>
        <v>5924.4791666666661</v>
      </c>
      <c r="AH35" s="128">
        <f>INDEX('Commodity Prices'!$D$7:$D$22,MATCH($B35,'Commodity Prices'!$B$7:$B$22,0))*AH23</f>
        <v>5924.4791666666661</v>
      </c>
      <c r="AI35" s="128">
        <f>INDEX('Commodity Prices'!$D$7:$D$22,MATCH($B35,'Commodity Prices'!$B$7:$B$22,0))*AI23</f>
        <v>5924.4791666666661</v>
      </c>
      <c r="AJ35" s="128">
        <f>INDEX('Commodity Prices'!$D$7:$D$22,MATCH($B35,'Commodity Prices'!$B$7:$B$22,0))*AJ23</f>
        <v>5924.4791666666661</v>
      </c>
      <c r="AK35" s="128">
        <f>INDEX('Commodity Prices'!$D$7:$D$22,MATCH($B35,'Commodity Prices'!$B$7:$B$22,0))*AK23</f>
        <v>5924.4791666666661</v>
      </c>
      <c r="AL35" s="128">
        <f>INDEX('Commodity Prices'!$D$7:$D$22,MATCH($B35,'Commodity Prices'!$B$7:$B$22,0))*AL23</f>
        <v>5924.4791666666661</v>
      </c>
      <c r="AM35" s="128">
        <f>INDEX('Commodity Prices'!$D$7:$D$22,MATCH($B35,'Commodity Prices'!$B$7:$B$22,0))*AM23</f>
        <v>5924.4791666666661</v>
      </c>
      <c r="AN35" s="128">
        <f>INDEX('Commodity Prices'!$D$7:$D$22,MATCH($B35,'Commodity Prices'!$B$7:$B$22,0))*AN23</f>
        <v>5924.4791666666661</v>
      </c>
      <c r="AO35" s="128">
        <f>INDEX('Commodity Prices'!$D$7:$D$22,MATCH($B35,'Commodity Prices'!$B$7:$B$22,0))*AO23</f>
        <v>5924.4791666666661</v>
      </c>
      <c r="AP35" s="128">
        <f>INDEX('Commodity Prices'!$D$7:$D$22,MATCH($B35,'Commodity Prices'!$B$7:$B$22,0))*AP23</f>
        <v>5924.4791666666661</v>
      </c>
      <c r="AQ35" s="128">
        <f>INDEX('Commodity Prices'!$D$7:$D$22,MATCH($B35,'Commodity Prices'!$B$7:$B$22,0))*AQ23</f>
        <v>5924.4791666666661</v>
      </c>
      <c r="AR35" s="128">
        <f>INDEX('Commodity Prices'!$D$7:$D$22,MATCH($B35,'Commodity Prices'!$B$7:$B$22,0))*AR23</f>
        <v>5924.4791666666661</v>
      </c>
      <c r="AS35" s="128">
        <f>INDEX('Commodity Prices'!$D$7:$D$22,MATCH($B35,'Commodity Prices'!$B$7:$B$22,0))*AS23</f>
        <v>5924.4791666666661</v>
      </c>
      <c r="AT35" s="128">
        <f>INDEX('Commodity Prices'!$D$7:$D$22,MATCH($B35,'Commodity Prices'!$B$7:$B$22,0))*AT23</f>
        <v>5924.4791666666661</v>
      </c>
      <c r="AU35" s="128">
        <f>INDEX('Commodity Prices'!$D$7:$D$22,MATCH($B35,'Commodity Prices'!$B$7:$B$22,0))*AU23</f>
        <v>5924.4791666666661</v>
      </c>
      <c r="AV35" s="128">
        <f>INDEX('Commodity Prices'!$D$7:$D$22,MATCH($B35,'Commodity Prices'!$B$7:$B$22,0))*AV23</f>
        <v>5924.4791666666661</v>
      </c>
      <c r="AW35" s="128">
        <f>INDEX('Commodity Prices'!$D$7:$D$22,MATCH($B35,'Commodity Prices'!$B$7:$B$22,0))*AW23</f>
        <v>5924.4791666666661</v>
      </c>
      <c r="AX35" s="128">
        <f>INDEX('Commodity Prices'!$D$7:$D$22,MATCH($B35,'Commodity Prices'!$B$7:$B$22,0))*AX23</f>
        <v>5924.4791666666661</v>
      </c>
      <c r="AY35" s="128">
        <f>INDEX('Commodity Prices'!$D$7:$D$22,MATCH($B35,'Commodity Prices'!$B$7:$B$22,0))*AY23</f>
        <v>5924.4791666666661</v>
      </c>
      <c r="AZ35" s="128">
        <f>INDEX('Commodity Prices'!$D$7:$D$22,MATCH($B35,'Commodity Prices'!$B$7:$B$22,0))*AZ23</f>
        <v>5924.4791666666661</v>
      </c>
      <c r="BA35" s="128">
        <f>INDEX('Commodity Prices'!$D$7:$D$22,MATCH($B35,'Commodity Prices'!$B$7:$B$22,0))*BA23</f>
        <v>5924.4791666666661</v>
      </c>
      <c r="BB35" s="128">
        <f>INDEX('Commodity Prices'!$D$7:$D$22,MATCH($B35,'Commodity Prices'!$B$7:$B$22,0))*BB23</f>
        <v>5924.4791666666661</v>
      </c>
      <c r="BC35" s="128">
        <f>INDEX('Commodity Prices'!$D$7:$D$22,MATCH($B35,'Commodity Prices'!$B$7:$B$22,0))*BC23</f>
        <v>5924.4791666666661</v>
      </c>
      <c r="BD35" s="128">
        <f>INDEX('Commodity Prices'!$D$7:$D$22,MATCH($B35,'Commodity Prices'!$B$7:$B$22,0))*BD23</f>
        <v>5924.4791666666661</v>
      </c>
      <c r="BE35" s="128">
        <f>INDEX('Commodity Prices'!$D$7:$D$22,MATCH($B35,'Commodity Prices'!$B$7:$B$22,0))*BE23</f>
        <v>5924.4791666666661</v>
      </c>
      <c r="BF35" s="128">
        <f>INDEX('Commodity Prices'!$D$7:$D$22,MATCH($B35,'Commodity Prices'!$B$7:$B$22,0))*BF23</f>
        <v>5924.4791666666661</v>
      </c>
      <c r="BG35" s="128">
        <f>INDEX('Commodity Prices'!$D$7:$D$22,MATCH($B35,'Commodity Prices'!$B$7:$B$22,0))*BG23</f>
        <v>5924.4791666666661</v>
      </c>
      <c r="BH35" s="128">
        <f>INDEX('Commodity Prices'!$D$7:$D$22,MATCH($B35,'Commodity Prices'!$B$7:$B$22,0))*BH23</f>
        <v>5924.4791666666661</v>
      </c>
      <c r="BI35" s="128">
        <f>INDEX('Commodity Prices'!$D$7:$D$22,MATCH($B35,'Commodity Prices'!$B$7:$B$22,0))*BI23</f>
        <v>5924.4791666666661</v>
      </c>
      <c r="BJ35" s="128">
        <f>INDEX('Commodity Prices'!$D$7:$D$22,MATCH($B35,'Commodity Prices'!$B$7:$B$22,0))*BJ23</f>
        <v>5924.4791666666661</v>
      </c>
      <c r="BK35" s="128">
        <f>INDEX('Commodity Prices'!$D$7:$D$22,MATCH($B35,'Commodity Prices'!$B$7:$B$22,0))*BK23</f>
        <v>5924.4791666666661</v>
      </c>
      <c r="BL35" s="128">
        <f>INDEX('Commodity Prices'!$D$7:$D$22,MATCH($B35,'Commodity Prices'!$B$7:$B$22,0))*BL23</f>
        <v>5924.4791666666661</v>
      </c>
      <c r="BM35" s="128">
        <f>INDEX('Commodity Prices'!$D$7:$D$22,MATCH($B35,'Commodity Prices'!$B$7:$B$22,0))*BM23</f>
        <v>5924.4791666666661</v>
      </c>
      <c r="BN35" s="128">
        <f>INDEX('Commodity Prices'!$D$7:$D$22,MATCH($B35,'Commodity Prices'!$B$7:$B$22,0))*BN23</f>
        <v>5924.4791666666661</v>
      </c>
      <c r="BO35" s="128">
        <f>INDEX('Commodity Prices'!$D$7:$D$22,MATCH($B35,'Commodity Prices'!$B$7:$B$22,0))*BO23</f>
        <v>5924.4791666666661</v>
      </c>
      <c r="BP35" s="128">
        <f>INDEX('Commodity Prices'!$D$7:$D$22,MATCH($B35,'Commodity Prices'!$B$7:$B$22,0))*BP23</f>
        <v>5924.4791666666661</v>
      </c>
      <c r="BQ35" s="128">
        <f>INDEX('Commodity Prices'!$D$7:$D$22,MATCH($B35,'Commodity Prices'!$B$7:$B$22,0))*BQ23</f>
        <v>5924.4791666666661</v>
      </c>
      <c r="BR35" s="128">
        <f>INDEX('Commodity Prices'!$D$7:$D$22,MATCH($B35,'Commodity Prices'!$B$7:$B$22,0))*BR23</f>
        <v>5924.4791666666661</v>
      </c>
      <c r="BS35" s="128">
        <f>INDEX('Commodity Prices'!$D$7:$D$22,MATCH($B35,'Commodity Prices'!$B$7:$B$22,0))*BS23</f>
        <v>5924.4791666666661</v>
      </c>
      <c r="BT35" s="128">
        <f>INDEX('Commodity Prices'!$D$7:$D$22,MATCH($B35,'Commodity Prices'!$B$7:$B$22,0))*BT23</f>
        <v>5924.4791666666661</v>
      </c>
      <c r="BU35" s="128">
        <f>INDEX('Commodity Prices'!$D$7:$D$22,MATCH($B35,'Commodity Prices'!$B$7:$B$22,0))*BU23</f>
        <v>5924.4791666666661</v>
      </c>
      <c r="BV35" s="128">
        <f>INDEX('Commodity Prices'!$D$7:$D$22,MATCH($B35,'Commodity Prices'!$B$7:$B$22,0))*BV23</f>
        <v>5924.4791666666661</v>
      </c>
      <c r="BW35" s="128">
        <f>INDEX('Commodity Prices'!$D$7:$D$22,MATCH($B35,'Commodity Prices'!$B$7:$B$22,0))*BW23</f>
        <v>5924.4791666666661</v>
      </c>
      <c r="BX35" s="128">
        <f>INDEX('Commodity Prices'!$D$7:$D$22,MATCH($B35,'Commodity Prices'!$B$7:$B$22,0))*BX23</f>
        <v>5924.4791666666661</v>
      </c>
      <c r="BY35" s="128">
        <f>INDEX('Commodity Prices'!$D$7:$D$22,MATCH($B35,'Commodity Prices'!$B$7:$B$22,0))*BY23</f>
        <v>5924.4791666666661</v>
      </c>
      <c r="BZ35" s="128">
        <f>INDEX('Commodity Prices'!$D$7:$D$22,MATCH($B35,'Commodity Prices'!$B$7:$B$22,0))*BZ23</f>
        <v>5924.4791666666661</v>
      </c>
      <c r="CA35" s="128">
        <f>INDEX('Commodity Prices'!$D$7:$D$22,MATCH($B35,'Commodity Prices'!$B$7:$B$22,0))*CA23</f>
        <v>5924.4791666666661</v>
      </c>
      <c r="CB35" s="128">
        <f>INDEX('Commodity Prices'!$D$7:$D$22,MATCH($B35,'Commodity Prices'!$B$7:$B$22,0))*CB23</f>
        <v>5924.4791666666661</v>
      </c>
      <c r="CC35" s="128">
        <f>INDEX('Commodity Prices'!$D$7:$D$22,MATCH($B35,'Commodity Prices'!$B$7:$B$22,0))*CC23</f>
        <v>5924.4791666666661</v>
      </c>
      <c r="CD35" s="128">
        <f>INDEX('Commodity Prices'!$D$7:$D$22,MATCH($B35,'Commodity Prices'!$B$7:$B$22,0))*CD23</f>
        <v>5924.4791666666661</v>
      </c>
      <c r="CE35" s="128">
        <f>INDEX('Commodity Prices'!$D$7:$D$22,MATCH($B35,'Commodity Prices'!$B$7:$B$22,0))*CE23</f>
        <v>5924.4791666666661</v>
      </c>
      <c r="CF35" s="128">
        <f>INDEX('Commodity Prices'!$D$7:$D$22,MATCH($B35,'Commodity Prices'!$B$7:$B$22,0))*CF23</f>
        <v>5924.4791666666661</v>
      </c>
      <c r="CG35" s="128">
        <f>INDEX('Commodity Prices'!$D$7:$D$22,MATCH($B35,'Commodity Prices'!$B$7:$B$22,0))*CG23</f>
        <v>5924.4791666666661</v>
      </c>
      <c r="CH35" s="128">
        <f>INDEX('Commodity Prices'!$D$7:$D$22,MATCH($B35,'Commodity Prices'!$B$7:$B$22,0))*CH23</f>
        <v>5924.4791666666661</v>
      </c>
      <c r="CI35" s="128">
        <f>INDEX('Commodity Prices'!$D$7:$D$22,MATCH($B35,'Commodity Prices'!$B$7:$B$22,0))*CI23</f>
        <v>5924.4791666666661</v>
      </c>
      <c r="CJ35" s="128">
        <f>INDEX('Commodity Prices'!$D$7:$D$22,MATCH($B35,'Commodity Prices'!$B$7:$B$22,0))*CJ23</f>
        <v>5924.4791666666661</v>
      </c>
      <c r="CK35" s="128">
        <f>INDEX('Commodity Prices'!$D$7:$D$22,MATCH($B35,'Commodity Prices'!$B$7:$B$22,0))*CK23</f>
        <v>5924.4791666666661</v>
      </c>
      <c r="CL35" s="128">
        <f>INDEX('Commodity Prices'!$D$7:$D$22,MATCH($B35,'Commodity Prices'!$B$7:$B$22,0))*CL23</f>
        <v>5924.4791666666661</v>
      </c>
      <c r="CM35" s="128">
        <f>INDEX('Commodity Prices'!$D$7:$D$22,MATCH($B35,'Commodity Prices'!$B$7:$B$22,0))*CM23</f>
        <v>5924.4791666666661</v>
      </c>
      <c r="CN35" s="128">
        <f>INDEX('Commodity Prices'!$D$7:$D$22,MATCH($B35,'Commodity Prices'!$B$7:$B$22,0))*CN23</f>
        <v>5924.4791666666661</v>
      </c>
      <c r="CO35" s="128">
        <f>INDEX('Commodity Prices'!$D$7:$D$22,MATCH($B35,'Commodity Prices'!$B$7:$B$22,0))*CO23</f>
        <v>5924.4791666666661</v>
      </c>
      <c r="CP35" s="128">
        <f>INDEX('Commodity Prices'!$D$7:$D$22,MATCH($B35,'Commodity Prices'!$B$7:$B$22,0))*CP23</f>
        <v>5924.4791666666661</v>
      </c>
      <c r="CQ35" s="128">
        <f>INDEX('Commodity Prices'!$D$7:$D$22,MATCH($B35,'Commodity Prices'!$B$7:$B$22,0))*CQ23</f>
        <v>5924.4791666666661</v>
      </c>
      <c r="CR35" s="128">
        <f>INDEX('Commodity Prices'!$D$7:$D$22,MATCH($B35,'Commodity Prices'!$B$7:$B$22,0))*CR23</f>
        <v>5924.4791666666661</v>
      </c>
      <c r="CS35" s="128">
        <f>INDEX('Commodity Prices'!$D$7:$D$22,MATCH($B35,'Commodity Prices'!$B$7:$B$22,0))*CS23</f>
        <v>5924.4791666666661</v>
      </c>
      <c r="CT35" s="128">
        <f>INDEX('Commodity Prices'!$D$7:$D$22,MATCH($B35,'Commodity Prices'!$B$7:$B$22,0))*CT23</f>
        <v>5924.4791666666661</v>
      </c>
      <c r="CU35" s="128">
        <f>INDEX('Commodity Prices'!$D$7:$D$22,MATCH($B35,'Commodity Prices'!$B$7:$B$22,0))*CU23</f>
        <v>5924.4791666666661</v>
      </c>
      <c r="CV35" s="128">
        <f>INDEX('Commodity Prices'!$D$7:$D$22,MATCH($B35,'Commodity Prices'!$B$7:$B$22,0))*CV23</f>
        <v>5924.4791666666661</v>
      </c>
      <c r="CW35" s="128">
        <f>INDEX('Commodity Prices'!$D$7:$D$22,MATCH($B35,'Commodity Prices'!$B$7:$B$22,0))*CW23</f>
        <v>5924.4791666666661</v>
      </c>
      <c r="CX35" s="128">
        <f>INDEX('Commodity Prices'!$D$7:$D$22,MATCH($B35,'Commodity Prices'!$B$7:$B$22,0))*CX23</f>
        <v>5924.4791666666661</v>
      </c>
      <c r="CY35" s="128">
        <f>INDEX('Commodity Prices'!$D$7:$D$22,MATCH($B35,'Commodity Prices'!$B$7:$B$22,0))*CY23</f>
        <v>5924.4791666666661</v>
      </c>
      <c r="CZ35" s="128">
        <f>INDEX('Commodity Prices'!$D$7:$D$22,MATCH($B35,'Commodity Prices'!$B$7:$B$22,0))*CZ23</f>
        <v>5924.4791666666661</v>
      </c>
      <c r="DA35" s="128">
        <f>INDEX('Commodity Prices'!$D$7:$D$22,MATCH($B35,'Commodity Prices'!$B$7:$B$22,0))*DA23</f>
        <v>5924.4791666666661</v>
      </c>
      <c r="DB35" s="128">
        <f>INDEX('Commodity Prices'!$D$7:$D$22,MATCH($B35,'Commodity Prices'!$B$7:$B$22,0))*DB23</f>
        <v>5924.4791666666661</v>
      </c>
      <c r="DC35" s="128">
        <f>INDEX('Commodity Prices'!$D$7:$D$22,MATCH($B35,'Commodity Prices'!$B$7:$B$22,0))*DC23</f>
        <v>5924.4791666666661</v>
      </c>
      <c r="DD35" s="128">
        <f>INDEX('Commodity Prices'!$D$7:$D$22,MATCH($B35,'Commodity Prices'!$B$7:$B$22,0))*DD23</f>
        <v>5924.4791666666661</v>
      </c>
      <c r="DE35" s="128">
        <f>INDEX('Commodity Prices'!$D$7:$D$22,MATCH($B35,'Commodity Prices'!$B$7:$B$22,0))*DE23</f>
        <v>5924.4791666666661</v>
      </c>
      <c r="DF35" s="128">
        <f>INDEX('Commodity Prices'!$D$7:$D$22,MATCH($B35,'Commodity Prices'!$B$7:$B$22,0))*DF23</f>
        <v>5924.4791666666661</v>
      </c>
      <c r="DG35" s="128">
        <f>INDEX('Commodity Prices'!$D$7:$D$22,MATCH($B35,'Commodity Prices'!$B$7:$B$22,0))*DG23</f>
        <v>5924.4791666666661</v>
      </c>
      <c r="DH35" s="128">
        <f>INDEX('Commodity Prices'!$D$7:$D$22,MATCH($B35,'Commodity Prices'!$B$7:$B$22,0))*DH23</f>
        <v>5924.4791666666661</v>
      </c>
      <c r="DI35" s="128">
        <f>INDEX('Commodity Prices'!$D$7:$D$22,MATCH($B35,'Commodity Prices'!$B$7:$B$22,0))*DI23</f>
        <v>5924.4791666666661</v>
      </c>
      <c r="DJ35" s="128">
        <f>INDEX('Commodity Prices'!$D$7:$D$22,MATCH($B35,'Commodity Prices'!$B$7:$B$22,0))*DJ23</f>
        <v>5924.4791666666661</v>
      </c>
      <c r="DK35" s="128">
        <f>INDEX('Commodity Prices'!$D$7:$D$22,MATCH($B35,'Commodity Prices'!$B$7:$B$22,0))*DK23</f>
        <v>5924.4791666666661</v>
      </c>
      <c r="DL35" s="128">
        <f>INDEX('Commodity Prices'!$D$7:$D$22,MATCH($B35,'Commodity Prices'!$B$7:$B$22,0))*DL23</f>
        <v>5924.4791666666661</v>
      </c>
      <c r="DM35" s="128">
        <f>INDEX('Commodity Prices'!$D$7:$D$22,MATCH($B35,'Commodity Prices'!$B$7:$B$22,0))*DM23</f>
        <v>5924.4791666666661</v>
      </c>
      <c r="DN35" s="128">
        <f>INDEX('Commodity Prices'!$D$7:$D$22,MATCH($B35,'Commodity Prices'!$B$7:$B$22,0))*DN23</f>
        <v>5924.4791666666661</v>
      </c>
      <c r="DO35" s="128">
        <f>INDEX('Commodity Prices'!$D$7:$D$22,MATCH($B35,'Commodity Prices'!$B$7:$B$22,0))*DO23</f>
        <v>5924.4791666666661</v>
      </c>
      <c r="DP35" s="128">
        <f>INDEX('Commodity Prices'!$D$7:$D$22,MATCH($B35,'Commodity Prices'!$B$7:$B$22,0))*DP23</f>
        <v>5924.4791666666661</v>
      </c>
      <c r="DQ35" s="128">
        <f>INDEX('Commodity Prices'!$D$7:$D$22,MATCH($B35,'Commodity Prices'!$B$7:$B$22,0))*DQ23</f>
        <v>5924.4791666666661</v>
      </c>
      <c r="DR35" s="128">
        <f>INDEX('Commodity Prices'!$D$7:$D$22,MATCH($B35,'Commodity Prices'!$B$7:$B$22,0))*DR23</f>
        <v>5924.4791666666661</v>
      </c>
      <c r="DS35" s="128">
        <f>INDEX('Commodity Prices'!$D$7:$D$22,MATCH($B35,'Commodity Prices'!$B$7:$B$22,0))*DS23</f>
        <v>5924.4791666666661</v>
      </c>
      <c r="DT35" s="128">
        <f>INDEX('Commodity Prices'!$D$7:$D$22,MATCH($B35,'Commodity Prices'!$B$7:$B$22,0))*DT23</f>
        <v>5924.4791666666661</v>
      </c>
      <c r="DU35" s="128">
        <f>INDEX('Commodity Prices'!$D$7:$D$22,MATCH($B35,'Commodity Prices'!$B$7:$B$22,0))*DU23</f>
        <v>5924.4791666666661</v>
      </c>
      <c r="DV35" s="128">
        <f>INDEX('Commodity Prices'!$D$7:$D$22,MATCH($B35,'Commodity Prices'!$B$7:$B$22,0))*DV23</f>
        <v>5924.4791666666661</v>
      </c>
      <c r="DW35" s="128">
        <f>INDEX('Commodity Prices'!$D$7:$D$22,MATCH($B35,'Commodity Prices'!$B$7:$B$22,0))*DW23</f>
        <v>5924.4791666666661</v>
      </c>
    </row>
    <row r="36" spans="2:127" x14ac:dyDescent="0.3">
      <c r="B36" s="53" t="str">
        <f t="shared" si="1"/>
        <v>Nickel</v>
      </c>
      <c r="C36" s="128">
        <f>INDEX('Commodity Prices'!$D$7:$D$22,MATCH($B36,'Commodity Prices'!$B$7:$B$22,0))*C24</f>
        <v>0</v>
      </c>
      <c r="D36" s="128">
        <f>INDEX('Commodity Prices'!$D$7:$D$22,MATCH($B36,'Commodity Prices'!$B$7:$B$22,0))*D24</f>
        <v>0</v>
      </c>
      <c r="E36" s="128">
        <f>INDEX('Commodity Prices'!$D$7:$D$22,MATCH($B36,'Commodity Prices'!$B$7:$B$22,0))*E24</f>
        <v>0</v>
      </c>
      <c r="F36" s="128">
        <f>INDEX('Commodity Prices'!$D$7:$D$22,MATCH($B36,'Commodity Prices'!$B$7:$B$22,0))*F24</f>
        <v>0</v>
      </c>
      <c r="G36" s="128">
        <f>INDEX('Commodity Prices'!$D$7:$D$22,MATCH($B36,'Commodity Prices'!$B$7:$B$22,0))*G24</f>
        <v>2957.4999999999995</v>
      </c>
      <c r="H36" s="128">
        <f>INDEX('Commodity Prices'!$D$7:$D$22,MATCH($B36,'Commodity Prices'!$B$7:$B$22,0))*H24</f>
        <v>2957.4999999999995</v>
      </c>
      <c r="I36" s="128">
        <f>INDEX('Commodity Prices'!$D$7:$D$22,MATCH($B36,'Commodity Prices'!$B$7:$B$22,0))*I24</f>
        <v>2957.4999999999995</v>
      </c>
      <c r="J36" s="128">
        <f>INDEX('Commodity Prices'!$D$7:$D$22,MATCH($B36,'Commodity Prices'!$B$7:$B$22,0))*J24</f>
        <v>2957.4999999999995</v>
      </c>
      <c r="K36" s="128">
        <f>INDEX('Commodity Prices'!$D$7:$D$22,MATCH($B36,'Commodity Prices'!$B$7:$B$22,0))*K24</f>
        <v>2957.4999999999995</v>
      </c>
      <c r="L36" s="128">
        <f>INDEX('Commodity Prices'!$D$7:$D$22,MATCH($B36,'Commodity Prices'!$B$7:$B$22,0))*L24</f>
        <v>5914.9999999999991</v>
      </c>
      <c r="M36" s="128">
        <f>INDEX('Commodity Prices'!$D$7:$D$22,MATCH($B36,'Commodity Prices'!$B$7:$B$22,0))*M24</f>
        <v>5914.9999999999991</v>
      </c>
      <c r="N36" s="128">
        <f>INDEX('Commodity Prices'!$D$7:$D$22,MATCH($B36,'Commodity Prices'!$B$7:$B$22,0))*N24</f>
        <v>5914.9999999999991</v>
      </c>
      <c r="O36" s="128">
        <f>INDEX('Commodity Prices'!$D$7:$D$22,MATCH($B36,'Commodity Prices'!$B$7:$B$22,0))*O24</f>
        <v>5914.9999999999991</v>
      </c>
      <c r="P36" s="128">
        <f>INDEX('Commodity Prices'!$D$7:$D$22,MATCH($B36,'Commodity Prices'!$B$7:$B$22,0))*P24</f>
        <v>5914.9999999999991</v>
      </c>
      <c r="Q36" s="128">
        <f>INDEX('Commodity Prices'!$D$7:$D$22,MATCH($B36,'Commodity Prices'!$B$7:$B$22,0))*Q24</f>
        <v>5914.9999999999991</v>
      </c>
      <c r="R36" s="128">
        <f>INDEX('Commodity Prices'!$D$7:$D$22,MATCH($B36,'Commodity Prices'!$B$7:$B$22,0))*R24</f>
        <v>5914.9999999999991</v>
      </c>
      <c r="S36" s="128">
        <f>INDEX('Commodity Prices'!$D$7:$D$22,MATCH($B36,'Commodity Prices'!$B$7:$B$22,0))*S24</f>
        <v>5914.9999999999991</v>
      </c>
      <c r="T36" s="128">
        <f>INDEX('Commodity Prices'!$D$7:$D$22,MATCH($B36,'Commodity Prices'!$B$7:$B$22,0))*T24</f>
        <v>5914.9999999999991</v>
      </c>
      <c r="U36" s="128">
        <f>INDEX('Commodity Prices'!$D$7:$D$22,MATCH($B36,'Commodity Prices'!$B$7:$B$22,0))*U24</f>
        <v>5914.9999999999991</v>
      </c>
      <c r="V36" s="128">
        <f>INDEX('Commodity Prices'!$D$7:$D$22,MATCH($B36,'Commodity Prices'!$B$7:$B$22,0))*V24</f>
        <v>5914.9999999999991</v>
      </c>
      <c r="W36" s="128">
        <f>INDEX('Commodity Prices'!$D$7:$D$22,MATCH($B36,'Commodity Prices'!$B$7:$B$22,0))*W24</f>
        <v>5914.9999999999991</v>
      </c>
      <c r="X36" s="128">
        <f>INDEX('Commodity Prices'!$D$7:$D$22,MATCH($B36,'Commodity Prices'!$B$7:$B$22,0))*X24</f>
        <v>5914.9999999999991</v>
      </c>
      <c r="Y36" s="128">
        <f>INDEX('Commodity Prices'!$D$7:$D$22,MATCH($B36,'Commodity Prices'!$B$7:$B$22,0))*Y24</f>
        <v>5914.9999999999991</v>
      </c>
      <c r="Z36" s="128">
        <f>INDEX('Commodity Prices'!$D$7:$D$22,MATCH($B36,'Commodity Prices'!$B$7:$B$22,0))*Z24</f>
        <v>5914.9999999999991</v>
      </c>
      <c r="AA36" s="128">
        <f>INDEX('Commodity Prices'!$D$7:$D$22,MATCH($B36,'Commodity Prices'!$B$7:$B$22,0))*AA24</f>
        <v>5914.9999999999991</v>
      </c>
      <c r="AB36" s="128">
        <f>INDEX('Commodity Prices'!$D$7:$D$22,MATCH($B36,'Commodity Prices'!$B$7:$B$22,0))*AB24</f>
        <v>5914.9999999999991</v>
      </c>
      <c r="AC36" s="128">
        <f>INDEX('Commodity Prices'!$D$7:$D$22,MATCH($B36,'Commodity Prices'!$B$7:$B$22,0))*AC24</f>
        <v>5914.9999999999991</v>
      </c>
      <c r="AD36" s="128">
        <f>INDEX('Commodity Prices'!$D$7:$D$22,MATCH($B36,'Commodity Prices'!$B$7:$B$22,0))*AD24</f>
        <v>5914.9999999999991</v>
      </c>
      <c r="AE36" s="128">
        <f>INDEX('Commodity Prices'!$D$7:$D$22,MATCH($B36,'Commodity Prices'!$B$7:$B$22,0))*AE24</f>
        <v>5914.9999999999991</v>
      </c>
      <c r="AF36" s="128">
        <f>INDEX('Commodity Prices'!$D$7:$D$22,MATCH($B36,'Commodity Prices'!$B$7:$B$22,0))*AF24</f>
        <v>5914.9999999999991</v>
      </c>
      <c r="AG36" s="128">
        <f>INDEX('Commodity Prices'!$D$7:$D$22,MATCH($B36,'Commodity Prices'!$B$7:$B$22,0))*AG24</f>
        <v>5914.9999999999991</v>
      </c>
      <c r="AH36" s="128">
        <f>INDEX('Commodity Prices'!$D$7:$D$22,MATCH($B36,'Commodity Prices'!$B$7:$B$22,0))*AH24</f>
        <v>5914.9999999999991</v>
      </c>
      <c r="AI36" s="128">
        <f>INDEX('Commodity Prices'!$D$7:$D$22,MATCH($B36,'Commodity Prices'!$B$7:$B$22,0))*AI24</f>
        <v>5914.9999999999991</v>
      </c>
      <c r="AJ36" s="128">
        <f>INDEX('Commodity Prices'!$D$7:$D$22,MATCH($B36,'Commodity Prices'!$B$7:$B$22,0))*AJ24</f>
        <v>5914.9999999999991</v>
      </c>
      <c r="AK36" s="128">
        <f>INDEX('Commodity Prices'!$D$7:$D$22,MATCH($B36,'Commodity Prices'!$B$7:$B$22,0))*AK24</f>
        <v>5914.9999999999991</v>
      </c>
      <c r="AL36" s="128">
        <f>INDEX('Commodity Prices'!$D$7:$D$22,MATCH($B36,'Commodity Prices'!$B$7:$B$22,0))*AL24</f>
        <v>5914.9999999999991</v>
      </c>
      <c r="AM36" s="128">
        <f>INDEX('Commodity Prices'!$D$7:$D$22,MATCH($B36,'Commodity Prices'!$B$7:$B$22,0))*AM24</f>
        <v>5914.9999999999991</v>
      </c>
      <c r="AN36" s="128">
        <f>INDEX('Commodity Prices'!$D$7:$D$22,MATCH($B36,'Commodity Prices'!$B$7:$B$22,0))*AN24</f>
        <v>5914.9999999999991</v>
      </c>
      <c r="AO36" s="128">
        <f>INDEX('Commodity Prices'!$D$7:$D$22,MATCH($B36,'Commodity Prices'!$B$7:$B$22,0))*AO24</f>
        <v>5914.9999999999991</v>
      </c>
      <c r="AP36" s="128">
        <f>INDEX('Commodity Prices'!$D$7:$D$22,MATCH($B36,'Commodity Prices'!$B$7:$B$22,0))*AP24</f>
        <v>5914.9999999999991</v>
      </c>
      <c r="AQ36" s="128">
        <f>INDEX('Commodity Prices'!$D$7:$D$22,MATCH($B36,'Commodity Prices'!$B$7:$B$22,0))*AQ24</f>
        <v>5914.9999999999991</v>
      </c>
      <c r="AR36" s="128">
        <f>INDEX('Commodity Prices'!$D$7:$D$22,MATCH($B36,'Commodity Prices'!$B$7:$B$22,0))*AR24</f>
        <v>5914.9999999999991</v>
      </c>
      <c r="AS36" s="128">
        <f>INDEX('Commodity Prices'!$D$7:$D$22,MATCH($B36,'Commodity Prices'!$B$7:$B$22,0))*AS24</f>
        <v>5914.9999999999991</v>
      </c>
      <c r="AT36" s="128">
        <f>INDEX('Commodity Prices'!$D$7:$D$22,MATCH($B36,'Commodity Prices'!$B$7:$B$22,0))*AT24</f>
        <v>5914.9999999999991</v>
      </c>
      <c r="AU36" s="128">
        <f>INDEX('Commodity Prices'!$D$7:$D$22,MATCH($B36,'Commodity Prices'!$B$7:$B$22,0))*AU24</f>
        <v>5914.9999999999991</v>
      </c>
      <c r="AV36" s="128">
        <f>INDEX('Commodity Prices'!$D$7:$D$22,MATCH($B36,'Commodity Prices'!$B$7:$B$22,0))*AV24</f>
        <v>5914.9999999999991</v>
      </c>
      <c r="AW36" s="128">
        <f>INDEX('Commodity Prices'!$D$7:$D$22,MATCH($B36,'Commodity Prices'!$B$7:$B$22,0))*AW24</f>
        <v>5914.9999999999991</v>
      </c>
      <c r="AX36" s="128">
        <f>INDEX('Commodity Prices'!$D$7:$D$22,MATCH($B36,'Commodity Prices'!$B$7:$B$22,0))*AX24</f>
        <v>5914.9999999999991</v>
      </c>
      <c r="AY36" s="128">
        <f>INDEX('Commodity Prices'!$D$7:$D$22,MATCH($B36,'Commodity Prices'!$B$7:$B$22,0))*AY24</f>
        <v>5914.9999999999991</v>
      </c>
      <c r="AZ36" s="128">
        <f>INDEX('Commodity Prices'!$D$7:$D$22,MATCH($B36,'Commodity Prices'!$B$7:$B$22,0))*AZ24</f>
        <v>5914.9999999999991</v>
      </c>
      <c r="BA36" s="128">
        <f>INDEX('Commodity Prices'!$D$7:$D$22,MATCH($B36,'Commodity Prices'!$B$7:$B$22,0))*BA24</f>
        <v>5914.9999999999991</v>
      </c>
      <c r="BB36" s="128">
        <f>INDEX('Commodity Prices'!$D$7:$D$22,MATCH($B36,'Commodity Prices'!$B$7:$B$22,0))*BB24</f>
        <v>5914.9999999999991</v>
      </c>
      <c r="BC36" s="128">
        <f>INDEX('Commodity Prices'!$D$7:$D$22,MATCH($B36,'Commodity Prices'!$B$7:$B$22,0))*BC24</f>
        <v>5914.9999999999991</v>
      </c>
      <c r="BD36" s="128">
        <f>INDEX('Commodity Prices'!$D$7:$D$22,MATCH($B36,'Commodity Prices'!$B$7:$B$22,0))*BD24</f>
        <v>5914.9999999999991</v>
      </c>
      <c r="BE36" s="128">
        <f>INDEX('Commodity Prices'!$D$7:$D$22,MATCH($B36,'Commodity Prices'!$B$7:$B$22,0))*BE24</f>
        <v>5914.9999999999991</v>
      </c>
      <c r="BF36" s="128">
        <f>INDEX('Commodity Prices'!$D$7:$D$22,MATCH($B36,'Commodity Prices'!$B$7:$B$22,0))*BF24</f>
        <v>5914.9999999999991</v>
      </c>
      <c r="BG36" s="128">
        <f>INDEX('Commodity Prices'!$D$7:$D$22,MATCH($B36,'Commodity Prices'!$B$7:$B$22,0))*BG24</f>
        <v>5914.9999999999991</v>
      </c>
      <c r="BH36" s="128">
        <f>INDEX('Commodity Prices'!$D$7:$D$22,MATCH($B36,'Commodity Prices'!$B$7:$B$22,0))*BH24</f>
        <v>5914.9999999999991</v>
      </c>
      <c r="BI36" s="128">
        <f>INDEX('Commodity Prices'!$D$7:$D$22,MATCH($B36,'Commodity Prices'!$B$7:$B$22,0))*BI24</f>
        <v>5914.9999999999991</v>
      </c>
      <c r="BJ36" s="128">
        <f>INDEX('Commodity Prices'!$D$7:$D$22,MATCH($B36,'Commodity Prices'!$B$7:$B$22,0))*BJ24</f>
        <v>5914.9999999999991</v>
      </c>
      <c r="BK36" s="128">
        <f>INDEX('Commodity Prices'!$D$7:$D$22,MATCH($B36,'Commodity Prices'!$B$7:$B$22,0))*BK24</f>
        <v>5914.9999999999991</v>
      </c>
      <c r="BL36" s="128">
        <f>INDEX('Commodity Prices'!$D$7:$D$22,MATCH($B36,'Commodity Prices'!$B$7:$B$22,0))*BL24</f>
        <v>5914.9999999999991</v>
      </c>
      <c r="BM36" s="128">
        <f>INDEX('Commodity Prices'!$D$7:$D$22,MATCH($B36,'Commodity Prices'!$B$7:$B$22,0))*BM24</f>
        <v>5914.9999999999991</v>
      </c>
      <c r="BN36" s="128">
        <f>INDEX('Commodity Prices'!$D$7:$D$22,MATCH($B36,'Commodity Prices'!$B$7:$B$22,0))*BN24</f>
        <v>5914.9999999999991</v>
      </c>
      <c r="BO36" s="128">
        <f>INDEX('Commodity Prices'!$D$7:$D$22,MATCH($B36,'Commodity Prices'!$B$7:$B$22,0))*BO24</f>
        <v>5914.9999999999991</v>
      </c>
      <c r="BP36" s="128">
        <f>INDEX('Commodity Prices'!$D$7:$D$22,MATCH($B36,'Commodity Prices'!$B$7:$B$22,0))*BP24</f>
        <v>5914.9999999999991</v>
      </c>
      <c r="BQ36" s="128">
        <f>INDEX('Commodity Prices'!$D$7:$D$22,MATCH($B36,'Commodity Prices'!$B$7:$B$22,0))*BQ24</f>
        <v>5914.9999999999991</v>
      </c>
      <c r="BR36" s="128">
        <f>INDEX('Commodity Prices'!$D$7:$D$22,MATCH($B36,'Commodity Prices'!$B$7:$B$22,0))*BR24</f>
        <v>5914.9999999999991</v>
      </c>
      <c r="BS36" s="128">
        <f>INDEX('Commodity Prices'!$D$7:$D$22,MATCH($B36,'Commodity Prices'!$B$7:$B$22,0))*BS24</f>
        <v>5914.9999999999991</v>
      </c>
      <c r="BT36" s="128">
        <f>INDEX('Commodity Prices'!$D$7:$D$22,MATCH($B36,'Commodity Prices'!$B$7:$B$22,0))*BT24</f>
        <v>5914.9999999999991</v>
      </c>
      <c r="BU36" s="128">
        <f>INDEX('Commodity Prices'!$D$7:$D$22,MATCH($B36,'Commodity Prices'!$B$7:$B$22,0))*BU24</f>
        <v>5914.9999999999991</v>
      </c>
      <c r="BV36" s="128">
        <f>INDEX('Commodity Prices'!$D$7:$D$22,MATCH($B36,'Commodity Prices'!$B$7:$B$22,0))*BV24</f>
        <v>5914.9999999999991</v>
      </c>
      <c r="BW36" s="128">
        <f>INDEX('Commodity Prices'!$D$7:$D$22,MATCH($B36,'Commodity Prices'!$B$7:$B$22,0))*BW24</f>
        <v>5914.9999999999991</v>
      </c>
      <c r="BX36" s="128">
        <f>INDEX('Commodity Prices'!$D$7:$D$22,MATCH($B36,'Commodity Prices'!$B$7:$B$22,0))*BX24</f>
        <v>5914.9999999999991</v>
      </c>
      <c r="BY36" s="128">
        <f>INDEX('Commodity Prices'!$D$7:$D$22,MATCH($B36,'Commodity Prices'!$B$7:$B$22,0))*BY24</f>
        <v>5914.9999999999991</v>
      </c>
      <c r="BZ36" s="128">
        <f>INDEX('Commodity Prices'!$D$7:$D$22,MATCH($B36,'Commodity Prices'!$B$7:$B$22,0))*BZ24</f>
        <v>5914.9999999999991</v>
      </c>
      <c r="CA36" s="128">
        <f>INDEX('Commodity Prices'!$D$7:$D$22,MATCH($B36,'Commodity Prices'!$B$7:$B$22,0))*CA24</f>
        <v>5914.9999999999991</v>
      </c>
      <c r="CB36" s="128">
        <f>INDEX('Commodity Prices'!$D$7:$D$22,MATCH($B36,'Commodity Prices'!$B$7:$B$22,0))*CB24</f>
        <v>5914.9999999999991</v>
      </c>
      <c r="CC36" s="128">
        <f>INDEX('Commodity Prices'!$D$7:$D$22,MATCH($B36,'Commodity Prices'!$B$7:$B$22,0))*CC24</f>
        <v>5914.9999999999991</v>
      </c>
      <c r="CD36" s="128">
        <f>INDEX('Commodity Prices'!$D$7:$D$22,MATCH($B36,'Commodity Prices'!$B$7:$B$22,0))*CD24</f>
        <v>5914.9999999999991</v>
      </c>
      <c r="CE36" s="128">
        <f>INDEX('Commodity Prices'!$D$7:$D$22,MATCH($B36,'Commodity Prices'!$B$7:$B$22,0))*CE24</f>
        <v>5914.9999999999991</v>
      </c>
      <c r="CF36" s="128">
        <f>INDEX('Commodity Prices'!$D$7:$D$22,MATCH($B36,'Commodity Prices'!$B$7:$B$22,0))*CF24</f>
        <v>5914.9999999999991</v>
      </c>
      <c r="CG36" s="128">
        <f>INDEX('Commodity Prices'!$D$7:$D$22,MATCH($B36,'Commodity Prices'!$B$7:$B$22,0))*CG24</f>
        <v>5914.9999999999991</v>
      </c>
      <c r="CH36" s="128">
        <f>INDEX('Commodity Prices'!$D$7:$D$22,MATCH($B36,'Commodity Prices'!$B$7:$B$22,0))*CH24</f>
        <v>5914.9999999999991</v>
      </c>
      <c r="CI36" s="128">
        <f>INDEX('Commodity Prices'!$D$7:$D$22,MATCH($B36,'Commodity Prices'!$B$7:$B$22,0))*CI24</f>
        <v>5914.9999999999991</v>
      </c>
      <c r="CJ36" s="128">
        <f>INDEX('Commodity Prices'!$D$7:$D$22,MATCH($B36,'Commodity Prices'!$B$7:$B$22,0))*CJ24</f>
        <v>5914.9999999999991</v>
      </c>
      <c r="CK36" s="128">
        <f>INDEX('Commodity Prices'!$D$7:$D$22,MATCH($B36,'Commodity Prices'!$B$7:$B$22,0))*CK24</f>
        <v>5914.9999999999991</v>
      </c>
      <c r="CL36" s="128">
        <f>INDEX('Commodity Prices'!$D$7:$D$22,MATCH($B36,'Commodity Prices'!$B$7:$B$22,0))*CL24</f>
        <v>5914.9999999999991</v>
      </c>
      <c r="CM36" s="128">
        <f>INDEX('Commodity Prices'!$D$7:$D$22,MATCH($B36,'Commodity Prices'!$B$7:$B$22,0))*CM24</f>
        <v>5914.9999999999991</v>
      </c>
      <c r="CN36" s="128">
        <f>INDEX('Commodity Prices'!$D$7:$D$22,MATCH($B36,'Commodity Prices'!$B$7:$B$22,0))*CN24</f>
        <v>5914.9999999999991</v>
      </c>
      <c r="CO36" s="128">
        <f>INDEX('Commodity Prices'!$D$7:$D$22,MATCH($B36,'Commodity Prices'!$B$7:$B$22,0))*CO24</f>
        <v>5914.9999999999991</v>
      </c>
      <c r="CP36" s="128">
        <f>INDEX('Commodity Prices'!$D$7:$D$22,MATCH($B36,'Commodity Prices'!$B$7:$B$22,0))*CP24</f>
        <v>5914.9999999999991</v>
      </c>
      <c r="CQ36" s="128">
        <f>INDEX('Commodity Prices'!$D$7:$D$22,MATCH($B36,'Commodity Prices'!$B$7:$B$22,0))*CQ24</f>
        <v>5914.9999999999991</v>
      </c>
      <c r="CR36" s="128">
        <f>INDEX('Commodity Prices'!$D$7:$D$22,MATCH($B36,'Commodity Prices'!$B$7:$B$22,0))*CR24</f>
        <v>5914.9999999999991</v>
      </c>
      <c r="CS36" s="128">
        <f>INDEX('Commodity Prices'!$D$7:$D$22,MATCH($B36,'Commodity Prices'!$B$7:$B$22,0))*CS24</f>
        <v>5914.9999999999991</v>
      </c>
      <c r="CT36" s="128">
        <f>INDEX('Commodity Prices'!$D$7:$D$22,MATCH($B36,'Commodity Prices'!$B$7:$B$22,0))*CT24</f>
        <v>5914.9999999999991</v>
      </c>
      <c r="CU36" s="128">
        <f>INDEX('Commodity Prices'!$D$7:$D$22,MATCH($B36,'Commodity Prices'!$B$7:$B$22,0))*CU24</f>
        <v>5914.9999999999991</v>
      </c>
      <c r="CV36" s="128">
        <f>INDEX('Commodity Prices'!$D$7:$D$22,MATCH($B36,'Commodity Prices'!$B$7:$B$22,0))*CV24</f>
        <v>5914.9999999999991</v>
      </c>
      <c r="CW36" s="128">
        <f>INDEX('Commodity Prices'!$D$7:$D$22,MATCH($B36,'Commodity Prices'!$B$7:$B$22,0))*CW24</f>
        <v>5914.9999999999991</v>
      </c>
      <c r="CX36" s="128">
        <f>INDEX('Commodity Prices'!$D$7:$D$22,MATCH($B36,'Commodity Prices'!$B$7:$B$22,0))*CX24</f>
        <v>5914.9999999999991</v>
      </c>
      <c r="CY36" s="128">
        <f>INDEX('Commodity Prices'!$D$7:$D$22,MATCH($B36,'Commodity Prices'!$B$7:$B$22,0))*CY24</f>
        <v>5914.9999999999991</v>
      </c>
      <c r="CZ36" s="128">
        <f>INDEX('Commodity Prices'!$D$7:$D$22,MATCH($B36,'Commodity Prices'!$B$7:$B$22,0))*CZ24</f>
        <v>5914.9999999999991</v>
      </c>
      <c r="DA36" s="128">
        <f>INDEX('Commodity Prices'!$D$7:$D$22,MATCH($B36,'Commodity Prices'!$B$7:$B$22,0))*DA24</f>
        <v>5914.9999999999991</v>
      </c>
      <c r="DB36" s="128">
        <f>INDEX('Commodity Prices'!$D$7:$D$22,MATCH($B36,'Commodity Prices'!$B$7:$B$22,0))*DB24</f>
        <v>5914.9999999999991</v>
      </c>
      <c r="DC36" s="128">
        <f>INDEX('Commodity Prices'!$D$7:$D$22,MATCH($B36,'Commodity Prices'!$B$7:$B$22,0))*DC24</f>
        <v>5914.9999999999991</v>
      </c>
      <c r="DD36" s="128">
        <f>INDEX('Commodity Prices'!$D$7:$D$22,MATCH($B36,'Commodity Prices'!$B$7:$B$22,0))*DD24</f>
        <v>5914.9999999999991</v>
      </c>
      <c r="DE36" s="128">
        <f>INDEX('Commodity Prices'!$D$7:$D$22,MATCH($B36,'Commodity Prices'!$B$7:$B$22,0))*DE24</f>
        <v>5914.9999999999991</v>
      </c>
      <c r="DF36" s="128">
        <f>INDEX('Commodity Prices'!$D$7:$D$22,MATCH($B36,'Commodity Prices'!$B$7:$B$22,0))*DF24</f>
        <v>5914.9999999999991</v>
      </c>
      <c r="DG36" s="128">
        <f>INDEX('Commodity Prices'!$D$7:$D$22,MATCH($B36,'Commodity Prices'!$B$7:$B$22,0))*DG24</f>
        <v>5914.9999999999991</v>
      </c>
      <c r="DH36" s="128">
        <f>INDEX('Commodity Prices'!$D$7:$D$22,MATCH($B36,'Commodity Prices'!$B$7:$B$22,0))*DH24</f>
        <v>5914.9999999999991</v>
      </c>
      <c r="DI36" s="128">
        <f>INDEX('Commodity Prices'!$D$7:$D$22,MATCH($B36,'Commodity Prices'!$B$7:$B$22,0))*DI24</f>
        <v>5914.9999999999991</v>
      </c>
      <c r="DJ36" s="128">
        <f>INDEX('Commodity Prices'!$D$7:$D$22,MATCH($B36,'Commodity Prices'!$B$7:$B$22,0))*DJ24</f>
        <v>5914.9999999999991</v>
      </c>
      <c r="DK36" s="128">
        <f>INDEX('Commodity Prices'!$D$7:$D$22,MATCH($B36,'Commodity Prices'!$B$7:$B$22,0))*DK24</f>
        <v>5914.9999999999991</v>
      </c>
      <c r="DL36" s="128">
        <f>INDEX('Commodity Prices'!$D$7:$D$22,MATCH($B36,'Commodity Prices'!$B$7:$B$22,0))*DL24</f>
        <v>5914.9999999999991</v>
      </c>
      <c r="DM36" s="128">
        <f>INDEX('Commodity Prices'!$D$7:$D$22,MATCH($B36,'Commodity Prices'!$B$7:$B$22,0))*DM24</f>
        <v>5914.9999999999991</v>
      </c>
      <c r="DN36" s="128">
        <f>INDEX('Commodity Prices'!$D$7:$D$22,MATCH($B36,'Commodity Prices'!$B$7:$B$22,0))*DN24</f>
        <v>5914.9999999999991</v>
      </c>
      <c r="DO36" s="128">
        <f>INDEX('Commodity Prices'!$D$7:$D$22,MATCH($B36,'Commodity Prices'!$B$7:$B$22,0))*DO24</f>
        <v>5914.9999999999991</v>
      </c>
      <c r="DP36" s="128">
        <f>INDEX('Commodity Prices'!$D$7:$D$22,MATCH($B36,'Commodity Prices'!$B$7:$B$22,0))*DP24</f>
        <v>5914.9999999999991</v>
      </c>
      <c r="DQ36" s="128">
        <f>INDEX('Commodity Prices'!$D$7:$D$22,MATCH($B36,'Commodity Prices'!$B$7:$B$22,0))*DQ24</f>
        <v>5914.9999999999991</v>
      </c>
      <c r="DR36" s="128">
        <f>INDEX('Commodity Prices'!$D$7:$D$22,MATCH($B36,'Commodity Prices'!$B$7:$B$22,0))*DR24</f>
        <v>5914.9999999999991</v>
      </c>
      <c r="DS36" s="128">
        <f>INDEX('Commodity Prices'!$D$7:$D$22,MATCH($B36,'Commodity Prices'!$B$7:$B$22,0))*DS24</f>
        <v>5914.9999999999991</v>
      </c>
      <c r="DT36" s="128">
        <f>INDEX('Commodity Prices'!$D$7:$D$22,MATCH($B36,'Commodity Prices'!$B$7:$B$22,0))*DT24</f>
        <v>5914.9999999999991</v>
      </c>
      <c r="DU36" s="128">
        <f>INDEX('Commodity Prices'!$D$7:$D$22,MATCH($B36,'Commodity Prices'!$B$7:$B$22,0))*DU24</f>
        <v>5914.9999999999991</v>
      </c>
      <c r="DV36" s="128">
        <f>INDEX('Commodity Prices'!$D$7:$D$22,MATCH($B36,'Commodity Prices'!$B$7:$B$22,0))*DV24</f>
        <v>5914.9999999999991</v>
      </c>
      <c r="DW36" s="128">
        <f>INDEX('Commodity Prices'!$D$7:$D$22,MATCH($B36,'Commodity Prices'!$B$7:$B$22,0))*DW24</f>
        <v>5914.9999999999991</v>
      </c>
    </row>
    <row r="37" spans="2:127" x14ac:dyDescent="0.3">
      <c r="B37" s="53" t="str">
        <f t="shared" si="1"/>
        <v>Cobalt</v>
      </c>
      <c r="C37" s="128">
        <f>INDEX('Commodity Prices'!$D$7:$D$22,MATCH($B37,'Commodity Prices'!$B$7:$B$22,0))*C25</f>
        <v>0</v>
      </c>
      <c r="D37" s="128">
        <f>INDEX('Commodity Prices'!$D$7:$D$22,MATCH($B37,'Commodity Prices'!$B$7:$B$22,0))*D25</f>
        <v>0</v>
      </c>
      <c r="E37" s="128">
        <f>INDEX('Commodity Prices'!$D$7:$D$22,MATCH($B37,'Commodity Prices'!$B$7:$B$22,0))*E25</f>
        <v>0</v>
      </c>
      <c r="F37" s="128">
        <f>INDEX('Commodity Prices'!$D$7:$D$22,MATCH($B37,'Commodity Prices'!$B$7:$B$22,0))*F25</f>
        <v>0</v>
      </c>
      <c r="G37" s="128">
        <f>INDEX('Commodity Prices'!$D$7:$D$22,MATCH($B37,'Commodity Prices'!$B$7:$B$22,0))*G25</f>
        <v>10308.593749999998</v>
      </c>
      <c r="H37" s="128">
        <f>INDEX('Commodity Prices'!$D$7:$D$22,MATCH($B37,'Commodity Prices'!$B$7:$B$22,0))*H25</f>
        <v>10308.593749999998</v>
      </c>
      <c r="I37" s="128">
        <f>INDEX('Commodity Prices'!$D$7:$D$22,MATCH($B37,'Commodity Prices'!$B$7:$B$22,0))*I25</f>
        <v>10308.593749999998</v>
      </c>
      <c r="J37" s="128">
        <f>INDEX('Commodity Prices'!$D$7:$D$22,MATCH($B37,'Commodity Prices'!$B$7:$B$22,0))*J25</f>
        <v>10308.593749999998</v>
      </c>
      <c r="K37" s="128">
        <f>INDEX('Commodity Prices'!$D$7:$D$22,MATCH($B37,'Commodity Prices'!$B$7:$B$22,0))*K25</f>
        <v>10308.593749999998</v>
      </c>
      <c r="L37" s="128">
        <f>INDEX('Commodity Prices'!$D$7:$D$22,MATCH($B37,'Commodity Prices'!$B$7:$B$22,0))*L25</f>
        <v>20617.187499999996</v>
      </c>
      <c r="M37" s="128">
        <f>INDEX('Commodity Prices'!$D$7:$D$22,MATCH($B37,'Commodity Prices'!$B$7:$B$22,0))*M25</f>
        <v>20617.187499999996</v>
      </c>
      <c r="N37" s="128">
        <f>INDEX('Commodity Prices'!$D$7:$D$22,MATCH($B37,'Commodity Prices'!$B$7:$B$22,0))*N25</f>
        <v>20617.187499999996</v>
      </c>
      <c r="O37" s="128">
        <f>INDEX('Commodity Prices'!$D$7:$D$22,MATCH($B37,'Commodity Prices'!$B$7:$B$22,0))*O25</f>
        <v>20617.187499999996</v>
      </c>
      <c r="P37" s="128">
        <f>INDEX('Commodity Prices'!$D$7:$D$22,MATCH($B37,'Commodity Prices'!$B$7:$B$22,0))*P25</f>
        <v>20617.187499999996</v>
      </c>
      <c r="Q37" s="128">
        <f>INDEX('Commodity Prices'!$D$7:$D$22,MATCH($B37,'Commodity Prices'!$B$7:$B$22,0))*Q25</f>
        <v>20617.187499999996</v>
      </c>
      <c r="R37" s="128">
        <f>INDEX('Commodity Prices'!$D$7:$D$22,MATCH($B37,'Commodity Prices'!$B$7:$B$22,0))*R25</f>
        <v>20617.187499999996</v>
      </c>
      <c r="S37" s="128">
        <f>INDEX('Commodity Prices'!$D$7:$D$22,MATCH($B37,'Commodity Prices'!$B$7:$B$22,0))*S25</f>
        <v>20617.187499999996</v>
      </c>
      <c r="T37" s="128">
        <f>INDEX('Commodity Prices'!$D$7:$D$22,MATCH($B37,'Commodity Prices'!$B$7:$B$22,0))*T25</f>
        <v>20617.187499999996</v>
      </c>
      <c r="U37" s="128">
        <f>INDEX('Commodity Prices'!$D$7:$D$22,MATCH($B37,'Commodity Prices'!$B$7:$B$22,0))*U25</f>
        <v>20617.187499999996</v>
      </c>
      <c r="V37" s="128">
        <f>INDEX('Commodity Prices'!$D$7:$D$22,MATCH($B37,'Commodity Prices'!$B$7:$B$22,0))*V25</f>
        <v>20617.187499999996</v>
      </c>
      <c r="W37" s="128">
        <f>INDEX('Commodity Prices'!$D$7:$D$22,MATCH($B37,'Commodity Prices'!$B$7:$B$22,0))*W25</f>
        <v>20617.187499999996</v>
      </c>
      <c r="X37" s="128">
        <f>INDEX('Commodity Prices'!$D$7:$D$22,MATCH($B37,'Commodity Prices'!$B$7:$B$22,0))*X25</f>
        <v>20617.187499999996</v>
      </c>
      <c r="Y37" s="128">
        <f>INDEX('Commodity Prices'!$D$7:$D$22,MATCH($B37,'Commodity Prices'!$B$7:$B$22,0))*Y25</f>
        <v>20617.187499999996</v>
      </c>
      <c r="Z37" s="128">
        <f>INDEX('Commodity Prices'!$D$7:$D$22,MATCH($B37,'Commodity Prices'!$B$7:$B$22,0))*Z25</f>
        <v>20617.187499999996</v>
      </c>
      <c r="AA37" s="128">
        <f>INDEX('Commodity Prices'!$D$7:$D$22,MATCH($B37,'Commodity Prices'!$B$7:$B$22,0))*AA25</f>
        <v>20617.187499999996</v>
      </c>
      <c r="AB37" s="128">
        <f>INDEX('Commodity Prices'!$D$7:$D$22,MATCH($B37,'Commodity Prices'!$B$7:$B$22,0))*AB25</f>
        <v>20617.187499999996</v>
      </c>
      <c r="AC37" s="128">
        <f>INDEX('Commodity Prices'!$D$7:$D$22,MATCH($B37,'Commodity Prices'!$B$7:$B$22,0))*AC25</f>
        <v>20617.187499999996</v>
      </c>
      <c r="AD37" s="128">
        <f>INDEX('Commodity Prices'!$D$7:$D$22,MATCH($B37,'Commodity Prices'!$B$7:$B$22,0))*AD25</f>
        <v>20617.187499999996</v>
      </c>
      <c r="AE37" s="128">
        <f>INDEX('Commodity Prices'!$D$7:$D$22,MATCH($B37,'Commodity Prices'!$B$7:$B$22,0))*AE25</f>
        <v>20617.187499999996</v>
      </c>
      <c r="AF37" s="128">
        <f>INDEX('Commodity Prices'!$D$7:$D$22,MATCH($B37,'Commodity Prices'!$B$7:$B$22,0))*AF25</f>
        <v>20617.187499999996</v>
      </c>
      <c r="AG37" s="128">
        <f>INDEX('Commodity Prices'!$D$7:$D$22,MATCH($B37,'Commodity Prices'!$B$7:$B$22,0))*AG25</f>
        <v>20617.187499999996</v>
      </c>
      <c r="AH37" s="128">
        <f>INDEX('Commodity Prices'!$D$7:$D$22,MATCH($B37,'Commodity Prices'!$B$7:$B$22,0))*AH25</f>
        <v>20617.187499999996</v>
      </c>
      <c r="AI37" s="128">
        <f>INDEX('Commodity Prices'!$D$7:$D$22,MATCH($B37,'Commodity Prices'!$B$7:$B$22,0))*AI25</f>
        <v>20617.187499999996</v>
      </c>
      <c r="AJ37" s="128">
        <f>INDEX('Commodity Prices'!$D$7:$D$22,MATCH($B37,'Commodity Prices'!$B$7:$B$22,0))*AJ25</f>
        <v>20617.187499999996</v>
      </c>
      <c r="AK37" s="128">
        <f>INDEX('Commodity Prices'!$D$7:$D$22,MATCH($B37,'Commodity Prices'!$B$7:$B$22,0))*AK25</f>
        <v>20617.187499999996</v>
      </c>
      <c r="AL37" s="128">
        <f>INDEX('Commodity Prices'!$D$7:$D$22,MATCH($B37,'Commodity Prices'!$B$7:$B$22,0))*AL25</f>
        <v>20617.187499999996</v>
      </c>
      <c r="AM37" s="128">
        <f>INDEX('Commodity Prices'!$D$7:$D$22,MATCH($B37,'Commodity Prices'!$B$7:$B$22,0))*AM25</f>
        <v>20617.187499999996</v>
      </c>
      <c r="AN37" s="128">
        <f>INDEX('Commodity Prices'!$D$7:$D$22,MATCH($B37,'Commodity Prices'!$B$7:$B$22,0))*AN25</f>
        <v>20617.187499999996</v>
      </c>
      <c r="AO37" s="128">
        <f>INDEX('Commodity Prices'!$D$7:$D$22,MATCH($B37,'Commodity Prices'!$B$7:$B$22,0))*AO25</f>
        <v>20617.187499999996</v>
      </c>
      <c r="AP37" s="128">
        <f>INDEX('Commodity Prices'!$D$7:$D$22,MATCH($B37,'Commodity Prices'!$B$7:$B$22,0))*AP25</f>
        <v>20617.187499999996</v>
      </c>
      <c r="AQ37" s="128">
        <f>INDEX('Commodity Prices'!$D$7:$D$22,MATCH($B37,'Commodity Prices'!$B$7:$B$22,0))*AQ25</f>
        <v>20617.187499999996</v>
      </c>
      <c r="AR37" s="128">
        <f>INDEX('Commodity Prices'!$D$7:$D$22,MATCH($B37,'Commodity Prices'!$B$7:$B$22,0))*AR25</f>
        <v>20617.187499999996</v>
      </c>
      <c r="AS37" s="128">
        <f>INDEX('Commodity Prices'!$D$7:$D$22,MATCH($B37,'Commodity Prices'!$B$7:$B$22,0))*AS25</f>
        <v>20617.187499999996</v>
      </c>
      <c r="AT37" s="128">
        <f>INDEX('Commodity Prices'!$D$7:$D$22,MATCH($B37,'Commodity Prices'!$B$7:$B$22,0))*AT25</f>
        <v>20617.187499999996</v>
      </c>
      <c r="AU37" s="128">
        <f>INDEX('Commodity Prices'!$D$7:$D$22,MATCH($B37,'Commodity Prices'!$B$7:$B$22,0))*AU25</f>
        <v>20617.187499999996</v>
      </c>
      <c r="AV37" s="128">
        <f>INDEX('Commodity Prices'!$D$7:$D$22,MATCH($B37,'Commodity Prices'!$B$7:$B$22,0))*AV25</f>
        <v>20617.187499999996</v>
      </c>
      <c r="AW37" s="128">
        <f>INDEX('Commodity Prices'!$D$7:$D$22,MATCH($B37,'Commodity Prices'!$B$7:$B$22,0))*AW25</f>
        <v>20617.187499999996</v>
      </c>
      <c r="AX37" s="128">
        <f>INDEX('Commodity Prices'!$D$7:$D$22,MATCH($B37,'Commodity Prices'!$B$7:$B$22,0))*AX25</f>
        <v>20617.187499999996</v>
      </c>
      <c r="AY37" s="128">
        <f>INDEX('Commodity Prices'!$D$7:$D$22,MATCH($B37,'Commodity Prices'!$B$7:$B$22,0))*AY25</f>
        <v>20617.187499999996</v>
      </c>
      <c r="AZ37" s="128">
        <f>INDEX('Commodity Prices'!$D$7:$D$22,MATCH($B37,'Commodity Prices'!$B$7:$B$22,0))*AZ25</f>
        <v>20617.187499999996</v>
      </c>
      <c r="BA37" s="128">
        <f>INDEX('Commodity Prices'!$D$7:$D$22,MATCH($B37,'Commodity Prices'!$B$7:$B$22,0))*BA25</f>
        <v>20617.187499999996</v>
      </c>
      <c r="BB37" s="128">
        <f>INDEX('Commodity Prices'!$D$7:$D$22,MATCH($B37,'Commodity Prices'!$B$7:$B$22,0))*BB25</f>
        <v>20617.187499999996</v>
      </c>
      <c r="BC37" s="128">
        <f>INDEX('Commodity Prices'!$D$7:$D$22,MATCH($B37,'Commodity Prices'!$B$7:$B$22,0))*BC25</f>
        <v>20617.187499999996</v>
      </c>
      <c r="BD37" s="128">
        <f>INDEX('Commodity Prices'!$D$7:$D$22,MATCH($B37,'Commodity Prices'!$B$7:$B$22,0))*BD25</f>
        <v>20617.187499999996</v>
      </c>
      <c r="BE37" s="128">
        <f>INDEX('Commodity Prices'!$D$7:$D$22,MATCH($B37,'Commodity Prices'!$B$7:$B$22,0))*BE25</f>
        <v>20617.187499999996</v>
      </c>
      <c r="BF37" s="128">
        <f>INDEX('Commodity Prices'!$D$7:$D$22,MATCH($B37,'Commodity Prices'!$B$7:$B$22,0))*BF25</f>
        <v>20617.187499999996</v>
      </c>
      <c r="BG37" s="128">
        <f>INDEX('Commodity Prices'!$D$7:$D$22,MATCH($B37,'Commodity Prices'!$B$7:$B$22,0))*BG25</f>
        <v>20617.187499999996</v>
      </c>
      <c r="BH37" s="128">
        <f>INDEX('Commodity Prices'!$D$7:$D$22,MATCH($B37,'Commodity Prices'!$B$7:$B$22,0))*BH25</f>
        <v>20617.187499999996</v>
      </c>
      <c r="BI37" s="128">
        <f>INDEX('Commodity Prices'!$D$7:$D$22,MATCH($B37,'Commodity Prices'!$B$7:$B$22,0))*BI25</f>
        <v>20617.187499999996</v>
      </c>
      <c r="BJ37" s="128">
        <f>INDEX('Commodity Prices'!$D$7:$D$22,MATCH($B37,'Commodity Prices'!$B$7:$B$22,0))*BJ25</f>
        <v>20617.187499999996</v>
      </c>
      <c r="BK37" s="128">
        <f>INDEX('Commodity Prices'!$D$7:$D$22,MATCH($B37,'Commodity Prices'!$B$7:$B$22,0))*BK25</f>
        <v>20617.187499999996</v>
      </c>
      <c r="BL37" s="128">
        <f>INDEX('Commodity Prices'!$D$7:$D$22,MATCH($B37,'Commodity Prices'!$B$7:$B$22,0))*BL25</f>
        <v>20617.187499999996</v>
      </c>
      <c r="BM37" s="128">
        <f>INDEX('Commodity Prices'!$D$7:$D$22,MATCH($B37,'Commodity Prices'!$B$7:$B$22,0))*BM25</f>
        <v>20617.187499999996</v>
      </c>
      <c r="BN37" s="128">
        <f>INDEX('Commodity Prices'!$D$7:$D$22,MATCH($B37,'Commodity Prices'!$B$7:$B$22,0))*BN25</f>
        <v>20617.187499999996</v>
      </c>
      <c r="BO37" s="128">
        <f>INDEX('Commodity Prices'!$D$7:$D$22,MATCH($B37,'Commodity Prices'!$B$7:$B$22,0))*BO25</f>
        <v>20617.187499999996</v>
      </c>
      <c r="BP37" s="128">
        <f>INDEX('Commodity Prices'!$D$7:$D$22,MATCH($B37,'Commodity Prices'!$B$7:$B$22,0))*BP25</f>
        <v>20617.187499999996</v>
      </c>
      <c r="BQ37" s="128">
        <f>INDEX('Commodity Prices'!$D$7:$D$22,MATCH($B37,'Commodity Prices'!$B$7:$B$22,0))*BQ25</f>
        <v>20617.187499999996</v>
      </c>
      <c r="BR37" s="128">
        <f>INDEX('Commodity Prices'!$D$7:$D$22,MATCH($B37,'Commodity Prices'!$B$7:$B$22,0))*BR25</f>
        <v>20617.187499999996</v>
      </c>
      <c r="BS37" s="128">
        <f>INDEX('Commodity Prices'!$D$7:$D$22,MATCH($B37,'Commodity Prices'!$B$7:$B$22,0))*BS25</f>
        <v>20617.187499999996</v>
      </c>
      <c r="BT37" s="128">
        <f>INDEX('Commodity Prices'!$D$7:$D$22,MATCH($B37,'Commodity Prices'!$B$7:$B$22,0))*BT25</f>
        <v>20617.187499999996</v>
      </c>
      <c r="BU37" s="128">
        <f>INDEX('Commodity Prices'!$D$7:$D$22,MATCH($B37,'Commodity Prices'!$B$7:$B$22,0))*BU25</f>
        <v>20617.187499999996</v>
      </c>
      <c r="BV37" s="128">
        <f>INDEX('Commodity Prices'!$D$7:$D$22,MATCH($B37,'Commodity Prices'!$B$7:$B$22,0))*BV25</f>
        <v>20617.187499999996</v>
      </c>
      <c r="BW37" s="128">
        <f>INDEX('Commodity Prices'!$D$7:$D$22,MATCH($B37,'Commodity Prices'!$B$7:$B$22,0))*BW25</f>
        <v>20617.187499999996</v>
      </c>
      <c r="BX37" s="128">
        <f>INDEX('Commodity Prices'!$D$7:$D$22,MATCH($B37,'Commodity Prices'!$B$7:$B$22,0))*BX25</f>
        <v>20617.187499999996</v>
      </c>
      <c r="BY37" s="128">
        <f>INDEX('Commodity Prices'!$D$7:$D$22,MATCH($B37,'Commodity Prices'!$B$7:$B$22,0))*BY25</f>
        <v>20617.187499999996</v>
      </c>
      <c r="BZ37" s="128">
        <f>INDEX('Commodity Prices'!$D$7:$D$22,MATCH($B37,'Commodity Prices'!$B$7:$B$22,0))*BZ25</f>
        <v>20617.187499999996</v>
      </c>
      <c r="CA37" s="128">
        <f>INDEX('Commodity Prices'!$D$7:$D$22,MATCH($B37,'Commodity Prices'!$B$7:$B$22,0))*CA25</f>
        <v>20617.187499999996</v>
      </c>
      <c r="CB37" s="128">
        <f>INDEX('Commodity Prices'!$D$7:$D$22,MATCH($B37,'Commodity Prices'!$B$7:$B$22,0))*CB25</f>
        <v>20617.187499999996</v>
      </c>
      <c r="CC37" s="128">
        <f>INDEX('Commodity Prices'!$D$7:$D$22,MATCH($B37,'Commodity Prices'!$B$7:$B$22,0))*CC25</f>
        <v>20617.187499999996</v>
      </c>
      <c r="CD37" s="128">
        <f>INDEX('Commodity Prices'!$D$7:$D$22,MATCH($B37,'Commodity Prices'!$B$7:$B$22,0))*CD25</f>
        <v>20617.187499999996</v>
      </c>
      <c r="CE37" s="128">
        <f>INDEX('Commodity Prices'!$D$7:$D$22,MATCH($B37,'Commodity Prices'!$B$7:$B$22,0))*CE25</f>
        <v>20617.187499999996</v>
      </c>
      <c r="CF37" s="128">
        <f>INDEX('Commodity Prices'!$D$7:$D$22,MATCH($B37,'Commodity Prices'!$B$7:$B$22,0))*CF25</f>
        <v>20617.187499999996</v>
      </c>
      <c r="CG37" s="128">
        <f>INDEX('Commodity Prices'!$D$7:$D$22,MATCH($B37,'Commodity Prices'!$B$7:$B$22,0))*CG25</f>
        <v>20617.187499999996</v>
      </c>
      <c r="CH37" s="128">
        <f>INDEX('Commodity Prices'!$D$7:$D$22,MATCH($B37,'Commodity Prices'!$B$7:$B$22,0))*CH25</f>
        <v>20617.187499999996</v>
      </c>
      <c r="CI37" s="128">
        <f>INDEX('Commodity Prices'!$D$7:$D$22,MATCH($B37,'Commodity Prices'!$B$7:$B$22,0))*CI25</f>
        <v>20617.187499999996</v>
      </c>
      <c r="CJ37" s="128">
        <f>INDEX('Commodity Prices'!$D$7:$D$22,MATCH($B37,'Commodity Prices'!$B$7:$B$22,0))*CJ25</f>
        <v>20617.187499999996</v>
      </c>
      <c r="CK37" s="128">
        <f>INDEX('Commodity Prices'!$D$7:$D$22,MATCH($B37,'Commodity Prices'!$B$7:$B$22,0))*CK25</f>
        <v>20617.187499999996</v>
      </c>
      <c r="CL37" s="128">
        <f>INDEX('Commodity Prices'!$D$7:$D$22,MATCH($B37,'Commodity Prices'!$B$7:$B$22,0))*CL25</f>
        <v>20617.187499999996</v>
      </c>
      <c r="CM37" s="128">
        <f>INDEX('Commodity Prices'!$D$7:$D$22,MATCH($B37,'Commodity Prices'!$B$7:$B$22,0))*CM25</f>
        <v>20617.187499999996</v>
      </c>
      <c r="CN37" s="128">
        <f>INDEX('Commodity Prices'!$D$7:$D$22,MATCH($B37,'Commodity Prices'!$B$7:$B$22,0))*CN25</f>
        <v>20617.187499999996</v>
      </c>
      <c r="CO37" s="128">
        <f>INDEX('Commodity Prices'!$D$7:$D$22,MATCH($B37,'Commodity Prices'!$B$7:$B$22,0))*CO25</f>
        <v>20617.187499999996</v>
      </c>
      <c r="CP37" s="128">
        <f>INDEX('Commodity Prices'!$D$7:$D$22,MATCH($B37,'Commodity Prices'!$B$7:$B$22,0))*CP25</f>
        <v>20617.187499999996</v>
      </c>
      <c r="CQ37" s="128">
        <f>INDEX('Commodity Prices'!$D$7:$D$22,MATCH($B37,'Commodity Prices'!$B$7:$B$22,0))*CQ25</f>
        <v>20617.187499999996</v>
      </c>
      <c r="CR37" s="128">
        <f>INDEX('Commodity Prices'!$D$7:$D$22,MATCH($B37,'Commodity Prices'!$B$7:$B$22,0))*CR25</f>
        <v>20617.187499999996</v>
      </c>
      <c r="CS37" s="128">
        <f>INDEX('Commodity Prices'!$D$7:$D$22,MATCH($B37,'Commodity Prices'!$B$7:$B$22,0))*CS25</f>
        <v>20617.187499999996</v>
      </c>
      <c r="CT37" s="128">
        <f>INDEX('Commodity Prices'!$D$7:$D$22,MATCH($B37,'Commodity Prices'!$B$7:$B$22,0))*CT25</f>
        <v>20617.187499999996</v>
      </c>
      <c r="CU37" s="128">
        <f>INDEX('Commodity Prices'!$D$7:$D$22,MATCH($B37,'Commodity Prices'!$B$7:$B$22,0))*CU25</f>
        <v>20617.187499999996</v>
      </c>
      <c r="CV37" s="128">
        <f>INDEX('Commodity Prices'!$D$7:$D$22,MATCH($B37,'Commodity Prices'!$B$7:$B$22,0))*CV25</f>
        <v>20617.187499999996</v>
      </c>
      <c r="CW37" s="128">
        <f>INDEX('Commodity Prices'!$D$7:$D$22,MATCH($B37,'Commodity Prices'!$B$7:$B$22,0))*CW25</f>
        <v>20617.187499999996</v>
      </c>
      <c r="CX37" s="128">
        <f>INDEX('Commodity Prices'!$D$7:$D$22,MATCH($B37,'Commodity Prices'!$B$7:$B$22,0))*CX25</f>
        <v>20617.187499999996</v>
      </c>
      <c r="CY37" s="128">
        <f>INDEX('Commodity Prices'!$D$7:$D$22,MATCH($B37,'Commodity Prices'!$B$7:$B$22,0))*CY25</f>
        <v>20617.187499999996</v>
      </c>
      <c r="CZ37" s="128">
        <f>INDEX('Commodity Prices'!$D$7:$D$22,MATCH($B37,'Commodity Prices'!$B$7:$B$22,0))*CZ25</f>
        <v>20617.187499999996</v>
      </c>
      <c r="DA37" s="128">
        <f>INDEX('Commodity Prices'!$D$7:$D$22,MATCH($B37,'Commodity Prices'!$B$7:$B$22,0))*DA25</f>
        <v>20617.187499999996</v>
      </c>
      <c r="DB37" s="128">
        <f>INDEX('Commodity Prices'!$D$7:$D$22,MATCH($B37,'Commodity Prices'!$B$7:$B$22,0))*DB25</f>
        <v>20617.187499999996</v>
      </c>
      <c r="DC37" s="128">
        <f>INDEX('Commodity Prices'!$D$7:$D$22,MATCH($B37,'Commodity Prices'!$B$7:$B$22,0))*DC25</f>
        <v>20617.187499999996</v>
      </c>
      <c r="DD37" s="128">
        <f>INDEX('Commodity Prices'!$D$7:$D$22,MATCH($B37,'Commodity Prices'!$B$7:$B$22,0))*DD25</f>
        <v>20617.187499999996</v>
      </c>
      <c r="DE37" s="128">
        <f>INDEX('Commodity Prices'!$D$7:$D$22,MATCH($B37,'Commodity Prices'!$B$7:$B$22,0))*DE25</f>
        <v>20617.187499999996</v>
      </c>
      <c r="DF37" s="128">
        <f>INDEX('Commodity Prices'!$D$7:$D$22,MATCH($B37,'Commodity Prices'!$B$7:$B$22,0))*DF25</f>
        <v>20617.187499999996</v>
      </c>
      <c r="DG37" s="128">
        <f>INDEX('Commodity Prices'!$D$7:$D$22,MATCH($B37,'Commodity Prices'!$B$7:$B$22,0))*DG25</f>
        <v>20617.187499999996</v>
      </c>
      <c r="DH37" s="128">
        <f>INDEX('Commodity Prices'!$D$7:$D$22,MATCH($B37,'Commodity Prices'!$B$7:$B$22,0))*DH25</f>
        <v>20617.187499999996</v>
      </c>
      <c r="DI37" s="128">
        <f>INDEX('Commodity Prices'!$D$7:$D$22,MATCH($B37,'Commodity Prices'!$B$7:$B$22,0))*DI25</f>
        <v>20617.187499999996</v>
      </c>
      <c r="DJ37" s="128">
        <f>INDEX('Commodity Prices'!$D$7:$D$22,MATCH($B37,'Commodity Prices'!$B$7:$B$22,0))*DJ25</f>
        <v>20617.187499999996</v>
      </c>
      <c r="DK37" s="128">
        <f>INDEX('Commodity Prices'!$D$7:$D$22,MATCH($B37,'Commodity Prices'!$B$7:$B$22,0))*DK25</f>
        <v>20617.187499999996</v>
      </c>
      <c r="DL37" s="128">
        <f>INDEX('Commodity Prices'!$D$7:$D$22,MATCH($B37,'Commodity Prices'!$B$7:$B$22,0))*DL25</f>
        <v>20617.187499999996</v>
      </c>
      <c r="DM37" s="128">
        <f>INDEX('Commodity Prices'!$D$7:$D$22,MATCH($B37,'Commodity Prices'!$B$7:$B$22,0))*DM25</f>
        <v>20617.187499999996</v>
      </c>
      <c r="DN37" s="128">
        <f>INDEX('Commodity Prices'!$D$7:$D$22,MATCH($B37,'Commodity Prices'!$B$7:$B$22,0))*DN25</f>
        <v>20617.187499999996</v>
      </c>
      <c r="DO37" s="128">
        <f>INDEX('Commodity Prices'!$D$7:$D$22,MATCH($B37,'Commodity Prices'!$B$7:$B$22,0))*DO25</f>
        <v>20617.187499999996</v>
      </c>
      <c r="DP37" s="128">
        <f>INDEX('Commodity Prices'!$D$7:$D$22,MATCH($B37,'Commodity Prices'!$B$7:$B$22,0))*DP25</f>
        <v>20617.187499999996</v>
      </c>
      <c r="DQ37" s="128">
        <f>INDEX('Commodity Prices'!$D$7:$D$22,MATCH($B37,'Commodity Prices'!$B$7:$B$22,0))*DQ25</f>
        <v>20617.187499999996</v>
      </c>
      <c r="DR37" s="128">
        <f>INDEX('Commodity Prices'!$D$7:$D$22,MATCH($B37,'Commodity Prices'!$B$7:$B$22,0))*DR25</f>
        <v>20617.187499999996</v>
      </c>
      <c r="DS37" s="128">
        <f>INDEX('Commodity Prices'!$D$7:$D$22,MATCH($B37,'Commodity Prices'!$B$7:$B$22,0))*DS25</f>
        <v>20617.187499999996</v>
      </c>
      <c r="DT37" s="128">
        <f>INDEX('Commodity Prices'!$D$7:$D$22,MATCH($B37,'Commodity Prices'!$B$7:$B$22,0))*DT25</f>
        <v>20617.187499999996</v>
      </c>
      <c r="DU37" s="128">
        <f>INDEX('Commodity Prices'!$D$7:$D$22,MATCH($B37,'Commodity Prices'!$B$7:$B$22,0))*DU25</f>
        <v>20617.187499999996</v>
      </c>
      <c r="DV37" s="128">
        <f>INDEX('Commodity Prices'!$D$7:$D$22,MATCH($B37,'Commodity Prices'!$B$7:$B$22,0))*DV25</f>
        <v>20617.187499999996</v>
      </c>
      <c r="DW37" s="128">
        <f>INDEX('Commodity Prices'!$D$7:$D$22,MATCH($B37,'Commodity Prices'!$B$7:$B$22,0))*DW25</f>
        <v>20617.187499999996</v>
      </c>
    </row>
    <row r="38" spans="2:127" x14ac:dyDescent="0.3">
      <c r="B38" s="53" t="str">
        <f t="shared" si="1"/>
        <v>Magnesium</v>
      </c>
      <c r="C38" s="128">
        <f>INDEX('Commodity Prices'!$D$7:$D$22,MATCH($B38,'Commodity Prices'!$B$7:$B$22,0))*C26</f>
        <v>0</v>
      </c>
      <c r="D38" s="128">
        <f>INDEX('Commodity Prices'!$D$7:$D$22,MATCH($B38,'Commodity Prices'!$B$7:$B$22,0))*D26</f>
        <v>0</v>
      </c>
      <c r="E38" s="128">
        <f>INDEX('Commodity Prices'!$D$7:$D$22,MATCH($B38,'Commodity Prices'!$B$7:$B$22,0))*E26</f>
        <v>0</v>
      </c>
      <c r="F38" s="128">
        <f>INDEX('Commodity Prices'!$D$7:$D$22,MATCH($B38,'Commodity Prices'!$B$7:$B$22,0))*F26</f>
        <v>0</v>
      </c>
      <c r="G38" s="128">
        <f>INDEX('Commodity Prices'!$D$7:$D$22,MATCH($B38,'Commodity Prices'!$B$7:$B$22,0))*G26</f>
        <v>23697.916666666661</v>
      </c>
      <c r="H38" s="128">
        <f>INDEX('Commodity Prices'!$D$7:$D$22,MATCH($B38,'Commodity Prices'!$B$7:$B$22,0))*H26</f>
        <v>23697.916666666661</v>
      </c>
      <c r="I38" s="128">
        <f>INDEX('Commodity Prices'!$D$7:$D$22,MATCH($B38,'Commodity Prices'!$B$7:$B$22,0))*I26</f>
        <v>23697.916666666661</v>
      </c>
      <c r="J38" s="128">
        <f>INDEX('Commodity Prices'!$D$7:$D$22,MATCH($B38,'Commodity Prices'!$B$7:$B$22,0))*J26</f>
        <v>23697.916666666661</v>
      </c>
      <c r="K38" s="128">
        <f>INDEX('Commodity Prices'!$D$7:$D$22,MATCH($B38,'Commodity Prices'!$B$7:$B$22,0))*K26</f>
        <v>23697.916666666661</v>
      </c>
      <c r="L38" s="128">
        <f>INDEX('Commodity Prices'!$D$7:$D$22,MATCH($B38,'Commodity Prices'!$B$7:$B$22,0))*L26</f>
        <v>47395.833333333321</v>
      </c>
      <c r="M38" s="128">
        <f>INDEX('Commodity Prices'!$D$7:$D$22,MATCH($B38,'Commodity Prices'!$B$7:$B$22,0))*M26</f>
        <v>47395.833333333321</v>
      </c>
      <c r="N38" s="128">
        <f>INDEX('Commodity Prices'!$D$7:$D$22,MATCH($B38,'Commodity Prices'!$B$7:$B$22,0))*N26</f>
        <v>47395.833333333321</v>
      </c>
      <c r="O38" s="128">
        <f>INDEX('Commodity Prices'!$D$7:$D$22,MATCH($B38,'Commodity Prices'!$B$7:$B$22,0))*O26</f>
        <v>47395.833333333321</v>
      </c>
      <c r="P38" s="128">
        <f>INDEX('Commodity Prices'!$D$7:$D$22,MATCH($B38,'Commodity Prices'!$B$7:$B$22,0))*P26</f>
        <v>47395.833333333321</v>
      </c>
      <c r="Q38" s="128">
        <f>INDEX('Commodity Prices'!$D$7:$D$22,MATCH($B38,'Commodity Prices'!$B$7:$B$22,0))*Q26</f>
        <v>47395.833333333321</v>
      </c>
      <c r="R38" s="128">
        <f>INDEX('Commodity Prices'!$D$7:$D$22,MATCH($B38,'Commodity Prices'!$B$7:$B$22,0))*R26</f>
        <v>47395.833333333321</v>
      </c>
      <c r="S38" s="128">
        <f>INDEX('Commodity Prices'!$D$7:$D$22,MATCH($B38,'Commodity Prices'!$B$7:$B$22,0))*S26</f>
        <v>47395.833333333321</v>
      </c>
      <c r="T38" s="128">
        <f>INDEX('Commodity Prices'!$D$7:$D$22,MATCH($B38,'Commodity Prices'!$B$7:$B$22,0))*T26</f>
        <v>47395.833333333321</v>
      </c>
      <c r="U38" s="128">
        <f>INDEX('Commodity Prices'!$D$7:$D$22,MATCH($B38,'Commodity Prices'!$B$7:$B$22,0))*U26</f>
        <v>47395.833333333321</v>
      </c>
      <c r="V38" s="128">
        <f>INDEX('Commodity Prices'!$D$7:$D$22,MATCH($B38,'Commodity Prices'!$B$7:$B$22,0))*V26</f>
        <v>47395.833333333321</v>
      </c>
      <c r="W38" s="128">
        <f>INDEX('Commodity Prices'!$D$7:$D$22,MATCH($B38,'Commodity Prices'!$B$7:$B$22,0))*W26</f>
        <v>47395.833333333321</v>
      </c>
      <c r="X38" s="128">
        <f>INDEX('Commodity Prices'!$D$7:$D$22,MATCH($B38,'Commodity Prices'!$B$7:$B$22,0))*X26</f>
        <v>47395.833333333321</v>
      </c>
      <c r="Y38" s="128">
        <f>INDEX('Commodity Prices'!$D$7:$D$22,MATCH($B38,'Commodity Prices'!$B$7:$B$22,0))*Y26</f>
        <v>47395.833333333321</v>
      </c>
      <c r="Z38" s="128">
        <f>INDEX('Commodity Prices'!$D$7:$D$22,MATCH($B38,'Commodity Prices'!$B$7:$B$22,0))*Z26</f>
        <v>47395.833333333321</v>
      </c>
      <c r="AA38" s="128">
        <f>INDEX('Commodity Prices'!$D$7:$D$22,MATCH($B38,'Commodity Prices'!$B$7:$B$22,0))*AA26</f>
        <v>47395.833333333321</v>
      </c>
      <c r="AB38" s="128">
        <f>INDEX('Commodity Prices'!$D$7:$D$22,MATCH($B38,'Commodity Prices'!$B$7:$B$22,0))*AB26</f>
        <v>47395.833333333321</v>
      </c>
      <c r="AC38" s="128">
        <f>INDEX('Commodity Prices'!$D$7:$D$22,MATCH($B38,'Commodity Prices'!$B$7:$B$22,0))*AC26</f>
        <v>47395.833333333321</v>
      </c>
      <c r="AD38" s="128">
        <f>INDEX('Commodity Prices'!$D$7:$D$22,MATCH($B38,'Commodity Prices'!$B$7:$B$22,0))*AD26</f>
        <v>47395.833333333321</v>
      </c>
      <c r="AE38" s="128">
        <f>INDEX('Commodity Prices'!$D$7:$D$22,MATCH($B38,'Commodity Prices'!$B$7:$B$22,0))*AE26</f>
        <v>47395.833333333321</v>
      </c>
      <c r="AF38" s="128">
        <f>INDEX('Commodity Prices'!$D$7:$D$22,MATCH($B38,'Commodity Prices'!$B$7:$B$22,0))*AF26</f>
        <v>47395.833333333321</v>
      </c>
      <c r="AG38" s="128">
        <f>INDEX('Commodity Prices'!$D$7:$D$22,MATCH($B38,'Commodity Prices'!$B$7:$B$22,0))*AG26</f>
        <v>47395.833333333321</v>
      </c>
      <c r="AH38" s="128">
        <f>INDEX('Commodity Prices'!$D$7:$D$22,MATCH($B38,'Commodity Prices'!$B$7:$B$22,0))*AH26</f>
        <v>47395.833333333321</v>
      </c>
      <c r="AI38" s="128">
        <f>INDEX('Commodity Prices'!$D$7:$D$22,MATCH($B38,'Commodity Prices'!$B$7:$B$22,0))*AI26</f>
        <v>47395.833333333321</v>
      </c>
      <c r="AJ38" s="128">
        <f>INDEX('Commodity Prices'!$D$7:$D$22,MATCH($B38,'Commodity Prices'!$B$7:$B$22,0))*AJ26</f>
        <v>47395.833333333321</v>
      </c>
      <c r="AK38" s="128">
        <f>INDEX('Commodity Prices'!$D$7:$D$22,MATCH($B38,'Commodity Prices'!$B$7:$B$22,0))*AK26</f>
        <v>47395.833333333321</v>
      </c>
      <c r="AL38" s="128">
        <f>INDEX('Commodity Prices'!$D$7:$D$22,MATCH($B38,'Commodity Prices'!$B$7:$B$22,0))*AL26</f>
        <v>47395.833333333321</v>
      </c>
      <c r="AM38" s="128">
        <f>INDEX('Commodity Prices'!$D$7:$D$22,MATCH($B38,'Commodity Prices'!$B$7:$B$22,0))*AM26</f>
        <v>47395.833333333321</v>
      </c>
      <c r="AN38" s="128">
        <f>INDEX('Commodity Prices'!$D$7:$D$22,MATCH($B38,'Commodity Prices'!$B$7:$B$22,0))*AN26</f>
        <v>47395.833333333321</v>
      </c>
      <c r="AO38" s="128">
        <f>INDEX('Commodity Prices'!$D$7:$D$22,MATCH($B38,'Commodity Prices'!$B$7:$B$22,0))*AO26</f>
        <v>47395.833333333321</v>
      </c>
      <c r="AP38" s="128">
        <f>INDEX('Commodity Prices'!$D$7:$D$22,MATCH($B38,'Commodity Prices'!$B$7:$B$22,0))*AP26</f>
        <v>47395.833333333321</v>
      </c>
      <c r="AQ38" s="128">
        <f>INDEX('Commodity Prices'!$D$7:$D$22,MATCH($B38,'Commodity Prices'!$B$7:$B$22,0))*AQ26</f>
        <v>47395.833333333321</v>
      </c>
      <c r="AR38" s="128">
        <f>INDEX('Commodity Prices'!$D$7:$D$22,MATCH($B38,'Commodity Prices'!$B$7:$B$22,0))*AR26</f>
        <v>47395.833333333321</v>
      </c>
      <c r="AS38" s="128">
        <f>INDEX('Commodity Prices'!$D$7:$D$22,MATCH($B38,'Commodity Prices'!$B$7:$B$22,0))*AS26</f>
        <v>47395.833333333321</v>
      </c>
      <c r="AT38" s="128">
        <f>INDEX('Commodity Prices'!$D$7:$D$22,MATCH($B38,'Commodity Prices'!$B$7:$B$22,0))*AT26</f>
        <v>47395.833333333321</v>
      </c>
      <c r="AU38" s="128">
        <f>INDEX('Commodity Prices'!$D$7:$D$22,MATCH($B38,'Commodity Prices'!$B$7:$B$22,0))*AU26</f>
        <v>47395.833333333321</v>
      </c>
      <c r="AV38" s="128">
        <f>INDEX('Commodity Prices'!$D$7:$D$22,MATCH($B38,'Commodity Prices'!$B$7:$B$22,0))*AV26</f>
        <v>47395.833333333321</v>
      </c>
      <c r="AW38" s="128">
        <f>INDEX('Commodity Prices'!$D$7:$D$22,MATCH($B38,'Commodity Prices'!$B$7:$B$22,0))*AW26</f>
        <v>47395.833333333321</v>
      </c>
      <c r="AX38" s="128">
        <f>INDEX('Commodity Prices'!$D$7:$D$22,MATCH($B38,'Commodity Prices'!$B$7:$B$22,0))*AX26</f>
        <v>47395.833333333321</v>
      </c>
      <c r="AY38" s="128">
        <f>INDEX('Commodity Prices'!$D$7:$D$22,MATCH($B38,'Commodity Prices'!$B$7:$B$22,0))*AY26</f>
        <v>47395.833333333321</v>
      </c>
      <c r="AZ38" s="128">
        <f>INDEX('Commodity Prices'!$D$7:$D$22,MATCH($B38,'Commodity Prices'!$B$7:$B$22,0))*AZ26</f>
        <v>47395.833333333321</v>
      </c>
      <c r="BA38" s="128">
        <f>INDEX('Commodity Prices'!$D$7:$D$22,MATCH($B38,'Commodity Prices'!$B$7:$B$22,0))*BA26</f>
        <v>47395.833333333321</v>
      </c>
      <c r="BB38" s="128">
        <f>INDEX('Commodity Prices'!$D$7:$D$22,MATCH($B38,'Commodity Prices'!$B$7:$B$22,0))*BB26</f>
        <v>47395.833333333321</v>
      </c>
      <c r="BC38" s="128">
        <f>INDEX('Commodity Prices'!$D$7:$D$22,MATCH($B38,'Commodity Prices'!$B$7:$B$22,0))*BC26</f>
        <v>47395.833333333321</v>
      </c>
      <c r="BD38" s="128">
        <f>INDEX('Commodity Prices'!$D$7:$D$22,MATCH($B38,'Commodity Prices'!$B$7:$B$22,0))*BD26</f>
        <v>47395.833333333321</v>
      </c>
      <c r="BE38" s="128">
        <f>INDEX('Commodity Prices'!$D$7:$D$22,MATCH($B38,'Commodity Prices'!$B$7:$B$22,0))*BE26</f>
        <v>47395.833333333321</v>
      </c>
      <c r="BF38" s="128">
        <f>INDEX('Commodity Prices'!$D$7:$D$22,MATCH($B38,'Commodity Prices'!$B$7:$B$22,0))*BF26</f>
        <v>47395.833333333321</v>
      </c>
      <c r="BG38" s="128">
        <f>INDEX('Commodity Prices'!$D$7:$D$22,MATCH($B38,'Commodity Prices'!$B$7:$B$22,0))*BG26</f>
        <v>47395.833333333321</v>
      </c>
      <c r="BH38" s="128">
        <f>INDEX('Commodity Prices'!$D$7:$D$22,MATCH($B38,'Commodity Prices'!$B$7:$B$22,0))*BH26</f>
        <v>47395.833333333321</v>
      </c>
      <c r="BI38" s="128">
        <f>INDEX('Commodity Prices'!$D$7:$D$22,MATCH($B38,'Commodity Prices'!$B$7:$B$22,0))*BI26</f>
        <v>47395.833333333321</v>
      </c>
      <c r="BJ38" s="128">
        <f>INDEX('Commodity Prices'!$D$7:$D$22,MATCH($B38,'Commodity Prices'!$B$7:$B$22,0))*BJ26</f>
        <v>47395.833333333321</v>
      </c>
      <c r="BK38" s="128">
        <f>INDEX('Commodity Prices'!$D$7:$D$22,MATCH($B38,'Commodity Prices'!$B$7:$B$22,0))*BK26</f>
        <v>47395.833333333321</v>
      </c>
      <c r="BL38" s="128">
        <f>INDEX('Commodity Prices'!$D$7:$D$22,MATCH($B38,'Commodity Prices'!$B$7:$B$22,0))*BL26</f>
        <v>47395.833333333321</v>
      </c>
      <c r="BM38" s="128">
        <f>INDEX('Commodity Prices'!$D$7:$D$22,MATCH($B38,'Commodity Prices'!$B$7:$B$22,0))*BM26</f>
        <v>47395.833333333321</v>
      </c>
      <c r="BN38" s="128">
        <f>INDEX('Commodity Prices'!$D$7:$D$22,MATCH($B38,'Commodity Prices'!$B$7:$B$22,0))*BN26</f>
        <v>47395.833333333321</v>
      </c>
      <c r="BO38" s="128">
        <f>INDEX('Commodity Prices'!$D$7:$D$22,MATCH($B38,'Commodity Prices'!$B$7:$B$22,0))*BO26</f>
        <v>47395.833333333321</v>
      </c>
      <c r="BP38" s="128">
        <f>INDEX('Commodity Prices'!$D$7:$D$22,MATCH($B38,'Commodity Prices'!$B$7:$B$22,0))*BP26</f>
        <v>47395.833333333321</v>
      </c>
      <c r="BQ38" s="128">
        <f>INDEX('Commodity Prices'!$D$7:$D$22,MATCH($B38,'Commodity Prices'!$B$7:$B$22,0))*BQ26</f>
        <v>47395.833333333321</v>
      </c>
      <c r="BR38" s="128">
        <f>INDEX('Commodity Prices'!$D$7:$D$22,MATCH($B38,'Commodity Prices'!$B$7:$B$22,0))*BR26</f>
        <v>47395.833333333321</v>
      </c>
      <c r="BS38" s="128">
        <f>INDEX('Commodity Prices'!$D$7:$D$22,MATCH($B38,'Commodity Prices'!$B$7:$B$22,0))*BS26</f>
        <v>47395.833333333321</v>
      </c>
      <c r="BT38" s="128">
        <f>INDEX('Commodity Prices'!$D$7:$D$22,MATCH($B38,'Commodity Prices'!$B$7:$B$22,0))*BT26</f>
        <v>47395.833333333321</v>
      </c>
      <c r="BU38" s="128">
        <f>INDEX('Commodity Prices'!$D$7:$D$22,MATCH($B38,'Commodity Prices'!$B$7:$B$22,0))*BU26</f>
        <v>47395.833333333321</v>
      </c>
      <c r="BV38" s="128">
        <f>INDEX('Commodity Prices'!$D$7:$D$22,MATCH($B38,'Commodity Prices'!$B$7:$B$22,0))*BV26</f>
        <v>47395.833333333321</v>
      </c>
      <c r="BW38" s="128">
        <f>INDEX('Commodity Prices'!$D$7:$D$22,MATCH($B38,'Commodity Prices'!$B$7:$B$22,0))*BW26</f>
        <v>47395.833333333321</v>
      </c>
      <c r="BX38" s="128">
        <f>INDEX('Commodity Prices'!$D$7:$D$22,MATCH($B38,'Commodity Prices'!$B$7:$B$22,0))*BX26</f>
        <v>47395.833333333321</v>
      </c>
      <c r="BY38" s="128">
        <f>INDEX('Commodity Prices'!$D$7:$D$22,MATCH($B38,'Commodity Prices'!$B$7:$B$22,0))*BY26</f>
        <v>47395.833333333321</v>
      </c>
      <c r="BZ38" s="128">
        <f>INDEX('Commodity Prices'!$D$7:$D$22,MATCH($B38,'Commodity Prices'!$B$7:$B$22,0))*BZ26</f>
        <v>47395.833333333321</v>
      </c>
      <c r="CA38" s="128">
        <f>INDEX('Commodity Prices'!$D$7:$D$22,MATCH($B38,'Commodity Prices'!$B$7:$B$22,0))*CA26</f>
        <v>47395.833333333321</v>
      </c>
      <c r="CB38" s="128">
        <f>INDEX('Commodity Prices'!$D$7:$D$22,MATCH($B38,'Commodity Prices'!$B$7:$B$22,0))*CB26</f>
        <v>47395.833333333321</v>
      </c>
      <c r="CC38" s="128">
        <f>INDEX('Commodity Prices'!$D$7:$D$22,MATCH($B38,'Commodity Prices'!$B$7:$B$22,0))*CC26</f>
        <v>47395.833333333321</v>
      </c>
      <c r="CD38" s="128">
        <f>INDEX('Commodity Prices'!$D$7:$D$22,MATCH($B38,'Commodity Prices'!$B$7:$B$22,0))*CD26</f>
        <v>47395.833333333321</v>
      </c>
      <c r="CE38" s="128">
        <f>INDEX('Commodity Prices'!$D$7:$D$22,MATCH($B38,'Commodity Prices'!$B$7:$B$22,0))*CE26</f>
        <v>47395.833333333321</v>
      </c>
      <c r="CF38" s="128">
        <f>INDEX('Commodity Prices'!$D$7:$D$22,MATCH($B38,'Commodity Prices'!$B$7:$B$22,0))*CF26</f>
        <v>47395.833333333321</v>
      </c>
      <c r="CG38" s="128">
        <f>INDEX('Commodity Prices'!$D$7:$D$22,MATCH($B38,'Commodity Prices'!$B$7:$B$22,0))*CG26</f>
        <v>47395.833333333321</v>
      </c>
      <c r="CH38" s="128">
        <f>INDEX('Commodity Prices'!$D$7:$D$22,MATCH($B38,'Commodity Prices'!$B$7:$B$22,0))*CH26</f>
        <v>47395.833333333321</v>
      </c>
      <c r="CI38" s="128">
        <f>INDEX('Commodity Prices'!$D$7:$D$22,MATCH($B38,'Commodity Prices'!$B$7:$B$22,0))*CI26</f>
        <v>47395.833333333321</v>
      </c>
      <c r="CJ38" s="128">
        <f>INDEX('Commodity Prices'!$D$7:$D$22,MATCH($B38,'Commodity Prices'!$B$7:$B$22,0))*CJ26</f>
        <v>47395.833333333321</v>
      </c>
      <c r="CK38" s="128">
        <f>INDEX('Commodity Prices'!$D$7:$D$22,MATCH($B38,'Commodity Prices'!$B$7:$B$22,0))*CK26</f>
        <v>47395.833333333321</v>
      </c>
      <c r="CL38" s="128">
        <f>INDEX('Commodity Prices'!$D$7:$D$22,MATCH($B38,'Commodity Prices'!$B$7:$B$22,0))*CL26</f>
        <v>47395.833333333321</v>
      </c>
      <c r="CM38" s="128">
        <f>INDEX('Commodity Prices'!$D$7:$D$22,MATCH($B38,'Commodity Prices'!$B$7:$B$22,0))*CM26</f>
        <v>47395.833333333321</v>
      </c>
      <c r="CN38" s="128">
        <f>INDEX('Commodity Prices'!$D$7:$D$22,MATCH($B38,'Commodity Prices'!$B$7:$B$22,0))*CN26</f>
        <v>47395.833333333321</v>
      </c>
      <c r="CO38" s="128">
        <f>INDEX('Commodity Prices'!$D$7:$D$22,MATCH($B38,'Commodity Prices'!$B$7:$B$22,0))*CO26</f>
        <v>47395.833333333321</v>
      </c>
      <c r="CP38" s="128">
        <f>INDEX('Commodity Prices'!$D$7:$D$22,MATCH($B38,'Commodity Prices'!$B$7:$B$22,0))*CP26</f>
        <v>47395.833333333321</v>
      </c>
      <c r="CQ38" s="128">
        <f>INDEX('Commodity Prices'!$D$7:$D$22,MATCH($B38,'Commodity Prices'!$B$7:$B$22,0))*CQ26</f>
        <v>47395.833333333321</v>
      </c>
      <c r="CR38" s="128">
        <f>INDEX('Commodity Prices'!$D$7:$D$22,MATCH($B38,'Commodity Prices'!$B$7:$B$22,0))*CR26</f>
        <v>47395.833333333321</v>
      </c>
      <c r="CS38" s="128">
        <f>INDEX('Commodity Prices'!$D$7:$D$22,MATCH($B38,'Commodity Prices'!$B$7:$B$22,0))*CS26</f>
        <v>47395.833333333321</v>
      </c>
      <c r="CT38" s="128">
        <f>INDEX('Commodity Prices'!$D$7:$D$22,MATCH($B38,'Commodity Prices'!$B$7:$B$22,0))*CT26</f>
        <v>47395.833333333321</v>
      </c>
      <c r="CU38" s="128">
        <f>INDEX('Commodity Prices'!$D$7:$D$22,MATCH($B38,'Commodity Prices'!$B$7:$B$22,0))*CU26</f>
        <v>47395.833333333321</v>
      </c>
      <c r="CV38" s="128">
        <f>INDEX('Commodity Prices'!$D$7:$D$22,MATCH($B38,'Commodity Prices'!$B$7:$B$22,0))*CV26</f>
        <v>47395.833333333321</v>
      </c>
      <c r="CW38" s="128">
        <f>INDEX('Commodity Prices'!$D$7:$D$22,MATCH($B38,'Commodity Prices'!$B$7:$B$22,0))*CW26</f>
        <v>47395.833333333321</v>
      </c>
      <c r="CX38" s="128">
        <f>INDEX('Commodity Prices'!$D$7:$D$22,MATCH($B38,'Commodity Prices'!$B$7:$B$22,0))*CX26</f>
        <v>47395.833333333321</v>
      </c>
      <c r="CY38" s="128">
        <f>INDEX('Commodity Prices'!$D$7:$D$22,MATCH($B38,'Commodity Prices'!$B$7:$B$22,0))*CY26</f>
        <v>47395.833333333321</v>
      </c>
      <c r="CZ38" s="128">
        <f>INDEX('Commodity Prices'!$D$7:$D$22,MATCH($B38,'Commodity Prices'!$B$7:$B$22,0))*CZ26</f>
        <v>47395.833333333321</v>
      </c>
      <c r="DA38" s="128">
        <f>INDEX('Commodity Prices'!$D$7:$D$22,MATCH($B38,'Commodity Prices'!$B$7:$B$22,0))*DA26</f>
        <v>47395.833333333321</v>
      </c>
      <c r="DB38" s="128">
        <f>INDEX('Commodity Prices'!$D$7:$D$22,MATCH($B38,'Commodity Prices'!$B$7:$B$22,0))*DB26</f>
        <v>47395.833333333321</v>
      </c>
      <c r="DC38" s="128">
        <f>INDEX('Commodity Prices'!$D$7:$D$22,MATCH($B38,'Commodity Prices'!$B$7:$B$22,0))*DC26</f>
        <v>47395.833333333321</v>
      </c>
      <c r="DD38" s="128">
        <f>INDEX('Commodity Prices'!$D$7:$D$22,MATCH($B38,'Commodity Prices'!$B$7:$B$22,0))*DD26</f>
        <v>47395.833333333321</v>
      </c>
      <c r="DE38" s="128">
        <f>INDEX('Commodity Prices'!$D$7:$D$22,MATCH($B38,'Commodity Prices'!$B$7:$B$22,0))*DE26</f>
        <v>47395.833333333321</v>
      </c>
      <c r="DF38" s="128">
        <f>INDEX('Commodity Prices'!$D$7:$D$22,MATCH($B38,'Commodity Prices'!$B$7:$B$22,0))*DF26</f>
        <v>47395.833333333321</v>
      </c>
      <c r="DG38" s="128">
        <f>INDEX('Commodity Prices'!$D$7:$D$22,MATCH($B38,'Commodity Prices'!$B$7:$B$22,0))*DG26</f>
        <v>47395.833333333321</v>
      </c>
      <c r="DH38" s="128">
        <f>INDEX('Commodity Prices'!$D$7:$D$22,MATCH($B38,'Commodity Prices'!$B$7:$B$22,0))*DH26</f>
        <v>47395.833333333321</v>
      </c>
      <c r="DI38" s="128">
        <f>INDEX('Commodity Prices'!$D$7:$D$22,MATCH($B38,'Commodity Prices'!$B$7:$B$22,0))*DI26</f>
        <v>47395.833333333321</v>
      </c>
      <c r="DJ38" s="128">
        <f>INDEX('Commodity Prices'!$D$7:$D$22,MATCH($B38,'Commodity Prices'!$B$7:$B$22,0))*DJ26</f>
        <v>47395.833333333321</v>
      </c>
      <c r="DK38" s="128">
        <f>INDEX('Commodity Prices'!$D$7:$D$22,MATCH($B38,'Commodity Prices'!$B$7:$B$22,0))*DK26</f>
        <v>47395.833333333321</v>
      </c>
      <c r="DL38" s="128">
        <f>INDEX('Commodity Prices'!$D$7:$D$22,MATCH($B38,'Commodity Prices'!$B$7:$B$22,0))*DL26</f>
        <v>47395.833333333321</v>
      </c>
      <c r="DM38" s="128">
        <f>INDEX('Commodity Prices'!$D$7:$D$22,MATCH($B38,'Commodity Prices'!$B$7:$B$22,0))*DM26</f>
        <v>47395.833333333321</v>
      </c>
      <c r="DN38" s="128">
        <f>INDEX('Commodity Prices'!$D$7:$D$22,MATCH($B38,'Commodity Prices'!$B$7:$B$22,0))*DN26</f>
        <v>47395.833333333321</v>
      </c>
      <c r="DO38" s="128">
        <f>INDEX('Commodity Prices'!$D$7:$D$22,MATCH($B38,'Commodity Prices'!$B$7:$B$22,0))*DO26</f>
        <v>47395.833333333321</v>
      </c>
      <c r="DP38" s="128">
        <f>INDEX('Commodity Prices'!$D$7:$D$22,MATCH($B38,'Commodity Prices'!$B$7:$B$22,0))*DP26</f>
        <v>47395.833333333321</v>
      </c>
      <c r="DQ38" s="128">
        <f>INDEX('Commodity Prices'!$D$7:$D$22,MATCH($B38,'Commodity Prices'!$B$7:$B$22,0))*DQ26</f>
        <v>47395.833333333321</v>
      </c>
      <c r="DR38" s="128">
        <f>INDEX('Commodity Prices'!$D$7:$D$22,MATCH($B38,'Commodity Prices'!$B$7:$B$22,0))*DR26</f>
        <v>47395.833333333321</v>
      </c>
      <c r="DS38" s="128">
        <f>INDEX('Commodity Prices'!$D$7:$D$22,MATCH($B38,'Commodity Prices'!$B$7:$B$22,0))*DS26</f>
        <v>47395.833333333321</v>
      </c>
      <c r="DT38" s="128">
        <f>INDEX('Commodity Prices'!$D$7:$D$22,MATCH($B38,'Commodity Prices'!$B$7:$B$22,0))*DT26</f>
        <v>47395.833333333321</v>
      </c>
      <c r="DU38" s="128">
        <f>INDEX('Commodity Prices'!$D$7:$D$22,MATCH($B38,'Commodity Prices'!$B$7:$B$22,0))*DU26</f>
        <v>47395.833333333321</v>
      </c>
      <c r="DV38" s="128">
        <f>INDEX('Commodity Prices'!$D$7:$D$22,MATCH($B38,'Commodity Prices'!$B$7:$B$22,0))*DV26</f>
        <v>47395.833333333321</v>
      </c>
      <c r="DW38" s="128">
        <f>INDEX('Commodity Prices'!$D$7:$D$22,MATCH($B38,'Commodity Prices'!$B$7:$B$22,0))*DW26</f>
        <v>47395.833333333321</v>
      </c>
    </row>
    <row r="39" spans="2:127" x14ac:dyDescent="0.3">
      <c r="B39" s="53" t="str">
        <f t="shared" si="1"/>
        <v>Rubidium</v>
      </c>
      <c r="C39" s="128">
        <f>INDEX('Commodity Prices'!$D$7:$D$22,MATCH($B39,'Commodity Prices'!$B$7:$B$22,0))*C27</f>
        <v>0</v>
      </c>
      <c r="D39" s="128">
        <f>INDEX('Commodity Prices'!$D$7:$D$22,MATCH($B39,'Commodity Prices'!$B$7:$B$22,0))*D27</f>
        <v>0</v>
      </c>
      <c r="E39" s="128">
        <f>INDEX('Commodity Prices'!$D$7:$D$22,MATCH($B39,'Commodity Prices'!$B$7:$B$22,0))*E27</f>
        <v>0</v>
      </c>
      <c r="F39" s="128">
        <f>INDEX('Commodity Prices'!$D$7:$D$22,MATCH($B39,'Commodity Prices'!$B$7:$B$22,0))*F27</f>
        <v>0</v>
      </c>
      <c r="G39" s="128">
        <f>INDEX('Commodity Prices'!$D$7:$D$22,MATCH($B39,'Commodity Prices'!$B$7:$B$22,0))*G27</f>
        <v>1279687.5</v>
      </c>
      <c r="H39" s="128">
        <f>INDEX('Commodity Prices'!$D$7:$D$22,MATCH($B39,'Commodity Prices'!$B$7:$B$22,0))*H27</f>
        <v>1279687.5</v>
      </c>
      <c r="I39" s="128">
        <f>INDEX('Commodity Prices'!$D$7:$D$22,MATCH($B39,'Commodity Prices'!$B$7:$B$22,0))*I27</f>
        <v>1279687.5</v>
      </c>
      <c r="J39" s="128">
        <f>INDEX('Commodity Prices'!$D$7:$D$22,MATCH($B39,'Commodity Prices'!$B$7:$B$22,0))*J27</f>
        <v>1279687.5</v>
      </c>
      <c r="K39" s="128">
        <f>INDEX('Commodity Prices'!$D$7:$D$22,MATCH($B39,'Commodity Prices'!$B$7:$B$22,0))*K27</f>
        <v>1279687.5</v>
      </c>
      <c r="L39" s="128">
        <f>INDEX('Commodity Prices'!$D$7:$D$22,MATCH($B39,'Commodity Prices'!$B$7:$B$22,0))*L27</f>
        <v>2559375</v>
      </c>
      <c r="M39" s="128">
        <f>INDEX('Commodity Prices'!$D$7:$D$22,MATCH($B39,'Commodity Prices'!$B$7:$B$22,0))*M27</f>
        <v>2559375</v>
      </c>
      <c r="N39" s="128">
        <f>INDEX('Commodity Prices'!$D$7:$D$22,MATCH($B39,'Commodity Prices'!$B$7:$B$22,0))*N27</f>
        <v>2559375</v>
      </c>
      <c r="O39" s="128">
        <f>INDEX('Commodity Prices'!$D$7:$D$22,MATCH($B39,'Commodity Prices'!$B$7:$B$22,0))*O27</f>
        <v>2559375</v>
      </c>
      <c r="P39" s="128">
        <f>INDEX('Commodity Prices'!$D$7:$D$22,MATCH($B39,'Commodity Prices'!$B$7:$B$22,0))*P27</f>
        <v>2559375</v>
      </c>
      <c r="Q39" s="128">
        <f>INDEX('Commodity Prices'!$D$7:$D$22,MATCH($B39,'Commodity Prices'!$B$7:$B$22,0))*Q27</f>
        <v>2559375</v>
      </c>
      <c r="R39" s="128">
        <f>INDEX('Commodity Prices'!$D$7:$D$22,MATCH($B39,'Commodity Prices'!$B$7:$B$22,0))*R27</f>
        <v>2559375</v>
      </c>
      <c r="S39" s="128">
        <f>INDEX('Commodity Prices'!$D$7:$D$22,MATCH($B39,'Commodity Prices'!$B$7:$B$22,0))*S27</f>
        <v>2559375</v>
      </c>
      <c r="T39" s="128">
        <f>INDEX('Commodity Prices'!$D$7:$D$22,MATCH($B39,'Commodity Prices'!$B$7:$B$22,0))*T27</f>
        <v>2559375</v>
      </c>
      <c r="U39" s="128">
        <f>INDEX('Commodity Prices'!$D$7:$D$22,MATCH($B39,'Commodity Prices'!$B$7:$B$22,0))*U27</f>
        <v>2559375</v>
      </c>
      <c r="V39" s="128">
        <f>INDEX('Commodity Prices'!$D$7:$D$22,MATCH($B39,'Commodity Prices'!$B$7:$B$22,0))*V27</f>
        <v>2559375</v>
      </c>
      <c r="W39" s="128">
        <f>INDEX('Commodity Prices'!$D$7:$D$22,MATCH($B39,'Commodity Prices'!$B$7:$B$22,0))*W27</f>
        <v>2559375</v>
      </c>
      <c r="X39" s="128">
        <f>INDEX('Commodity Prices'!$D$7:$D$22,MATCH($B39,'Commodity Prices'!$B$7:$B$22,0))*X27</f>
        <v>2559375</v>
      </c>
      <c r="Y39" s="128">
        <f>INDEX('Commodity Prices'!$D$7:$D$22,MATCH($B39,'Commodity Prices'!$B$7:$B$22,0))*Y27</f>
        <v>2559375</v>
      </c>
      <c r="Z39" s="128">
        <f>INDEX('Commodity Prices'!$D$7:$D$22,MATCH($B39,'Commodity Prices'!$B$7:$B$22,0))*Z27</f>
        <v>2559375</v>
      </c>
      <c r="AA39" s="128">
        <f>INDEX('Commodity Prices'!$D$7:$D$22,MATCH($B39,'Commodity Prices'!$B$7:$B$22,0))*AA27</f>
        <v>2559375</v>
      </c>
      <c r="AB39" s="128">
        <f>INDEX('Commodity Prices'!$D$7:$D$22,MATCH($B39,'Commodity Prices'!$B$7:$B$22,0))*AB27</f>
        <v>2559375</v>
      </c>
      <c r="AC39" s="128">
        <f>INDEX('Commodity Prices'!$D$7:$D$22,MATCH($B39,'Commodity Prices'!$B$7:$B$22,0))*AC27</f>
        <v>2559375</v>
      </c>
      <c r="AD39" s="128">
        <f>INDEX('Commodity Prices'!$D$7:$D$22,MATCH($B39,'Commodity Prices'!$B$7:$B$22,0))*AD27</f>
        <v>2559375</v>
      </c>
      <c r="AE39" s="128">
        <f>INDEX('Commodity Prices'!$D$7:$D$22,MATCH($B39,'Commodity Prices'!$B$7:$B$22,0))*AE27</f>
        <v>2559375</v>
      </c>
      <c r="AF39" s="128">
        <f>INDEX('Commodity Prices'!$D$7:$D$22,MATCH($B39,'Commodity Prices'!$B$7:$B$22,0))*AF27</f>
        <v>2559375</v>
      </c>
      <c r="AG39" s="128">
        <f>INDEX('Commodity Prices'!$D$7:$D$22,MATCH($B39,'Commodity Prices'!$B$7:$B$22,0))*AG27</f>
        <v>2559375</v>
      </c>
      <c r="AH39" s="128">
        <f>INDEX('Commodity Prices'!$D$7:$D$22,MATCH($B39,'Commodity Prices'!$B$7:$B$22,0))*AH27</f>
        <v>2559375</v>
      </c>
      <c r="AI39" s="128">
        <f>INDEX('Commodity Prices'!$D$7:$D$22,MATCH($B39,'Commodity Prices'!$B$7:$B$22,0))*AI27</f>
        <v>2559375</v>
      </c>
      <c r="AJ39" s="128">
        <f>INDEX('Commodity Prices'!$D$7:$D$22,MATCH($B39,'Commodity Prices'!$B$7:$B$22,0))*AJ27</f>
        <v>2559375</v>
      </c>
      <c r="AK39" s="128">
        <f>INDEX('Commodity Prices'!$D$7:$D$22,MATCH($B39,'Commodity Prices'!$B$7:$B$22,0))*AK27</f>
        <v>2559375</v>
      </c>
      <c r="AL39" s="128">
        <f>INDEX('Commodity Prices'!$D$7:$D$22,MATCH($B39,'Commodity Prices'!$B$7:$B$22,0))*AL27</f>
        <v>2559375</v>
      </c>
      <c r="AM39" s="128">
        <f>INDEX('Commodity Prices'!$D$7:$D$22,MATCH($B39,'Commodity Prices'!$B$7:$B$22,0))*AM27</f>
        <v>2559375</v>
      </c>
      <c r="AN39" s="128">
        <f>INDEX('Commodity Prices'!$D$7:$D$22,MATCH($B39,'Commodity Prices'!$B$7:$B$22,0))*AN27</f>
        <v>2559375</v>
      </c>
      <c r="AO39" s="128">
        <f>INDEX('Commodity Prices'!$D$7:$D$22,MATCH($B39,'Commodity Prices'!$B$7:$B$22,0))*AO27</f>
        <v>2559375</v>
      </c>
      <c r="AP39" s="128">
        <f>INDEX('Commodity Prices'!$D$7:$D$22,MATCH($B39,'Commodity Prices'!$B$7:$B$22,0))*AP27</f>
        <v>2559375</v>
      </c>
      <c r="AQ39" s="128">
        <f>INDEX('Commodity Prices'!$D$7:$D$22,MATCH($B39,'Commodity Prices'!$B$7:$B$22,0))*AQ27</f>
        <v>2559375</v>
      </c>
      <c r="AR39" s="128">
        <f>INDEX('Commodity Prices'!$D$7:$D$22,MATCH($B39,'Commodity Prices'!$B$7:$B$22,0))*AR27</f>
        <v>2559375</v>
      </c>
      <c r="AS39" s="128">
        <f>INDEX('Commodity Prices'!$D$7:$D$22,MATCH($B39,'Commodity Prices'!$B$7:$B$22,0))*AS27</f>
        <v>2559375</v>
      </c>
      <c r="AT39" s="128">
        <f>INDEX('Commodity Prices'!$D$7:$D$22,MATCH($B39,'Commodity Prices'!$B$7:$B$22,0))*AT27</f>
        <v>2559375</v>
      </c>
      <c r="AU39" s="128">
        <f>INDEX('Commodity Prices'!$D$7:$D$22,MATCH($B39,'Commodity Prices'!$B$7:$B$22,0))*AU27</f>
        <v>2559375</v>
      </c>
      <c r="AV39" s="128">
        <f>INDEX('Commodity Prices'!$D$7:$D$22,MATCH($B39,'Commodity Prices'!$B$7:$B$22,0))*AV27</f>
        <v>2559375</v>
      </c>
      <c r="AW39" s="128">
        <f>INDEX('Commodity Prices'!$D$7:$D$22,MATCH($B39,'Commodity Prices'!$B$7:$B$22,0))*AW27</f>
        <v>2559375</v>
      </c>
      <c r="AX39" s="128">
        <f>INDEX('Commodity Prices'!$D$7:$D$22,MATCH($B39,'Commodity Prices'!$B$7:$B$22,0))*AX27</f>
        <v>2559375</v>
      </c>
      <c r="AY39" s="128">
        <f>INDEX('Commodity Prices'!$D$7:$D$22,MATCH($B39,'Commodity Prices'!$B$7:$B$22,0))*AY27</f>
        <v>2559375</v>
      </c>
      <c r="AZ39" s="128">
        <f>INDEX('Commodity Prices'!$D$7:$D$22,MATCH($B39,'Commodity Prices'!$B$7:$B$22,0))*AZ27</f>
        <v>2559375</v>
      </c>
      <c r="BA39" s="128">
        <f>INDEX('Commodity Prices'!$D$7:$D$22,MATCH($B39,'Commodity Prices'!$B$7:$B$22,0))*BA27</f>
        <v>2559375</v>
      </c>
      <c r="BB39" s="128">
        <f>INDEX('Commodity Prices'!$D$7:$D$22,MATCH($B39,'Commodity Prices'!$B$7:$B$22,0))*BB27</f>
        <v>2559375</v>
      </c>
      <c r="BC39" s="128">
        <f>INDEX('Commodity Prices'!$D$7:$D$22,MATCH($B39,'Commodity Prices'!$B$7:$B$22,0))*BC27</f>
        <v>2559375</v>
      </c>
      <c r="BD39" s="128">
        <f>INDEX('Commodity Prices'!$D$7:$D$22,MATCH($B39,'Commodity Prices'!$B$7:$B$22,0))*BD27</f>
        <v>2559375</v>
      </c>
      <c r="BE39" s="128">
        <f>INDEX('Commodity Prices'!$D$7:$D$22,MATCH($B39,'Commodity Prices'!$B$7:$B$22,0))*BE27</f>
        <v>2559375</v>
      </c>
      <c r="BF39" s="128">
        <f>INDEX('Commodity Prices'!$D$7:$D$22,MATCH($B39,'Commodity Prices'!$B$7:$B$22,0))*BF27</f>
        <v>2559375</v>
      </c>
      <c r="BG39" s="128">
        <f>INDEX('Commodity Prices'!$D$7:$D$22,MATCH($B39,'Commodity Prices'!$B$7:$B$22,0))*BG27</f>
        <v>2559375</v>
      </c>
      <c r="BH39" s="128">
        <f>INDEX('Commodity Prices'!$D$7:$D$22,MATCH($B39,'Commodity Prices'!$B$7:$B$22,0))*BH27</f>
        <v>2559375</v>
      </c>
      <c r="BI39" s="128">
        <f>INDEX('Commodity Prices'!$D$7:$D$22,MATCH($B39,'Commodity Prices'!$B$7:$B$22,0))*BI27</f>
        <v>2559375</v>
      </c>
      <c r="BJ39" s="128">
        <f>INDEX('Commodity Prices'!$D$7:$D$22,MATCH($B39,'Commodity Prices'!$B$7:$B$22,0))*BJ27</f>
        <v>2559375</v>
      </c>
      <c r="BK39" s="128">
        <f>INDEX('Commodity Prices'!$D$7:$D$22,MATCH($B39,'Commodity Prices'!$B$7:$B$22,0))*BK27</f>
        <v>2559375</v>
      </c>
      <c r="BL39" s="128">
        <f>INDEX('Commodity Prices'!$D$7:$D$22,MATCH($B39,'Commodity Prices'!$B$7:$B$22,0))*BL27</f>
        <v>2559375</v>
      </c>
      <c r="BM39" s="128">
        <f>INDEX('Commodity Prices'!$D$7:$D$22,MATCH($B39,'Commodity Prices'!$B$7:$B$22,0))*BM27</f>
        <v>2559375</v>
      </c>
      <c r="BN39" s="128">
        <f>INDEX('Commodity Prices'!$D$7:$D$22,MATCH($B39,'Commodity Prices'!$B$7:$B$22,0))*BN27</f>
        <v>2559375</v>
      </c>
      <c r="BO39" s="128">
        <f>INDEX('Commodity Prices'!$D$7:$D$22,MATCH($B39,'Commodity Prices'!$B$7:$B$22,0))*BO27</f>
        <v>2559375</v>
      </c>
      <c r="BP39" s="128">
        <f>INDEX('Commodity Prices'!$D$7:$D$22,MATCH($B39,'Commodity Prices'!$B$7:$B$22,0))*BP27</f>
        <v>2559375</v>
      </c>
      <c r="BQ39" s="128">
        <f>INDEX('Commodity Prices'!$D$7:$D$22,MATCH($B39,'Commodity Prices'!$B$7:$B$22,0))*BQ27</f>
        <v>2559375</v>
      </c>
      <c r="BR39" s="128">
        <f>INDEX('Commodity Prices'!$D$7:$D$22,MATCH($B39,'Commodity Prices'!$B$7:$B$22,0))*BR27</f>
        <v>2559375</v>
      </c>
      <c r="BS39" s="128">
        <f>INDEX('Commodity Prices'!$D$7:$D$22,MATCH($B39,'Commodity Prices'!$B$7:$B$22,0))*BS27</f>
        <v>2559375</v>
      </c>
      <c r="BT39" s="128">
        <f>INDEX('Commodity Prices'!$D$7:$D$22,MATCH($B39,'Commodity Prices'!$B$7:$B$22,0))*BT27</f>
        <v>2559375</v>
      </c>
      <c r="BU39" s="128">
        <f>INDEX('Commodity Prices'!$D$7:$D$22,MATCH($B39,'Commodity Prices'!$B$7:$B$22,0))*BU27</f>
        <v>2559375</v>
      </c>
      <c r="BV39" s="128">
        <f>INDEX('Commodity Prices'!$D$7:$D$22,MATCH($B39,'Commodity Prices'!$B$7:$B$22,0))*BV27</f>
        <v>2559375</v>
      </c>
      <c r="BW39" s="128">
        <f>INDEX('Commodity Prices'!$D$7:$D$22,MATCH($B39,'Commodity Prices'!$B$7:$B$22,0))*BW27</f>
        <v>2559375</v>
      </c>
      <c r="BX39" s="128">
        <f>INDEX('Commodity Prices'!$D$7:$D$22,MATCH($B39,'Commodity Prices'!$B$7:$B$22,0))*BX27</f>
        <v>2559375</v>
      </c>
      <c r="BY39" s="128">
        <f>INDEX('Commodity Prices'!$D$7:$D$22,MATCH($B39,'Commodity Prices'!$B$7:$B$22,0))*BY27</f>
        <v>2559375</v>
      </c>
      <c r="BZ39" s="128">
        <f>INDEX('Commodity Prices'!$D$7:$D$22,MATCH($B39,'Commodity Prices'!$B$7:$B$22,0))*BZ27</f>
        <v>2559375</v>
      </c>
      <c r="CA39" s="128">
        <f>INDEX('Commodity Prices'!$D$7:$D$22,MATCH($B39,'Commodity Prices'!$B$7:$B$22,0))*CA27</f>
        <v>2559375</v>
      </c>
      <c r="CB39" s="128">
        <f>INDEX('Commodity Prices'!$D$7:$D$22,MATCH($B39,'Commodity Prices'!$B$7:$B$22,0))*CB27</f>
        <v>2559375</v>
      </c>
      <c r="CC39" s="128">
        <f>INDEX('Commodity Prices'!$D$7:$D$22,MATCH($B39,'Commodity Prices'!$B$7:$B$22,0))*CC27</f>
        <v>2559375</v>
      </c>
      <c r="CD39" s="128">
        <f>INDEX('Commodity Prices'!$D$7:$D$22,MATCH($B39,'Commodity Prices'!$B$7:$B$22,0))*CD27</f>
        <v>2559375</v>
      </c>
      <c r="CE39" s="128">
        <f>INDEX('Commodity Prices'!$D$7:$D$22,MATCH($B39,'Commodity Prices'!$B$7:$B$22,0))*CE27</f>
        <v>2559375</v>
      </c>
      <c r="CF39" s="128">
        <f>INDEX('Commodity Prices'!$D$7:$D$22,MATCH($B39,'Commodity Prices'!$B$7:$B$22,0))*CF27</f>
        <v>2559375</v>
      </c>
      <c r="CG39" s="128">
        <f>INDEX('Commodity Prices'!$D$7:$D$22,MATCH($B39,'Commodity Prices'!$B$7:$B$22,0))*CG27</f>
        <v>2559375</v>
      </c>
      <c r="CH39" s="128">
        <f>INDEX('Commodity Prices'!$D$7:$D$22,MATCH($B39,'Commodity Prices'!$B$7:$B$22,0))*CH27</f>
        <v>2559375</v>
      </c>
      <c r="CI39" s="128">
        <f>INDEX('Commodity Prices'!$D$7:$D$22,MATCH($B39,'Commodity Prices'!$B$7:$B$22,0))*CI27</f>
        <v>2559375</v>
      </c>
      <c r="CJ39" s="128">
        <f>INDEX('Commodity Prices'!$D$7:$D$22,MATCH($B39,'Commodity Prices'!$B$7:$B$22,0))*CJ27</f>
        <v>2559375</v>
      </c>
      <c r="CK39" s="128">
        <f>INDEX('Commodity Prices'!$D$7:$D$22,MATCH($B39,'Commodity Prices'!$B$7:$B$22,0))*CK27</f>
        <v>2559375</v>
      </c>
      <c r="CL39" s="128">
        <f>INDEX('Commodity Prices'!$D$7:$D$22,MATCH($B39,'Commodity Prices'!$B$7:$B$22,0))*CL27</f>
        <v>2559375</v>
      </c>
      <c r="CM39" s="128">
        <f>INDEX('Commodity Prices'!$D$7:$D$22,MATCH($B39,'Commodity Prices'!$B$7:$B$22,0))*CM27</f>
        <v>2559375</v>
      </c>
      <c r="CN39" s="128">
        <f>INDEX('Commodity Prices'!$D$7:$D$22,MATCH($B39,'Commodity Prices'!$B$7:$B$22,0))*CN27</f>
        <v>2559375</v>
      </c>
      <c r="CO39" s="128">
        <f>INDEX('Commodity Prices'!$D$7:$D$22,MATCH($B39,'Commodity Prices'!$B$7:$B$22,0))*CO27</f>
        <v>2559375</v>
      </c>
      <c r="CP39" s="128">
        <f>INDEX('Commodity Prices'!$D$7:$D$22,MATCH($B39,'Commodity Prices'!$B$7:$B$22,0))*CP27</f>
        <v>2559375</v>
      </c>
      <c r="CQ39" s="128">
        <f>INDEX('Commodity Prices'!$D$7:$D$22,MATCH($B39,'Commodity Prices'!$B$7:$B$22,0))*CQ27</f>
        <v>2559375</v>
      </c>
      <c r="CR39" s="128">
        <f>INDEX('Commodity Prices'!$D$7:$D$22,MATCH($B39,'Commodity Prices'!$B$7:$B$22,0))*CR27</f>
        <v>2559375</v>
      </c>
      <c r="CS39" s="128">
        <f>INDEX('Commodity Prices'!$D$7:$D$22,MATCH($B39,'Commodity Prices'!$B$7:$B$22,0))*CS27</f>
        <v>2559375</v>
      </c>
      <c r="CT39" s="128">
        <f>INDEX('Commodity Prices'!$D$7:$D$22,MATCH($B39,'Commodity Prices'!$B$7:$B$22,0))*CT27</f>
        <v>2559375</v>
      </c>
      <c r="CU39" s="128">
        <f>INDEX('Commodity Prices'!$D$7:$D$22,MATCH($B39,'Commodity Prices'!$B$7:$B$22,0))*CU27</f>
        <v>2559375</v>
      </c>
      <c r="CV39" s="128">
        <f>INDEX('Commodity Prices'!$D$7:$D$22,MATCH($B39,'Commodity Prices'!$B$7:$B$22,0))*CV27</f>
        <v>2559375</v>
      </c>
      <c r="CW39" s="128">
        <f>INDEX('Commodity Prices'!$D$7:$D$22,MATCH($B39,'Commodity Prices'!$B$7:$B$22,0))*CW27</f>
        <v>2559375</v>
      </c>
      <c r="CX39" s="128">
        <f>INDEX('Commodity Prices'!$D$7:$D$22,MATCH($B39,'Commodity Prices'!$B$7:$B$22,0))*CX27</f>
        <v>2559375</v>
      </c>
      <c r="CY39" s="128">
        <f>INDEX('Commodity Prices'!$D$7:$D$22,MATCH($B39,'Commodity Prices'!$B$7:$B$22,0))*CY27</f>
        <v>2559375</v>
      </c>
      <c r="CZ39" s="128">
        <f>INDEX('Commodity Prices'!$D$7:$D$22,MATCH($B39,'Commodity Prices'!$B$7:$B$22,0))*CZ27</f>
        <v>2559375</v>
      </c>
      <c r="DA39" s="128">
        <f>INDEX('Commodity Prices'!$D$7:$D$22,MATCH($B39,'Commodity Prices'!$B$7:$B$22,0))*DA27</f>
        <v>2559375</v>
      </c>
      <c r="DB39" s="128">
        <f>INDEX('Commodity Prices'!$D$7:$D$22,MATCH($B39,'Commodity Prices'!$B$7:$B$22,0))*DB27</f>
        <v>2559375</v>
      </c>
      <c r="DC39" s="128">
        <f>INDEX('Commodity Prices'!$D$7:$D$22,MATCH($B39,'Commodity Prices'!$B$7:$B$22,0))*DC27</f>
        <v>2559375</v>
      </c>
      <c r="DD39" s="128">
        <f>INDEX('Commodity Prices'!$D$7:$D$22,MATCH($B39,'Commodity Prices'!$B$7:$B$22,0))*DD27</f>
        <v>2559375</v>
      </c>
      <c r="DE39" s="128">
        <f>INDEX('Commodity Prices'!$D$7:$D$22,MATCH($B39,'Commodity Prices'!$B$7:$B$22,0))*DE27</f>
        <v>2559375</v>
      </c>
      <c r="DF39" s="128">
        <f>INDEX('Commodity Prices'!$D$7:$D$22,MATCH($B39,'Commodity Prices'!$B$7:$B$22,0))*DF27</f>
        <v>2559375</v>
      </c>
      <c r="DG39" s="128">
        <f>INDEX('Commodity Prices'!$D$7:$D$22,MATCH($B39,'Commodity Prices'!$B$7:$B$22,0))*DG27</f>
        <v>2559375</v>
      </c>
      <c r="DH39" s="128">
        <f>INDEX('Commodity Prices'!$D$7:$D$22,MATCH($B39,'Commodity Prices'!$B$7:$B$22,0))*DH27</f>
        <v>2559375</v>
      </c>
      <c r="DI39" s="128">
        <f>INDEX('Commodity Prices'!$D$7:$D$22,MATCH($B39,'Commodity Prices'!$B$7:$B$22,0))*DI27</f>
        <v>2559375</v>
      </c>
      <c r="DJ39" s="128">
        <f>INDEX('Commodity Prices'!$D$7:$D$22,MATCH($B39,'Commodity Prices'!$B$7:$B$22,0))*DJ27</f>
        <v>2559375</v>
      </c>
      <c r="DK39" s="128">
        <f>INDEX('Commodity Prices'!$D$7:$D$22,MATCH($B39,'Commodity Prices'!$B$7:$B$22,0))*DK27</f>
        <v>2559375</v>
      </c>
      <c r="DL39" s="128">
        <f>INDEX('Commodity Prices'!$D$7:$D$22,MATCH($B39,'Commodity Prices'!$B$7:$B$22,0))*DL27</f>
        <v>2559375</v>
      </c>
      <c r="DM39" s="128">
        <f>INDEX('Commodity Prices'!$D$7:$D$22,MATCH($B39,'Commodity Prices'!$B$7:$B$22,0))*DM27</f>
        <v>2559375</v>
      </c>
      <c r="DN39" s="128">
        <f>INDEX('Commodity Prices'!$D$7:$D$22,MATCH($B39,'Commodity Prices'!$B$7:$B$22,0))*DN27</f>
        <v>2559375</v>
      </c>
      <c r="DO39" s="128">
        <f>INDEX('Commodity Prices'!$D$7:$D$22,MATCH($B39,'Commodity Prices'!$B$7:$B$22,0))*DO27</f>
        <v>2559375</v>
      </c>
      <c r="DP39" s="128">
        <f>INDEX('Commodity Prices'!$D$7:$D$22,MATCH($B39,'Commodity Prices'!$B$7:$B$22,0))*DP27</f>
        <v>2559375</v>
      </c>
      <c r="DQ39" s="128">
        <f>INDEX('Commodity Prices'!$D$7:$D$22,MATCH($B39,'Commodity Prices'!$B$7:$B$22,0))*DQ27</f>
        <v>2559375</v>
      </c>
      <c r="DR39" s="128">
        <f>INDEX('Commodity Prices'!$D$7:$D$22,MATCH($B39,'Commodity Prices'!$B$7:$B$22,0))*DR27</f>
        <v>2559375</v>
      </c>
      <c r="DS39" s="128">
        <f>INDEX('Commodity Prices'!$D$7:$D$22,MATCH($B39,'Commodity Prices'!$B$7:$B$22,0))*DS27</f>
        <v>2559375</v>
      </c>
      <c r="DT39" s="128">
        <f>INDEX('Commodity Prices'!$D$7:$D$22,MATCH($B39,'Commodity Prices'!$B$7:$B$22,0))*DT27</f>
        <v>2559375</v>
      </c>
      <c r="DU39" s="128">
        <f>INDEX('Commodity Prices'!$D$7:$D$22,MATCH($B39,'Commodity Prices'!$B$7:$B$22,0))*DU27</f>
        <v>2559375</v>
      </c>
      <c r="DV39" s="128">
        <f>INDEX('Commodity Prices'!$D$7:$D$22,MATCH($B39,'Commodity Prices'!$B$7:$B$22,0))*DV27</f>
        <v>2559375</v>
      </c>
      <c r="DW39" s="128">
        <f>INDEX('Commodity Prices'!$D$7:$D$22,MATCH($B39,'Commodity Prices'!$B$7:$B$22,0))*DW27</f>
        <v>2559375</v>
      </c>
    </row>
    <row r="40" spans="2:127" x14ac:dyDescent="0.3"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  <c r="CL40" s="120"/>
      <c r="CM40" s="120"/>
      <c r="CN40" s="120"/>
      <c r="CO40" s="120"/>
      <c r="CP40" s="120"/>
      <c r="CQ40" s="120"/>
      <c r="CR40" s="120"/>
      <c r="CS40" s="120"/>
      <c r="CT40" s="120"/>
      <c r="CU40" s="120"/>
      <c r="CV40" s="120"/>
      <c r="CW40" s="120"/>
      <c r="CX40" s="120"/>
      <c r="CY40" s="120"/>
      <c r="CZ40" s="120"/>
      <c r="DA40" s="120"/>
      <c r="DB40" s="120"/>
      <c r="DC40" s="120"/>
      <c r="DD40" s="120"/>
      <c r="DE40" s="120"/>
      <c r="DF40" s="120"/>
      <c r="DG40" s="120"/>
      <c r="DH40" s="120"/>
      <c r="DI40" s="120"/>
      <c r="DJ40" s="120"/>
      <c r="DK40" s="120"/>
      <c r="DL40" s="120"/>
      <c r="DM40" s="120"/>
      <c r="DN40" s="120"/>
      <c r="DO40" s="120"/>
      <c r="DP40" s="120"/>
      <c r="DQ40" s="120"/>
      <c r="DR40" s="120"/>
      <c r="DS40" s="120"/>
      <c r="DT40" s="120"/>
      <c r="DU40" s="120"/>
      <c r="DV40" s="120"/>
      <c r="DW40" s="120"/>
    </row>
    <row r="41" spans="2:127" x14ac:dyDescent="0.3">
      <c r="B41" s="65" t="s">
        <v>198</v>
      </c>
    </row>
    <row r="42" spans="2:127" x14ac:dyDescent="0.3">
      <c r="B42" s="123" t="s">
        <v>18</v>
      </c>
      <c r="C42" s="124">
        <f>EOMONTH(Assumptions!C4,Assumptions!C6)+1</f>
        <v>46327</v>
      </c>
      <c r="D42" s="124">
        <f>EOMONTH(C42,1)</f>
        <v>46387</v>
      </c>
      <c r="E42" s="124">
        <f t="shared" ref="E42:BP42" si="2">EOMONTH(D42,1)</f>
        <v>46418</v>
      </c>
      <c r="F42" s="124">
        <f t="shared" si="2"/>
        <v>46446</v>
      </c>
      <c r="G42" s="124">
        <f t="shared" si="2"/>
        <v>46477</v>
      </c>
      <c r="H42" s="124">
        <f t="shared" si="2"/>
        <v>46507</v>
      </c>
      <c r="I42" s="124">
        <f t="shared" si="2"/>
        <v>46538</v>
      </c>
      <c r="J42" s="124">
        <f t="shared" si="2"/>
        <v>46568</v>
      </c>
      <c r="K42" s="124">
        <f t="shared" si="2"/>
        <v>46599</v>
      </c>
      <c r="L42" s="124">
        <f t="shared" si="2"/>
        <v>46630</v>
      </c>
      <c r="M42" s="124">
        <f t="shared" si="2"/>
        <v>46660</v>
      </c>
      <c r="N42" s="124">
        <f t="shared" si="2"/>
        <v>46691</v>
      </c>
      <c r="O42" s="124">
        <f t="shared" si="2"/>
        <v>46721</v>
      </c>
      <c r="P42" s="124">
        <f t="shared" si="2"/>
        <v>46752</v>
      </c>
      <c r="Q42" s="124">
        <f t="shared" si="2"/>
        <v>46783</v>
      </c>
      <c r="R42" s="124">
        <f t="shared" si="2"/>
        <v>46812</v>
      </c>
      <c r="S42" s="124">
        <f t="shared" si="2"/>
        <v>46843</v>
      </c>
      <c r="T42" s="124">
        <f t="shared" si="2"/>
        <v>46873</v>
      </c>
      <c r="U42" s="124">
        <f t="shared" si="2"/>
        <v>46904</v>
      </c>
      <c r="V42" s="124">
        <f t="shared" si="2"/>
        <v>46934</v>
      </c>
      <c r="W42" s="124">
        <f t="shared" si="2"/>
        <v>46965</v>
      </c>
      <c r="X42" s="124">
        <f t="shared" si="2"/>
        <v>46996</v>
      </c>
      <c r="Y42" s="124">
        <f t="shared" si="2"/>
        <v>47026</v>
      </c>
      <c r="Z42" s="124">
        <f t="shared" si="2"/>
        <v>47057</v>
      </c>
      <c r="AA42" s="124">
        <f t="shared" si="2"/>
        <v>47087</v>
      </c>
      <c r="AB42" s="124">
        <f t="shared" si="2"/>
        <v>47118</v>
      </c>
      <c r="AC42" s="124">
        <f t="shared" si="2"/>
        <v>47149</v>
      </c>
      <c r="AD42" s="124">
        <f t="shared" si="2"/>
        <v>47177</v>
      </c>
      <c r="AE42" s="124">
        <f t="shared" si="2"/>
        <v>47208</v>
      </c>
      <c r="AF42" s="124">
        <f t="shared" si="2"/>
        <v>47238</v>
      </c>
      <c r="AG42" s="124">
        <f t="shared" si="2"/>
        <v>47269</v>
      </c>
      <c r="AH42" s="124">
        <f t="shared" si="2"/>
        <v>47299</v>
      </c>
      <c r="AI42" s="124">
        <f t="shared" si="2"/>
        <v>47330</v>
      </c>
      <c r="AJ42" s="124">
        <f t="shared" si="2"/>
        <v>47361</v>
      </c>
      <c r="AK42" s="124">
        <f t="shared" si="2"/>
        <v>47391</v>
      </c>
      <c r="AL42" s="124">
        <f t="shared" si="2"/>
        <v>47422</v>
      </c>
      <c r="AM42" s="124">
        <f t="shared" si="2"/>
        <v>47452</v>
      </c>
      <c r="AN42" s="124">
        <f t="shared" si="2"/>
        <v>47483</v>
      </c>
      <c r="AO42" s="124">
        <f t="shared" si="2"/>
        <v>47514</v>
      </c>
      <c r="AP42" s="124">
        <f t="shared" si="2"/>
        <v>47542</v>
      </c>
      <c r="AQ42" s="124">
        <f t="shared" si="2"/>
        <v>47573</v>
      </c>
      <c r="AR42" s="124">
        <f t="shared" si="2"/>
        <v>47603</v>
      </c>
      <c r="AS42" s="124">
        <f t="shared" si="2"/>
        <v>47634</v>
      </c>
      <c r="AT42" s="124">
        <f t="shared" si="2"/>
        <v>47664</v>
      </c>
      <c r="AU42" s="124">
        <f t="shared" si="2"/>
        <v>47695</v>
      </c>
      <c r="AV42" s="124">
        <f t="shared" si="2"/>
        <v>47726</v>
      </c>
      <c r="AW42" s="124">
        <f t="shared" si="2"/>
        <v>47756</v>
      </c>
      <c r="AX42" s="124">
        <f t="shared" si="2"/>
        <v>47787</v>
      </c>
      <c r="AY42" s="124">
        <f t="shared" si="2"/>
        <v>47817</v>
      </c>
      <c r="AZ42" s="124">
        <f t="shared" si="2"/>
        <v>47848</v>
      </c>
      <c r="BA42" s="124">
        <f t="shared" si="2"/>
        <v>47879</v>
      </c>
      <c r="BB42" s="124">
        <f t="shared" si="2"/>
        <v>47907</v>
      </c>
      <c r="BC42" s="124">
        <f t="shared" si="2"/>
        <v>47938</v>
      </c>
      <c r="BD42" s="124">
        <f t="shared" si="2"/>
        <v>47968</v>
      </c>
      <c r="BE42" s="124">
        <f t="shared" si="2"/>
        <v>47999</v>
      </c>
      <c r="BF42" s="124">
        <f t="shared" si="2"/>
        <v>48029</v>
      </c>
      <c r="BG42" s="124">
        <f t="shared" si="2"/>
        <v>48060</v>
      </c>
      <c r="BH42" s="124">
        <f t="shared" si="2"/>
        <v>48091</v>
      </c>
      <c r="BI42" s="124">
        <f t="shared" si="2"/>
        <v>48121</v>
      </c>
      <c r="BJ42" s="124">
        <f t="shared" si="2"/>
        <v>48152</v>
      </c>
      <c r="BK42" s="124">
        <f t="shared" si="2"/>
        <v>48182</v>
      </c>
      <c r="BL42" s="124">
        <f t="shared" si="2"/>
        <v>48213</v>
      </c>
      <c r="BM42" s="124">
        <f t="shared" si="2"/>
        <v>48244</v>
      </c>
      <c r="BN42" s="124">
        <f t="shared" si="2"/>
        <v>48273</v>
      </c>
      <c r="BO42" s="124">
        <f t="shared" si="2"/>
        <v>48304</v>
      </c>
      <c r="BP42" s="124">
        <f t="shared" si="2"/>
        <v>48334</v>
      </c>
      <c r="BQ42" s="124">
        <f t="shared" ref="BQ42:DW42" si="3">EOMONTH(BP42,1)</f>
        <v>48365</v>
      </c>
      <c r="BR42" s="124">
        <f t="shared" si="3"/>
        <v>48395</v>
      </c>
      <c r="BS42" s="124">
        <f t="shared" si="3"/>
        <v>48426</v>
      </c>
      <c r="BT42" s="124">
        <f t="shared" si="3"/>
        <v>48457</v>
      </c>
      <c r="BU42" s="124">
        <f t="shared" si="3"/>
        <v>48487</v>
      </c>
      <c r="BV42" s="124">
        <f t="shared" si="3"/>
        <v>48518</v>
      </c>
      <c r="BW42" s="124">
        <f t="shared" si="3"/>
        <v>48548</v>
      </c>
      <c r="BX42" s="124">
        <f t="shared" si="3"/>
        <v>48579</v>
      </c>
      <c r="BY42" s="124">
        <f t="shared" si="3"/>
        <v>48610</v>
      </c>
      <c r="BZ42" s="124">
        <f t="shared" si="3"/>
        <v>48638</v>
      </c>
      <c r="CA42" s="124">
        <f t="shared" si="3"/>
        <v>48669</v>
      </c>
      <c r="CB42" s="124">
        <f t="shared" si="3"/>
        <v>48699</v>
      </c>
      <c r="CC42" s="124">
        <f t="shared" si="3"/>
        <v>48730</v>
      </c>
      <c r="CD42" s="124">
        <f t="shared" si="3"/>
        <v>48760</v>
      </c>
      <c r="CE42" s="124">
        <f t="shared" si="3"/>
        <v>48791</v>
      </c>
      <c r="CF42" s="124">
        <f t="shared" si="3"/>
        <v>48822</v>
      </c>
      <c r="CG42" s="124">
        <f t="shared" si="3"/>
        <v>48852</v>
      </c>
      <c r="CH42" s="124">
        <f t="shared" si="3"/>
        <v>48883</v>
      </c>
      <c r="CI42" s="124">
        <f t="shared" si="3"/>
        <v>48913</v>
      </c>
      <c r="CJ42" s="124">
        <f t="shared" si="3"/>
        <v>48944</v>
      </c>
      <c r="CK42" s="124">
        <f t="shared" si="3"/>
        <v>48975</v>
      </c>
      <c r="CL42" s="124">
        <f t="shared" si="3"/>
        <v>49003</v>
      </c>
      <c r="CM42" s="124">
        <f t="shared" si="3"/>
        <v>49034</v>
      </c>
      <c r="CN42" s="124">
        <f t="shared" si="3"/>
        <v>49064</v>
      </c>
      <c r="CO42" s="124">
        <f t="shared" si="3"/>
        <v>49095</v>
      </c>
      <c r="CP42" s="124">
        <f t="shared" si="3"/>
        <v>49125</v>
      </c>
      <c r="CQ42" s="124">
        <f t="shared" si="3"/>
        <v>49156</v>
      </c>
      <c r="CR42" s="124">
        <f t="shared" si="3"/>
        <v>49187</v>
      </c>
      <c r="CS42" s="124">
        <f t="shared" si="3"/>
        <v>49217</v>
      </c>
      <c r="CT42" s="124">
        <f t="shared" si="3"/>
        <v>49248</v>
      </c>
      <c r="CU42" s="124">
        <f t="shared" si="3"/>
        <v>49278</v>
      </c>
      <c r="CV42" s="124">
        <f t="shared" si="3"/>
        <v>49309</v>
      </c>
      <c r="CW42" s="124">
        <f t="shared" si="3"/>
        <v>49340</v>
      </c>
      <c r="CX42" s="124">
        <f t="shared" si="3"/>
        <v>49368</v>
      </c>
      <c r="CY42" s="124">
        <f t="shared" si="3"/>
        <v>49399</v>
      </c>
      <c r="CZ42" s="124">
        <f t="shared" si="3"/>
        <v>49429</v>
      </c>
      <c r="DA42" s="124">
        <f t="shared" si="3"/>
        <v>49460</v>
      </c>
      <c r="DB42" s="124">
        <f t="shared" si="3"/>
        <v>49490</v>
      </c>
      <c r="DC42" s="124">
        <f t="shared" si="3"/>
        <v>49521</v>
      </c>
      <c r="DD42" s="124">
        <f t="shared" si="3"/>
        <v>49552</v>
      </c>
      <c r="DE42" s="124">
        <f t="shared" si="3"/>
        <v>49582</v>
      </c>
      <c r="DF42" s="124">
        <f t="shared" si="3"/>
        <v>49613</v>
      </c>
      <c r="DG42" s="124">
        <f t="shared" si="3"/>
        <v>49643</v>
      </c>
      <c r="DH42" s="124">
        <f t="shared" si="3"/>
        <v>49674</v>
      </c>
      <c r="DI42" s="124">
        <f t="shared" si="3"/>
        <v>49705</v>
      </c>
      <c r="DJ42" s="124">
        <f t="shared" si="3"/>
        <v>49734</v>
      </c>
      <c r="DK42" s="124">
        <f t="shared" si="3"/>
        <v>49765</v>
      </c>
      <c r="DL42" s="124">
        <f t="shared" si="3"/>
        <v>49795</v>
      </c>
      <c r="DM42" s="124">
        <f t="shared" si="3"/>
        <v>49826</v>
      </c>
      <c r="DN42" s="124">
        <f t="shared" si="3"/>
        <v>49856</v>
      </c>
      <c r="DO42" s="124">
        <f t="shared" si="3"/>
        <v>49887</v>
      </c>
      <c r="DP42" s="124">
        <f t="shared" si="3"/>
        <v>49918</v>
      </c>
      <c r="DQ42" s="124">
        <f t="shared" si="3"/>
        <v>49948</v>
      </c>
      <c r="DR42" s="124">
        <f t="shared" si="3"/>
        <v>49979</v>
      </c>
      <c r="DS42" s="124">
        <f t="shared" si="3"/>
        <v>50009</v>
      </c>
      <c r="DT42" s="124">
        <f t="shared" si="3"/>
        <v>50040</v>
      </c>
      <c r="DU42" s="124">
        <f t="shared" si="3"/>
        <v>50071</v>
      </c>
      <c r="DV42" s="124">
        <f t="shared" si="3"/>
        <v>50099</v>
      </c>
      <c r="DW42" s="124">
        <f t="shared" si="3"/>
        <v>50130</v>
      </c>
    </row>
    <row r="43" spans="2:127" x14ac:dyDescent="0.3">
      <c r="B43" s="53" t="s">
        <v>200</v>
      </c>
      <c r="C43" s="120">
        <f t="shared" ref="C43:AH43" si="4">SUM(C30:C39)</f>
        <v>0</v>
      </c>
      <c r="D43" s="120">
        <f t="shared" si="4"/>
        <v>0</v>
      </c>
      <c r="E43" s="120">
        <f t="shared" si="4"/>
        <v>0</v>
      </c>
      <c r="F43" s="120">
        <f t="shared" si="4"/>
        <v>0</v>
      </c>
      <c r="G43" s="120">
        <f t="shared" si="4"/>
        <v>3234270</v>
      </c>
      <c r="H43" s="120">
        <f t="shared" si="4"/>
        <v>3234270</v>
      </c>
      <c r="I43" s="120">
        <f t="shared" si="4"/>
        <v>3234270</v>
      </c>
      <c r="J43" s="120">
        <f t="shared" si="4"/>
        <v>3234270</v>
      </c>
      <c r="K43" s="120">
        <f t="shared" si="4"/>
        <v>3234270</v>
      </c>
      <c r="L43" s="120">
        <f t="shared" si="4"/>
        <v>6468540</v>
      </c>
      <c r="M43" s="120">
        <f t="shared" si="4"/>
        <v>6468540</v>
      </c>
      <c r="N43" s="120">
        <f t="shared" si="4"/>
        <v>6468540</v>
      </c>
      <c r="O43" s="120">
        <f t="shared" si="4"/>
        <v>6468540</v>
      </c>
      <c r="P43" s="120">
        <f t="shared" si="4"/>
        <v>6468540</v>
      </c>
      <c r="Q43" s="120">
        <f t="shared" si="4"/>
        <v>6468540</v>
      </c>
      <c r="R43" s="120">
        <f t="shared" si="4"/>
        <v>6468540</v>
      </c>
      <c r="S43" s="120">
        <f t="shared" si="4"/>
        <v>6468540</v>
      </c>
      <c r="T43" s="120">
        <f t="shared" si="4"/>
        <v>6468540</v>
      </c>
      <c r="U43" s="120">
        <f t="shared" si="4"/>
        <v>6468540</v>
      </c>
      <c r="V43" s="120">
        <f t="shared" si="4"/>
        <v>6468540</v>
      </c>
      <c r="W43" s="120">
        <f t="shared" si="4"/>
        <v>6468540</v>
      </c>
      <c r="X43" s="120">
        <f t="shared" si="4"/>
        <v>6468540</v>
      </c>
      <c r="Y43" s="120">
        <f t="shared" si="4"/>
        <v>6468540</v>
      </c>
      <c r="Z43" s="120">
        <f t="shared" si="4"/>
        <v>6468540</v>
      </c>
      <c r="AA43" s="120">
        <f t="shared" si="4"/>
        <v>6468540</v>
      </c>
      <c r="AB43" s="120">
        <f t="shared" si="4"/>
        <v>6468540</v>
      </c>
      <c r="AC43" s="120">
        <f t="shared" si="4"/>
        <v>6468540</v>
      </c>
      <c r="AD43" s="120">
        <f t="shared" si="4"/>
        <v>6468540</v>
      </c>
      <c r="AE43" s="120">
        <f t="shared" si="4"/>
        <v>6468540</v>
      </c>
      <c r="AF43" s="120">
        <f t="shared" si="4"/>
        <v>6468540</v>
      </c>
      <c r="AG43" s="120">
        <f t="shared" si="4"/>
        <v>6468540</v>
      </c>
      <c r="AH43" s="120">
        <f t="shared" si="4"/>
        <v>6468540</v>
      </c>
      <c r="AI43" s="120">
        <f t="shared" ref="AI43:BN43" si="5">SUM(AI30:AI39)</f>
        <v>6468540</v>
      </c>
      <c r="AJ43" s="120">
        <f t="shared" si="5"/>
        <v>6468540</v>
      </c>
      <c r="AK43" s="120">
        <f t="shared" si="5"/>
        <v>6468540</v>
      </c>
      <c r="AL43" s="120">
        <f t="shared" si="5"/>
        <v>6468540</v>
      </c>
      <c r="AM43" s="120">
        <f t="shared" si="5"/>
        <v>6468540</v>
      </c>
      <c r="AN43" s="120">
        <f t="shared" si="5"/>
        <v>6468540</v>
      </c>
      <c r="AO43" s="120">
        <f t="shared" si="5"/>
        <v>6468540</v>
      </c>
      <c r="AP43" s="120">
        <f t="shared" si="5"/>
        <v>6468540</v>
      </c>
      <c r="AQ43" s="120">
        <f t="shared" si="5"/>
        <v>6468540</v>
      </c>
      <c r="AR43" s="120">
        <f t="shared" si="5"/>
        <v>6468540</v>
      </c>
      <c r="AS43" s="120">
        <f t="shared" si="5"/>
        <v>6468540</v>
      </c>
      <c r="AT43" s="120">
        <f t="shared" si="5"/>
        <v>6468540</v>
      </c>
      <c r="AU43" s="120">
        <f t="shared" si="5"/>
        <v>6468540</v>
      </c>
      <c r="AV43" s="120">
        <f t="shared" si="5"/>
        <v>6468540</v>
      </c>
      <c r="AW43" s="120">
        <f t="shared" si="5"/>
        <v>6468540</v>
      </c>
      <c r="AX43" s="120">
        <f t="shared" si="5"/>
        <v>6468540</v>
      </c>
      <c r="AY43" s="120">
        <f t="shared" si="5"/>
        <v>6468540</v>
      </c>
      <c r="AZ43" s="120">
        <f t="shared" si="5"/>
        <v>6468540</v>
      </c>
      <c r="BA43" s="120">
        <f t="shared" si="5"/>
        <v>6468540</v>
      </c>
      <c r="BB43" s="120">
        <f t="shared" si="5"/>
        <v>6468540</v>
      </c>
      <c r="BC43" s="120">
        <f t="shared" si="5"/>
        <v>6468540</v>
      </c>
      <c r="BD43" s="120">
        <f t="shared" si="5"/>
        <v>6468540</v>
      </c>
      <c r="BE43" s="120">
        <f t="shared" si="5"/>
        <v>6468540</v>
      </c>
      <c r="BF43" s="120">
        <f t="shared" si="5"/>
        <v>6468540</v>
      </c>
      <c r="BG43" s="120">
        <f t="shared" si="5"/>
        <v>6468540</v>
      </c>
      <c r="BH43" s="120">
        <f t="shared" si="5"/>
        <v>6468540</v>
      </c>
      <c r="BI43" s="120">
        <f t="shared" si="5"/>
        <v>6468540</v>
      </c>
      <c r="BJ43" s="120">
        <f t="shared" si="5"/>
        <v>6468540</v>
      </c>
      <c r="BK43" s="120">
        <f t="shared" si="5"/>
        <v>6468540</v>
      </c>
      <c r="BL43" s="120">
        <f t="shared" si="5"/>
        <v>6468540</v>
      </c>
      <c r="BM43" s="120">
        <f t="shared" si="5"/>
        <v>6468540</v>
      </c>
      <c r="BN43" s="120">
        <f t="shared" si="5"/>
        <v>6468540</v>
      </c>
      <c r="BO43" s="120">
        <f t="shared" ref="BO43:CT43" si="6">SUM(BO30:BO39)</f>
        <v>6468540</v>
      </c>
      <c r="BP43" s="120">
        <f t="shared" si="6"/>
        <v>6468540</v>
      </c>
      <c r="BQ43" s="120">
        <f t="shared" si="6"/>
        <v>6468540</v>
      </c>
      <c r="BR43" s="120">
        <f t="shared" si="6"/>
        <v>6468540</v>
      </c>
      <c r="BS43" s="120">
        <f t="shared" si="6"/>
        <v>6468540</v>
      </c>
      <c r="BT43" s="120">
        <f t="shared" si="6"/>
        <v>6468540</v>
      </c>
      <c r="BU43" s="120">
        <f t="shared" si="6"/>
        <v>6468540</v>
      </c>
      <c r="BV43" s="120">
        <f t="shared" si="6"/>
        <v>6468540</v>
      </c>
      <c r="BW43" s="120">
        <f t="shared" si="6"/>
        <v>6468540</v>
      </c>
      <c r="BX43" s="120">
        <f t="shared" si="6"/>
        <v>6468540</v>
      </c>
      <c r="BY43" s="120">
        <f t="shared" si="6"/>
        <v>6468540</v>
      </c>
      <c r="BZ43" s="120">
        <f t="shared" si="6"/>
        <v>6468540</v>
      </c>
      <c r="CA43" s="120">
        <f t="shared" si="6"/>
        <v>6468540</v>
      </c>
      <c r="CB43" s="120">
        <f t="shared" si="6"/>
        <v>6468540</v>
      </c>
      <c r="CC43" s="120">
        <f t="shared" si="6"/>
        <v>6468540</v>
      </c>
      <c r="CD43" s="120">
        <f t="shared" si="6"/>
        <v>6468540</v>
      </c>
      <c r="CE43" s="120">
        <f t="shared" si="6"/>
        <v>6468540</v>
      </c>
      <c r="CF43" s="120">
        <f t="shared" si="6"/>
        <v>6468540</v>
      </c>
      <c r="CG43" s="120">
        <f t="shared" si="6"/>
        <v>6468540</v>
      </c>
      <c r="CH43" s="120">
        <f t="shared" si="6"/>
        <v>6468540</v>
      </c>
      <c r="CI43" s="120">
        <f t="shared" si="6"/>
        <v>6468540</v>
      </c>
      <c r="CJ43" s="120">
        <f t="shared" si="6"/>
        <v>6468540</v>
      </c>
      <c r="CK43" s="120">
        <f t="shared" si="6"/>
        <v>6468540</v>
      </c>
      <c r="CL43" s="120">
        <f t="shared" si="6"/>
        <v>6468540</v>
      </c>
      <c r="CM43" s="120">
        <f t="shared" si="6"/>
        <v>6468540</v>
      </c>
      <c r="CN43" s="120">
        <f t="shared" si="6"/>
        <v>6468540</v>
      </c>
      <c r="CO43" s="120">
        <f t="shared" si="6"/>
        <v>6468540</v>
      </c>
      <c r="CP43" s="120">
        <f t="shared" si="6"/>
        <v>6468540</v>
      </c>
      <c r="CQ43" s="120">
        <f t="shared" si="6"/>
        <v>6468540</v>
      </c>
      <c r="CR43" s="120">
        <f t="shared" si="6"/>
        <v>6468540</v>
      </c>
      <c r="CS43" s="120">
        <f t="shared" si="6"/>
        <v>6468540</v>
      </c>
      <c r="CT43" s="120">
        <f t="shared" si="6"/>
        <v>6468540</v>
      </c>
      <c r="CU43" s="120">
        <f t="shared" ref="CU43:DW43" si="7">SUM(CU30:CU39)</f>
        <v>6468540</v>
      </c>
      <c r="CV43" s="120">
        <f t="shared" si="7"/>
        <v>6468540</v>
      </c>
      <c r="CW43" s="120">
        <f t="shared" si="7"/>
        <v>6468540</v>
      </c>
      <c r="CX43" s="120">
        <f t="shared" si="7"/>
        <v>6468540</v>
      </c>
      <c r="CY43" s="120">
        <f t="shared" si="7"/>
        <v>6468540</v>
      </c>
      <c r="CZ43" s="120">
        <f t="shared" si="7"/>
        <v>6468540</v>
      </c>
      <c r="DA43" s="120">
        <f t="shared" si="7"/>
        <v>6468540</v>
      </c>
      <c r="DB43" s="120">
        <f t="shared" si="7"/>
        <v>6468540</v>
      </c>
      <c r="DC43" s="120">
        <f t="shared" si="7"/>
        <v>6468540</v>
      </c>
      <c r="DD43" s="120">
        <f t="shared" si="7"/>
        <v>6468540</v>
      </c>
      <c r="DE43" s="120">
        <f t="shared" si="7"/>
        <v>6468540</v>
      </c>
      <c r="DF43" s="120">
        <f t="shared" si="7"/>
        <v>6468540</v>
      </c>
      <c r="DG43" s="120">
        <f t="shared" si="7"/>
        <v>6468540</v>
      </c>
      <c r="DH43" s="120">
        <f t="shared" si="7"/>
        <v>6468540</v>
      </c>
      <c r="DI43" s="120">
        <f t="shared" si="7"/>
        <v>6468540</v>
      </c>
      <c r="DJ43" s="120">
        <f t="shared" si="7"/>
        <v>6468540</v>
      </c>
      <c r="DK43" s="120">
        <f t="shared" si="7"/>
        <v>6468540</v>
      </c>
      <c r="DL43" s="120">
        <f t="shared" si="7"/>
        <v>6468540</v>
      </c>
      <c r="DM43" s="120">
        <f t="shared" si="7"/>
        <v>6468540</v>
      </c>
      <c r="DN43" s="120">
        <f t="shared" si="7"/>
        <v>6468540</v>
      </c>
      <c r="DO43" s="120">
        <f t="shared" si="7"/>
        <v>6468540</v>
      </c>
      <c r="DP43" s="120">
        <f t="shared" si="7"/>
        <v>6468540</v>
      </c>
      <c r="DQ43" s="120">
        <f t="shared" si="7"/>
        <v>6468540</v>
      </c>
      <c r="DR43" s="120">
        <f t="shared" si="7"/>
        <v>6468540</v>
      </c>
      <c r="DS43" s="120">
        <f t="shared" si="7"/>
        <v>6468540</v>
      </c>
      <c r="DT43" s="120">
        <f t="shared" si="7"/>
        <v>6468540</v>
      </c>
      <c r="DU43" s="120">
        <f t="shared" si="7"/>
        <v>6468540</v>
      </c>
      <c r="DV43" s="120">
        <f t="shared" si="7"/>
        <v>6468540</v>
      </c>
      <c r="DW43" s="120">
        <f t="shared" si="7"/>
        <v>6468540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97A62-4453-4202-ABA8-1EFAA80B7300}">
  <sheetPr>
    <tabColor theme="8"/>
  </sheetPr>
  <dimension ref="B1:DW11"/>
  <sheetViews>
    <sheetView showGridLines="0" workbookViewId="0">
      <selection activeCell="B1" sqref="B1"/>
    </sheetView>
  </sheetViews>
  <sheetFormatPr defaultRowHeight="15" x14ac:dyDescent="0.3"/>
  <cols>
    <col min="1" max="1" width="1.7109375" style="53" customWidth="1"/>
    <col min="2" max="2" width="29.7109375" style="53" customWidth="1"/>
    <col min="3" max="3" width="13.140625" style="53" bestFit="1" customWidth="1"/>
    <col min="4" max="4" width="10.42578125" style="53" bestFit="1" customWidth="1"/>
    <col min="5" max="5" width="9.5703125" style="53" bestFit="1" customWidth="1"/>
    <col min="6" max="11" width="11" style="53" bestFit="1" customWidth="1"/>
    <col min="12" max="23" width="12" style="53" bestFit="1" customWidth="1"/>
    <col min="24" max="127" width="12.42578125" style="53" bestFit="1" customWidth="1"/>
    <col min="128" max="16384" width="9.140625" style="53"/>
  </cols>
  <sheetData>
    <row r="1" spans="2:127" s="84" customFormat="1" x14ac:dyDescent="0.3">
      <c r="B1" s="188" t="s">
        <v>300</v>
      </c>
    </row>
    <row r="2" spans="2:127" s="84" customFormat="1" ht="18" x14ac:dyDescent="0.35">
      <c r="B2" s="91" t="s">
        <v>222</v>
      </c>
      <c r="C2" s="83"/>
      <c r="D2" s="83"/>
      <c r="E2" s="83"/>
      <c r="F2" s="83"/>
      <c r="G2" s="83"/>
      <c r="H2" s="90"/>
      <c r="I2" s="90"/>
      <c r="J2" s="90"/>
      <c r="K2" s="90"/>
    </row>
    <row r="4" spans="2:127" x14ac:dyDescent="0.3">
      <c r="B4" s="53" t="s">
        <v>172</v>
      </c>
      <c r="C4" s="53">
        <f>IF(C10&lt;=Assumptions!$F$12, Assumptions!$D$12, IF(C10&lt;=Assumptions!$F$13, Assumptions!$D$13, Assumptions!$D$14))</f>
        <v>40</v>
      </c>
      <c r="D4" s="53">
        <f>IF(D10&lt;=Assumptions!$F$12, Assumptions!$D$12, IF(D10&lt;=Assumptions!$F$13, Assumptions!$D$13, Assumptions!$D$14))</f>
        <v>40</v>
      </c>
      <c r="E4" s="53">
        <f>IF(E10&lt;=Assumptions!$F$12, Assumptions!$D$12, IF(E10&lt;=Assumptions!$F$13, Assumptions!$D$13, Assumptions!$D$14))</f>
        <v>40</v>
      </c>
      <c r="F4" s="53">
        <f>IF(F10&lt;=Assumptions!$F$12, Assumptions!$D$12, IF(F10&lt;=Assumptions!$F$13, Assumptions!$D$13, Assumptions!$D$14))</f>
        <v>40</v>
      </c>
      <c r="G4" s="53">
        <f>IF(G10&lt;=Assumptions!$F$12, Assumptions!$D$12, IF(G10&lt;=Assumptions!$F$13, Assumptions!$D$13, Assumptions!$D$14))</f>
        <v>250</v>
      </c>
      <c r="H4" s="53">
        <f>IF(H10&lt;=Assumptions!$F$12, Assumptions!$D$12, IF(H10&lt;=Assumptions!$F$13, Assumptions!$D$13, Assumptions!$D$14))</f>
        <v>250</v>
      </c>
      <c r="I4" s="53">
        <f>IF(I10&lt;=Assumptions!$F$12, Assumptions!$D$12, IF(I10&lt;=Assumptions!$F$13, Assumptions!$D$13, Assumptions!$D$14))</f>
        <v>250</v>
      </c>
      <c r="J4" s="53">
        <f>IF(J10&lt;=Assumptions!$F$12, Assumptions!$D$12, IF(J10&lt;=Assumptions!$F$13, Assumptions!$D$13, Assumptions!$D$14))</f>
        <v>250</v>
      </c>
      <c r="K4" s="53">
        <f>IF(K10&lt;=Assumptions!$F$12, Assumptions!$D$12, IF(K10&lt;=Assumptions!$F$13, Assumptions!$D$13, Assumptions!$D$14))</f>
        <v>250</v>
      </c>
      <c r="L4" s="53">
        <f>IF(L10&lt;=Assumptions!$F$12, Assumptions!$D$12, IF(L10&lt;=Assumptions!$F$13, Assumptions!$D$13, Assumptions!$D$14))</f>
        <v>500</v>
      </c>
      <c r="M4" s="53">
        <f>IF(M10&lt;=Assumptions!$F$12, Assumptions!$D$12, IF(M10&lt;=Assumptions!$F$13, Assumptions!$D$13, Assumptions!$D$14))</f>
        <v>500</v>
      </c>
      <c r="N4" s="53">
        <f>IF(N10&lt;=Assumptions!$F$12, Assumptions!$D$12, IF(N10&lt;=Assumptions!$F$13, Assumptions!$D$13, Assumptions!$D$14))</f>
        <v>500</v>
      </c>
      <c r="O4" s="53">
        <f>IF(O10&lt;=Assumptions!$F$12, Assumptions!$D$12, IF(O10&lt;=Assumptions!$F$13, Assumptions!$D$13, Assumptions!$D$14))</f>
        <v>500</v>
      </c>
      <c r="P4" s="53">
        <f>IF(P10&lt;=Assumptions!$F$12, Assumptions!$D$12, IF(P10&lt;=Assumptions!$F$13, Assumptions!$D$13, Assumptions!$D$14))</f>
        <v>500</v>
      </c>
      <c r="Q4" s="53">
        <f>IF(Q10&lt;=Assumptions!$F$12, Assumptions!$D$12, IF(Q10&lt;=Assumptions!$F$13, Assumptions!$D$13, Assumptions!$D$14))</f>
        <v>500</v>
      </c>
      <c r="R4" s="53">
        <f>IF(R10&lt;=Assumptions!$F$12, Assumptions!$D$12, IF(R10&lt;=Assumptions!$F$13, Assumptions!$D$13, Assumptions!$D$14))</f>
        <v>500</v>
      </c>
      <c r="S4" s="53">
        <f>IF(S10&lt;=Assumptions!$F$12, Assumptions!$D$12, IF(S10&lt;=Assumptions!$F$13, Assumptions!$D$13, Assumptions!$D$14))</f>
        <v>500</v>
      </c>
      <c r="T4" s="53">
        <f>IF(T10&lt;=Assumptions!$F$12, Assumptions!$D$12, IF(T10&lt;=Assumptions!$F$13, Assumptions!$D$13, Assumptions!$D$14))</f>
        <v>500</v>
      </c>
      <c r="U4" s="53">
        <f>IF(U10&lt;=Assumptions!$F$12, Assumptions!$D$12, IF(U10&lt;=Assumptions!$F$13, Assumptions!$D$13, Assumptions!$D$14))</f>
        <v>500</v>
      </c>
      <c r="V4" s="53">
        <f>IF(V10&lt;=Assumptions!$F$12, Assumptions!$D$12, IF(V10&lt;=Assumptions!$F$13, Assumptions!$D$13, Assumptions!$D$14))</f>
        <v>500</v>
      </c>
      <c r="W4" s="53">
        <f>IF(W10&lt;=Assumptions!$F$12, Assumptions!$D$12, IF(W10&lt;=Assumptions!$F$13, Assumptions!$D$13, Assumptions!$D$14))</f>
        <v>500</v>
      </c>
      <c r="X4" s="53">
        <f>IF(X10&lt;=Assumptions!$F$12, Assumptions!$D$12, IF(X10&lt;=Assumptions!$F$13, Assumptions!$D$13, Assumptions!$D$14))</f>
        <v>500</v>
      </c>
      <c r="Y4" s="53">
        <f>IF(Y10&lt;=Assumptions!$F$12, Assumptions!$D$12, IF(Y10&lt;=Assumptions!$F$13, Assumptions!$D$13, Assumptions!$D$14))</f>
        <v>500</v>
      </c>
      <c r="Z4" s="53">
        <f>IF(Z10&lt;=Assumptions!$F$12, Assumptions!$D$12, IF(Z10&lt;=Assumptions!$F$13, Assumptions!$D$13, Assumptions!$D$14))</f>
        <v>500</v>
      </c>
      <c r="AA4" s="53">
        <f>IF(AA10&lt;=Assumptions!$F$12, Assumptions!$D$12, IF(AA10&lt;=Assumptions!$F$13, Assumptions!$D$13, Assumptions!$D$14))</f>
        <v>500</v>
      </c>
      <c r="AB4" s="53">
        <f>IF(AB10&lt;=Assumptions!$F$12, Assumptions!$D$12, IF(AB10&lt;=Assumptions!$F$13, Assumptions!$D$13, Assumptions!$D$14))</f>
        <v>500</v>
      </c>
      <c r="AC4" s="53">
        <f>IF(AC10&lt;=Assumptions!$F$12, Assumptions!$D$12, IF(AC10&lt;=Assumptions!$F$13, Assumptions!$D$13, Assumptions!$D$14))</f>
        <v>500</v>
      </c>
      <c r="AD4" s="53">
        <f>IF(AD10&lt;=Assumptions!$F$12, Assumptions!$D$12, IF(AD10&lt;=Assumptions!$F$13, Assumptions!$D$13, Assumptions!$D$14))</f>
        <v>500</v>
      </c>
      <c r="AE4" s="53">
        <f>IF(AE10&lt;=Assumptions!$F$12, Assumptions!$D$12, IF(AE10&lt;=Assumptions!$F$13, Assumptions!$D$13, Assumptions!$D$14))</f>
        <v>500</v>
      </c>
      <c r="AF4" s="53">
        <f>IF(AF10&lt;=Assumptions!$F$12, Assumptions!$D$12, IF(AF10&lt;=Assumptions!$F$13, Assumptions!$D$13, Assumptions!$D$14))</f>
        <v>500</v>
      </c>
      <c r="AG4" s="53">
        <f>IF(AG10&lt;=Assumptions!$F$12, Assumptions!$D$12, IF(AG10&lt;=Assumptions!$F$13, Assumptions!$D$13, Assumptions!$D$14))</f>
        <v>500</v>
      </c>
      <c r="AH4" s="53">
        <f>IF(AH10&lt;=Assumptions!$F$12, Assumptions!$D$12, IF(AH10&lt;=Assumptions!$F$13, Assumptions!$D$13, Assumptions!$D$14))</f>
        <v>500</v>
      </c>
      <c r="AI4" s="53">
        <f>IF(AI10&lt;=Assumptions!$F$12, Assumptions!$D$12, IF(AI10&lt;=Assumptions!$F$13, Assumptions!$D$13, Assumptions!$D$14))</f>
        <v>500</v>
      </c>
      <c r="AJ4" s="53">
        <f>IF(AJ10&lt;=Assumptions!$F$12, Assumptions!$D$12, IF(AJ10&lt;=Assumptions!$F$13, Assumptions!$D$13, Assumptions!$D$14))</f>
        <v>500</v>
      </c>
      <c r="AK4" s="53">
        <f>IF(AK10&lt;=Assumptions!$F$12, Assumptions!$D$12, IF(AK10&lt;=Assumptions!$F$13, Assumptions!$D$13, Assumptions!$D$14))</f>
        <v>500</v>
      </c>
      <c r="AL4" s="53">
        <f>IF(AL10&lt;=Assumptions!$F$12, Assumptions!$D$12, IF(AL10&lt;=Assumptions!$F$13, Assumptions!$D$13, Assumptions!$D$14))</f>
        <v>500</v>
      </c>
      <c r="AM4" s="53">
        <f>IF(AM10&lt;=Assumptions!$F$12, Assumptions!$D$12, IF(AM10&lt;=Assumptions!$F$13, Assumptions!$D$13, Assumptions!$D$14))</f>
        <v>500</v>
      </c>
      <c r="AN4" s="53">
        <f>IF(AN10&lt;=Assumptions!$F$12, Assumptions!$D$12, IF(AN10&lt;=Assumptions!$F$13, Assumptions!$D$13, Assumptions!$D$14))</f>
        <v>500</v>
      </c>
      <c r="AO4" s="53">
        <f>IF(AO10&lt;=Assumptions!$F$12, Assumptions!$D$12, IF(AO10&lt;=Assumptions!$F$13, Assumptions!$D$13, Assumptions!$D$14))</f>
        <v>500</v>
      </c>
      <c r="AP4" s="53">
        <f>IF(AP10&lt;=Assumptions!$F$12, Assumptions!$D$12, IF(AP10&lt;=Assumptions!$F$13, Assumptions!$D$13, Assumptions!$D$14))</f>
        <v>500</v>
      </c>
      <c r="AQ4" s="53">
        <f>IF(AQ10&lt;=Assumptions!$F$12, Assumptions!$D$12, IF(AQ10&lt;=Assumptions!$F$13, Assumptions!$D$13, Assumptions!$D$14))</f>
        <v>500</v>
      </c>
      <c r="AR4" s="53">
        <f>IF(AR10&lt;=Assumptions!$F$12, Assumptions!$D$12, IF(AR10&lt;=Assumptions!$F$13, Assumptions!$D$13, Assumptions!$D$14))</f>
        <v>500</v>
      </c>
      <c r="AS4" s="53">
        <f>IF(AS10&lt;=Assumptions!$F$12, Assumptions!$D$12, IF(AS10&lt;=Assumptions!$F$13, Assumptions!$D$13, Assumptions!$D$14))</f>
        <v>500</v>
      </c>
      <c r="AT4" s="53">
        <f>IF(AT10&lt;=Assumptions!$F$12, Assumptions!$D$12, IF(AT10&lt;=Assumptions!$F$13, Assumptions!$D$13, Assumptions!$D$14))</f>
        <v>500</v>
      </c>
      <c r="AU4" s="53">
        <f>IF(AU10&lt;=Assumptions!$F$12, Assumptions!$D$12, IF(AU10&lt;=Assumptions!$F$13, Assumptions!$D$13, Assumptions!$D$14))</f>
        <v>500</v>
      </c>
      <c r="AV4" s="53">
        <f>IF(AV10&lt;=Assumptions!$F$12, Assumptions!$D$12, IF(AV10&lt;=Assumptions!$F$13, Assumptions!$D$13, Assumptions!$D$14))</f>
        <v>500</v>
      </c>
      <c r="AW4" s="53">
        <f>IF(AW10&lt;=Assumptions!$F$12, Assumptions!$D$12, IF(AW10&lt;=Assumptions!$F$13, Assumptions!$D$13, Assumptions!$D$14))</f>
        <v>500</v>
      </c>
      <c r="AX4" s="53">
        <f>IF(AX10&lt;=Assumptions!$F$12, Assumptions!$D$12, IF(AX10&lt;=Assumptions!$F$13, Assumptions!$D$13, Assumptions!$D$14))</f>
        <v>500</v>
      </c>
      <c r="AY4" s="53">
        <f>IF(AY10&lt;=Assumptions!$F$12, Assumptions!$D$12, IF(AY10&lt;=Assumptions!$F$13, Assumptions!$D$13, Assumptions!$D$14))</f>
        <v>500</v>
      </c>
      <c r="AZ4" s="53">
        <f>IF(AZ10&lt;=Assumptions!$F$12, Assumptions!$D$12, IF(AZ10&lt;=Assumptions!$F$13, Assumptions!$D$13, Assumptions!$D$14))</f>
        <v>500</v>
      </c>
      <c r="BA4" s="53">
        <f>IF(BA10&lt;=Assumptions!$F$12, Assumptions!$D$12, IF(BA10&lt;=Assumptions!$F$13, Assumptions!$D$13, Assumptions!$D$14))</f>
        <v>500</v>
      </c>
      <c r="BB4" s="53">
        <f>IF(BB10&lt;=Assumptions!$F$12, Assumptions!$D$12, IF(BB10&lt;=Assumptions!$F$13, Assumptions!$D$13, Assumptions!$D$14))</f>
        <v>500</v>
      </c>
      <c r="BC4" s="53">
        <f>IF(BC10&lt;=Assumptions!$F$12, Assumptions!$D$12, IF(BC10&lt;=Assumptions!$F$13, Assumptions!$D$13, Assumptions!$D$14))</f>
        <v>500</v>
      </c>
      <c r="BD4" s="53">
        <f>IF(BD10&lt;=Assumptions!$F$12, Assumptions!$D$12, IF(BD10&lt;=Assumptions!$F$13, Assumptions!$D$13, Assumptions!$D$14))</f>
        <v>500</v>
      </c>
      <c r="BE4" s="53">
        <f>IF(BE10&lt;=Assumptions!$F$12, Assumptions!$D$12, IF(BE10&lt;=Assumptions!$F$13, Assumptions!$D$13, Assumptions!$D$14))</f>
        <v>500</v>
      </c>
      <c r="BF4" s="53">
        <f>IF(BF10&lt;=Assumptions!$F$12, Assumptions!$D$12, IF(BF10&lt;=Assumptions!$F$13, Assumptions!$D$13, Assumptions!$D$14))</f>
        <v>500</v>
      </c>
      <c r="BG4" s="53">
        <f>IF(BG10&lt;=Assumptions!$F$12, Assumptions!$D$12, IF(BG10&lt;=Assumptions!$F$13, Assumptions!$D$13, Assumptions!$D$14))</f>
        <v>500</v>
      </c>
      <c r="BH4" s="53">
        <f>IF(BH10&lt;=Assumptions!$F$12, Assumptions!$D$12, IF(BH10&lt;=Assumptions!$F$13, Assumptions!$D$13, Assumptions!$D$14))</f>
        <v>500</v>
      </c>
      <c r="BI4" s="53">
        <f>IF(BI10&lt;=Assumptions!$F$12, Assumptions!$D$12, IF(BI10&lt;=Assumptions!$F$13, Assumptions!$D$13, Assumptions!$D$14))</f>
        <v>500</v>
      </c>
      <c r="BJ4" s="53">
        <f>IF(BJ10&lt;=Assumptions!$F$12, Assumptions!$D$12, IF(BJ10&lt;=Assumptions!$F$13, Assumptions!$D$13, Assumptions!$D$14))</f>
        <v>500</v>
      </c>
      <c r="BK4" s="53">
        <f>IF(BK10&lt;=Assumptions!$F$12, Assumptions!$D$12, IF(BK10&lt;=Assumptions!$F$13, Assumptions!$D$13, Assumptions!$D$14))</f>
        <v>500</v>
      </c>
      <c r="BL4" s="53">
        <f>IF(BL10&lt;=Assumptions!$F$12, Assumptions!$D$12, IF(BL10&lt;=Assumptions!$F$13, Assumptions!$D$13, Assumptions!$D$14))</f>
        <v>500</v>
      </c>
      <c r="BM4" s="53">
        <f>IF(BM10&lt;=Assumptions!$F$12, Assumptions!$D$12, IF(BM10&lt;=Assumptions!$F$13, Assumptions!$D$13, Assumptions!$D$14))</f>
        <v>500</v>
      </c>
      <c r="BN4" s="53">
        <f>IF(BN10&lt;=Assumptions!$F$12, Assumptions!$D$12, IF(BN10&lt;=Assumptions!$F$13, Assumptions!$D$13, Assumptions!$D$14))</f>
        <v>500</v>
      </c>
      <c r="BO4" s="53">
        <f>IF(BO10&lt;=Assumptions!$F$12, Assumptions!$D$12, IF(BO10&lt;=Assumptions!$F$13, Assumptions!$D$13, Assumptions!$D$14))</f>
        <v>500</v>
      </c>
      <c r="BP4" s="53">
        <f>IF(BP10&lt;=Assumptions!$F$12, Assumptions!$D$12, IF(BP10&lt;=Assumptions!$F$13, Assumptions!$D$13, Assumptions!$D$14))</f>
        <v>500</v>
      </c>
      <c r="BQ4" s="53">
        <f>IF(BQ10&lt;=Assumptions!$F$12, Assumptions!$D$12, IF(BQ10&lt;=Assumptions!$F$13, Assumptions!$D$13, Assumptions!$D$14))</f>
        <v>500</v>
      </c>
      <c r="BR4" s="53">
        <f>IF(BR10&lt;=Assumptions!$F$12, Assumptions!$D$12, IF(BR10&lt;=Assumptions!$F$13, Assumptions!$D$13, Assumptions!$D$14))</f>
        <v>500</v>
      </c>
      <c r="BS4" s="53">
        <f>IF(BS10&lt;=Assumptions!$F$12, Assumptions!$D$12, IF(BS10&lt;=Assumptions!$F$13, Assumptions!$D$13, Assumptions!$D$14))</f>
        <v>500</v>
      </c>
      <c r="BT4" s="53">
        <f>IF(BT10&lt;=Assumptions!$F$12, Assumptions!$D$12, IF(BT10&lt;=Assumptions!$F$13, Assumptions!$D$13, Assumptions!$D$14))</f>
        <v>500</v>
      </c>
      <c r="BU4" s="53">
        <f>IF(BU10&lt;=Assumptions!$F$12, Assumptions!$D$12, IF(BU10&lt;=Assumptions!$F$13, Assumptions!$D$13, Assumptions!$D$14))</f>
        <v>500</v>
      </c>
      <c r="BV4" s="53">
        <f>IF(BV10&lt;=Assumptions!$F$12, Assumptions!$D$12, IF(BV10&lt;=Assumptions!$F$13, Assumptions!$D$13, Assumptions!$D$14))</f>
        <v>500</v>
      </c>
      <c r="BW4" s="53">
        <f>IF(BW10&lt;=Assumptions!$F$12, Assumptions!$D$12, IF(BW10&lt;=Assumptions!$F$13, Assumptions!$D$13, Assumptions!$D$14))</f>
        <v>500</v>
      </c>
      <c r="BX4" s="53">
        <f>IF(BX10&lt;=Assumptions!$F$12, Assumptions!$D$12, IF(BX10&lt;=Assumptions!$F$13, Assumptions!$D$13, Assumptions!$D$14))</f>
        <v>500</v>
      </c>
      <c r="BY4" s="53">
        <f>IF(BY10&lt;=Assumptions!$F$12, Assumptions!$D$12, IF(BY10&lt;=Assumptions!$F$13, Assumptions!$D$13, Assumptions!$D$14))</f>
        <v>500</v>
      </c>
      <c r="BZ4" s="53">
        <f>IF(BZ10&lt;=Assumptions!$F$12, Assumptions!$D$12, IF(BZ10&lt;=Assumptions!$F$13, Assumptions!$D$13, Assumptions!$D$14))</f>
        <v>500</v>
      </c>
      <c r="CA4" s="53">
        <f>IF(CA10&lt;=Assumptions!$F$12, Assumptions!$D$12, IF(CA10&lt;=Assumptions!$F$13, Assumptions!$D$13, Assumptions!$D$14))</f>
        <v>500</v>
      </c>
      <c r="CB4" s="53">
        <f>IF(CB10&lt;=Assumptions!$F$12, Assumptions!$D$12, IF(CB10&lt;=Assumptions!$F$13, Assumptions!$D$13, Assumptions!$D$14))</f>
        <v>500</v>
      </c>
      <c r="CC4" s="53">
        <f>IF(CC10&lt;=Assumptions!$F$12, Assumptions!$D$12, IF(CC10&lt;=Assumptions!$F$13, Assumptions!$D$13, Assumptions!$D$14))</f>
        <v>500</v>
      </c>
      <c r="CD4" s="53">
        <f>IF(CD10&lt;=Assumptions!$F$12, Assumptions!$D$12, IF(CD10&lt;=Assumptions!$F$13, Assumptions!$D$13, Assumptions!$D$14))</f>
        <v>500</v>
      </c>
      <c r="CE4" s="53">
        <f>IF(CE10&lt;=Assumptions!$F$12, Assumptions!$D$12, IF(CE10&lt;=Assumptions!$F$13, Assumptions!$D$13, Assumptions!$D$14))</f>
        <v>500</v>
      </c>
      <c r="CF4" s="53">
        <f>IF(CF10&lt;=Assumptions!$F$12, Assumptions!$D$12, IF(CF10&lt;=Assumptions!$F$13, Assumptions!$D$13, Assumptions!$D$14))</f>
        <v>500</v>
      </c>
      <c r="CG4" s="53">
        <f>IF(CG10&lt;=Assumptions!$F$12, Assumptions!$D$12, IF(CG10&lt;=Assumptions!$F$13, Assumptions!$D$13, Assumptions!$D$14))</f>
        <v>500</v>
      </c>
      <c r="CH4" s="53">
        <f>IF(CH10&lt;=Assumptions!$F$12, Assumptions!$D$12, IF(CH10&lt;=Assumptions!$F$13, Assumptions!$D$13, Assumptions!$D$14))</f>
        <v>500</v>
      </c>
      <c r="CI4" s="53">
        <f>IF(CI10&lt;=Assumptions!$F$12, Assumptions!$D$12, IF(CI10&lt;=Assumptions!$F$13, Assumptions!$D$13, Assumptions!$D$14))</f>
        <v>500</v>
      </c>
      <c r="CJ4" s="53">
        <f>IF(CJ10&lt;=Assumptions!$F$12, Assumptions!$D$12, IF(CJ10&lt;=Assumptions!$F$13, Assumptions!$D$13, Assumptions!$D$14))</f>
        <v>500</v>
      </c>
      <c r="CK4" s="53">
        <f>IF(CK10&lt;=Assumptions!$F$12, Assumptions!$D$12, IF(CK10&lt;=Assumptions!$F$13, Assumptions!$D$13, Assumptions!$D$14))</f>
        <v>500</v>
      </c>
      <c r="CL4" s="53">
        <f>IF(CL10&lt;=Assumptions!$F$12, Assumptions!$D$12, IF(CL10&lt;=Assumptions!$F$13, Assumptions!$D$13, Assumptions!$D$14))</f>
        <v>500</v>
      </c>
      <c r="CM4" s="53">
        <f>IF(CM10&lt;=Assumptions!$F$12, Assumptions!$D$12, IF(CM10&lt;=Assumptions!$F$13, Assumptions!$D$13, Assumptions!$D$14))</f>
        <v>500</v>
      </c>
      <c r="CN4" s="53">
        <f>IF(CN10&lt;=Assumptions!$F$12, Assumptions!$D$12, IF(CN10&lt;=Assumptions!$F$13, Assumptions!$D$13, Assumptions!$D$14))</f>
        <v>500</v>
      </c>
      <c r="CO4" s="53">
        <f>IF(CO10&lt;=Assumptions!$F$12, Assumptions!$D$12, IF(CO10&lt;=Assumptions!$F$13, Assumptions!$D$13, Assumptions!$D$14))</f>
        <v>500</v>
      </c>
      <c r="CP4" s="53">
        <f>IF(CP10&lt;=Assumptions!$F$12, Assumptions!$D$12, IF(CP10&lt;=Assumptions!$F$13, Assumptions!$D$13, Assumptions!$D$14))</f>
        <v>500</v>
      </c>
      <c r="CQ4" s="53">
        <f>IF(CQ10&lt;=Assumptions!$F$12, Assumptions!$D$12, IF(CQ10&lt;=Assumptions!$F$13, Assumptions!$D$13, Assumptions!$D$14))</f>
        <v>500</v>
      </c>
      <c r="CR4" s="53">
        <f>IF(CR10&lt;=Assumptions!$F$12, Assumptions!$D$12, IF(CR10&lt;=Assumptions!$F$13, Assumptions!$D$13, Assumptions!$D$14))</f>
        <v>500</v>
      </c>
      <c r="CS4" s="53">
        <f>IF(CS10&lt;=Assumptions!$F$12, Assumptions!$D$12, IF(CS10&lt;=Assumptions!$F$13, Assumptions!$D$13, Assumptions!$D$14))</f>
        <v>500</v>
      </c>
      <c r="CT4" s="53">
        <f>IF(CT10&lt;=Assumptions!$F$12, Assumptions!$D$12, IF(CT10&lt;=Assumptions!$F$13, Assumptions!$D$13, Assumptions!$D$14))</f>
        <v>500</v>
      </c>
      <c r="CU4" s="53">
        <f>IF(CU10&lt;=Assumptions!$F$12, Assumptions!$D$12, IF(CU10&lt;=Assumptions!$F$13, Assumptions!$D$13, Assumptions!$D$14))</f>
        <v>500</v>
      </c>
      <c r="CV4" s="53">
        <f>IF(CV10&lt;=Assumptions!$F$12, Assumptions!$D$12, IF(CV10&lt;=Assumptions!$F$13, Assumptions!$D$13, Assumptions!$D$14))</f>
        <v>500</v>
      </c>
      <c r="CW4" s="53">
        <f>IF(CW10&lt;=Assumptions!$F$12, Assumptions!$D$12, IF(CW10&lt;=Assumptions!$F$13, Assumptions!$D$13, Assumptions!$D$14))</f>
        <v>500</v>
      </c>
      <c r="CX4" s="53">
        <f>IF(CX10&lt;=Assumptions!$F$12, Assumptions!$D$12, IF(CX10&lt;=Assumptions!$F$13, Assumptions!$D$13, Assumptions!$D$14))</f>
        <v>500</v>
      </c>
      <c r="CY4" s="53">
        <f>IF(CY10&lt;=Assumptions!$F$12, Assumptions!$D$12, IF(CY10&lt;=Assumptions!$F$13, Assumptions!$D$13, Assumptions!$D$14))</f>
        <v>500</v>
      </c>
      <c r="CZ4" s="53">
        <f>IF(CZ10&lt;=Assumptions!$F$12, Assumptions!$D$12, IF(CZ10&lt;=Assumptions!$F$13, Assumptions!$D$13, Assumptions!$D$14))</f>
        <v>500</v>
      </c>
      <c r="DA4" s="53">
        <f>IF(DA10&lt;=Assumptions!$F$12, Assumptions!$D$12, IF(DA10&lt;=Assumptions!$F$13, Assumptions!$D$13, Assumptions!$D$14))</f>
        <v>500</v>
      </c>
      <c r="DB4" s="53">
        <f>IF(DB10&lt;=Assumptions!$F$12, Assumptions!$D$12, IF(DB10&lt;=Assumptions!$F$13, Assumptions!$D$13, Assumptions!$D$14))</f>
        <v>500</v>
      </c>
      <c r="DC4" s="53">
        <f>IF(DC10&lt;=Assumptions!$F$12, Assumptions!$D$12, IF(DC10&lt;=Assumptions!$F$13, Assumptions!$D$13, Assumptions!$D$14))</f>
        <v>500</v>
      </c>
      <c r="DD4" s="53">
        <f>IF(DD10&lt;=Assumptions!$F$12, Assumptions!$D$12, IF(DD10&lt;=Assumptions!$F$13, Assumptions!$D$13, Assumptions!$D$14))</f>
        <v>500</v>
      </c>
      <c r="DE4" s="53">
        <f>IF(DE10&lt;=Assumptions!$F$12, Assumptions!$D$12, IF(DE10&lt;=Assumptions!$F$13, Assumptions!$D$13, Assumptions!$D$14))</f>
        <v>500</v>
      </c>
      <c r="DF4" s="53">
        <f>IF(DF10&lt;=Assumptions!$F$12, Assumptions!$D$12, IF(DF10&lt;=Assumptions!$F$13, Assumptions!$D$13, Assumptions!$D$14))</f>
        <v>500</v>
      </c>
      <c r="DG4" s="53">
        <f>IF(DG10&lt;=Assumptions!$F$12, Assumptions!$D$12, IF(DG10&lt;=Assumptions!$F$13, Assumptions!$D$13, Assumptions!$D$14))</f>
        <v>500</v>
      </c>
      <c r="DH4" s="53">
        <f>IF(DH10&lt;=Assumptions!$F$12, Assumptions!$D$12, IF(DH10&lt;=Assumptions!$F$13, Assumptions!$D$13, Assumptions!$D$14))</f>
        <v>500</v>
      </c>
      <c r="DI4" s="53">
        <f>IF(DI10&lt;=Assumptions!$F$12, Assumptions!$D$12, IF(DI10&lt;=Assumptions!$F$13, Assumptions!$D$13, Assumptions!$D$14))</f>
        <v>500</v>
      </c>
      <c r="DJ4" s="53">
        <f>IF(DJ10&lt;=Assumptions!$F$12, Assumptions!$D$12, IF(DJ10&lt;=Assumptions!$F$13, Assumptions!$D$13, Assumptions!$D$14))</f>
        <v>500</v>
      </c>
      <c r="DK4" s="53">
        <f>IF(DK10&lt;=Assumptions!$F$12, Assumptions!$D$12, IF(DK10&lt;=Assumptions!$F$13, Assumptions!$D$13, Assumptions!$D$14))</f>
        <v>500</v>
      </c>
      <c r="DL4" s="53">
        <f>IF(DL10&lt;=Assumptions!$F$12, Assumptions!$D$12, IF(DL10&lt;=Assumptions!$F$13, Assumptions!$D$13, Assumptions!$D$14))</f>
        <v>500</v>
      </c>
      <c r="DM4" s="53">
        <f>IF(DM10&lt;=Assumptions!$F$12, Assumptions!$D$12, IF(DM10&lt;=Assumptions!$F$13, Assumptions!$D$13, Assumptions!$D$14))</f>
        <v>500</v>
      </c>
      <c r="DN4" s="53">
        <f>IF(DN10&lt;=Assumptions!$F$12, Assumptions!$D$12, IF(DN10&lt;=Assumptions!$F$13, Assumptions!$D$13, Assumptions!$D$14))</f>
        <v>500</v>
      </c>
      <c r="DO4" s="53">
        <f>IF(DO10&lt;=Assumptions!$F$12, Assumptions!$D$12, IF(DO10&lt;=Assumptions!$F$13, Assumptions!$D$13, Assumptions!$D$14))</f>
        <v>500</v>
      </c>
      <c r="DP4" s="53">
        <f>IF(DP10&lt;=Assumptions!$F$12, Assumptions!$D$12, IF(DP10&lt;=Assumptions!$F$13, Assumptions!$D$13, Assumptions!$D$14))</f>
        <v>500</v>
      </c>
      <c r="DQ4" s="53">
        <f>IF(DQ10&lt;=Assumptions!$F$12, Assumptions!$D$12, IF(DQ10&lt;=Assumptions!$F$13, Assumptions!$D$13, Assumptions!$D$14))</f>
        <v>500</v>
      </c>
      <c r="DR4" s="53">
        <f>IF(DR10&lt;=Assumptions!$F$12, Assumptions!$D$12, IF(DR10&lt;=Assumptions!$F$13, Assumptions!$D$13, Assumptions!$D$14))</f>
        <v>500</v>
      </c>
      <c r="DS4" s="53">
        <f>IF(DS10&lt;=Assumptions!$F$12, Assumptions!$D$12, IF(DS10&lt;=Assumptions!$F$13, Assumptions!$D$13, Assumptions!$D$14))</f>
        <v>500</v>
      </c>
      <c r="DT4" s="53">
        <f>IF(DT10&lt;=Assumptions!$F$12, Assumptions!$D$12, IF(DT10&lt;=Assumptions!$F$13, Assumptions!$D$13, Assumptions!$D$14))</f>
        <v>500</v>
      </c>
      <c r="DU4" s="53">
        <f>IF(DU10&lt;=Assumptions!$F$12, Assumptions!$D$12, IF(DU10&lt;=Assumptions!$F$13, Assumptions!$D$13, Assumptions!$D$14))</f>
        <v>500</v>
      </c>
      <c r="DV4" s="53">
        <f>IF(DV10&lt;=Assumptions!$F$12, Assumptions!$D$12, IF(DV10&lt;=Assumptions!$F$13, Assumptions!$D$13, Assumptions!$D$14))</f>
        <v>500</v>
      </c>
      <c r="DW4" s="53">
        <f>IF(DW10&lt;=Assumptions!$F$12, Assumptions!$D$12, IF(DW10&lt;=Assumptions!$F$13, Assumptions!$D$13, Assumptions!$D$14))</f>
        <v>500</v>
      </c>
    </row>
    <row r="5" spans="2:127" x14ac:dyDescent="0.3">
      <c r="B5" s="53" t="s">
        <v>180</v>
      </c>
      <c r="C5" s="118" t="str">
        <f>IF(C10&lt;=Assumptions!$C$8,"No","Yes")</f>
        <v>No</v>
      </c>
      <c r="D5" s="118" t="str">
        <f>IF(D10&lt;=Assumptions!$C$8,"No","Yes")</f>
        <v>No</v>
      </c>
      <c r="E5" s="118" t="str">
        <f>IF(E10&lt;=Assumptions!$C$8,"No","Yes")</f>
        <v>No</v>
      </c>
      <c r="F5" s="118" t="str">
        <f>IF(F10&lt;=Assumptions!$C$8,"No","Yes")</f>
        <v>Yes</v>
      </c>
      <c r="G5" s="118" t="str">
        <f>IF(G10&lt;=Assumptions!$C$8,"No","Yes")</f>
        <v>Yes</v>
      </c>
      <c r="H5" s="118" t="str">
        <f>IF(H10&lt;=Assumptions!$C$8,"No","Yes")</f>
        <v>Yes</v>
      </c>
      <c r="I5" s="118" t="str">
        <f>IF(I10&lt;=Assumptions!$C$8,"No","Yes")</f>
        <v>Yes</v>
      </c>
      <c r="J5" s="118" t="str">
        <f>IF(J10&lt;=Assumptions!$C$8,"No","Yes")</f>
        <v>Yes</v>
      </c>
      <c r="K5" s="118" t="str">
        <f>IF(K10&lt;=Assumptions!$C$8,"No","Yes")</f>
        <v>Yes</v>
      </c>
      <c r="L5" s="118" t="str">
        <f>IF(L10&lt;=Assumptions!$C$8,"No","Yes")</f>
        <v>Yes</v>
      </c>
      <c r="M5" s="118" t="str">
        <f>IF(M10&lt;=Assumptions!$C$8,"No","Yes")</f>
        <v>Yes</v>
      </c>
      <c r="N5" s="118" t="str">
        <f>IF(N10&lt;=Assumptions!$C$8,"No","Yes")</f>
        <v>Yes</v>
      </c>
      <c r="O5" s="118" t="str">
        <f>IF(O10&lt;=Assumptions!$C$8,"No","Yes")</f>
        <v>Yes</v>
      </c>
      <c r="P5" s="118" t="str">
        <f>IF(P10&lt;=Assumptions!$C$8,"No","Yes")</f>
        <v>Yes</v>
      </c>
      <c r="Q5" s="118" t="str">
        <f>IF(Q10&lt;=Assumptions!$C$8,"No","Yes")</f>
        <v>Yes</v>
      </c>
      <c r="R5" s="118" t="str">
        <f>IF(R10&lt;=Assumptions!$C$8,"No","Yes")</f>
        <v>Yes</v>
      </c>
      <c r="S5" s="118" t="str">
        <f>IF(S10&lt;=Assumptions!$C$8,"No","Yes")</f>
        <v>Yes</v>
      </c>
      <c r="T5" s="118" t="str">
        <f>IF(T10&lt;=Assumptions!$C$8,"No","Yes")</f>
        <v>Yes</v>
      </c>
      <c r="U5" s="118" t="str">
        <f>IF(U10&lt;=Assumptions!$C$8,"No","Yes")</f>
        <v>Yes</v>
      </c>
      <c r="V5" s="118" t="str">
        <f>IF(V10&lt;=Assumptions!$C$8,"No","Yes")</f>
        <v>Yes</v>
      </c>
      <c r="W5" s="118" t="str">
        <f>IF(W10&lt;=Assumptions!$C$8,"No","Yes")</f>
        <v>Yes</v>
      </c>
      <c r="X5" s="118" t="str">
        <f>IF(X10&lt;=Assumptions!$C$8,"No","Yes")</f>
        <v>Yes</v>
      </c>
      <c r="Y5" s="118" t="str">
        <f>IF(Y10&lt;=Assumptions!$C$8,"No","Yes")</f>
        <v>Yes</v>
      </c>
      <c r="Z5" s="118" t="str">
        <f>IF(Z10&lt;=Assumptions!$C$8,"No","Yes")</f>
        <v>Yes</v>
      </c>
      <c r="AA5" s="118" t="str">
        <f>IF(AA10&lt;=Assumptions!$C$8,"No","Yes")</f>
        <v>Yes</v>
      </c>
      <c r="AB5" s="118" t="str">
        <f>IF(AB10&lt;=Assumptions!$C$8,"No","Yes")</f>
        <v>Yes</v>
      </c>
      <c r="AC5" s="118" t="str">
        <f>IF(AC10&lt;=Assumptions!$C$8,"No","Yes")</f>
        <v>Yes</v>
      </c>
      <c r="AD5" s="118" t="str">
        <f>IF(AD10&lt;=Assumptions!$C$8,"No","Yes")</f>
        <v>Yes</v>
      </c>
      <c r="AE5" s="118" t="str">
        <f>IF(AE10&lt;=Assumptions!$C$8,"No","Yes")</f>
        <v>Yes</v>
      </c>
      <c r="AF5" s="118" t="str">
        <f>IF(AF10&lt;=Assumptions!$C$8,"No","Yes")</f>
        <v>Yes</v>
      </c>
      <c r="AG5" s="118" t="str">
        <f>IF(AG10&lt;=Assumptions!$C$8,"No","Yes")</f>
        <v>Yes</v>
      </c>
      <c r="AH5" s="118" t="str">
        <f>IF(AH10&lt;=Assumptions!$C$8,"No","Yes")</f>
        <v>Yes</v>
      </c>
      <c r="AI5" s="118" t="str">
        <f>IF(AI10&lt;=Assumptions!$C$8,"No","Yes")</f>
        <v>Yes</v>
      </c>
      <c r="AJ5" s="118" t="str">
        <f>IF(AJ10&lt;=Assumptions!$C$8,"No","Yes")</f>
        <v>Yes</v>
      </c>
      <c r="AK5" s="118" t="str">
        <f>IF(AK10&lt;=Assumptions!$C$8,"No","Yes")</f>
        <v>Yes</v>
      </c>
      <c r="AL5" s="118" t="str">
        <f>IF(AL10&lt;=Assumptions!$C$8,"No","Yes")</f>
        <v>Yes</v>
      </c>
      <c r="AM5" s="118" t="str">
        <f>IF(AM10&lt;=Assumptions!$C$8,"No","Yes")</f>
        <v>Yes</v>
      </c>
      <c r="AN5" s="118" t="str">
        <f>IF(AN10&lt;=Assumptions!$C$8,"No","Yes")</f>
        <v>Yes</v>
      </c>
      <c r="AO5" s="118" t="str">
        <f>IF(AO10&lt;=Assumptions!$C$8,"No","Yes")</f>
        <v>Yes</v>
      </c>
      <c r="AP5" s="118" t="str">
        <f>IF(AP10&lt;=Assumptions!$C$8,"No","Yes")</f>
        <v>Yes</v>
      </c>
      <c r="AQ5" s="118" t="str">
        <f>IF(AQ10&lt;=Assumptions!$C$8,"No","Yes")</f>
        <v>Yes</v>
      </c>
      <c r="AR5" s="118" t="str">
        <f>IF(AR10&lt;=Assumptions!$C$8,"No","Yes")</f>
        <v>Yes</v>
      </c>
      <c r="AS5" s="118" t="str">
        <f>IF(AS10&lt;=Assumptions!$C$8,"No","Yes")</f>
        <v>Yes</v>
      </c>
      <c r="AT5" s="118" t="str">
        <f>IF(AT10&lt;=Assumptions!$C$8,"No","Yes")</f>
        <v>Yes</v>
      </c>
      <c r="AU5" s="118" t="str">
        <f>IF(AU10&lt;=Assumptions!$C$8,"No","Yes")</f>
        <v>Yes</v>
      </c>
      <c r="AV5" s="118" t="str">
        <f>IF(AV10&lt;=Assumptions!$C$8,"No","Yes")</f>
        <v>Yes</v>
      </c>
      <c r="AW5" s="118" t="str">
        <f>IF(AW10&lt;=Assumptions!$C$8,"No","Yes")</f>
        <v>Yes</v>
      </c>
      <c r="AX5" s="118" t="str">
        <f>IF(AX10&lt;=Assumptions!$C$8,"No","Yes")</f>
        <v>Yes</v>
      </c>
      <c r="AY5" s="118" t="str">
        <f>IF(AY10&lt;=Assumptions!$C$8,"No","Yes")</f>
        <v>Yes</v>
      </c>
      <c r="AZ5" s="118" t="str">
        <f>IF(AZ10&lt;=Assumptions!$C$8,"No","Yes")</f>
        <v>Yes</v>
      </c>
      <c r="BA5" s="118" t="str">
        <f>IF(BA10&lt;=Assumptions!$C$8,"No","Yes")</f>
        <v>Yes</v>
      </c>
      <c r="BB5" s="118" t="str">
        <f>IF(BB10&lt;=Assumptions!$C$8,"No","Yes")</f>
        <v>Yes</v>
      </c>
      <c r="BC5" s="118" t="str">
        <f>IF(BC10&lt;=Assumptions!$C$8,"No","Yes")</f>
        <v>Yes</v>
      </c>
      <c r="BD5" s="118" t="str">
        <f>IF(BD10&lt;=Assumptions!$C$8,"No","Yes")</f>
        <v>Yes</v>
      </c>
      <c r="BE5" s="118" t="str">
        <f>IF(BE10&lt;=Assumptions!$C$8,"No","Yes")</f>
        <v>Yes</v>
      </c>
      <c r="BF5" s="118" t="str">
        <f>IF(BF10&lt;=Assumptions!$C$8,"No","Yes")</f>
        <v>Yes</v>
      </c>
      <c r="BG5" s="118" t="str">
        <f>IF(BG10&lt;=Assumptions!$C$8,"No","Yes")</f>
        <v>Yes</v>
      </c>
      <c r="BH5" s="118" t="str">
        <f>IF(BH10&lt;=Assumptions!$C$8,"No","Yes")</f>
        <v>Yes</v>
      </c>
      <c r="BI5" s="118" t="str">
        <f>IF(BI10&lt;=Assumptions!$C$8,"No","Yes")</f>
        <v>Yes</v>
      </c>
      <c r="BJ5" s="118" t="str">
        <f>IF(BJ10&lt;=Assumptions!$C$8,"No","Yes")</f>
        <v>Yes</v>
      </c>
      <c r="BK5" s="118" t="str">
        <f>IF(BK10&lt;=Assumptions!$C$8,"No","Yes")</f>
        <v>Yes</v>
      </c>
      <c r="BL5" s="118" t="str">
        <f>IF(BL10&lt;=Assumptions!$C$8,"No","Yes")</f>
        <v>Yes</v>
      </c>
      <c r="BM5" s="118" t="str">
        <f>IF(BM10&lt;=Assumptions!$C$8,"No","Yes")</f>
        <v>Yes</v>
      </c>
      <c r="BN5" s="118" t="str">
        <f>IF(BN10&lt;=Assumptions!$C$8,"No","Yes")</f>
        <v>Yes</v>
      </c>
      <c r="BO5" s="118" t="str">
        <f>IF(BO10&lt;=Assumptions!$C$8,"No","Yes")</f>
        <v>Yes</v>
      </c>
      <c r="BP5" s="118" t="str">
        <f>IF(BP10&lt;=Assumptions!$C$8,"No","Yes")</f>
        <v>Yes</v>
      </c>
      <c r="BQ5" s="118" t="str">
        <f>IF(BQ10&lt;=Assumptions!$C$8,"No","Yes")</f>
        <v>Yes</v>
      </c>
      <c r="BR5" s="118" t="str">
        <f>IF(BR10&lt;=Assumptions!$C$8,"No","Yes")</f>
        <v>Yes</v>
      </c>
      <c r="BS5" s="118" t="str">
        <f>IF(BS10&lt;=Assumptions!$C$8,"No","Yes")</f>
        <v>Yes</v>
      </c>
      <c r="BT5" s="118" t="str">
        <f>IF(BT10&lt;=Assumptions!$C$8,"No","Yes")</f>
        <v>Yes</v>
      </c>
      <c r="BU5" s="118" t="str">
        <f>IF(BU10&lt;=Assumptions!$C$8,"No","Yes")</f>
        <v>Yes</v>
      </c>
      <c r="BV5" s="118" t="str">
        <f>IF(BV10&lt;=Assumptions!$C$8,"No","Yes")</f>
        <v>Yes</v>
      </c>
      <c r="BW5" s="118" t="str">
        <f>IF(BW10&lt;=Assumptions!$C$8,"No","Yes")</f>
        <v>Yes</v>
      </c>
      <c r="BX5" s="118" t="str">
        <f>IF(BX10&lt;=Assumptions!$C$8,"No","Yes")</f>
        <v>Yes</v>
      </c>
      <c r="BY5" s="118" t="str">
        <f>IF(BY10&lt;=Assumptions!$C$8,"No","Yes")</f>
        <v>Yes</v>
      </c>
      <c r="BZ5" s="118" t="str">
        <f>IF(BZ10&lt;=Assumptions!$C$8,"No","Yes")</f>
        <v>Yes</v>
      </c>
      <c r="CA5" s="118" t="str">
        <f>IF(CA10&lt;=Assumptions!$C$8,"No","Yes")</f>
        <v>Yes</v>
      </c>
      <c r="CB5" s="118" t="str">
        <f>IF(CB10&lt;=Assumptions!$C$8,"No","Yes")</f>
        <v>Yes</v>
      </c>
      <c r="CC5" s="118" t="str">
        <f>IF(CC10&lt;=Assumptions!$C$8,"No","Yes")</f>
        <v>Yes</v>
      </c>
      <c r="CD5" s="118" t="str">
        <f>IF(CD10&lt;=Assumptions!$C$8,"No","Yes")</f>
        <v>Yes</v>
      </c>
      <c r="CE5" s="118" t="str">
        <f>IF(CE10&lt;=Assumptions!$C$8,"No","Yes")</f>
        <v>Yes</v>
      </c>
      <c r="CF5" s="118" t="str">
        <f>IF(CF10&lt;=Assumptions!$C$8,"No","Yes")</f>
        <v>Yes</v>
      </c>
      <c r="CG5" s="118" t="str">
        <f>IF(CG10&lt;=Assumptions!$C$8,"No","Yes")</f>
        <v>Yes</v>
      </c>
      <c r="CH5" s="118" t="str">
        <f>IF(CH10&lt;=Assumptions!$C$8,"No","Yes")</f>
        <v>Yes</v>
      </c>
      <c r="CI5" s="118" t="str">
        <f>IF(CI10&lt;=Assumptions!$C$8,"No","Yes")</f>
        <v>Yes</v>
      </c>
      <c r="CJ5" s="118" t="str">
        <f>IF(CJ10&lt;=Assumptions!$C$8,"No","Yes")</f>
        <v>Yes</v>
      </c>
      <c r="CK5" s="118" t="str">
        <f>IF(CK10&lt;=Assumptions!$C$8,"No","Yes")</f>
        <v>Yes</v>
      </c>
      <c r="CL5" s="118" t="str">
        <f>IF(CL10&lt;=Assumptions!$C$8,"No","Yes")</f>
        <v>Yes</v>
      </c>
      <c r="CM5" s="118" t="str">
        <f>IF(CM10&lt;=Assumptions!$C$8,"No","Yes")</f>
        <v>Yes</v>
      </c>
      <c r="CN5" s="118" t="str">
        <f>IF(CN10&lt;=Assumptions!$C$8,"No","Yes")</f>
        <v>Yes</v>
      </c>
      <c r="CO5" s="118" t="str">
        <f>IF(CO10&lt;=Assumptions!$C$8,"No","Yes")</f>
        <v>Yes</v>
      </c>
      <c r="CP5" s="118" t="str">
        <f>IF(CP10&lt;=Assumptions!$C$8,"No","Yes")</f>
        <v>Yes</v>
      </c>
      <c r="CQ5" s="118" t="str">
        <f>IF(CQ10&lt;=Assumptions!$C$8,"No","Yes")</f>
        <v>Yes</v>
      </c>
      <c r="CR5" s="118" t="str">
        <f>IF(CR10&lt;=Assumptions!$C$8,"No","Yes")</f>
        <v>Yes</v>
      </c>
      <c r="CS5" s="118" t="str">
        <f>IF(CS10&lt;=Assumptions!$C$8,"No","Yes")</f>
        <v>Yes</v>
      </c>
      <c r="CT5" s="118" t="str">
        <f>IF(CT10&lt;=Assumptions!$C$8,"No","Yes")</f>
        <v>Yes</v>
      </c>
      <c r="CU5" s="118" t="str">
        <f>IF(CU10&lt;=Assumptions!$C$8,"No","Yes")</f>
        <v>Yes</v>
      </c>
      <c r="CV5" s="118" t="str">
        <f>IF(CV10&lt;=Assumptions!$C$8,"No","Yes")</f>
        <v>Yes</v>
      </c>
      <c r="CW5" s="118" t="str">
        <f>IF(CW10&lt;=Assumptions!$C$8,"No","Yes")</f>
        <v>Yes</v>
      </c>
      <c r="CX5" s="118" t="str">
        <f>IF(CX10&lt;=Assumptions!$C$8,"No","Yes")</f>
        <v>Yes</v>
      </c>
      <c r="CY5" s="118" t="str">
        <f>IF(CY10&lt;=Assumptions!$C$8,"No","Yes")</f>
        <v>Yes</v>
      </c>
      <c r="CZ5" s="118" t="str">
        <f>IF(CZ10&lt;=Assumptions!$C$8,"No","Yes")</f>
        <v>Yes</v>
      </c>
      <c r="DA5" s="118" t="str">
        <f>IF(DA10&lt;=Assumptions!$C$8,"No","Yes")</f>
        <v>Yes</v>
      </c>
      <c r="DB5" s="118" t="str">
        <f>IF(DB10&lt;=Assumptions!$C$8,"No","Yes")</f>
        <v>Yes</v>
      </c>
      <c r="DC5" s="118" t="str">
        <f>IF(DC10&lt;=Assumptions!$C$8,"No","Yes")</f>
        <v>Yes</v>
      </c>
      <c r="DD5" s="118" t="str">
        <f>IF(DD10&lt;=Assumptions!$C$8,"No","Yes")</f>
        <v>Yes</v>
      </c>
      <c r="DE5" s="118" t="str">
        <f>IF(DE10&lt;=Assumptions!$C$8,"No","Yes")</f>
        <v>Yes</v>
      </c>
      <c r="DF5" s="118" t="str">
        <f>IF(DF10&lt;=Assumptions!$C$8,"No","Yes")</f>
        <v>Yes</v>
      </c>
      <c r="DG5" s="118" t="str">
        <f>IF(DG10&lt;=Assumptions!$C$8,"No","Yes")</f>
        <v>Yes</v>
      </c>
      <c r="DH5" s="118" t="str">
        <f>IF(DH10&lt;=Assumptions!$C$8,"No","Yes")</f>
        <v>Yes</v>
      </c>
      <c r="DI5" s="118" t="str">
        <f>IF(DI10&lt;=Assumptions!$C$8,"No","Yes")</f>
        <v>Yes</v>
      </c>
      <c r="DJ5" s="118" t="str">
        <f>IF(DJ10&lt;=Assumptions!$C$8,"No","Yes")</f>
        <v>Yes</v>
      </c>
      <c r="DK5" s="118" t="str">
        <f>IF(DK10&lt;=Assumptions!$C$8,"No","Yes")</f>
        <v>Yes</v>
      </c>
      <c r="DL5" s="118" t="str">
        <f>IF(DL10&lt;=Assumptions!$C$8,"No","Yes")</f>
        <v>Yes</v>
      </c>
      <c r="DM5" s="118" t="str">
        <f>IF(DM10&lt;=Assumptions!$C$8,"No","Yes")</f>
        <v>Yes</v>
      </c>
      <c r="DN5" s="118" t="str">
        <f>IF(DN10&lt;=Assumptions!$C$8,"No","Yes")</f>
        <v>Yes</v>
      </c>
      <c r="DO5" s="118" t="str">
        <f>IF(DO10&lt;=Assumptions!$C$8,"No","Yes")</f>
        <v>Yes</v>
      </c>
      <c r="DP5" s="118" t="str">
        <f>IF(DP10&lt;=Assumptions!$C$8,"No","Yes")</f>
        <v>Yes</v>
      </c>
      <c r="DQ5" s="118" t="str">
        <f>IF(DQ10&lt;=Assumptions!$C$8,"No","Yes")</f>
        <v>Yes</v>
      </c>
      <c r="DR5" s="118" t="str">
        <f>IF(DR10&lt;=Assumptions!$C$8,"No","Yes")</f>
        <v>Yes</v>
      </c>
      <c r="DS5" s="118" t="str">
        <f>IF(DS10&lt;=Assumptions!$C$8,"No","Yes")</f>
        <v>Yes</v>
      </c>
      <c r="DT5" s="118" t="str">
        <f>IF(DT10&lt;=Assumptions!$C$8,"No","Yes")</f>
        <v>Yes</v>
      </c>
      <c r="DU5" s="118" t="str">
        <f>IF(DU10&lt;=Assumptions!$C$8,"No","Yes")</f>
        <v>Yes</v>
      </c>
      <c r="DV5" s="118" t="str">
        <f>IF(DV10&lt;=Assumptions!$C$8,"No","Yes")</f>
        <v>Yes</v>
      </c>
      <c r="DW5" s="118" t="str">
        <f>IF(DW10&lt;=Assumptions!$C$8,"No","Yes")</f>
        <v>Yes</v>
      </c>
    </row>
    <row r="6" spans="2:127" x14ac:dyDescent="0.3">
      <c r="B6" s="53" t="s">
        <v>218</v>
      </c>
      <c r="C6" s="135">
        <f>IF(C5="No",0,C4*0.5*Assumptions!$C$7/12*Assumptions!$F$6)</f>
        <v>0</v>
      </c>
      <c r="D6" s="135">
        <f>IF(D5="No",0,D4*0.5*Assumptions!$C$7/12*Assumptions!$F$6)</f>
        <v>0</v>
      </c>
      <c r="E6" s="135">
        <f>IF(E5="No",0,E4*0.5*Assumptions!$C$7/12*Assumptions!$F$6)</f>
        <v>0</v>
      </c>
      <c r="F6" s="135">
        <f>IF(F5="No",0,F4*0.5*Assumptions!$C$7/12*Assumptions!$F$6)</f>
        <v>118895.83333333333</v>
      </c>
      <c r="G6" s="135">
        <f>IF(G5="No",0,G4*0.5*Assumptions!$C$7/12*Assumptions!$F$6)</f>
        <v>743098.95833333326</v>
      </c>
      <c r="H6" s="135">
        <f>IF(H5="No",0,H4*0.5*Assumptions!$C$7/12*Assumptions!$F$6)</f>
        <v>743098.95833333326</v>
      </c>
      <c r="I6" s="135">
        <f>IF(I5="No",0,I4*0.5*Assumptions!$C$7/12*Assumptions!$F$6)</f>
        <v>743098.95833333326</v>
      </c>
      <c r="J6" s="135">
        <f>IF(J5="No",0,J4*0.5*Assumptions!$C$7/12*Assumptions!$F$6)</f>
        <v>743098.95833333326</v>
      </c>
      <c r="K6" s="135">
        <f>IF(K5="No",0,K4*0.5*Assumptions!$C$7/12*Assumptions!$F$6)</f>
        <v>743098.95833333326</v>
      </c>
      <c r="L6" s="135">
        <f>IF(L5="No",0,L4*0.5*Assumptions!$C$7/12*Assumptions!$F$6)</f>
        <v>1486197.9166666665</v>
      </c>
      <c r="M6" s="135">
        <f>IF(M5="No",0,M4*0.5*Assumptions!$C$7/12*Assumptions!$F$6)</f>
        <v>1486197.9166666665</v>
      </c>
      <c r="N6" s="135">
        <f>IF(N5="No",0,N4*0.5*Assumptions!$C$7/12*Assumptions!$F$6)</f>
        <v>1486197.9166666665</v>
      </c>
      <c r="O6" s="135">
        <f>IF(O5="No",0,O4*0.5*Assumptions!$C$7/12*Assumptions!$F$6)</f>
        <v>1486197.9166666665</v>
      </c>
      <c r="P6" s="135">
        <f>IF(P5="No",0,P4*0.5*Assumptions!$C$7/12*Assumptions!$F$6)</f>
        <v>1486197.9166666665</v>
      </c>
      <c r="Q6" s="135">
        <f>IF(Q5="No",0,Q4*0.5*Assumptions!$C$7/12*Assumptions!$F$6)</f>
        <v>1486197.9166666665</v>
      </c>
      <c r="R6" s="135">
        <f>IF(R5="No",0,R4*0.5*Assumptions!$C$7/12*Assumptions!$F$6)</f>
        <v>1486197.9166666665</v>
      </c>
      <c r="S6" s="135">
        <f>IF(S5="No",0,S4*0.5*Assumptions!$C$7/12*Assumptions!$F$6)</f>
        <v>1486197.9166666665</v>
      </c>
      <c r="T6" s="135">
        <f>IF(T5="No",0,T4*0.5*Assumptions!$C$7/12*Assumptions!$F$6)</f>
        <v>1486197.9166666665</v>
      </c>
      <c r="U6" s="135">
        <f>IF(U5="No",0,U4*0.5*Assumptions!$C$7/12*Assumptions!$F$6)</f>
        <v>1486197.9166666665</v>
      </c>
      <c r="V6" s="135">
        <f>IF(V5="No",0,V4*0.5*Assumptions!$C$7/12*Assumptions!$F$6)</f>
        <v>1486197.9166666665</v>
      </c>
      <c r="W6" s="135">
        <f>IF(W5="No",0,W4*0.5*Assumptions!$C$7/12*Assumptions!$F$6)</f>
        <v>1486197.9166666665</v>
      </c>
      <c r="X6" s="135">
        <f>IF(X5="No",0,X4*0.5*Assumptions!$C$7/12*Assumptions!$F$6)</f>
        <v>1486197.9166666665</v>
      </c>
      <c r="Y6" s="135">
        <f>IF(Y5="No",0,Y4*0.5*Assumptions!$C$7/12*Assumptions!$F$6)</f>
        <v>1486197.9166666665</v>
      </c>
      <c r="Z6" s="135">
        <f>IF(Z5="No",0,Z4*0.5*Assumptions!$C$7/12*Assumptions!$F$6)</f>
        <v>1486197.9166666665</v>
      </c>
      <c r="AA6" s="135">
        <f>IF(AA5="No",0,AA4*0.5*Assumptions!$C$7/12*Assumptions!$F$6)</f>
        <v>1486197.9166666665</v>
      </c>
      <c r="AB6" s="135">
        <f>IF(AB5="No",0,AB4*0.5*Assumptions!$C$7/12*Assumptions!$F$6)</f>
        <v>1486197.9166666665</v>
      </c>
      <c r="AC6" s="135">
        <f>IF(AC5="No",0,AC4*0.5*Assumptions!$C$7/12*Assumptions!$F$6)</f>
        <v>1486197.9166666665</v>
      </c>
      <c r="AD6" s="135">
        <f>IF(AD5="No",0,AD4*0.5*Assumptions!$C$7/12*Assumptions!$F$6)</f>
        <v>1486197.9166666665</v>
      </c>
      <c r="AE6" s="135">
        <f>IF(AE5="No",0,AE4*0.5*Assumptions!$C$7/12*Assumptions!$F$6)</f>
        <v>1486197.9166666665</v>
      </c>
      <c r="AF6" s="135">
        <f>IF(AF5="No",0,AF4*0.5*Assumptions!$C$7/12*Assumptions!$F$6)</f>
        <v>1486197.9166666665</v>
      </c>
      <c r="AG6" s="135">
        <f>IF(AG5="No",0,AG4*0.5*Assumptions!$C$7/12*Assumptions!$F$6)</f>
        <v>1486197.9166666665</v>
      </c>
      <c r="AH6" s="135">
        <f>IF(AH5="No",0,AH4*0.5*Assumptions!$C$7/12*Assumptions!$F$6)</f>
        <v>1486197.9166666665</v>
      </c>
      <c r="AI6" s="135">
        <f>IF(AI5="No",0,AI4*0.5*Assumptions!$C$7/12*Assumptions!$F$6)</f>
        <v>1486197.9166666665</v>
      </c>
      <c r="AJ6" s="135">
        <f>IF(AJ5="No",0,AJ4*0.5*Assumptions!$C$7/12*Assumptions!$F$6)</f>
        <v>1486197.9166666665</v>
      </c>
      <c r="AK6" s="135">
        <f>IF(AK5="No",0,AK4*0.5*Assumptions!$C$7/12*Assumptions!$F$6)</f>
        <v>1486197.9166666665</v>
      </c>
      <c r="AL6" s="135">
        <f>IF(AL5="No",0,AL4*0.5*Assumptions!$C$7/12*Assumptions!$F$6)</f>
        <v>1486197.9166666665</v>
      </c>
      <c r="AM6" s="135">
        <f>IF(AM5="No",0,AM4*0.5*Assumptions!$C$7/12*Assumptions!$F$6)</f>
        <v>1486197.9166666665</v>
      </c>
      <c r="AN6" s="135">
        <f>IF(AN5="No",0,AN4*0.5*Assumptions!$C$7/12*Assumptions!$F$6)</f>
        <v>1486197.9166666665</v>
      </c>
      <c r="AO6" s="135">
        <f>IF(AO5="No",0,AO4*0.5*Assumptions!$C$7/12*Assumptions!$F$6)</f>
        <v>1486197.9166666665</v>
      </c>
      <c r="AP6" s="135">
        <f>IF(AP5="No",0,AP4*0.5*Assumptions!$C$7/12*Assumptions!$F$6)</f>
        <v>1486197.9166666665</v>
      </c>
      <c r="AQ6" s="135">
        <f>IF(AQ5="No",0,AQ4*0.5*Assumptions!$C$7/12*Assumptions!$F$6)</f>
        <v>1486197.9166666665</v>
      </c>
      <c r="AR6" s="135">
        <f>IF(AR5="No",0,AR4*0.5*Assumptions!$C$7/12*Assumptions!$F$6)</f>
        <v>1486197.9166666665</v>
      </c>
      <c r="AS6" s="135">
        <f>IF(AS5="No",0,AS4*0.5*Assumptions!$C$7/12*Assumptions!$F$6)</f>
        <v>1486197.9166666665</v>
      </c>
      <c r="AT6" s="135">
        <f>IF(AT5="No",0,AT4*0.5*Assumptions!$C$7/12*Assumptions!$F$6)</f>
        <v>1486197.9166666665</v>
      </c>
      <c r="AU6" s="135">
        <f>IF(AU5="No",0,AU4*0.5*Assumptions!$C$7/12*Assumptions!$F$6)</f>
        <v>1486197.9166666665</v>
      </c>
      <c r="AV6" s="135">
        <f>IF(AV5="No",0,AV4*0.5*Assumptions!$C$7/12*Assumptions!$F$6)</f>
        <v>1486197.9166666665</v>
      </c>
      <c r="AW6" s="135">
        <f>IF(AW5="No",0,AW4*0.5*Assumptions!$C$7/12*Assumptions!$F$6)</f>
        <v>1486197.9166666665</v>
      </c>
      <c r="AX6" s="135">
        <f>IF(AX5="No",0,AX4*0.5*Assumptions!$C$7/12*Assumptions!$F$6)</f>
        <v>1486197.9166666665</v>
      </c>
      <c r="AY6" s="135">
        <f>IF(AY5="No",0,AY4*0.5*Assumptions!$C$7/12*Assumptions!$F$6)</f>
        <v>1486197.9166666665</v>
      </c>
      <c r="AZ6" s="135">
        <f>IF(AZ5="No",0,AZ4*0.5*Assumptions!$C$7/12*Assumptions!$F$6)</f>
        <v>1486197.9166666665</v>
      </c>
      <c r="BA6" s="135">
        <f>IF(BA5="No",0,BA4*0.5*Assumptions!$C$7/12*Assumptions!$F$6)</f>
        <v>1486197.9166666665</v>
      </c>
      <c r="BB6" s="135">
        <f>IF(BB5="No",0,BB4*0.5*Assumptions!$C$7/12*Assumptions!$F$6)</f>
        <v>1486197.9166666665</v>
      </c>
      <c r="BC6" s="135">
        <f>IF(BC5="No",0,BC4*0.5*Assumptions!$C$7/12*Assumptions!$F$6)</f>
        <v>1486197.9166666665</v>
      </c>
      <c r="BD6" s="135">
        <f>IF(BD5="No",0,BD4*0.5*Assumptions!$C$7/12*Assumptions!$F$6)</f>
        <v>1486197.9166666665</v>
      </c>
      <c r="BE6" s="135">
        <f>IF(BE5="No",0,BE4*0.5*Assumptions!$C$7/12*Assumptions!$F$6)</f>
        <v>1486197.9166666665</v>
      </c>
      <c r="BF6" s="135">
        <f>IF(BF5="No",0,BF4*0.5*Assumptions!$C$7/12*Assumptions!$F$6)</f>
        <v>1486197.9166666665</v>
      </c>
      <c r="BG6" s="135">
        <f>IF(BG5="No",0,BG4*0.5*Assumptions!$C$7/12*Assumptions!$F$6)</f>
        <v>1486197.9166666665</v>
      </c>
      <c r="BH6" s="135">
        <f>IF(BH5="No",0,BH4*0.5*Assumptions!$C$7/12*Assumptions!$F$6)</f>
        <v>1486197.9166666665</v>
      </c>
      <c r="BI6" s="135">
        <f>IF(BI5="No",0,BI4*0.5*Assumptions!$C$7/12*Assumptions!$F$6)</f>
        <v>1486197.9166666665</v>
      </c>
      <c r="BJ6" s="135">
        <f>IF(BJ5="No",0,BJ4*0.5*Assumptions!$C$7/12*Assumptions!$F$6)</f>
        <v>1486197.9166666665</v>
      </c>
      <c r="BK6" s="135">
        <f>IF(BK5="No",0,BK4*0.5*Assumptions!$C$7/12*Assumptions!$F$6)</f>
        <v>1486197.9166666665</v>
      </c>
      <c r="BL6" s="135">
        <f>IF(BL5="No",0,BL4*0.5*Assumptions!$C$7/12*Assumptions!$F$6)</f>
        <v>1486197.9166666665</v>
      </c>
      <c r="BM6" s="135">
        <f>IF(BM5="No",0,BM4*0.5*Assumptions!$C$7/12*Assumptions!$F$6)</f>
        <v>1486197.9166666665</v>
      </c>
      <c r="BN6" s="135">
        <f>IF(BN5="No",0,BN4*0.5*Assumptions!$C$7/12*Assumptions!$F$6)</f>
        <v>1486197.9166666665</v>
      </c>
      <c r="BO6" s="135">
        <f>IF(BO5="No",0,BO4*0.5*Assumptions!$C$7/12*Assumptions!$F$6)</f>
        <v>1486197.9166666665</v>
      </c>
      <c r="BP6" s="135">
        <f>IF(BP5="No",0,BP4*0.5*Assumptions!$C$7/12*Assumptions!$F$6)</f>
        <v>1486197.9166666665</v>
      </c>
      <c r="BQ6" s="135">
        <f>IF(BQ5="No",0,BQ4*0.5*Assumptions!$C$7/12*Assumptions!$F$6)</f>
        <v>1486197.9166666665</v>
      </c>
      <c r="BR6" s="135">
        <f>IF(BR5="No",0,BR4*0.5*Assumptions!$C$7/12*Assumptions!$F$6)</f>
        <v>1486197.9166666665</v>
      </c>
      <c r="BS6" s="135">
        <f>IF(BS5="No",0,BS4*0.5*Assumptions!$C$7/12*Assumptions!$F$6)</f>
        <v>1486197.9166666665</v>
      </c>
      <c r="BT6" s="135">
        <f>IF(BT5="No",0,BT4*0.5*Assumptions!$C$7/12*Assumptions!$F$6)</f>
        <v>1486197.9166666665</v>
      </c>
      <c r="BU6" s="135">
        <f>IF(BU5="No",0,BU4*0.5*Assumptions!$C$7/12*Assumptions!$F$6)</f>
        <v>1486197.9166666665</v>
      </c>
      <c r="BV6" s="135">
        <f>IF(BV5="No",0,BV4*0.5*Assumptions!$C$7/12*Assumptions!$F$6)</f>
        <v>1486197.9166666665</v>
      </c>
      <c r="BW6" s="135">
        <f>IF(BW5="No",0,BW4*0.5*Assumptions!$C$7/12*Assumptions!$F$6)</f>
        <v>1486197.9166666665</v>
      </c>
      <c r="BX6" s="135">
        <f>IF(BX5="No",0,BX4*0.5*Assumptions!$C$7/12*Assumptions!$F$6)</f>
        <v>1486197.9166666665</v>
      </c>
      <c r="BY6" s="135">
        <f>IF(BY5="No",0,BY4*0.5*Assumptions!$C$7/12*Assumptions!$F$6)</f>
        <v>1486197.9166666665</v>
      </c>
      <c r="BZ6" s="135">
        <f>IF(BZ5="No",0,BZ4*0.5*Assumptions!$C$7/12*Assumptions!$F$6)</f>
        <v>1486197.9166666665</v>
      </c>
      <c r="CA6" s="135">
        <f>IF(CA5="No",0,CA4*0.5*Assumptions!$C$7/12*Assumptions!$F$6)</f>
        <v>1486197.9166666665</v>
      </c>
      <c r="CB6" s="135">
        <f>IF(CB5="No",0,CB4*0.5*Assumptions!$C$7/12*Assumptions!$F$6)</f>
        <v>1486197.9166666665</v>
      </c>
      <c r="CC6" s="135">
        <f>IF(CC5="No",0,CC4*0.5*Assumptions!$C$7/12*Assumptions!$F$6)</f>
        <v>1486197.9166666665</v>
      </c>
      <c r="CD6" s="135">
        <f>IF(CD5="No",0,CD4*0.5*Assumptions!$C$7/12*Assumptions!$F$6)</f>
        <v>1486197.9166666665</v>
      </c>
      <c r="CE6" s="135">
        <f>IF(CE5="No",0,CE4*0.5*Assumptions!$C$7/12*Assumptions!$F$6)</f>
        <v>1486197.9166666665</v>
      </c>
      <c r="CF6" s="135">
        <f>IF(CF5="No",0,CF4*0.5*Assumptions!$C$7/12*Assumptions!$F$6)</f>
        <v>1486197.9166666665</v>
      </c>
      <c r="CG6" s="135">
        <f>IF(CG5="No",0,CG4*0.5*Assumptions!$C$7/12*Assumptions!$F$6)</f>
        <v>1486197.9166666665</v>
      </c>
      <c r="CH6" s="135">
        <f>IF(CH5="No",0,CH4*0.5*Assumptions!$C$7/12*Assumptions!$F$6)</f>
        <v>1486197.9166666665</v>
      </c>
      <c r="CI6" s="135">
        <f>IF(CI5="No",0,CI4*0.5*Assumptions!$C$7/12*Assumptions!$F$6)</f>
        <v>1486197.9166666665</v>
      </c>
      <c r="CJ6" s="135">
        <f>IF(CJ5="No",0,CJ4*0.5*Assumptions!$C$7/12*Assumptions!$F$6)</f>
        <v>1486197.9166666665</v>
      </c>
      <c r="CK6" s="135">
        <f>IF(CK5="No",0,CK4*0.5*Assumptions!$C$7/12*Assumptions!$F$6)</f>
        <v>1486197.9166666665</v>
      </c>
      <c r="CL6" s="135">
        <f>IF(CL5="No",0,CL4*0.5*Assumptions!$C$7/12*Assumptions!$F$6)</f>
        <v>1486197.9166666665</v>
      </c>
      <c r="CM6" s="135">
        <f>IF(CM5="No",0,CM4*0.5*Assumptions!$C$7/12*Assumptions!$F$6)</f>
        <v>1486197.9166666665</v>
      </c>
      <c r="CN6" s="135">
        <f>IF(CN5="No",0,CN4*0.5*Assumptions!$C$7/12*Assumptions!$F$6)</f>
        <v>1486197.9166666665</v>
      </c>
      <c r="CO6" s="135">
        <f>IF(CO5="No",0,CO4*0.5*Assumptions!$C$7/12*Assumptions!$F$6)</f>
        <v>1486197.9166666665</v>
      </c>
      <c r="CP6" s="135">
        <f>IF(CP5="No",0,CP4*0.5*Assumptions!$C$7/12*Assumptions!$F$6)</f>
        <v>1486197.9166666665</v>
      </c>
      <c r="CQ6" s="135">
        <f>IF(CQ5="No",0,CQ4*0.5*Assumptions!$C$7/12*Assumptions!$F$6)</f>
        <v>1486197.9166666665</v>
      </c>
      <c r="CR6" s="135">
        <f>IF(CR5="No",0,CR4*0.5*Assumptions!$C$7/12*Assumptions!$F$6)</f>
        <v>1486197.9166666665</v>
      </c>
      <c r="CS6" s="135">
        <f>IF(CS5="No",0,CS4*0.5*Assumptions!$C$7/12*Assumptions!$F$6)</f>
        <v>1486197.9166666665</v>
      </c>
      <c r="CT6" s="135">
        <f>IF(CT5="No",0,CT4*0.5*Assumptions!$C$7/12*Assumptions!$F$6)</f>
        <v>1486197.9166666665</v>
      </c>
      <c r="CU6" s="135">
        <f>IF(CU5="No",0,CU4*0.5*Assumptions!$C$7/12*Assumptions!$F$6)</f>
        <v>1486197.9166666665</v>
      </c>
      <c r="CV6" s="135">
        <f>IF(CV5="No",0,CV4*0.5*Assumptions!$C$7/12*Assumptions!$F$6)</f>
        <v>1486197.9166666665</v>
      </c>
      <c r="CW6" s="135">
        <f>IF(CW5="No",0,CW4*0.5*Assumptions!$C$7/12*Assumptions!$F$6)</f>
        <v>1486197.9166666665</v>
      </c>
      <c r="CX6" s="135">
        <f>IF(CX5="No",0,CX4*0.5*Assumptions!$C$7/12*Assumptions!$F$6)</f>
        <v>1486197.9166666665</v>
      </c>
      <c r="CY6" s="135">
        <f>IF(CY5="No",0,CY4*0.5*Assumptions!$C$7/12*Assumptions!$F$6)</f>
        <v>1486197.9166666665</v>
      </c>
      <c r="CZ6" s="135">
        <f>IF(CZ5="No",0,CZ4*0.5*Assumptions!$C$7/12*Assumptions!$F$6)</f>
        <v>1486197.9166666665</v>
      </c>
      <c r="DA6" s="135">
        <f>IF(DA5="No",0,DA4*0.5*Assumptions!$C$7/12*Assumptions!$F$6)</f>
        <v>1486197.9166666665</v>
      </c>
      <c r="DB6" s="135">
        <f>IF(DB5="No",0,DB4*0.5*Assumptions!$C$7/12*Assumptions!$F$6)</f>
        <v>1486197.9166666665</v>
      </c>
      <c r="DC6" s="135">
        <f>IF(DC5="No",0,DC4*0.5*Assumptions!$C$7/12*Assumptions!$F$6)</f>
        <v>1486197.9166666665</v>
      </c>
      <c r="DD6" s="135">
        <f>IF(DD5="No",0,DD4*0.5*Assumptions!$C$7/12*Assumptions!$F$6)</f>
        <v>1486197.9166666665</v>
      </c>
      <c r="DE6" s="135">
        <f>IF(DE5="No",0,DE4*0.5*Assumptions!$C$7/12*Assumptions!$F$6)</f>
        <v>1486197.9166666665</v>
      </c>
      <c r="DF6" s="135">
        <f>IF(DF5="No",0,DF4*0.5*Assumptions!$C$7/12*Assumptions!$F$6)</f>
        <v>1486197.9166666665</v>
      </c>
      <c r="DG6" s="135">
        <f>IF(DG5="No",0,DG4*0.5*Assumptions!$C$7/12*Assumptions!$F$6)</f>
        <v>1486197.9166666665</v>
      </c>
      <c r="DH6" s="135">
        <f>IF(DH5="No",0,DH4*0.5*Assumptions!$C$7/12*Assumptions!$F$6)</f>
        <v>1486197.9166666665</v>
      </c>
      <c r="DI6" s="135">
        <f>IF(DI5="No",0,DI4*0.5*Assumptions!$C$7/12*Assumptions!$F$6)</f>
        <v>1486197.9166666665</v>
      </c>
      <c r="DJ6" s="135">
        <f>IF(DJ5="No",0,DJ4*0.5*Assumptions!$C$7/12*Assumptions!$F$6)</f>
        <v>1486197.9166666665</v>
      </c>
      <c r="DK6" s="135">
        <f>IF(DK5="No",0,DK4*0.5*Assumptions!$C$7/12*Assumptions!$F$6)</f>
        <v>1486197.9166666665</v>
      </c>
      <c r="DL6" s="135">
        <f>IF(DL5="No",0,DL4*0.5*Assumptions!$C$7/12*Assumptions!$F$6)</f>
        <v>1486197.9166666665</v>
      </c>
      <c r="DM6" s="135">
        <f>IF(DM5="No",0,DM4*0.5*Assumptions!$C$7/12*Assumptions!$F$6)</f>
        <v>1486197.9166666665</v>
      </c>
      <c r="DN6" s="135">
        <f>IF(DN5="No",0,DN4*0.5*Assumptions!$C$7/12*Assumptions!$F$6)</f>
        <v>1486197.9166666665</v>
      </c>
      <c r="DO6" s="135">
        <f>IF(DO5="No",0,DO4*0.5*Assumptions!$C$7/12*Assumptions!$F$6)</f>
        <v>1486197.9166666665</v>
      </c>
      <c r="DP6" s="135">
        <f>IF(DP5="No",0,DP4*0.5*Assumptions!$C$7/12*Assumptions!$F$6)</f>
        <v>1486197.9166666665</v>
      </c>
      <c r="DQ6" s="135">
        <f>IF(DQ5="No",0,DQ4*0.5*Assumptions!$C$7/12*Assumptions!$F$6)</f>
        <v>1486197.9166666665</v>
      </c>
      <c r="DR6" s="135">
        <f>IF(DR5="No",0,DR4*0.5*Assumptions!$C$7/12*Assumptions!$F$6)</f>
        <v>1486197.9166666665</v>
      </c>
      <c r="DS6" s="135">
        <f>IF(DS5="No",0,DS4*0.5*Assumptions!$C$7/12*Assumptions!$F$6)</f>
        <v>1486197.9166666665</v>
      </c>
      <c r="DT6" s="135">
        <f>IF(DT5="No",0,DT4*0.5*Assumptions!$C$7/12*Assumptions!$F$6)</f>
        <v>1486197.9166666665</v>
      </c>
      <c r="DU6" s="135">
        <f>IF(DU5="No",0,DU4*0.5*Assumptions!$C$7/12*Assumptions!$F$6)</f>
        <v>1486197.9166666665</v>
      </c>
      <c r="DV6" s="135">
        <f>IF(DV5="No",0,DV4*0.5*Assumptions!$C$7/12*Assumptions!$F$6)</f>
        <v>1486197.9166666665</v>
      </c>
      <c r="DW6" s="135">
        <f>IF(DW5="No",0,DW4*0.5*Assumptions!$C$7/12*Assumptions!$F$6)</f>
        <v>1486197.9166666665</v>
      </c>
    </row>
    <row r="7" spans="2:127" x14ac:dyDescent="0.3">
      <c r="B7" s="53" t="s">
        <v>219</v>
      </c>
      <c r="C7" s="135">
        <f>IF(C5="No",C4*Assumptions!$C$7/12*Assumptions!$F$7,C4*0.5*Assumptions!$C$7/12*Assumptions!$F$7)</f>
        <v>205291.66666666666</v>
      </c>
      <c r="D7" s="135">
        <f>IF(D5="No",D4*Assumptions!$C$7/12*Assumptions!$F$7,D4*0.5*Assumptions!$C$7/12*Assumptions!$F$7)</f>
        <v>205291.66666666666</v>
      </c>
      <c r="E7" s="135">
        <f>IF(E5="No",E4*Assumptions!$C$7/12*Assumptions!$F$7,E4*0.5*Assumptions!$C$7/12*Assumptions!$F$7)</f>
        <v>205291.66666666666</v>
      </c>
      <c r="F7" s="135">
        <f>IF(F5="No",F4*Assumptions!$C$7/12*Assumptions!$F$7,F4*0.5*Assumptions!$C$7/12*Assumptions!$F$7)</f>
        <v>102645.83333333333</v>
      </c>
      <c r="G7" s="135">
        <f>IF(G5="No",G4*Assumptions!$C$7/12*Assumptions!$F$7,G4*0.5*Assumptions!$C$7/12*Assumptions!$F$7)</f>
        <v>641536.45833333326</v>
      </c>
      <c r="H7" s="135">
        <f>IF(H5="No",H4*Assumptions!$C$7/12*Assumptions!$F$7,H4*0.5*Assumptions!$C$7/12*Assumptions!$F$7)</f>
        <v>641536.45833333326</v>
      </c>
      <c r="I7" s="135">
        <f>IF(I5="No",I4*Assumptions!$C$7/12*Assumptions!$F$7,I4*0.5*Assumptions!$C$7/12*Assumptions!$F$7)</f>
        <v>641536.45833333326</v>
      </c>
      <c r="J7" s="135">
        <f>IF(J5="No",J4*Assumptions!$C$7/12*Assumptions!$F$7,J4*0.5*Assumptions!$C$7/12*Assumptions!$F$7)</f>
        <v>641536.45833333326</v>
      </c>
      <c r="K7" s="135">
        <f>IF(K5="No",K4*Assumptions!$C$7/12*Assumptions!$F$7,K4*0.5*Assumptions!$C$7/12*Assumptions!$F$7)</f>
        <v>641536.45833333326</v>
      </c>
      <c r="L7" s="135">
        <f>IF(L5="No",L4*Assumptions!$C$7/12*Assumptions!$F$7,L4*0.5*Assumptions!$C$7/12*Assumptions!$F$7)</f>
        <v>1283072.9166666665</v>
      </c>
      <c r="M7" s="135">
        <f>IF(M5="No",M4*Assumptions!$C$7/12*Assumptions!$F$7,M4*0.5*Assumptions!$C$7/12*Assumptions!$F$7)</f>
        <v>1283072.9166666665</v>
      </c>
      <c r="N7" s="135">
        <f>IF(N5="No",N4*Assumptions!$C$7/12*Assumptions!$F$7,N4*0.5*Assumptions!$C$7/12*Assumptions!$F$7)</f>
        <v>1283072.9166666665</v>
      </c>
      <c r="O7" s="135">
        <f>IF(O5="No",O4*Assumptions!$C$7/12*Assumptions!$F$7,O4*0.5*Assumptions!$C$7/12*Assumptions!$F$7)</f>
        <v>1283072.9166666665</v>
      </c>
      <c r="P7" s="135">
        <f>IF(P5="No",P4*Assumptions!$C$7/12*Assumptions!$F$7,P4*0.5*Assumptions!$C$7/12*Assumptions!$F$7)</f>
        <v>1283072.9166666665</v>
      </c>
      <c r="Q7" s="135">
        <f>IF(Q5="No",Q4*Assumptions!$C$7/12*Assumptions!$F$7,Q4*0.5*Assumptions!$C$7/12*Assumptions!$F$7)</f>
        <v>1283072.9166666665</v>
      </c>
      <c r="R7" s="135">
        <f>IF(R5="No",R4*Assumptions!$C$7/12*Assumptions!$F$7,R4*0.5*Assumptions!$C$7/12*Assumptions!$F$7)</f>
        <v>1283072.9166666665</v>
      </c>
      <c r="S7" s="135">
        <f>IF(S5="No",S4*Assumptions!$C$7/12*Assumptions!$F$7,S4*0.5*Assumptions!$C$7/12*Assumptions!$F$7)</f>
        <v>1283072.9166666665</v>
      </c>
      <c r="T7" s="135">
        <f>IF(T5="No",T4*Assumptions!$C$7/12*Assumptions!$F$7,T4*0.5*Assumptions!$C$7/12*Assumptions!$F$7)</f>
        <v>1283072.9166666665</v>
      </c>
      <c r="U7" s="135">
        <f>IF(U5="No",U4*Assumptions!$C$7/12*Assumptions!$F$7,U4*0.5*Assumptions!$C$7/12*Assumptions!$F$7)</f>
        <v>1283072.9166666665</v>
      </c>
      <c r="V7" s="135">
        <f>IF(V5="No",V4*Assumptions!$C$7/12*Assumptions!$F$7,V4*0.5*Assumptions!$C$7/12*Assumptions!$F$7)</f>
        <v>1283072.9166666665</v>
      </c>
      <c r="W7" s="135">
        <f>IF(W5="No",W4*Assumptions!$C$7/12*Assumptions!$F$7,W4*0.5*Assumptions!$C$7/12*Assumptions!$F$7)</f>
        <v>1283072.9166666665</v>
      </c>
      <c r="X7" s="135">
        <f>IF(X5="No",X4*Assumptions!$C$7/12*Assumptions!$F$7,X4*0.5*Assumptions!$C$7/12*Assumptions!$F$7)</f>
        <v>1283072.9166666665</v>
      </c>
      <c r="Y7" s="135">
        <f>IF(Y5="No",Y4*Assumptions!$C$7/12*Assumptions!$F$7,Y4*0.5*Assumptions!$C$7/12*Assumptions!$F$7)</f>
        <v>1283072.9166666665</v>
      </c>
      <c r="Z7" s="135">
        <f>IF(Z5="No",Z4*Assumptions!$C$7/12*Assumptions!$F$7,Z4*0.5*Assumptions!$C$7/12*Assumptions!$F$7)</f>
        <v>1283072.9166666665</v>
      </c>
      <c r="AA7" s="135">
        <f>IF(AA5="No",AA4*Assumptions!$C$7/12*Assumptions!$F$7,AA4*0.5*Assumptions!$C$7/12*Assumptions!$F$7)</f>
        <v>1283072.9166666665</v>
      </c>
      <c r="AB7" s="135">
        <f>IF(AB5="No",AB4*Assumptions!$C$7/12*Assumptions!$F$7,AB4*0.5*Assumptions!$C$7/12*Assumptions!$F$7)</f>
        <v>1283072.9166666665</v>
      </c>
      <c r="AC7" s="135">
        <f>IF(AC5="No",AC4*Assumptions!$C$7/12*Assumptions!$F$7,AC4*0.5*Assumptions!$C$7/12*Assumptions!$F$7)</f>
        <v>1283072.9166666665</v>
      </c>
      <c r="AD7" s="135">
        <f>IF(AD5="No",AD4*Assumptions!$C$7/12*Assumptions!$F$7,AD4*0.5*Assumptions!$C$7/12*Assumptions!$F$7)</f>
        <v>1283072.9166666665</v>
      </c>
      <c r="AE7" s="135">
        <f>IF(AE5="No",AE4*Assumptions!$C$7/12*Assumptions!$F$7,AE4*0.5*Assumptions!$C$7/12*Assumptions!$F$7)</f>
        <v>1283072.9166666665</v>
      </c>
      <c r="AF7" s="135">
        <f>IF(AF5="No",AF4*Assumptions!$C$7/12*Assumptions!$F$7,AF4*0.5*Assumptions!$C$7/12*Assumptions!$F$7)</f>
        <v>1283072.9166666665</v>
      </c>
      <c r="AG7" s="135">
        <f>IF(AG5="No",AG4*Assumptions!$C$7/12*Assumptions!$F$7,AG4*0.5*Assumptions!$C$7/12*Assumptions!$F$7)</f>
        <v>1283072.9166666665</v>
      </c>
      <c r="AH7" s="135">
        <f>IF(AH5="No",AH4*Assumptions!$C$7/12*Assumptions!$F$7,AH4*0.5*Assumptions!$C$7/12*Assumptions!$F$7)</f>
        <v>1283072.9166666665</v>
      </c>
      <c r="AI7" s="135">
        <f>IF(AI5="No",AI4*Assumptions!$C$7/12*Assumptions!$F$7,AI4*0.5*Assumptions!$C$7/12*Assumptions!$F$7)</f>
        <v>1283072.9166666665</v>
      </c>
      <c r="AJ7" s="135">
        <f>IF(AJ5="No",AJ4*Assumptions!$C$7/12*Assumptions!$F$7,AJ4*0.5*Assumptions!$C$7/12*Assumptions!$F$7)</f>
        <v>1283072.9166666665</v>
      </c>
      <c r="AK7" s="135">
        <f>IF(AK5="No",AK4*Assumptions!$C$7/12*Assumptions!$F$7,AK4*0.5*Assumptions!$C$7/12*Assumptions!$F$7)</f>
        <v>1283072.9166666665</v>
      </c>
      <c r="AL7" s="135">
        <f>IF(AL5="No",AL4*Assumptions!$C$7/12*Assumptions!$F$7,AL4*0.5*Assumptions!$C$7/12*Assumptions!$F$7)</f>
        <v>1283072.9166666665</v>
      </c>
      <c r="AM7" s="135">
        <f>IF(AM5="No",AM4*Assumptions!$C$7/12*Assumptions!$F$7,AM4*0.5*Assumptions!$C$7/12*Assumptions!$F$7)</f>
        <v>1283072.9166666665</v>
      </c>
      <c r="AN7" s="135">
        <f>IF(AN5="No",AN4*Assumptions!$C$7/12*Assumptions!$F$7,AN4*0.5*Assumptions!$C$7/12*Assumptions!$F$7)</f>
        <v>1283072.9166666665</v>
      </c>
      <c r="AO7" s="135">
        <f>IF(AO5="No",AO4*Assumptions!$C$7/12*Assumptions!$F$7,AO4*0.5*Assumptions!$C$7/12*Assumptions!$F$7)</f>
        <v>1283072.9166666665</v>
      </c>
      <c r="AP7" s="135">
        <f>IF(AP5="No",AP4*Assumptions!$C$7/12*Assumptions!$F$7,AP4*0.5*Assumptions!$C$7/12*Assumptions!$F$7)</f>
        <v>1283072.9166666665</v>
      </c>
      <c r="AQ7" s="135">
        <f>IF(AQ5="No",AQ4*Assumptions!$C$7/12*Assumptions!$F$7,AQ4*0.5*Assumptions!$C$7/12*Assumptions!$F$7)</f>
        <v>1283072.9166666665</v>
      </c>
      <c r="AR7" s="135">
        <f>IF(AR5="No",AR4*Assumptions!$C$7/12*Assumptions!$F$7,AR4*0.5*Assumptions!$C$7/12*Assumptions!$F$7)</f>
        <v>1283072.9166666665</v>
      </c>
      <c r="AS7" s="135">
        <f>IF(AS5="No",AS4*Assumptions!$C$7/12*Assumptions!$F$7,AS4*0.5*Assumptions!$C$7/12*Assumptions!$F$7)</f>
        <v>1283072.9166666665</v>
      </c>
      <c r="AT7" s="135">
        <f>IF(AT5="No",AT4*Assumptions!$C$7/12*Assumptions!$F$7,AT4*0.5*Assumptions!$C$7/12*Assumptions!$F$7)</f>
        <v>1283072.9166666665</v>
      </c>
      <c r="AU7" s="135">
        <f>IF(AU5="No",AU4*Assumptions!$C$7/12*Assumptions!$F$7,AU4*0.5*Assumptions!$C$7/12*Assumptions!$F$7)</f>
        <v>1283072.9166666665</v>
      </c>
      <c r="AV7" s="135">
        <f>IF(AV5="No",AV4*Assumptions!$C$7/12*Assumptions!$F$7,AV4*0.5*Assumptions!$C$7/12*Assumptions!$F$7)</f>
        <v>1283072.9166666665</v>
      </c>
      <c r="AW7" s="135">
        <f>IF(AW5="No",AW4*Assumptions!$C$7/12*Assumptions!$F$7,AW4*0.5*Assumptions!$C$7/12*Assumptions!$F$7)</f>
        <v>1283072.9166666665</v>
      </c>
      <c r="AX7" s="135">
        <f>IF(AX5="No",AX4*Assumptions!$C$7/12*Assumptions!$F$7,AX4*0.5*Assumptions!$C$7/12*Assumptions!$F$7)</f>
        <v>1283072.9166666665</v>
      </c>
      <c r="AY7" s="135">
        <f>IF(AY5="No",AY4*Assumptions!$C$7/12*Assumptions!$F$7,AY4*0.5*Assumptions!$C$7/12*Assumptions!$F$7)</f>
        <v>1283072.9166666665</v>
      </c>
      <c r="AZ7" s="135">
        <f>IF(AZ5="No",AZ4*Assumptions!$C$7/12*Assumptions!$F$7,AZ4*0.5*Assumptions!$C$7/12*Assumptions!$F$7)</f>
        <v>1283072.9166666665</v>
      </c>
      <c r="BA7" s="135">
        <f>IF(BA5="No",BA4*Assumptions!$C$7/12*Assumptions!$F$7,BA4*0.5*Assumptions!$C$7/12*Assumptions!$F$7)</f>
        <v>1283072.9166666665</v>
      </c>
      <c r="BB7" s="135">
        <f>IF(BB5="No",BB4*Assumptions!$C$7/12*Assumptions!$F$7,BB4*0.5*Assumptions!$C$7/12*Assumptions!$F$7)</f>
        <v>1283072.9166666665</v>
      </c>
      <c r="BC7" s="135">
        <f>IF(BC5="No",BC4*Assumptions!$C$7/12*Assumptions!$F$7,BC4*0.5*Assumptions!$C$7/12*Assumptions!$F$7)</f>
        <v>1283072.9166666665</v>
      </c>
      <c r="BD7" s="135">
        <f>IF(BD5="No",BD4*Assumptions!$C$7/12*Assumptions!$F$7,BD4*0.5*Assumptions!$C$7/12*Assumptions!$F$7)</f>
        <v>1283072.9166666665</v>
      </c>
      <c r="BE7" s="135">
        <f>IF(BE5="No",BE4*Assumptions!$C$7/12*Assumptions!$F$7,BE4*0.5*Assumptions!$C$7/12*Assumptions!$F$7)</f>
        <v>1283072.9166666665</v>
      </c>
      <c r="BF7" s="135">
        <f>IF(BF5="No",BF4*Assumptions!$C$7/12*Assumptions!$F$7,BF4*0.5*Assumptions!$C$7/12*Assumptions!$F$7)</f>
        <v>1283072.9166666665</v>
      </c>
      <c r="BG7" s="135">
        <f>IF(BG5="No",BG4*Assumptions!$C$7/12*Assumptions!$F$7,BG4*0.5*Assumptions!$C$7/12*Assumptions!$F$7)</f>
        <v>1283072.9166666665</v>
      </c>
      <c r="BH7" s="135">
        <f>IF(BH5="No",BH4*Assumptions!$C$7/12*Assumptions!$F$7,BH4*0.5*Assumptions!$C$7/12*Assumptions!$F$7)</f>
        <v>1283072.9166666665</v>
      </c>
      <c r="BI7" s="135">
        <f>IF(BI5="No",BI4*Assumptions!$C$7/12*Assumptions!$F$7,BI4*0.5*Assumptions!$C$7/12*Assumptions!$F$7)</f>
        <v>1283072.9166666665</v>
      </c>
      <c r="BJ7" s="135">
        <f>IF(BJ5="No",BJ4*Assumptions!$C$7/12*Assumptions!$F$7,BJ4*0.5*Assumptions!$C$7/12*Assumptions!$F$7)</f>
        <v>1283072.9166666665</v>
      </c>
      <c r="BK7" s="135">
        <f>IF(BK5="No",BK4*Assumptions!$C$7/12*Assumptions!$F$7,BK4*0.5*Assumptions!$C$7/12*Assumptions!$F$7)</f>
        <v>1283072.9166666665</v>
      </c>
      <c r="BL7" s="135">
        <f>IF(BL5="No",BL4*Assumptions!$C$7/12*Assumptions!$F$7,BL4*0.5*Assumptions!$C$7/12*Assumptions!$F$7)</f>
        <v>1283072.9166666665</v>
      </c>
      <c r="BM7" s="135">
        <f>IF(BM5="No",BM4*Assumptions!$C$7/12*Assumptions!$F$7,BM4*0.5*Assumptions!$C$7/12*Assumptions!$F$7)</f>
        <v>1283072.9166666665</v>
      </c>
      <c r="BN7" s="135">
        <f>IF(BN5="No",BN4*Assumptions!$C$7/12*Assumptions!$F$7,BN4*0.5*Assumptions!$C$7/12*Assumptions!$F$7)</f>
        <v>1283072.9166666665</v>
      </c>
      <c r="BO7" s="135">
        <f>IF(BO5="No",BO4*Assumptions!$C$7/12*Assumptions!$F$7,BO4*0.5*Assumptions!$C$7/12*Assumptions!$F$7)</f>
        <v>1283072.9166666665</v>
      </c>
      <c r="BP7" s="135">
        <f>IF(BP5="No",BP4*Assumptions!$C$7/12*Assumptions!$F$7,BP4*0.5*Assumptions!$C$7/12*Assumptions!$F$7)</f>
        <v>1283072.9166666665</v>
      </c>
      <c r="BQ7" s="135">
        <f>IF(BQ5="No",BQ4*Assumptions!$C$7/12*Assumptions!$F$7,BQ4*0.5*Assumptions!$C$7/12*Assumptions!$F$7)</f>
        <v>1283072.9166666665</v>
      </c>
      <c r="BR7" s="135">
        <f>IF(BR5="No",BR4*Assumptions!$C$7/12*Assumptions!$F$7,BR4*0.5*Assumptions!$C$7/12*Assumptions!$F$7)</f>
        <v>1283072.9166666665</v>
      </c>
      <c r="BS7" s="135">
        <f>IF(BS5="No",BS4*Assumptions!$C$7/12*Assumptions!$F$7,BS4*0.5*Assumptions!$C$7/12*Assumptions!$F$7)</f>
        <v>1283072.9166666665</v>
      </c>
      <c r="BT7" s="135">
        <f>IF(BT5="No",BT4*Assumptions!$C$7/12*Assumptions!$F$7,BT4*0.5*Assumptions!$C$7/12*Assumptions!$F$7)</f>
        <v>1283072.9166666665</v>
      </c>
      <c r="BU7" s="135">
        <f>IF(BU5="No",BU4*Assumptions!$C$7/12*Assumptions!$F$7,BU4*0.5*Assumptions!$C$7/12*Assumptions!$F$7)</f>
        <v>1283072.9166666665</v>
      </c>
      <c r="BV7" s="135">
        <f>IF(BV5="No",BV4*Assumptions!$C$7/12*Assumptions!$F$7,BV4*0.5*Assumptions!$C$7/12*Assumptions!$F$7)</f>
        <v>1283072.9166666665</v>
      </c>
      <c r="BW7" s="135">
        <f>IF(BW5="No",BW4*Assumptions!$C$7/12*Assumptions!$F$7,BW4*0.5*Assumptions!$C$7/12*Assumptions!$F$7)</f>
        <v>1283072.9166666665</v>
      </c>
      <c r="BX7" s="135">
        <f>IF(BX5="No",BX4*Assumptions!$C$7/12*Assumptions!$F$7,BX4*0.5*Assumptions!$C$7/12*Assumptions!$F$7)</f>
        <v>1283072.9166666665</v>
      </c>
      <c r="BY7" s="135">
        <f>IF(BY5="No",BY4*Assumptions!$C$7/12*Assumptions!$F$7,BY4*0.5*Assumptions!$C$7/12*Assumptions!$F$7)</f>
        <v>1283072.9166666665</v>
      </c>
      <c r="BZ7" s="135">
        <f>IF(BZ5="No",BZ4*Assumptions!$C$7/12*Assumptions!$F$7,BZ4*0.5*Assumptions!$C$7/12*Assumptions!$F$7)</f>
        <v>1283072.9166666665</v>
      </c>
      <c r="CA7" s="135">
        <f>IF(CA5="No",CA4*Assumptions!$C$7/12*Assumptions!$F$7,CA4*0.5*Assumptions!$C$7/12*Assumptions!$F$7)</f>
        <v>1283072.9166666665</v>
      </c>
      <c r="CB7" s="135">
        <f>IF(CB5="No",CB4*Assumptions!$C$7/12*Assumptions!$F$7,CB4*0.5*Assumptions!$C$7/12*Assumptions!$F$7)</f>
        <v>1283072.9166666665</v>
      </c>
      <c r="CC7" s="135">
        <f>IF(CC5="No",CC4*Assumptions!$C$7/12*Assumptions!$F$7,CC4*0.5*Assumptions!$C$7/12*Assumptions!$F$7)</f>
        <v>1283072.9166666665</v>
      </c>
      <c r="CD7" s="135">
        <f>IF(CD5="No",CD4*Assumptions!$C$7/12*Assumptions!$F$7,CD4*0.5*Assumptions!$C$7/12*Assumptions!$F$7)</f>
        <v>1283072.9166666665</v>
      </c>
      <c r="CE7" s="135">
        <f>IF(CE5="No",CE4*Assumptions!$C$7/12*Assumptions!$F$7,CE4*0.5*Assumptions!$C$7/12*Assumptions!$F$7)</f>
        <v>1283072.9166666665</v>
      </c>
      <c r="CF7" s="135">
        <f>IF(CF5="No",CF4*Assumptions!$C$7/12*Assumptions!$F$7,CF4*0.5*Assumptions!$C$7/12*Assumptions!$F$7)</f>
        <v>1283072.9166666665</v>
      </c>
      <c r="CG7" s="135">
        <f>IF(CG5="No",CG4*Assumptions!$C$7/12*Assumptions!$F$7,CG4*0.5*Assumptions!$C$7/12*Assumptions!$F$7)</f>
        <v>1283072.9166666665</v>
      </c>
      <c r="CH7" s="135">
        <f>IF(CH5="No",CH4*Assumptions!$C$7/12*Assumptions!$F$7,CH4*0.5*Assumptions!$C$7/12*Assumptions!$F$7)</f>
        <v>1283072.9166666665</v>
      </c>
      <c r="CI7" s="135">
        <f>IF(CI5="No",CI4*Assumptions!$C$7/12*Assumptions!$F$7,CI4*0.5*Assumptions!$C$7/12*Assumptions!$F$7)</f>
        <v>1283072.9166666665</v>
      </c>
      <c r="CJ7" s="135">
        <f>IF(CJ5="No",CJ4*Assumptions!$C$7/12*Assumptions!$F$7,CJ4*0.5*Assumptions!$C$7/12*Assumptions!$F$7)</f>
        <v>1283072.9166666665</v>
      </c>
      <c r="CK7" s="135">
        <f>IF(CK5="No",CK4*Assumptions!$C$7/12*Assumptions!$F$7,CK4*0.5*Assumptions!$C$7/12*Assumptions!$F$7)</f>
        <v>1283072.9166666665</v>
      </c>
      <c r="CL7" s="135">
        <f>IF(CL5="No",CL4*Assumptions!$C$7/12*Assumptions!$F$7,CL4*0.5*Assumptions!$C$7/12*Assumptions!$F$7)</f>
        <v>1283072.9166666665</v>
      </c>
      <c r="CM7" s="135">
        <f>IF(CM5="No",CM4*Assumptions!$C$7/12*Assumptions!$F$7,CM4*0.5*Assumptions!$C$7/12*Assumptions!$F$7)</f>
        <v>1283072.9166666665</v>
      </c>
      <c r="CN7" s="135">
        <f>IF(CN5="No",CN4*Assumptions!$C$7/12*Assumptions!$F$7,CN4*0.5*Assumptions!$C$7/12*Assumptions!$F$7)</f>
        <v>1283072.9166666665</v>
      </c>
      <c r="CO7" s="135">
        <f>IF(CO5="No",CO4*Assumptions!$C$7/12*Assumptions!$F$7,CO4*0.5*Assumptions!$C$7/12*Assumptions!$F$7)</f>
        <v>1283072.9166666665</v>
      </c>
      <c r="CP7" s="135">
        <f>IF(CP5="No",CP4*Assumptions!$C$7/12*Assumptions!$F$7,CP4*0.5*Assumptions!$C$7/12*Assumptions!$F$7)</f>
        <v>1283072.9166666665</v>
      </c>
      <c r="CQ7" s="135">
        <f>IF(CQ5="No",CQ4*Assumptions!$C$7/12*Assumptions!$F$7,CQ4*0.5*Assumptions!$C$7/12*Assumptions!$F$7)</f>
        <v>1283072.9166666665</v>
      </c>
      <c r="CR7" s="135">
        <f>IF(CR5="No",CR4*Assumptions!$C$7/12*Assumptions!$F$7,CR4*0.5*Assumptions!$C$7/12*Assumptions!$F$7)</f>
        <v>1283072.9166666665</v>
      </c>
      <c r="CS7" s="135">
        <f>IF(CS5="No",CS4*Assumptions!$C$7/12*Assumptions!$F$7,CS4*0.5*Assumptions!$C$7/12*Assumptions!$F$7)</f>
        <v>1283072.9166666665</v>
      </c>
      <c r="CT7" s="135">
        <f>IF(CT5="No",CT4*Assumptions!$C$7/12*Assumptions!$F$7,CT4*0.5*Assumptions!$C$7/12*Assumptions!$F$7)</f>
        <v>1283072.9166666665</v>
      </c>
      <c r="CU7" s="135">
        <f>IF(CU5="No",CU4*Assumptions!$C$7/12*Assumptions!$F$7,CU4*0.5*Assumptions!$C$7/12*Assumptions!$F$7)</f>
        <v>1283072.9166666665</v>
      </c>
      <c r="CV7" s="135">
        <f>IF(CV5="No",CV4*Assumptions!$C$7/12*Assumptions!$F$7,CV4*0.5*Assumptions!$C$7/12*Assumptions!$F$7)</f>
        <v>1283072.9166666665</v>
      </c>
      <c r="CW7" s="135">
        <f>IF(CW5="No",CW4*Assumptions!$C$7/12*Assumptions!$F$7,CW4*0.5*Assumptions!$C$7/12*Assumptions!$F$7)</f>
        <v>1283072.9166666665</v>
      </c>
      <c r="CX7" s="135">
        <f>IF(CX5="No",CX4*Assumptions!$C$7/12*Assumptions!$F$7,CX4*0.5*Assumptions!$C$7/12*Assumptions!$F$7)</f>
        <v>1283072.9166666665</v>
      </c>
      <c r="CY7" s="135">
        <f>IF(CY5="No",CY4*Assumptions!$C$7/12*Assumptions!$F$7,CY4*0.5*Assumptions!$C$7/12*Assumptions!$F$7)</f>
        <v>1283072.9166666665</v>
      </c>
      <c r="CZ7" s="135">
        <f>IF(CZ5="No",CZ4*Assumptions!$C$7/12*Assumptions!$F$7,CZ4*0.5*Assumptions!$C$7/12*Assumptions!$F$7)</f>
        <v>1283072.9166666665</v>
      </c>
      <c r="DA7" s="135">
        <f>IF(DA5="No",DA4*Assumptions!$C$7/12*Assumptions!$F$7,DA4*0.5*Assumptions!$C$7/12*Assumptions!$F$7)</f>
        <v>1283072.9166666665</v>
      </c>
      <c r="DB7" s="135">
        <f>IF(DB5="No",DB4*Assumptions!$C$7/12*Assumptions!$F$7,DB4*0.5*Assumptions!$C$7/12*Assumptions!$F$7)</f>
        <v>1283072.9166666665</v>
      </c>
      <c r="DC7" s="135">
        <f>IF(DC5="No",DC4*Assumptions!$C$7/12*Assumptions!$F$7,DC4*0.5*Assumptions!$C$7/12*Assumptions!$F$7)</f>
        <v>1283072.9166666665</v>
      </c>
      <c r="DD7" s="135">
        <f>IF(DD5="No",DD4*Assumptions!$C$7/12*Assumptions!$F$7,DD4*0.5*Assumptions!$C$7/12*Assumptions!$F$7)</f>
        <v>1283072.9166666665</v>
      </c>
      <c r="DE7" s="135">
        <f>IF(DE5="No",DE4*Assumptions!$C$7/12*Assumptions!$F$7,DE4*0.5*Assumptions!$C$7/12*Assumptions!$F$7)</f>
        <v>1283072.9166666665</v>
      </c>
      <c r="DF7" s="135">
        <f>IF(DF5="No",DF4*Assumptions!$C$7/12*Assumptions!$F$7,DF4*0.5*Assumptions!$C$7/12*Assumptions!$F$7)</f>
        <v>1283072.9166666665</v>
      </c>
      <c r="DG7" s="135">
        <f>IF(DG5="No",DG4*Assumptions!$C$7/12*Assumptions!$F$7,DG4*0.5*Assumptions!$C$7/12*Assumptions!$F$7)</f>
        <v>1283072.9166666665</v>
      </c>
      <c r="DH7" s="135">
        <f>IF(DH5="No",DH4*Assumptions!$C$7/12*Assumptions!$F$7,DH4*0.5*Assumptions!$C$7/12*Assumptions!$F$7)</f>
        <v>1283072.9166666665</v>
      </c>
      <c r="DI7" s="135">
        <f>IF(DI5="No",DI4*Assumptions!$C$7/12*Assumptions!$F$7,DI4*0.5*Assumptions!$C$7/12*Assumptions!$F$7)</f>
        <v>1283072.9166666665</v>
      </c>
      <c r="DJ7" s="135">
        <f>IF(DJ5="No",DJ4*Assumptions!$C$7/12*Assumptions!$F$7,DJ4*0.5*Assumptions!$C$7/12*Assumptions!$F$7)</f>
        <v>1283072.9166666665</v>
      </c>
      <c r="DK7" s="135">
        <f>IF(DK5="No",DK4*Assumptions!$C$7/12*Assumptions!$F$7,DK4*0.5*Assumptions!$C$7/12*Assumptions!$F$7)</f>
        <v>1283072.9166666665</v>
      </c>
      <c r="DL7" s="135">
        <f>IF(DL5="No",DL4*Assumptions!$C$7/12*Assumptions!$F$7,DL4*0.5*Assumptions!$C$7/12*Assumptions!$F$7)</f>
        <v>1283072.9166666665</v>
      </c>
      <c r="DM7" s="135">
        <f>IF(DM5="No",DM4*Assumptions!$C$7/12*Assumptions!$F$7,DM4*0.5*Assumptions!$C$7/12*Assumptions!$F$7)</f>
        <v>1283072.9166666665</v>
      </c>
      <c r="DN7" s="135">
        <f>IF(DN5="No",DN4*Assumptions!$C$7/12*Assumptions!$F$7,DN4*0.5*Assumptions!$C$7/12*Assumptions!$F$7)</f>
        <v>1283072.9166666665</v>
      </c>
      <c r="DO7" s="135">
        <f>IF(DO5="No",DO4*Assumptions!$C$7/12*Assumptions!$F$7,DO4*0.5*Assumptions!$C$7/12*Assumptions!$F$7)</f>
        <v>1283072.9166666665</v>
      </c>
      <c r="DP7" s="135">
        <f>IF(DP5="No",DP4*Assumptions!$C$7/12*Assumptions!$F$7,DP4*0.5*Assumptions!$C$7/12*Assumptions!$F$7)</f>
        <v>1283072.9166666665</v>
      </c>
      <c r="DQ7" s="135">
        <f>IF(DQ5="No",DQ4*Assumptions!$C$7/12*Assumptions!$F$7,DQ4*0.5*Assumptions!$C$7/12*Assumptions!$F$7)</f>
        <v>1283072.9166666665</v>
      </c>
      <c r="DR7" s="135">
        <f>IF(DR5="No",DR4*Assumptions!$C$7/12*Assumptions!$F$7,DR4*0.5*Assumptions!$C$7/12*Assumptions!$F$7)</f>
        <v>1283072.9166666665</v>
      </c>
      <c r="DS7" s="135">
        <f>IF(DS5="No",DS4*Assumptions!$C$7/12*Assumptions!$F$7,DS4*0.5*Assumptions!$C$7/12*Assumptions!$F$7)</f>
        <v>1283072.9166666665</v>
      </c>
      <c r="DT7" s="135">
        <f>IF(DT5="No",DT4*Assumptions!$C$7/12*Assumptions!$F$7,DT4*0.5*Assumptions!$C$7/12*Assumptions!$F$7)</f>
        <v>1283072.9166666665</v>
      </c>
      <c r="DU7" s="135">
        <f>IF(DU5="No",DU4*Assumptions!$C$7/12*Assumptions!$F$7,DU4*0.5*Assumptions!$C$7/12*Assumptions!$F$7)</f>
        <v>1283072.9166666665</v>
      </c>
      <c r="DV7" s="135">
        <f>IF(DV5="No",DV4*Assumptions!$C$7/12*Assumptions!$F$7,DV4*0.5*Assumptions!$C$7/12*Assumptions!$F$7)</f>
        <v>1283072.9166666665</v>
      </c>
      <c r="DW7" s="135">
        <f>IF(DW5="No",DW4*Assumptions!$C$7/12*Assumptions!$F$7,DW4*0.5*Assumptions!$C$7/12*Assumptions!$F$7)</f>
        <v>1283072.9166666665</v>
      </c>
    </row>
    <row r="8" spans="2:127" x14ac:dyDescent="0.3">
      <c r="C8" s="121"/>
    </row>
    <row r="9" spans="2:127" x14ac:dyDescent="0.3">
      <c r="B9" s="65" t="s">
        <v>235</v>
      </c>
    </row>
    <row r="10" spans="2:127" x14ac:dyDescent="0.3">
      <c r="B10" s="123" t="s">
        <v>18</v>
      </c>
      <c r="C10" s="124">
        <f>EOMONTH(Assumptions!C4,Assumptions!C6)+1</f>
        <v>46327</v>
      </c>
      <c r="D10" s="124">
        <f>EOMONTH(C10,1)</f>
        <v>46387</v>
      </c>
      <c r="E10" s="124">
        <f t="shared" ref="E10:BP10" si="0">EOMONTH(D10,1)</f>
        <v>46418</v>
      </c>
      <c r="F10" s="124">
        <f t="shared" si="0"/>
        <v>46446</v>
      </c>
      <c r="G10" s="124">
        <f t="shared" si="0"/>
        <v>46477</v>
      </c>
      <c r="H10" s="124">
        <f t="shared" si="0"/>
        <v>46507</v>
      </c>
      <c r="I10" s="124">
        <f t="shared" si="0"/>
        <v>46538</v>
      </c>
      <c r="J10" s="124">
        <f t="shared" si="0"/>
        <v>46568</v>
      </c>
      <c r="K10" s="124">
        <f t="shared" si="0"/>
        <v>46599</v>
      </c>
      <c r="L10" s="124">
        <f t="shared" si="0"/>
        <v>46630</v>
      </c>
      <c r="M10" s="124">
        <f t="shared" si="0"/>
        <v>46660</v>
      </c>
      <c r="N10" s="124">
        <f t="shared" si="0"/>
        <v>46691</v>
      </c>
      <c r="O10" s="124">
        <f t="shared" si="0"/>
        <v>46721</v>
      </c>
      <c r="P10" s="124">
        <f t="shared" si="0"/>
        <v>46752</v>
      </c>
      <c r="Q10" s="124">
        <f t="shared" si="0"/>
        <v>46783</v>
      </c>
      <c r="R10" s="124">
        <f t="shared" si="0"/>
        <v>46812</v>
      </c>
      <c r="S10" s="124">
        <f t="shared" si="0"/>
        <v>46843</v>
      </c>
      <c r="T10" s="124">
        <f t="shared" si="0"/>
        <v>46873</v>
      </c>
      <c r="U10" s="124">
        <f t="shared" si="0"/>
        <v>46904</v>
      </c>
      <c r="V10" s="124">
        <f t="shared" si="0"/>
        <v>46934</v>
      </c>
      <c r="W10" s="124">
        <f t="shared" si="0"/>
        <v>46965</v>
      </c>
      <c r="X10" s="124">
        <f t="shared" si="0"/>
        <v>46996</v>
      </c>
      <c r="Y10" s="124">
        <f t="shared" si="0"/>
        <v>47026</v>
      </c>
      <c r="Z10" s="124">
        <f t="shared" si="0"/>
        <v>47057</v>
      </c>
      <c r="AA10" s="124">
        <f t="shared" si="0"/>
        <v>47087</v>
      </c>
      <c r="AB10" s="124">
        <f t="shared" si="0"/>
        <v>47118</v>
      </c>
      <c r="AC10" s="124">
        <f t="shared" si="0"/>
        <v>47149</v>
      </c>
      <c r="AD10" s="124">
        <f t="shared" si="0"/>
        <v>47177</v>
      </c>
      <c r="AE10" s="124">
        <f t="shared" si="0"/>
        <v>47208</v>
      </c>
      <c r="AF10" s="124">
        <f t="shared" si="0"/>
        <v>47238</v>
      </c>
      <c r="AG10" s="124">
        <f t="shared" si="0"/>
        <v>47269</v>
      </c>
      <c r="AH10" s="124">
        <f t="shared" si="0"/>
        <v>47299</v>
      </c>
      <c r="AI10" s="124">
        <f t="shared" si="0"/>
        <v>47330</v>
      </c>
      <c r="AJ10" s="124">
        <f t="shared" si="0"/>
        <v>47361</v>
      </c>
      <c r="AK10" s="124">
        <f t="shared" si="0"/>
        <v>47391</v>
      </c>
      <c r="AL10" s="124">
        <f t="shared" si="0"/>
        <v>47422</v>
      </c>
      <c r="AM10" s="124">
        <f t="shared" si="0"/>
        <v>47452</v>
      </c>
      <c r="AN10" s="124">
        <f t="shared" si="0"/>
        <v>47483</v>
      </c>
      <c r="AO10" s="124">
        <f t="shared" si="0"/>
        <v>47514</v>
      </c>
      <c r="AP10" s="124">
        <f t="shared" si="0"/>
        <v>47542</v>
      </c>
      <c r="AQ10" s="124">
        <f t="shared" si="0"/>
        <v>47573</v>
      </c>
      <c r="AR10" s="124">
        <f t="shared" si="0"/>
        <v>47603</v>
      </c>
      <c r="AS10" s="124">
        <f t="shared" si="0"/>
        <v>47634</v>
      </c>
      <c r="AT10" s="124">
        <f t="shared" si="0"/>
        <v>47664</v>
      </c>
      <c r="AU10" s="124">
        <f t="shared" si="0"/>
        <v>47695</v>
      </c>
      <c r="AV10" s="124">
        <f t="shared" si="0"/>
        <v>47726</v>
      </c>
      <c r="AW10" s="124">
        <f t="shared" si="0"/>
        <v>47756</v>
      </c>
      <c r="AX10" s="124">
        <f t="shared" si="0"/>
        <v>47787</v>
      </c>
      <c r="AY10" s="124">
        <f t="shared" si="0"/>
        <v>47817</v>
      </c>
      <c r="AZ10" s="124">
        <f t="shared" si="0"/>
        <v>47848</v>
      </c>
      <c r="BA10" s="124">
        <f t="shared" si="0"/>
        <v>47879</v>
      </c>
      <c r="BB10" s="124">
        <f t="shared" si="0"/>
        <v>47907</v>
      </c>
      <c r="BC10" s="124">
        <f t="shared" si="0"/>
        <v>47938</v>
      </c>
      <c r="BD10" s="124">
        <f t="shared" si="0"/>
        <v>47968</v>
      </c>
      <c r="BE10" s="124">
        <f t="shared" si="0"/>
        <v>47999</v>
      </c>
      <c r="BF10" s="124">
        <f t="shared" si="0"/>
        <v>48029</v>
      </c>
      <c r="BG10" s="124">
        <f t="shared" si="0"/>
        <v>48060</v>
      </c>
      <c r="BH10" s="124">
        <f t="shared" si="0"/>
        <v>48091</v>
      </c>
      <c r="BI10" s="124">
        <f t="shared" si="0"/>
        <v>48121</v>
      </c>
      <c r="BJ10" s="124">
        <f t="shared" si="0"/>
        <v>48152</v>
      </c>
      <c r="BK10" s="124">
        <f t="shared" si="0"/>
        <v>48182</v>
      </c>
      <c r="BL10" s="124">
        <f t="shared" si="0"/>
        <v>48213</v>
      </c>
      <c r="BM10" s="124">
        <f t="shared" si="0"/>
        <v>48244</v>
      </c>
      <c r="BN10" s="124">
        <f t="shared" si="0"/>
        <v>48273</v>
      </c>
      <c r="BO10" s="124">
        <f t="shared" si="0"/>
        <v>48304</v>
      </c>
      <c r="BP10" s="124">
        <f t="shared" si="0"/>
        <v>48334</v>
      </c>
      <c r="BQ10" s="124">
        <f t="shared" ref="BQ10:DW10" si="1">EOMONTH(BP10,1)</f>
        <v>48365</v>
      </c>
      <c r="BR10" s="124">
        <f t="shared" si="1"/>
        <v>48395</v>
      </c>
      <c r="BS10" s="124">
        <f t="shared" si="1"/>
        <v>48426</v>
      </c>
      <c r="BT10" s="124">
        <f t="shared" si="1"/>
        <v>48457</v>
      </c>
      <c r="BU10" s="124">
        <f t="shared" si="1"/>
        <v>48487</v>
      </c>
      <c r="BV10" s="124">
        <f t="shared" si="1"/>
        <v>48518</v>
      </c>
      <c r="BW10" s="124">
        <f t="shared" si="1"/>
        <v>48548</v>
      </c>
      <c r="BX10" s="124">
        <f t="shared" si="1"/>
        <v>48579</v>
      </c>
      <c r="BY10" s="124">
        <f t="shared" si="1"/>
        <v>48610</v>
      </c>
      <c r="BZ10" s="124">
        <f t="shared" si="1"/>
        <v>48638</v>
      </c>
      <c r="CA10" s="124">
        <f t="shared" si="1"/>
        <v>48669</v>
      </c>
      <c r="CB10" s="124">
        <f t="shared" si="1"/>
        <v>48699</v>
      </c>
      <c r="CC10" s="124">
        <f t="shared" si="1"/>
        <v>48730</v>
      </c>
      <c r="CD10" s="124">
        <f t="shared" si="1"/>
        <v>48760</v>
      </c>
      <c r="CE10" s="124">
        <f t="shared" si="1"/>
        <v>48791</v>
      </c>
      <c r="CF10" s="124">
        <f t="shared" si="1"/>
        <v>48822</v>
      </c>
      <c r="CG10" s="124">
        <f t="shared" si="1"/>
        <v>48852</v>
      </c>
      <c r="CH10" s="124">
        <f t="shared" si="1"/>
        <v>48883</v>
      </c>
      <c r="CI10" s="124">
        <f t="shared" si="1"/>
        <v>48913</v>
      </c>
      <c r="CJ10" s="124">
        <f t="shared" si="1"/>
        <v>48944</v>
      </c>
      <c r="CK10" s="124">
        <f t="shared" si="1"/>
        <v>48975</v>
      </c>
      <c r="CL10" s="124">
        <f t="shared" si="1"/>
        <v>49003</v>
      </c>
      <c r="CM10" s="124">
        <f t="shared" si="1"/>
        <v>49034</v>
      </c>
      <c r="CN10" s="124">
        <f t="shared" si="1"/>
        <v>49064</v>
      </c>
      <c r="CO10" s="124">
        <f t="shared" si="1"/>
        <v>49095</v>
      </c>
      <c r="CP10" s="124">
        <f t="shared" si="1"/>
        <v>49125</v>
      </c>
      <c r="CQ10" s="124">
        <f t="shared" si="1"/>
        <v>49156</v>
      </c>
      <c r="CR10" s="124">
        <f t="shared" si="1"/>
        <v>49187</v>
      </c>
      <c r="CS10" s="124">
        <f t="shared" si="1"/>
        <v>49217</v>
      </c>
      <c r="CT10" s="124">
        <f t="shared" si="1"/>
        <v>49248</v>
      </c>
      <c r="CU10" s="124">
        <f t="shared" si="1"/>
        <v>49278</v>
      </c>
      <c r="CV10" s="124">
        <f t="shared" si="1"/>
        <v>49309</v>
      </c>
      <c r="CW10" s="124">
        <f t="shared" si="1"/>
        <v>49340</v>
      </c>
      <c r="CX10" s="124">
        <f t="shared" si="1"/>
        <v>49368</v>
      </c>
      <c r="CY10" s="124">
        <f t="shared" si="1"/>
        <v>49399</v>
      </c>
      <c r="CZ10" s="124">
        <f t="shared" si="1"/>
        <v>49429</v>
      </c>
      <c r="DA10" s="124">
        <f t="shared" si="1"/>
        <v>49460</v>
      </c>
      <c r="DB10" s="124">
        <f t="shared" si="1"/>
        <v>49490</v>
      </c>
      <c r="DC10" s="124">
        <f t="shared" si="1"/>
        <v>49521</v>
      </c>
      <c r="DD10" s="124">
        <f t="shared" si="1"/>
        <v>49552</v>
      </c>
      <c r="DE10" s="124">
        <f t="shared" si="1"/>
        <v>49582</v>
      </c>
      <c r="DF10" s="124">
        <f t="shared" si="1"/>
        <v>49613</v>
      </c>
      <c r="DG10" s="124">
        <f t="shared" si="1"/>
        <v>49643</v>
      </c>
      <c r="DH10" s="124">
        <f t="shared" si="1"/>
        <v>49674</v>
      </c>
      <c r="DI10" s="124">
        <f t="shared" si="1"/>
        <v>49705</v>
      </c>
      <c r="DJ10" s="124">
        <f t="shared" si="1"/>
        <v>49734</v>
      </c>
      <c r="DK10" s="124">
        <f t="shared" si="1"/>
        <v>49765</v>
      </c>
      <c r="DL10" s="124">
        <f t="shared" si="1"/>
        <v>49795</v>
      </c>
      <c r="DM10" s="124">
        <f t="shared" si="1"/>
        <v>49826</v>
      </c>
      <c r="DN10" s="124">
        <f t="shared" si="1"/>
        <v>49856</v>
      </c>
      <c r="DO10" s="124">
        <f t="shared" si="1"/>
        <v>49887</v>
      </c>
      <c r="DP10" s="124">
        <f t="shared" si="1"/>
        <v>49918</v>
      </c>
      <c r="DQ10" s="124">
        <f t="shared" si="1"/>
        <v>49948</v>
      </c>
      <c r="DR10" s="124">
        <f t="shared" si="1"/>
        <v>49979</v>
      </c>
      <c r="DS10" s="124">
        <f t="shared" si="1"/>
        <v>50009</v>
      </c>
      <c r="DT10" s="124">
        <f t="shared" si="1"/>
        <v>50040</v>
      </c>
      <c r="DU10" s="124">
        <f t="shared" si="1"/>
        <v>50071</v>
      </c>
      <c r="DV10" s="124">
        <f t="shared" si="1"/>
        <v>50099</v>
      </c>
      <c r="DW10" s="124">
        <f t="shared" si="1"/>
        <v>50130</v>
      </c>
    </row>
    <row r="11" spans="2:127" x14ac:dyDescent="0.3">
      <c r="B11" s="53" t="s">
        <v>236</v>
      </c>
      <c r="C11" s="120">
        <f>SUM(C6:C7)</f>
        <v>205291.66666666666</v>
      </c>
      <c r="D11" s="120">
        <f t="shared" ref="D11:BO11" si="2">SUM(D6:D7)</f>
        <v>205291.66666666666</v>
      </c>
      <c r="E11" s="120">
        <f t="shared" si="2"/>
        <v>205291.66666666666</v>
      </c>
      <c r="F11" s="120">
        <f t="shared" si="2"/>
        <v>221541.66666666666</v>
      </c>
      <c r="G11" s="120">
        <f t="shared" si="2"/>
        <v>1384635.4166666665</v>
      </c>
      <c r="H11" s="120">
        <f t="shared" si="2"/>
        <v>1384635.4166666665</v>
      </c>
      <c r="I11" s="120">
        <f t="shared" si="2"/>
        <v>1384635.4166666665</v>
      </c>
      <c r="J11" s="120">
        <f t="shared" si="2"/>
        <v>1384635.4166666665</v>
      </c>
      <c r="K11" s="120">
        <f t="shared" si="2"/>
        <v>1384635.4166666665</v>
      </c>
      <c r="L11" s="120">
        <f t="shared" si="2"/>
        <v>2769270.833333333</v>
      </c>
      <c r="M11" s="120">
        <f t="shared" si="2"/>
        <v>2769270.833333333</v>
      </c>
      <c r="N11" s="120">
        <f t="shared" si="2"/>
        <v>2769270.833333333</v>
      </c>
      <c r="O11" s="120">
        <f t="shared" si="2"/>
        <v>2769270.833333333</v>
      </c>
      <c r="P11" s="120">
        <f t="shared" si="2"/>
        <v>2769270.833333333</v>
      </c>
      <c r="Q11" s="120">
        <f t="shared" si="2"/>
        <v>2769270.833333333</v>
      </c>
      <c r="R11" s="120">
        <f t="shared" si="2"/>
        <v>2769270.833333333</v>
      </c>
      <c r="S11" s="120">
        <f t="shared" si="2"/>
        <v>2769270.833333333</v>
      </c>
      <c r="T11" s="120">
        <f t="shared" si="2"/>
        <v>2769270.833333333</v>
      </c>
      <c r="U11" s="120">
        <f t="shared" si="2"/>
        <v>2769270.833333333</v>
      </c>
      <c r="V11" s="120">
        <f t="shared" si="2"/>
        <v>2769270.833333333</v>
      </c>
      <c r="W11" s="120">
        <f t="shared" si="2"/>
        <v>2769270.833333333</v>
      </c>
      <c r="X11" s="120">
        <f t="shared" si="2"/>
        <v>2769270.833333333</v>
      </c>
      <c r="Y11" s="120">
        <f t="shared" si="2"/>
        <v>2769270.833333333</v>
      </c>
      <c r="Z11" s="120">
        <f t="shared" si="2"/>
        <v>2769270.833333333</v>
      </c>
      <c r="AA11" s="120">
        <f t="shared" si="2"/>
        <v>2769270.833333333</v>
      </c>
      <c r="AB11" s="120">
        <f t="shared" si="2"/>
        <v>2769270.833333333</v>
      </c>
      <c r="AC11" s="120">
        <f t="shared" si="2"/>
        <v>2769270.833333333</v>
      </c>
      <c r="AD11" s="120">
        <f t="shared" si="2"/>
        <v>2769270.833333333</v>
      </c>
      <c r="AE11" s="120">
        <f t="shared" si="2"/>
        <v>2769270.833333333</v>
      </c>
      <c r="AF11" s="120">
        <f t="shared" si="2"/>
        <v>2769270.833333333</v>
      </c>
      <c r="AG11" s="120">
        <f t="shared" si="2"/>
        <v>2769270.833333333</v>
      </c>
      <c r="AH11" s="120">
        <f t="shared" si="2"/>
        <v>2769270.833333333</v>
      </c>
      <c r="AI11" s="120">
        <f t="shared" si="2"/>
        <v>2769270.833333333</v>
      </c>
      <c r="AJ11" s="120">
        <f t="shared" si="2"/>
        <v>2769270.833333333</v>
      </c>
      <c r="AK11" s="120">
        <f t="shared" si="2"/>
        <v>2769270.833333333</v>
      </c>
      <c r="AL11" s="120">
        <f t="shared" si="2"/>
        <v>2769270.833333333</v>
      </c>
      <c r="AM11" s="120">
        <f t="shared" si="2"/>
        <v>2769270.833333333</v>
      </c>
      <c r="AN11" s="120">
        <f t="shared" si="2"/>
        <v>2769270.833333333</v>
      </c>
      <c r="AO11" s="120">
        <f t="shared" si="2"/>
        <v>2769270.833333333</v>
      </c>
      <c r="AP11" s="120">
        <f t="shared" si="2"/>
        <v>2769270.833333333</v>
      </c>
      <c r="AQ11" s="120">
        <f t="shared" si="2"/>
        <v>2769270.833333333</v>
      </c>
      <c r="AR11" s="120">
        <f t="shared" si="2"/>
        <v>2769270.833333333</v>
      </c>
      <c r="AS11" s="120">
        <f t="shared" si="2"/>
        <v>2769270.833333333</v>
      </c>
      <c r="AT11" s="120">
        <f t="shared" si="2"/>
        <v>2769270.833333333</v>
      </c>
      <c r="AU11" s="120">
        <f t="shared" si="2"/>
        <v>2769270.833333333</v>
      </c>
      <c r="AV11" s="120">
        <f t="shared" si="2"/>
        <v>2769270.833333333</v>
      </c>
      <c r="AW11" s="120">
        <f t="shared" si="2"/>
        <v>2769270.833333333</v>
      </c>
      <c r="AX11" s="120">
        <f t="shared" si="2"/>
        <v>2769270.833333333</v>
      </c>
      <c r="AY11" s="120">
        <f t="shared" si="2"/>
        <v>2769270.833333333</v>
      </c>
      <c r="AZ11" s="120">
        <f t="shared" si="2"/>
        <v>2769270.833333333</v>
      </c>
      <c r="BA11" s="120">
        <f t="shared" si="2"/>
        <v>2769270.833333333</v>
      </c>
      <c r="BB11" s="120">
        <f t="shared" si="2"/>
        <v>2769270.833333333</v>
      </c>
      <c r="BC11" s="120">
        <f t="shared" si="2"/>
        <v>2769270.833333333</v>
      </c>
      <c r="BD11" s="120">
        <f t="shared" si="2"/>
        <v>2769270.833333333</v>
      </c>
      <c r="BE11" s="120">
        <f t="shared" si="2"/>
        <v>2769270.833333333</v>
      </c>
      <c r="BF11" s="120">
        <f t="shared" si="2"/>
        <v>2769270.833333333</v>
      </c>
      <c r="BG11" s="120">
        <f t="shared" si="2"/>
        <v>2769270.833333333</v>
      </c>
      <c r="BH11" s="120">
        <f t="shared" si="2"/>
        <v>2769270.833333333</v>
      </c>
      <c r="BI11" s="120">
        <f t="shared" si="2"/>
        <v>2769270.833333333</v>
      </c>
      <c r="BJ11" s="120">
        <f t="shared" si="2"/>
        <v>2769270.833333333</v>
      </c>
      <c r="BK11" s="120">
        <f t="shared" si="2"/>
        <v>2769270.833333333</v>
      </c>
      <c r="BL11" s="120">
        <f t="shared" si="2"/>
        <v>2769270.833333333</v>
      </c>
      <c r="BM11" s="120">
        <f t="shared" si="2"/>
        <v>2769270.833333333</v>
      </c>
      <c r="BN11" s="120">
        <f t="shared" si="2"/>
        <v>2769270.833333333</v>
      </c>
      <c r="BO11" s="120">
        <f t="shared" si="2"/>
        <v>2769270.833333333</v>
      </c>
      <c r="BP11" s="120">
        <f t="shared" ref="BP11:DW11" si="3">SUM(BP6:BP7)</f>
        <v>2769270.833333333</v>
      </c>
      <c r="BQ11" s="120">
        <f t="shared" si="3"/>
        <v>2769270.833333333</v>
      </c>
      <c r="BR11" s="120">
        <f t="shared" si="3"/>
        <v>2769270.833333333</v>
      </c>
      <c r="BS11" s="120">
        <f t="shared" si="3"/>
        <v>2769270.833333333</v>
      </c>
      <c r="BT11" s="120">
        <f t="shared" si="3"/>
        <v>2769270.833333333</v>
      </c>
      <c r="BU11" s="120">
        <f t="shared" si="3"/>
        <v>2769270.833333333</v>
      </c>
      <c r="BV11" s="120">
        <f t="shared" si="3"/>
        <v>2769270.833333333</v>
      </c>
      <c r="BW11" s="120">
        <f t="shared" si="3"/>
        <v>2769270.833333333</v>
      </c>
      <c r="BX11" s="120">
        <f t="shared" si="3"/>
        <v>2769270.833333333</v>
      </c>
      <c r="BY11" s="120">
        <f t="shared" si="3"/>
        <v>2769270.833333333</v>
      </c>
      <c r="BZ11" s="120">
        <f t="shared" si="3"/>
        <v>2769270.833333333</v>
      </c>
      <c r="CA11" s="120">
        <f t="shared" si="3"/>
        <v>2769270.833333333</v>
      </c>
      <c r="CB11" s="120">
        <f t="shared" si="3"/>
        <v>2769270.833333333</v>
      </c>
      <c r="CC11" s="120">
        <f t="shared" si="3"/>
        <v>2769270.833333333</v>
      </c>
      <c r="CD11" s="120">
        <f t="shared" si="3"/>
        <v>2769270.833333333</v>
      </c>
      <c r="CE11" s="120">
        <f t="shared" si="3"/>
        <v>2769270.833333333</v>
      </c>
      <c r="CF11" s="120">
        <f t="shared" si="3"/>
        <v>2769270.833333333</v>
      </c>
      <c r="CG11" s="120">
        <f t="shared" si="3"/>
        <v>2769270.833333333</v>
      </c>
      <c r="CH11" s="120">
        <f t="shared" si="3"/>
        <v>2769270.833333333</v>
      </c>
      <c r="CI11" s="120">
        <f t="shared" si="3"/>
        <v>2769270.833333333</v>
      </c>
      <c r="CJ11" s="120">
        <f t="shared" si="3"/>
        <v>2769270.833333333</v>
      </c>
      <c r="CK11" s="120">
        <f t="shared" si="3"/>
        <v>2769270.833333333</v>
      </c>
      <c r="CL11" s="120">
        <f t="shared" si="3"/>
        <v>2769270.833333333</v>
      </c>
      <c r="CM11" s="120">
        <f t="shared" si="3"/>
        <v>2769270.833333333</v>
      </c>
      <c r="CN11" s="120">
        <f t="shared" si="3"/>
        <v>2769270.833333333</v>
      </c>
      <c r="CO11" s="120">
        <f t="shared" si="3"/>
        <v>2769270.833333333</v>
      </c>
      <c r="CP11" s="120">
        <f t="shared" si="3"/>
        <v>2769270.833333333</v>
      </c>
      <c r="CQ11" s="120">
        <f t="shared" si="3"/>
        <v>2769270.833333333</v>
      </c>
      <c r="CR11" s="120">
        <f t="shared" si="3"/>
        <v>2769270.833333333</v>
      </c>
      <c r="CS11" s="120">
        <f t="shared" si="3"/>
        <v>2769270.833333333</v>
      </c>
      <c r="CT11" s="120">
        <f t="shared" si="3"/>
        <v>2769270.833333333</v>
      </c>
      <c r="CU11" s="120">
        <f t="shared" si="3"/>
        <v>2769270.833333333</v>
      </c>
      <c r="CV11" s="120">
        <f t="shared" si="3"/>
        <v>2769270.833333333</v>
      </c>
      <c r="CW11" s="120">
        <f t="shared" si="3"/>
        <v>2769270.833333333</v>
      </c>
      <c r="CX11" s="120">
        <f t="shared" si="3"/>
        <v>2769270.833333333</v>
      </c>
      <c r="CY11" s="120">
        <f t="shared" si="3"/>
        <v>2769270.833333333</v>
      </c>
      <c r="CZ11" s="120">
        <f t="shared" si="3"/>
        <v>2769270.833333333</v>
      </c>
      <c r="DA11" s="120">
        <f t="shared" si="3"/>
        <v>2769270.833333333</v>
      </c>
      <c r="DB11" s="120">
        <f t="shared" si="3"/>
        <v>2769270.833333333</v>
      </c>
      <c r="DC11" s="120">
        <f t="shared" si="3"/>
        <v>2769270.833333333</v>
      </c>
      <c r="DD11" s="120">
        <f t="shared" si="3"/>
        <v>2769270.833333333</v>
      </c>
      <c r="DE11" s="120">
        <f t="shared" si="3"/>
        <v>2769270.833333333</v>
      </c>
      <c r="DF11" s="120">
        <f t="shared" si="3"/>
        <v>2769270.833333333</v>
      </c>
      <c r="DG11" s="120">
        <f t="shared" si="3"/>
        <v>2769270.833333333</v>
      </c>
      <c r="DH11" s="120">
        <f t="shared" si="3"/>
        <v>2769270.833333333</v>
      </c>
      <c r="DI11" s="120">
        <f t="shared" si="3"/>
        <v>2769270.833333333</v>
      </c>
      <c r="DJ11" s="120">
        <f t="shared" si="3"/>
        <v>2769270.833333333</v>
      </c>
      <c r="DK11" s="120">
        <f t="shared" si="3"/>
        <v>2769270.833333333</v>
      </c>
      <c r="DL11" s="120">
        <f t="shared" si="3"/>
        <v>2769270.833333333</v>
      </c>
      <c r="DM11" s="120">
        <f t="shared" si="3"/>
        <v>2769270.833333333</v>
      </c>
      <c r="DN11" s="120">
        <f t="shared" si="3"/>
        <v>2769270.833333333</v>
      </c>
      <c r="DO11" s="120">
        <f t="shared" si="3"/>
        <v>2769270.833333333</v>
      </c>
      <c r="DP11" s="120">
        <f t="shared" si="3"/>
        <v>2769270.833333333</v>
      </c>
      <c r="DQ11" s="120">
        <f t="shared" si="3"/>
        <v>2769270.833333333</v>
      </c>
      <c r="DR11" s="120">
        <f t="shared" si="3"/>
        <v>2769270.833333333</v>
      </c>
      <c r="DS11" s="120">
        <f t="shared" si="3"/>
        <v>2769270.833333333</v>
      </c>
      <c r="DT11" s="120">
        <f t="shared" si="3"/>
        <v>2769270.833333333</v>
      </c>
      <c r="DU11" s="120">
        <f t="shared" si="3"/>
        <v>2769270.833333333</v>
      </c>
      <c r="DV11" s="120">
        <f t="shared" si="3"/>
        <v>2769270.833333333</v>
      </c>
      <c r="DW11" s="120">
        <f t="shared" si="3"/>
        <v>2769270.833333333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7ABF-5D3C-4007-A6DA-41ED08D74975}">
  <sheetPr>
    <tabColor theme="8"/>
  </sheetPr>
  <dimension ref="B1:DW26"/>
  <sheetViews>
    <sheetView showGridLines="0" workbookViewId="0">
      <selection activeCell="B1" sqref="B1"/>
    </sheetView>
  </sheetViews>
  <sheetFormatPr defaultRowHeight="15" x14ac:dyDescent="0.3"/>
  <cols>
    <col min="1" max="1" width="1.7109375" style="53" customWidth="1"/>
    <col min="2" max="2" width="29.5703125" style="53" bestFit="1" customWidth="1"/>
    <col min="3" max="11" width="12.42578125" style="53" bestFit="1" customWidth="1"/>
    <col min="12" max="127" width="13.5703125" style="53" bestFit="1" customWidth="1"/>
    <col min="128" max="16384" width="9.140625" style="53"/>
  </cols>
  <sheetData>
    <row r="1" spans="2:11" s="84" customFormat="1" x14ac:dyDescent="0.3">
      <c r="B1" s="188" t="s">
        <v>300</v>
      </c>
    </row>
    <row r="2" spans="2:11" s="84" customFormat="1" ht="18" x14ac:dyDescent="0.35">
      <c r="B2" s="91" t="s">
        <v>223</v>
      </c>
      <c r="C2" s="83"/>
      <c r="D2" s="83"/>
      <c r="E2" s="83"/>
      <c r="F2" s="83"/>
      <c r="G2" s="83"/>
      <c r="H2" s="90"/>
      <c r="I2" s="90"/>
      <c r="J2" s="90"/>
      <c r="K2" s="90"/>
    </row>
    <row r="4" spans="2:11" x14ac:dyDescent="0.3">
      <c r="B4" s="138" t="s">
        <v>8</v>
      </c>
      <c r="C4" s="138"/>
    </row>
    <row r="5" spans="2:11" x14ac:dyDescent="0.3">
      <c r="B5" s="53" t="s">
        <v>9</v>
      </c>
      <c r="C5" s="62">
        <v>0.125</v>
      </c>
    </row>
    <row r="6" spans="2:11" x14ac:dyDescent="0.3">
      <c r="B6" s="53" t="s">
        <v>232</v>
      </c>
      <c r="C6" s="64">
        <v>1000</v>
      </c>
    </row>
    <row r="8" spans="2:11" x14ac:dyDescent="0.3">
      <c r="B8" s="138" t="s">
        <v>10</v>
      </c>
      <c r="C8" s="138"/>
    </row>
    <row r="9" spans="2:11" x14ac:dyDescent="0.3">
      <c r="B9" s="53" t="s">
        <v>9</v>
      </c>
      <c r="C9" s="62">
        <v>0.35499999999999998</v>
      </c>
      <c r="D9" s="56"/>
    </row>
    <row r="10" spans="2:11" x14ac:dyDescent="0.3">
      <c r="B10" s="53" t="s">
        <v>226</v>
      </c>
      <c r="C10" s="53">
        <v>50</v>
      </c>
      <c r="F10" s="56"/>
    </row>
    <row r="11" spans="2:11" x14ac:dyDescent="0.3">
      <c r="B11" s="53" t="s">
        <v>231</v>
      </c>
      <c r="C11" s="53">
        <f>+C9*C10</f>
        <v>17.75</v>
      </c>
    </row>
    <row r="12" spans="2:11" x14ac:dyDescent="0.3">
      <c r="B12" s="53" t="s">
        <v>12</v>
      </c>
      <c r="C12" s="53">
        <v>100</v>
      </c>
    </row>
    <row r="14" spans="2:11" x14ac:dyDescent="0.3">
      <c r="B14" s="53" t="s">
        <v>227</v>
      </c>
      <c r="C14" s="62">
        <f>+Assumptions!E32+Assumptions!C30</f>
        <v>0.11700000000000001</v>
      </c>
    </row>
    <row r="15" spans="2:11" x14ac:dyDescent="0.3">
      <c r="B15" s="53" t="s">
        <v>228</v>
      </c>
      <c r="C15" s="62">
        <f>+Assumptions!E21</f>
        <v>1.4658176000000002E-2</v>
      </c>
    </row>
    <row r="16" spans="2:11" x14ac:dyDescent="0.3">
      <c r="B16" s="53" t="s">
        <v>217</v>
      </c>
      <c r="C16" s="62">
        <f>+C14*0.5+C15*0.5</f>
        <v>6.5829088000000008E-2</v>
      </c>
    </row>
    <row r="18" spans="2:127" x14ac:dyDescent="0.3">
      <c r="B18" s="65" t="s">
        <v>207</v>
      </c>
    </row>
    <row r="19" spans="2:127" x14ac:dyDescent="0.3">
      <c r="B19" s="53" t="s">
        <v>172</v>
      </c>
      <c r="C19" s="53">
        <f>IF(C25&lt;=Assumptions!$F$12, Assumptions!$D$12, IF(C25&lt;=Assumptions!$F$13, Assumptions!$D$13, Assumptions!$D$14))</f>
        <v>40</v>
      </c>
      <c r="D19" s="53">
        <f>IF(D25&lt;=Assumptions!$F$12, Assumptions!$D$12, IF(D25&lt;=Assumptions!$F$13, Assumptions!$D$13, Assumptions!$D$14))</f>
        <v>40</v>
      </c>
      <c r="E19" s="53">
        <f>IF(E25&lt;=Assumptions!$F$12, Assumptions!$D$12, IF(E25&lt;=Assumptions!$F$13, Assumptions!$D$13, Assumptions!$D$14))</f>
        <v>40</v>
      </c>
      <c r="F19" s="53">
        <f>IF(F25&lt;=Assumptions!$F$12, Assumptions!$D$12, IF(F25&lt;=Assumptions!$F$13, Assumptions!$D$13, Assumptions!$D$14))</f>
        <v>40</v>
      </c>
      <c r="G19" s="53">
        <f>IF(G25&lt;=Assumptions!$F$12, Assumptions!$D$12, IF(G25&lt;=Assumptions!$F$13, Assumptions!$D$13, Assumptions!$D$14))</f>
        <v>250</v>
      </c>
      <c r="H19" s="53">
        <f>IF(H25&lt;=Assumptions!$F$12, Assumptions!$D$12, IF(H25&lt;=Assumptions!$F$13, Assumptions!$D$13, Assumptions!$D$14))</f>
        <v>250</v>
      </c>
      <c r="I19" s="53">
        <f>IF(I25&lt;=Assumptions!$F$12, Assumptions!$D$12, IF(I25&lt;=Assumptions!$F$13, Assumptions!$D$13, Assumptions!$D$14))</f>
        <v>250</v>
      </c>
      <c r="J19" s="53">
        <f>IF(J25&lt;=Assumptions!$F$12, Assumptions!$D$12, IF(J25&lt;=Assumptions!$F$13, Assumptions!$D$13, Assumptions!$D$14))</f>
        <v>250</v>
      </c>
      <c r="K19" s="53">
        <f>IF(K25&lt;=Assumptions!$F$12, Assumptions!$D$12, IF(K25&lt;=Assumptions!$F$13, Assumptions!$D$13, Assumptions!$D$14))</f>
        <v>250</v>
      </c>
      <c r="L19" s="53">
        <f>IF(L25&lt;=Assumptions!$F$12, Assumptions!$D$12, IF(L25&lt;=Assumptions!$F$13, Assumptions!$D$13, Assumptions!$D$14))</f>
        <v>500</v>
      </c>
      <c r="M19" s="53">
        <f>IF(M25&lt;=Assumptions!$F$12, Assumptions!$D$12, IF(M25&lt;=Assumptions!$F$13, Assumptions!$D$13, Assumptions!$D$14))</f>
        <v>500</v>
      </c>
      <c r="N19" s="53">
        <f>IF(N25&lt;=Assumptions!$F$12, Assumptions!$D$12, IF(N25&lt;=Assumptions!$F$13, Assumptions!$D$13, Assumptions!$D$14))</f>
        <v>500</v>
      </c>
      <c r="O19" s="53">
        <f>IF(O25&lt;=Assumptions!$F$12, Assumptions!$D$12, IF(O25&lt;=Assumptions!$F$13, Assumptions!$D$13, Assumptions!$D$14))</f>
        <v>500</v>
      </c>
      <c r="P19" s="53">
        <f>IF(P25&lt;=Assumptions!$F$12, Assumptions!$D$12, IF(P25&lt;=Assumptions!$F$13, Assumptions!$D$13, Assumptions!$D$14))</f>
        <v>500</v>
      </c>
      <c r="Q19" s="53">
        <f>IF(Q25&lt;=Assumptions!$F$12, Assumptions!$D$12, IF(Q25&lt;=Assumptions!$F$13, Assumptions!$D$13, Assumptions!$D$14))</f>
        <v>500</v>
      </c>
      <c r="R19" s="53">
        <f>IF(R25&lt;=Assumptions!$F$12, Assumptions!$D$12, IF(R25&lt;=Assumptions!$F$13, Assumptions!$D$13, Assumptions!$D$14))</f>
        <v>500</v>
      </c>
      <c r="S19" s="53">
        <f>IF(S25&lt;=Assumptions!$F$12, Assumptions!$D$12, IF(S25&lt;=Assumptions!$F$13, Assumptions!$D$13, Assumptions!$D$14))</f>
        <v>500</v>
      </c>
      <c r="T19" s="53">
        <f>IF(T25&lt;=Assumptions!$F$12, Assumptions!$D$12, IF(T25&lt;=Assumptions!$F$13, Assumptions!$D$13, Assumptions!$D$14))</f>
        <v>500</v>
      </c>
      <c r="U19" s="53">
        <f>IF(U25&lt;=Assumptions!$F$12, Assumptions!$D$12, IF(U25&lt;=Assumptions!$F$13, Assumptions!$D$13, Assumptions!$D$14))</f>
        <v>500</v>
      </c>
      <c r="V19" s="53">
        <f>IF(V25&lt;=Assumptions!$F$12, Assumptions!$D$12, IF(V25&lt;=Assumptions!$F$13, Assumptions!$D$13, Assumptions!$D$14))</f>
        <v>500</v>
      </c>
      <c r="W19" s="53">
        <f>IF(W25&lt;=Assumptions!$F$12, Assumptions!$D$12, IF(W25&lt;=Assumptions!$F$13, Assumptions!$D$13, Assumptions!$D$14))</f>
        <v>500</v>
      </c>
      <c r="X19" s="53">
        <f>IF(X25&lt;=Assumptions!$F$12, Assumptions!$D$12, IF(X25&lt;=Assumptions!$F$13, Assumptions!$D$13, Assumptions!$D$14))</f>
        <v>500</v>
      </c>
      <c r="Y19" s="53">
        <f>IF(Y25&lt;=Assumptions!$F$12, Assumptions!$D$12, IF(Y25&lt;=Assumptions!$F$13, Assumptions!$D$13, Assumptions!$D$14))</f>
        <v>500</v>
      </c>
      <c r="Z19" s="53">
        <f>IF(Z25&lt;=Assumptions!$F$12, Assumptions!$D$12, IF(Z25&lt;=Assumptions!$F$13, Assumptions!$D$13, Assumptions!$D$14))</f>
        <v>500</v>
      </c>
      <c r="AA19" s="53">
        <f>IF(AA25&lt;=Assumptions!$F$12, Assumptions!$D$12, IF(AA25&lt;=Assumptions!$F$13, Assumptions!$D$13, Assumptions!$D$14))</f>
        <v>500</v>
      </c>
      <c r="AB19" s="53">
        <f>IF(AB25&lt;=Assumptions!$F$12, Assumptions!$D$12, IF(AB25&lt;=Assumptions!$F$13, Assumptions!$D$13, Assumptions!$D$14))</f>
        <v>500</v>
      </c>
      <c r="AC19" s="53">
        <f>IF(AC25&lt;=Assumptions!$F$12, Assumptions!$D$12, IF(AC25&lt;=Assumptions!$F$13, Assumptions!$D$13, Assumptions!$D$14))</f>
        <v>500</v>
      </c>
      <c r="AD19" s="53">
        <f>IF(AD25&lt;=Assumptions!$F$12, Assumptions!$D$12, IF(AD25&lt;=Assumptions!$F$13, Assumptions!$D$13, Assumptions!$D$14))</f>
        <v>500</v>
      </c>
      <c r="AE19" s="53">
        <f>IF(AE25&lt;=Assumptions!$F$12, Assumptions!$D$12, IF(AE25&lt;=Assumptions!$F$13, Assumptions!$D$13, Assumptions!$D$14))</f>
        <v>500</v>
      </c>
      <c r="AF19" s="53">
        <f>IF(AF25&lt;=Assumptions!$F$12, Assumptions!$D$12, IF(AF25&lt;=Assumptions!$F$13, Assumptions!$D$13, Assumptions!$D$14))</f>
        <v>500</v>
      </c>
      <c r="AG19" s="53">
        <f>IF(AG25&lt;=Assumptions!$F$12, Assumptions!$D$12, IF(AG25&lt;=Assumptions!$F$13, Assumptions!$D$13, Assumptions!$D$14))</f>
        <v>500</v>
      </c>
      <c r="AH19" s="53">
        <f>IF(AH25&lt;=Assumptions!$F$12, Assumptions!$D$12, IF(AH25&lt;=Assumptions!$F$13, Assumptions!$D$13, Assumptions!$D$14))</f>
        <v>500</v>
      </c>
      <c r="AI19" s="53">
        <f>IF(AI25&lt;=Assumptions!$F$12, Assumptions!$D$12, IF(AI25&lt;=Assumptions!$F$13, Assumptions!$D$13, Assumptions!$D$14))</f>
        <v>500</v>
      </c>
      <c r="AJ19" s="53">
        <f>IF(AJ25&lt;=Assumptions!$F$12, Assumptions!$D$12, IF(AJ25&lt;=Assumptions!$F$13, Assumptions!$D$13, Assumptions!$D$14))</f>
        <v>500</v>
      </c>
      <c r="AK19" s="53">
        <f>IF(AK25&lt;=Assumptions!$F$12, Assumptions!$D$12, IF(AK25&lt;=Assumptions!$F$13, Assumptions!$D$13, Assumptions!$D$14))</f>
        <v>500</v>
      </c>
      <c r="AL19" s="53">
        <f>IF(AL25&lt;=Assumptions!$F$12, Assumptions!$D$12, IF(AL25&lt;=Assumptions!$F$13, Assumptions!$D$13, Assumptions!$D$14))</f>
        <v>500</v>
      </c>
      <c r="AM19" s="53">
        <f>IF(AM25&lt;=Assumptions!$F$12, Assumptions!$D$12, IF(AM25&lt;=Assumptions!$F$13, Assumptions!$D$13, Assumptions!$D$14))</f>
        <v>500</v>
      </c>
      <c r="AN19" s="53">
        <f>IF(AN25&lt;=Assumptions!$F$12, Assumptions!$D$12, IF(AN25&lt;=Assumptions!$F$13, Assumptions!$D$13, Assumptions!$D$14))</f>
        <v>500</v>
      </c>
      <c r="AO19" s="53">
        <f>IF(AO25&lt;=Assumptions!$F$12, Assumptions!$D$12, IF(AO25&lt;=Assumptions!$F$13, Assumptions!$D$13, Assumptions!$D$14))</f>
        <v>500</v>
      </c>
      <c r="AP19" s="53">
        <f>IF(AP25&lt;=Assumptions!$F$12, Assumptions!$D$12, IF(AP25&lt;=Assumptions!$F$13, Assumptions!$D$13, Assumptions!$D$14))</f>
        <v>500</v>
      </c>
      <c r="AQ19" s="53">
        <f>IF(AQ25&lt;=Assumptions!$F$12, Assumptions!$D$12, IF(AQ25&lt;=Assumptions!$F$13, Assumptions!$D$13, Assumptions!$D$14))</f>
        <v>500</v>
      </c>
      <c r="AR19" s="53">
        <f>IF(AR25&lt;=Assumptions!$F$12, Assumptions!$D$12, IF(AR25&lt;=Assumptions!$F$13, Assumptions!$D$13, Assumptions!$D$14))</f>
        <v>500</v>
      </c>
      <c r="AS19" s="53">
        <f>IF(AS25&lt;=Assumptions!$F$12, Assumptions!$D$12, IF(AS25&lt;=Assumptions!$F$13, Assumptions!$D$13, Assumptions!$D$14))</f>
        <v>500</v>
      </c>
      <c r="AT19" s="53">
        <f>IF(AT25&lt;=Assumptions!$F$12, Assumptions!$D$12, IF(AT25&lt;=Assumptions!$F$13, Assumptions!$D$13, Assumptions!$D$14))</f>
        <v>500</v>
      </c>
      <c r="AU19" s="53">
        <f>IF(AU25&lt;=Assumptions!$F$12, Assumptions!$D$12, IF(AU25&lt;=Assumptions!$F$13, Assumptions!$D$13, Assumptions!$D$14))</f>
        <v>500</v>
      </c>
      <c r="AV19" s="53">
        <f>IF(AV25&lt;=Assumptions!$F$12, Assumptions!$D$12, IF(AV25&lt;=Assumptions!$F$13, Assumptions!$D$13, Assumptions!$D$14))</f>
        <v>500</v>
      </c>
      <c r="AW19" s="53">
        <f>IF(AW25&lt;=Assumptions!$F$12, Assumptions!$D$12, IF(AW25&lt;=Assumptions!$F$13, Assumptions!$D$13, Assumptions!$D$14))</f>
        <v>500</v>
      </c>
      <c r="AX19" s="53">
        <f>IF(AX25&lt;=Assumptions!$F$12, Assumptions!$D$12, IF(AX25&lt;=Assumptions!$F$13, Assumptions!$D$13, Assumptions!$D$14))</f>
        <v>500</v>
      </c>
      <c r="AY19" s="53">
        <f>IF(AY25&lt;=Assumptions!$F$12, Assumptions!$D$12, IF(AY25&lt;=Assumptions!$F$13, Assumptions!$D$13, Assumptions!$D$14))</f>
        <v>500</v>
      </c>
      <c r="AZ19" s="53">
        <f>IF(AZ25&lt;=Assumptions!$F$12, Assumptions!$D$12, IF(AZ25&lt;=Assumptions!$F$13, Assumptions!$D$13, Assumptions!$D$14))</f>
        <v>500</v>
      </c>
      <c r="BA19" s="53">
        <f>IF(BA25&lt;=Assumptions!$F$12, Assumptions!$D$12, IF(BA25&lt;=Assumptions!$F$13, Assumptions!$D$13, Assumptions!$D$14))</f>
        <v>500</v>
      </c>
      <c r="BB19" s="53">
        <f>IF(BB25&lt;=Assumptions!$F$12, Assumptions!$D$12, IF(BB25&lt;=Assumptions!$F$13, Assumptions!$D$13, Assumptions!$D$14))</f>
        <v>500</v>
      </c>
      <c r="BC19" s="53">
        <f>IF(BC25&lt;=Assumptions!$F$12, Assumptions!$D$12, IF(BC25&lt;=Assumptions!$F$13, Assumptions!$D$13, Assumptions!$D$14))</f>
        <v>500</v>
      </c>
      <c r="BD19" s="53">
        <f>IF(BD25&lt;=Assumptions!$F$12, Assumptions!$D$12, IF(BD25&lt;=Assumptions!$F$13, Assumptions!$D$13, Assumptions!$D$14))</f>
        <v>500</v>
      </c>
      <c r="BE19" s="53">
        <f>IF(BE25&lt;=Assumptions!$F$12, Assumptions!$D$12, IF(BE25&lt;=Assumptions!$F$13, Assumptions!$D$13, Assumptions!$D$14))</f>
        <v>500</v>
      </c>
      <c r="BF19" s="53">
        <f>IF(BF25&lt;=Assumptions!$F$12, Assumptions!$D$12, IF(BF25&lt;=Assumptions!$F$13, Assumptions!$D$13, Assumptions!$D$14))</f>
        <v>500</v>
      </c>
      <c r="BG19" s="53">
        <f>IF(BG25&lt;=Assumptions!$F$12, Assumptions!$D$12, IF(BG25&lt;=Assumptions!$F$13, Assumptions!$D$13, Assumptions!$D$14))</f>
        <v>500</v>
      </c>
      <c r="BH19" s="53">
        <f>IF(BH25&lt;=Assumptions!$F$12, Assumptions!$D$12, IF(BH25&lt;=Assumptions!$F$13, Assumptions!$D$13, Assumptions!$D$14))</f>
        <v>500</v>
      </c>
      <c r="BI19" s="53">
        <f>IF(BI25&lt;=Assumptions!$F$12, Assumptions!$D$12, IF(BI25&lt;=Assumptions!$F$13, Assumptions!$D$13, Assumptions!$D$14))</f>
        <v>500</v>
      </c>
      <c r="BJ19" s="53">
        <f>IF(BJ25&lt;=Assumptions!$F$12, Assumptions!$D$12, IF(BJ25&lt;=Assumptions!$F$13, Assumptions!$D$13, Assumptions!$D$14))</f>
        <v>500</v>
      </c>
      <c r="BK19" s="53">
        <f>IF(BK25&lt;=Assumptions!$F$12, Assumptions!$D$12, IF(BK25&lt;=Assumptions!$F$13, Assumptions!$D$13, Assumptions!$D$14))</f>
        <v>500</v>
      </c>
      <c r="BL19" s="53">
        <f>IF(BL25&lt;=Assumptions!$F$12, Assumptions!$D$12, IF(BL25&lt;=Assumptions!$F$13, Assumptions!$D$13, Assumptions!$D$14))</f>
        <v>500</v>
      </c>
      <c r="BM19" s="53">
        <f>IF(BM25&lt;=Assumptions!$F$12, Assumptions!$D$12, IF(BM25&lt;=Assumptions!$F$13, Assumptions!$D$13, Assumptions!$D$14))</f>
        <v>500</v>
      </c>
      <c r="BN19" s="53">
        <f>IF(BN25&lt;=Assumptions!$F$12, Assumptions!$D$12, IF(BN25&lt;=Assumptions!$F$13, Assumptions!$D$13, Assumptions!$D$14))</f>
        <v>500</v>
      </c>
      <c r="BO19" s="53">
        <f>IF(BO25&lt;=Assumptions!$F$12, Assumptions!$D$12, IF(BO25&lt;=Assumptions!$F$13, Assumptions!$D$13, Assumptions!$D$14))</f>
        <v>500</v>
      </c>
      <c r="BP19" s="53">
        <f>IF(BP25&lt;=Assumptions!$F$12, Assumptions!$D$12, IF(BP25&lt;=Assumptions!$F$13, Assumptions!$D$13, Assumptions!$D$14))</f>
        <v>500</v>
      </c>
      <c r="BQ19" s="53">
        <f>IF(BQ25&lt;=Assumptions!$F$12, Assumptions!$D$12, IF(BQ25&lt;=Assumptions!$F$13, Assumptions!$D$13, Assumptions!$D$14))</f>
        <v>500</v>
      </c>
      <c r="BR19" s="53">
        <f>IF(BR25&lt;=Assumptions!$F$12, Assumptions!$D$12, IF(BR25&lt;=Assumptions!$F$13, Assumptions!$D$13, Assumptions!$D$14))</f>
        <v>500</v>
      </c>
      <c r="BS19" s="53">
        <f>IF(BS25&lt;=Assumptions!$F$12, Assumptions!$D$12, IF(BS25&lt;=Assumptions!$F$13, Assumptions!$D$13, Assumptions!$D$14))</f>
        <v>500</v>
      </c>
      <c r="BT19" s="53">
        <f>IF(BT25&lt;=Assumptions!$F$12, Assumptions!$D$12, IF(BT25&lt;=Assumptions!$F$13, Assumptions!$D$13, Assumptions!$D$14))</f>
        <v>500</v>
      </c>
      <c r="BU19" s="53">
        <f>IF(BU25&lt;=Assumptions!$F$12, Assumptions!$D$12, IF(BU25&lt;=Assumptions!$F$13, Assumptions!$D$13, Assumptions!$D$14))</f>
        <v>500</v>
      </c>
      <c r="BV19" s="53">
        <f>IF(BV25&lt;=Assumptions!$F$12, Assumptions!$D$12, IF(BV25&lt;=Assumptions!$F$13, Assumptions!$D$13, Assumptions!$D$14))</f>
        <v>500</v>
      </c>
      <c r="BW19" s="53">
        <f>IF(BW25&lt;=Assumptions!$F$12, Assumptions!$D$12, IF(BW25&lt;=Assumptions!$F$13, Assumptions!$D$13, Assumptions!$D$14))</f>
        <v>500</v>
      </c>
      <c r="BX19" s="53">
        <f>IF(BX25&lt;=Assumptions!$F$12, Assumptions!$D$12, IF(BX25&lt;=Assumptions!$F$13, Assumptions!$D$13, Assumptions!$D$14))</f>
        <v>500</v>
      </c>
      <c r="BY19" s="53">
        <f>IF(BY25&lt;=Assumptions!$F$12, Assumptions!$D$12, IF(BY25&lt;=Assumptions!$F$13, Assumptions!$D$13, Assumptions!$D$14))</f>
        <v>500</v>
      </c>
      <c r="BZ19" s="53">
        <f>IF(BZ25&lt;=Assumptions!$F$12, Assumptions!$D$12, IF(BZ25&lt;=Assumptions!$F$13, Assumptions!$D$13, Assumptions!$D$14))</f>
        <v>500</v>
      </c>
      <c r="CA19" s="53">
        <f>IF(CA25&lt;=Assumptions!$F$12, Assumptions!$D$12, IF(CA25&lt;=Assumptions!$F$13, Assumptions!$D$13, Assumptions!$D$14))</f>
        <v>500</v>
      </c>
      <c r="CB19" s="53">
        <f>IF(CB25&lt;=Assumptions!$F$12, Assumptions!$D$12, IF(CB25&lt;=Assumptions!$F$13, Assumptions!$D$13, Assumptions!$D$14))</f>
        <v>500</v>
      </c>
      <c r="CC19" s="53">
        <f>IF(CC25&lt;=Assumptions!$F$12, Assumptions!$D$12, IF(CC25&lt;=Assumptions!$F$13, Assumptions!$D$13, Assumptions!$D$14))</f>
        <v>500</v>
      </c>
      <c r="CD19" s="53">
        <f>IF(CD25&lt;=Assumptions!$F$12, Assumptions!$D$12, IF(CD25&lt;=Assumptions!$F$13, Assumptions!$D$13, Assumptions!$D$14))</f>
        <v>500</v>
      </c>
      <c r="CE19" s="53">
        <f>IF(CE25&lt;=Assumptions!$F$12, Assumptions!$D$12, IF(CE25&lt;=Assumptions!$F$13, Assumptions!$D$13, Assumptions!$D$14))</f>
        <v>500</v>
      </c>
      <c r="CF19" s="53">
        <f>IF(CF25&lt;=Assumptions!$F$12, Assumptions!$D$12, IF(CF25&lt;=Assumptions!$F$13, Assumptions!$D$13, Assumptions!$D$14))</f>
        <v>500</v>
      </c>
      <c r="CG19" s="53">
        <f>IF(CG25&lt;=Assumptions!$F$12, Assumptions!$D$12, IF(CG25&lt;=Assumptions!$F$13, Assumptions!$D$13, Assumptions!$D$14))</f>
        <v>500</v>
      </c>
      <c r="CH19" s="53">
        <f>IF(CH25&lt;=Assumptions!$F$12, Assumptions!$D$12, IF(CH25&lt;=Assumptions!$F$13, Assumptions!$D$13, Assumptions!$D$14))</f>
        <v>500</v>
      </c>
      <c r="CI19" s="53">
        <f>IF(CI25&lt;=Assumptions!$F$12, Assumptions!$D$12, IF(CI25&lt;=Assumptions!$F$13, Assumptions!$D$13, Assumptions!$D$14))</f>
        <v>500</v>
      </c>
      <c r="CJ19" s="53">
        <f>IF(CJ25&lt;=Assumptions!$F$12, Assumptions!$D$12, IF(CJ25&lt;=Assumptions!$F$13, Assumptions!$D$13, Assumptions!$D$14))</f>
        <v>500</v>
      </c>
      <c r="CK19" s="53">
        <f>IF(CK25&lt;=Assumptions!$F$12, Assumptions!$D$12, IF(CK25&lt;=Assumptions!$F$13, Assumptions!$D$13, Assumptions!$D$14))</f>
        <v>500</v>
      </c>
      <c r="CL19" s="53">
        <f>IF(CL25&lt;=Assumptions!$F$12, Assumptions!$D$12, IF(CL25&lt;=Assumptions!$F$13, Assumptions!$D$13, Assumptions!$D$14))</f>
        <v>500</v>
      </c>
      <c r="CM19" s="53">
        <f>IF(CM25&lt;=Assumptions!$F$12, Assumptions!$D$12, IF(CM25&lt;=Assumptions!$F$13, Assumptions!$D$13, Assumptions!$D$14))</f>
        <v>500</v>
      </c>
      <c r="CN19" s="53">
        <f>IF(CN25&lt;=Assumptions!$F$12, Assumptions!$D$12, IF(CN25&lt;=Assumptions!$F$13, Assumptions!$D$13, Assumptions!$D$14))</f>
        <v>500</v>
      </c>
      <c r="CO19" s="53">
        <f>IF(CO25&lt;=Assumptions!$F$12, Assumptions!$D$12, IF(CO25&lt;=Assumptions!$F$13, Assumptions!$D$13, Assumptions!$D$14))</f>
        <v>500</v>
      </c>
      <c r="CP19" s="53">
        <f>IF(CP25&lt;=Assumptions!$F$12, Assumptions!$D$12, IF(CP25&lt;=Assumptions!$F$13, Assumptions!$D$13, Assumptions!$D$14))</f>
        <v>500</v>
      </c>
      <c r="CQ19" s="53">
        <f>IF(CQ25&lt;=Assumptions!$F$12, Assumptions!$D$12, IF(CQ25&lt;=Assumptions!$F$13, Assumptions!$D$13, Assumptions!$D$14))</f>
        <v>500</v>
      </c>
      <c r="CR19" s="53">
        <f>IF(CR25&lt;=Assumptions!$F$12, Assumptions!$D$12, IF(CR25&lt;=Assumptions!$F$13, Assumptions!$D$13, Assumptions!$D$14))</f>
        <v>500</v>
      </c>
      <c r="CS19" s="53">
        <f>IF(CS25&lt;=Assumptions!$F$12, Assumptions!$D$12, IF(CS25&lt;=Assumptions!$F$13, Assumptions!$D$13, Assumptions!$D$14))</f>
        <v>500</v>
      </c>
      <c r="CT19" s="53">
        <f>IF(CT25&lt;=Assumptions!$F$12, Assumptions!$D$12, IF(CT25&lt;=Assumptions!$F$13, Assumptions!$D$13, Assumptions!$D$14))</f>
        <v>500</v>
      </c>
      <c r="CU19" s="53">
        <f>IF(CU25&lt;=Assumptions!$F$12, Assumptions!$D$12, IF(CU25&lt;=Assumptions!$F$13, Assumptions!$D$13, Assumptions!$D$14))</f>
        <v>500</v>
      </c>
      <c r="CV19" s="53">
        <f>IF(CV25&lt;=Assumptions!$F$12, Assumptions!$D$12, IF(CV25&lt;=Assumptions!$F$13, Assumptions!$D$13, Assumptions!$D$14))</f>
        <v>500</v>
      </c>
      <c r="CW19" s="53">
        <f>IF(CW25&lt;=Assumptions!$F$12, Assumptions!$D$12, IF(CW25&lt;=Assumptions!$F$13, Assumptions!$D$13, Assumptions!$D$14))</f>
        <v>500</v>
      </c>
      <c r="CX19" s="53">
        <f>IF(CX25&lt;=Assumptions!$F$12, Assumptions!$D$12, IF(CX25&lt;=Assumptions!$F$13, Assumptions!$D$13, Assumptions!$D$14))</f>
        <v>500</v>
      </c>
      <c r="CY19" s="53">
        <f>IF(CY25&lt;=Assumptions!$F$12, Assumptions!$D$12, IF(CY25&lt;=Assumptions!$F$13, Assumptions!$D$13, Assumptions!$D$14))</f>
        <v>500</v>
      </c>
      <c r="CZ19" s="53">
        <f>IF(CZ25&lt;=Assumptions!$F$12, Assumptions!$D$12, IF(CZ25&lt;=Assumptions!$F$13, Assumptions!$D$13, Assumptions!$D$14))</f>
        <v>500</v>
      </c>
      <c r="DA19" s="53">
        <f>IF(DA25&lt;=Assumptions!$F$12, Assumptions!$D$12, IF(DA25&lt;=Assumptions!$F$13, Assumptions!$D$13, Assumptions!$D$14))</f>
        <v>500</v>
      </c>
      <c r="DB19" s="53">
        <f>IF(DB25&lt;=Assumptions!$F$12, Assumptions!$D$12, IF(DB25&lt;=Assumptions!$F$13, Assumptions!$D$13, Assumptions!$D$14))</f>
        <v>500</v>
      </c>
      <c r="DC19" s="53">
        <f>IF(DC25&lt;=Assumptions!$F$12, Assumptions!$D$12, IF(DC25&lt;=Assumptions!$F$13, Assumptions!$D$13, Assumptions!$D$14))</f>
        <v>500</v>
      </c>
      <c r="DD19" s="53">
        <f>IF(DD25&lt;=Assumptions!$F$12, Assumptions!$D$12, IF(DD25&lt;=Assumptions!$F$13, Assumptions!$D$13, Assumptions!$D$14))</f>
        <v>500</v>
      </c>
      <c r="DE19" s="53">
        <f>IF(DE25&lt;=Assumptions!$F$12, Assumptions!$D$12, IF(DE25&lt;=Assumptions!$F$13, Assumptions!$D$13, Assumptions!$D$14))</f>
        <v>500</v>
      </c>
      <c r="DF19" s="53">
        <f>IF(DF25&lt;=Assumptions!$F$12, Assumptions!$D$12, IF(DF25&lt;=Assumptions!$F$13, Assumptions!$D$13, Assumptions!$D$14))</f>
        <v>500</v>
      </c>
      <c r="DG19" s="53">
        <f>IF(DG25&lt;=Assumptions!$F$12, Assumptions!$D$12, IF(DG25&lt;=Assumptions!$F$13, Assumptions!$D$13, Assumptions!$D$14))</f>
        <v>500</v>
      </c>
      <c r="DH19" s="53">
        <f>IF(DH25&lt;=Assumptions!$F$12, Assumptions!$D$12, IF(DH25&lt;=Assumptions!$F$13, Assumptions!$D$13, Assumptions!$D$14))</f>
        <v>500</v>
      </c>
      <c r="DI19" s="53">
        <f>IF(DI25&lt;=Assumptions!$F$12, Assumptions!$D$12, IF(DI25&lt;=Assumptions!$F$13, Assumptions!$D$13, Assumptions!$D$14))</f>
        <v>500</v>
      </c>
      <c r="DJ19" s="53">
        <f>IF(DJ25&lt;=Assumptions!$F$12, Assumptions!$D$12, IF(DJ25&lt;=Assumptions!$F$13, Assumptions!$D$13, Assumptions!$D$14))</f>
        <v>500</v>
      </c>
      <c r="DK19" s="53">
        <f>IF(DK25&lt;=Assumptions!$F$12, Assumptions!$D$12, IF(DK25&lt;=Assumptions!$F$13, Assumptions!$D$13, Assumptions!$D$14))</f>
        <v>500</v>
      </c>
      <c r="DL19" s="53">
        <f>IF(DL25&lt;=Assumptions!$F$12, Assumptions!$D$12, IF(DL25&lt;=Assumptions!$F$13, Assumptions!$D$13, Assumptions!$D$14))</f>
        <v>500</v>
      </c>
      <c r="DM19" s="53">
        <f>IF(DM25&lt;=Assumptions!$F$12, Assumptions!$D$12, IF(DM25&lt;=Assumptions!$F$13, Assumptions!$D$13, Assumptions!$D$14))</f>
        <v>500</v>
      </c>
      <c r="DN19" s="53">
        <f>IF(DN25&lt;=Assumptions!$F$12, Assumptions!$D$12, IF(DN25&lt;=Assumptions!$F$13, Assumptions!$D$13, Assumptions!$D$14))</f>
        <v>500</v>
      </c>
      <c r="DO19" s="53">
        <f>IF(DO25&lt;=Assumptions!$F$12, Assumptions!$D$12, IF(DO25&lt;=Assumptions!$F$13, Assumptions!$D$13, Assumptions!$D$14))</f>
        <v>500</v>
      </c>
      <c r="DP19" s="53">
        <f>IF(DP25&lt;=Assumptions!$F$12, Assumptions!$D$12, IF(DP25&lt;=Assumptions!$F$13, Assumptions!$D$13, Assumptions!$D$14))</f>
        <v>500</v>
      </c>
      <c r="DQ19" s="53">
        <f>IF(DQ25&lt;=Assumptions!$F$12, Assumptions!$D$12, IF(DQ25&lt;=Assumptions!$F$13, Assumptions!$D$13, Assumptions!$D$14))</f>
        <v>500</v>
      </c>
      <c r="DR19" s="53">
        <f>IF(DR25&lt;=Assumptions!$F$12, Assumptions!$D$12, IF(DR25&lt;=Assumptions!$F$13, Assumptions!$D$13, Assumptions!$D$14))</f>
        <v>500</v>
      </c>
      <c r="DS19" s="53">
        <f>IF(DS25&lt;=Assumptions!$F$12, Assumptions!$D$12, IF(DS25&lt;=Assumptions!$F$13, Assumptions!$D$13, Assumptions!$D$14))</f>
        <v>500</v>
      </c>
      <c r="DT19" s="53">
        <f>IF(DT25&lt;=Assumptions!$F$12, Assumptions!$D$12, IF(DT25&lt;=Assumptions!$F$13, Assumptions!$D$13, Assumptions!$D$14))</f>
        <v>500</v>
      </c>
      <c r="DU19" s="53">
        <f>IF(DU25&lt;=Assumptions!$F$12, Assumptions!$D$12, IF(DU25&lt;=Assumptions!$F$13, Assumptions!$D$13, Assumptions!$D$14))</f>
        <v>500</v>
      </c>
      <c r="DV19" s="53">
        <f>IF(DV25&lt;=Assumptions!$F$12, Assumptions!$D$12, IF(DV25&lt;=Assumptions!$F$13, Assumptions!$D$13, Assumptions!$D$14))</f>
        <v>500</v>
      </c>
      <c r="DW19" s="53">
        <f>IF(DW25&lt;=Assumptions!$F$12, Assumptions!$D$12, IF(DW25&lt;=Assumptions!$F$13, Assumptions!$D$13, Assumptions!$D$14))</f>
        <v>500</v>
      </c>
    </row>
    <row r="20" spans="2:127" x14ac:dyDescent="0.3">
      <c r="B20" s="53" t="s">
        <v>180</v>
      </c>
      <c r="C20" s="118" t="str">
        <f>IF(C25&lt;=Assumptions!$C$8,"No","Yes")</f>
        <v>No</v>
      </c>
      <c r="D20" s="118" t="str">
        <f>IF(D25&lt;=Assumptions!$C$8,"No","Yes")</f>
        <v>No</v>
      </c>
      <c r="E20" s="118" t="str">
        <f>IF(E25&lt;=Assumptions!$C$8,"No","Yes")</f>
        <v>No</v>
      </c>
      <c r="F20" s="118" t="str">
        <f>IF(F25&lt;=Assumptions!$C$8,"No","Yes")</f>
        <v>Yes</v>
      </c>
      <c r="G20" s="118" t="str">
        <f>IF(G25&lt;=Assumptions!$C$8,"No","Yes")</f>
        <v>Yes</v>
      </c>
      <c r="H20" s="118" t="str">
        <f>IF(H25&lt;=Assumptions!$C$8,"No","Yes")</f>
        <v>Yes</v>
      </c>
      <c r="I20" s="118" t="str">
        <f>IF(I25&lt;=Assumptions!$C$8,"No","Yes")</f>
        <v>Yes</v>
      </c>
      <c r="J20" s="118" t="str">
        <f>IF(J25&lt;=Assumptions!$C$8,"No","Yes")</f>
        <v>Yes</v>
      </c>
      <c r="K20" s="118" t="str">
        <f>IF(K25&lt;=Assumptions!$C$8,"No","Yes")</f>
        <v>Yes</v>
      </c>
      <c r="L20" s="118" t="str">
        <f>IF(L25&lt;=Assumptions!$C$8,"No","Yes")</f>
        <v>Yes</v>
      </c>
      <c r="M20" s="118" t="str">
        <f>IF(M25&lt;=Assumptions!$C$8,"No","Yes")</f>
        <v>Yes</v>
      </c>
      <c r="N20" s="118" t="str">
        <f>IF(N25&lt;=Assumptions!$C$8,"No","Yes")</f>
        <v>Yes</v>
      </c>
      <c r="O20" s="118" t="str">
        <f>IF(O25&lt;=Assumptions!$C$8,"No","Yes")</f>
        <v>Yes</v>
      </c>
      <c r="P20" s="118" t="str">
        <f>IF(P25&lt;=Assumptions!$C$8,"No","Yes")</f>
        <v>Yes</v>
      </c>
      <c r="Q20" s="118" t="str">
        <f>IF(Q25&lt;=Assumptions!$C$8,"No","Yes")</f>
        <v>Yes</v>
      </c>
      <c r="R20" s="118" t="str">
        <f>IF(R25&lt;=Assumptions!$C$8,"No","Yes")</f>
        <v>Yes</v>
      </c>
      <c r="S20" s="118" t="str">
        <f>IF(S25&lt;=Assumptions!$C$8,"No","Yes")</f>
        <v>Yes</v>
      </c>
      <c r="T20" s="118" t="str">
        <f>IF(T25&lt;=Assumptions!$C$8,"No","Yes")</f>
        <v>Yes</v>
      </c>
      <c r="U20" s="118" t="str">
        <f>IF(U25&lt;=Assumptions!$C$8,"No","Yes")</f>
        <v>Yes</v>
      </c>
      <c r="V20" s="118" t="str">
        <f>IF(V25&lt;=Assumptions!$C$8,"No","Yes")</f>
        <v>Yes</v>
      </c>
      <c r="W20" s="118" t="str">
        <f>IF(W25&lt;=Assumptions!$C$8,"No","Yes")</f>
        <v>Yes</v>
      </c>
      <c r="X20" s="118" t="str">
        <f>IF(X25&lt;=Assumptions!$C$8,"No","Yes")</f>
        <v>Yes</v>
      </c>
      <c r="Y20" s="118" t="str">
        <f>IF(Y25&lt;=Assumptions!$C$8,"No","Yes")</f>
        <v>Yes</v>
      </c>
      <c r="Z20" s="118" t="str">
        <f>IF(Z25&lt;=Assumptions!$C$8,"No","Yes")</f>
        <v>Yes</v>
      </c>
      <c r="AA20" s="118" t="str">
        <f>IF(AA25&lt;=Assumptions!$C$8,"No","Yes")</f>
        <v>Yes</v>
      </c>
      <c r="AB20" s="118" t="str">
        <f>IF(AB25&lt;=Assumptions!$C$8,"No","Yes")</f>
        <v>Yes</v>
      </c>
      <c r="AC20" s="118" t="str">
        <f>IF(AC25&lt;=Assumptions!$C$8,"No","Yes")</f>
        <v>Yes</v>
      </c>
      <c r="AD20" s="118" t="str">
        <f>IF(AD25&lt;=Assumptions!$C$8,"No","Yes")</f>
        <v>Yes</v>
      </c>
      <c r="AE20" s="118" t="str">
        <f>IF(AE25&lt;=Assumptions!$C$8,"No","Yes")</f>
        <v>Yes</v>
      </c>
      <c r="AF20" s="118" t="str">
        <f>IF(AF25&lt;=Assumptions!$C$8,"No","Yes")</f>
        <v>Yes</v>
      </c>
      <c r="AG20" s="118" t="str">
        <f>IF(AG25&lt;=Assumptions!$C$8,"No","Yes")</f>
        <v>Yes</v>
      </c>
      <c r="AH20" s="118" t="str">
        <f>IF(AH25&lt;=Assumptions!$C$8,"No","Yes")</f>
        <v>Yes</v>
      </c>
      <c r="AI20" s="118" t="str">
        <f>IF(AI25&lt;=Assumptions!$C$8,"No","Yes")</f>
        <v>Yes</v>
      </c>
      <c r="AJ20" s="118" t="str">
        <f>IF(AJ25&lt;=Assumptions!$C$8,"No","Yes")</f>
        <v>Yes</v>
      </c>
      <c r="AK20" s="118" t="str">
        <f>IF(AK25&lt;=Assumptions!$C$8,"No","Yes")</f>
        <v>Yes</v>
      </c>
      <c r="AL20" s="118" t="str">
        <f>IF(AL25&lt;=Assumptions!$C$8,"No","Yes")</f>
        <v>Yes</v>
      </c>
      <c r="AM20" s="118" t="str">
        <f>IF(AM25&lt;=Assumptions!$C$8,"No","Yes")</f>
        <v>Yes</v>
      </c>
      <c r="AN20" s="118" t="str">
        <f>IF(AN25&lt;=Assumptions!$C$8,"No","Yes")</f>
        <v>Yes</v>
      </c>
      <c r="AO20" s="118" t="str">
        <f>IF(AO25&lt;=Assumptions!$C$8,"No","Yes")</f>
        <v>Yes</v>
      </c>
      <c r="AP20" s="118" t="str">
        <f>IF(AP25&lt;=Assumptions!$C$8,"No","Yes")</f>
        <v>Yes</v>
      </c>
      <c r="AQ20" s="118" t="str">
        <f>IF(AQ25&lt;=Assumptions!$C$8,"No","Yes")</f>
        <v>Yes</v>
      </c>
      <c r="AR20" s="118" t="str">
        <f>IF(AR25&lt;=Assumptions!$C$8,"No","Yes")</f>
        <v>Yes</v>
      </c>
      <c r="AS20" s="118" t="str">
        <f>IF(AS25&lt;=Assumptions!$C$8,"No","Yes")</f>
        <v>Yes</v>
      </c>
      <c r="AT20" s="118" t="str">
        <f>IF(AT25&lt;=Assumptions!$C$8,"No","Yes")</f>
        <v>Yes</v>
      </c>
      <c r="AU20" s="118" t="str">
        <f>IF(AU25&lt;=Assumptions!$C$8,"No","Yes")</f>
        <v>Yes</v>
      </c>
      <c r="AV20" s="118" t="str">
        <f>IF(AV25&lt;=Assumptions!$C$8,"No","Yes")</f>
        <v>Yes</v>
      </c>
      <c r="AW20" s="118" t="str">
        <f>IF(AW25&lt;=Assumptions!$C$8,"No","Yes")</f>
        <v>Yes</v>
      </c>
      <c r="AX20" s="118" t="str">
        <f>IF(AX25&lt;=Assumptions!$C$8,"No","Yes")</f>
        <v>Yes</v>
      </c>
      <c r="AY20" s="118" t="str">
        <f>IF(AY25&lt;=Assumptions!$C$8,"No","Yes")</f>
        <v>Yes</v>
      </c>
      <c r="AZ20" s="118" t="str">
        <f>IF(AZ25&lt;=Assumptions!$C$8,"No","Yes")</f>
        <v>Yes</v>
      </c>
      <c r="BA20" s="118" t="str">
        <f>IF(BA25&lt;=Assumptions!$C$8,"No","Yes")</f>
        <v>Yes</v>
      </c>
      <c r="BB20" s="118" t="str">
        <f>IF(BB25&lt;=Assumptions!$C$8,"No","Yes")</f>
        <v>Yes</v>
      </c>
      <c r="BC20" s="118" t="str">
        <f>IF(BC25&lt;=Assumptions!$C$8,"No","Yes")</f>
        <v>Yes</v>
      </c>
      <c r="BD20" s="118" t="str">
        <f>IF(BD25&lt;=Assumptions!$C$8,"No","Yes")</f>
        <v>Yes</v>
      </c>
      <c r="BE20" s="118" t="str">
        <f>IF(BE25&lt;=Assumptions!$C$8,"No","Yes")</f>
        <v>Yes</v>
      </c>
      <c r="BF20" s="118" t="str">
        <f>IF(BF25&lt;=Assumptions!$C$8,"No","Yes")</f>
        <v>Yes</v>
      </c>
      <c r="BG20" s="118" t="str">
        <f>IF(BG25&lt;=Assumptions!$C$8,"No","Yes")</f>
        <v>Yes</v>
      </c>
      <c r="BH20" s="118" t="str">
        <f>IF(BH25&lt;=Assumptions!$C$8,"No","Yes")</f>
        <v>Yes</v>
      </c>
      <c r="BI20" s="118" t="str">
        <f>IF(BI25&lt;=Assumptions!$C$8,"No","Yes")</f>
        <v>Yes</v>
      </c>
      <c r="BJ20" s="118" t="str">
        <f>IF(BJ25&lt;=Assumptions!$C$8,"No","Yes")</f>
        <v>Yes</v>
      </c>
      <c r="BK20" s="118" t="str">
        <f>IF(BK25&lt;=Assumptions!$C$8,"No","Yes")</f>
        <v>Yes</v>
      </c>
      <c r="BL20" s="118" t="str">
        <f>IF(BL25&lt;=Assumptions!$C$8,"No","Yes")</f>
        <v>Yes</v>
      </c>
      <c r="BM20" s="118" t="str">
        <f>IF(BM25&lt;=Assumptions!$C$8,"No","Yes")</f>
        <v>Yes</v>
      </c>
      <c r="BN20" s="118" t="str">
        <f>IF(BN25&lt;=Assumptions!$C$8,"No","Yes")</f>
        <v>Yes</v>
      </c>
      <c r="BO20" s="118" t="str">
        <f>IF(BO25&lt;=Assumptions!$C$8,"No","Yes")</f>
        <v>Yes</v>
      </c>
      <c r="BP20" s="118" t="str">
        <f>IF(BP25&lt;=Assumptions!$C$8,"No","Yes")</f>
        <v>Yes</v>
      </c>
      <c r="BQ20" s="118" t="str">
        <f>IF(BQ25&lt;=Assumptions!$C$8,"No","Yes")</f>
        <v>Yes</v>
      </c>
      <c r="BR20" s="118" t="str">
        <f>IF(BR25&lt;=Assumptions!$C$8,"No","Yes")</f>
        <v>Yes</v>
      </c>
      <c r="BS20" s="118" t="str">
        <f>IF(BS25&lt;=Assumptions!$C$8,"No","Yes")</f>
        <v>Yes</v>
      </c>
      <c r="BT20" s="118" t="str">
        <f>IF(BT25&lt;=Assumptions!$C$8,"No","Yes")</f>
        <v>Yes</v>
      </c>
      <c r="BU20" s="118" t="str">
        <f>IF(BU25&lt;=Assumptions!$C$8,"No","Yes")</f>
        <v>Yes</v>
      </c>
      <c r="BV20" s="118" t="str">
        <f>IF(BV25&lt;=Assumptions!$C$8,"No","Yes")</f>
        <v>Yes</v>
      </c>
      <c r="BW20" s="118" t="str">
        <f>IF(BW25&lt;=Assumptions!$C$8,"No","Yes")</f>
        <v>Yes</v>
      </c>
      <c r="BX20" s="118" t="str">
        <f>IF(BX25&lt;=Assumptions!$C$8,"No","Yes")</f>
        <v>Yes</v>
      </c>
      <c r="BY20" s="118" t="str">
        <f>IF(BY25&lt;=Assumptions!$C$8,"No","Yes")</f>
        <v>Yes</v>
      </c>
      <c r="BZ20" s="118" t="str">
        <f>IF(BZ25&lt;=Assumptions!$C$8,"No","Yes")</f>
        <v>Yes</v>
      </c>
      <c r="CA20" s="118" t="str">
        <f>IF(CA25&lt;=Assumptions!$C$8,"No","Yes")</f>
        <v>Yes</v>
      </c>
      <c r="CB20" s="118" t="str">
        <f>IF(CB25&lt;=Assumptions!$C$8,"No","Yes")</f>
        <v>Yes</v>
      </c>
      <c r="CC20" s="118" t="str">
        <f>IF(CC25&lt;=Assumptions!$C$8,"No","Yes")</f>
        <v>Yes</v>
      </c>
      <c r="CD20" s="118" t="str">
        <f>IF(CD25&lt;=Assumptions!$C$8,"No","Yes")</f>
        <v>Yes</v>
      </c>
      <c r="CE20" s="118" t="str">
        <f>IF(CE25&lt;=Assumptions!$C$8,"No","Yes")</f>
        <v>Yes</v>
      </c>
      <c r="CF20" s="118" t="str">
        <f>IF(CF25&lt;=Assumptions!$C$8,"No","Yes")</f>
        <v>Yes</v>
      </c>
      <c r="CG20" s="118" t="str">
        <f>IF(CG25&lt;=Assumptions!$C$8,"No","Yes")</f>
        <v>Yes</v>
      </c>
      <c r="CH20" s="118" t="str">
        <f>IF(CH25&lt;=Assumptions!$C$8,"No","Yes")</f>
        <v>Yes</v>
      </c>
      <c r="CI20" s="118" t="str">
        <f>IF(CI25&lt;=Assumptions!$C$8,"No","Yes")</f>
        <v>Yes</v>
      </c>
      <c r="CJ20" s="118" t="str">
        <f>IF(CJ25&lt;=Assumptions!$C$8,"No","Yes")</f>
        <v>Yes</v>
      </c>
      <c r="CK20" s="118" t="str">
        <f>IF(CK25&lt;=Assumptions!$C$8,"No","Yes")</f>
        <v>Yes</v>
      </c>
      <c r="CL20" s="118" t="str">
        <f>IF(CL25&lt;=Assumptions!$C$8,"No","Yes")</f>
        <v>Yes</v>
      </c>
      <c r="CM20" s="118" t="str">
        <f>IF(CM25&lt;=Assumptions!$C$8,"No","Yes")</f>
        <v>Yes</v>
      </c>
      <c r="CN20" s="118" t="str">
        <f>IF(CN25&lt;=Assumptions!$C$8,"No","Yes")</f>
        <v>Yes</v>
      </c>
      <c r="CO20" s="118" t="str">
        <f>IF(CO25&lt;=Assumptions!$C$8,"No","Yes")</f>
        <v>Yes</v>
      </c>
      <c r="CP20" s="118" t="str">
        <f>IF(CP25&lt;=Assumptions!$C$8,"No","Yes")</f>
        <v>Yes</v>
      </c>
      <c r="CQ20" s="118" t="str">
        <f>IF(CQ25&lt;=Assumptions!$C$8,"No","Yes")</f>
        <v>Yes</v>
      </c>
      <c r="CR20" s="118" t="str">
        <f>IF(CR25&lt;=Assumptions!$C$8,"No","Yes")</f>
        <v>Yes</v>
      </c>
      <c r="CS20" s="118" t="str">
        <f>IF(CS25&lt;=Assumptions!$C$8,"No","Yes")</f>
        <v>Yes</v>
      </c>
      <c r="CT20" s="118" t="str">
        <f>IF(CT25&lt;=Assumptions!$C$8,"No","Yes")</f>
        <v>Yes</v>
      </c>
      <c r="CU20" s="118" t="str">
        <f>IF(CU25&lt;=Assumptions!$C$8,"No","Yes")</f>
        <v>Yes</v>
      </c>
      <c r="CV20" s="118" t="str">
        <f>IF(CV25&lt;=Assumptions!$C$8,"No","Yes")</f>
        <v>Yes</v>
      </c>
      <c r="CW20" s="118" t="str">
        <f>IF(CW25&lt;=Assumptions!$C$8,"No","Yes")</f>
        <v>Yes</v>
      </c>
      <c r="CX20" s="118" t="str">
        <f>IF(CX25&lt;=Assumptions!$C$8,"No","Yes")</f>
        <v>Yes</v>
      </c>
      <c r="CY20" s="118" t="str">
        <f>IF(CY25&lt;=Assumptions!$C$8,"No","Yes")</f>
        <v>Yes</v>
      </c>
      <c r="CZ20" s="118" t="str">
        <f>IF(CZ25&lt;=Assumptions!$C$8,"No","Yes")</f>
        <v>Yes</v>
      </c>
      <c r="DA20" s="118" t="str">
        <f>IF(DA25&lt;=Assumptions!$C$8,"No","Yes")</f>
        <v>Yes</v>
      </c>
      <c r="DB20" s="118" t="str">
        <f>IF(DB25&lt;=Assumptions!$C$8,"No","Yes")</f>
        <v>Yes</v>
      </c>
      <c r="DC20" s="118" t="str">
        <f>IF(DC25&lt;=Assumptions!$C$8,"No","Yes")</f>
        <v>Yes</v>
      </c>
      <c r="DD20" s="118" t="str">
        <f>IF(DD25&lt;=Assumptions!$C$8,"No","Yes")</f>
        <v>Yes</v>
      </c>
      <c r="DE20" s="118" t="str">
        <f>IF(DE25&lt;=Assumptions!$C$8,"No","Yes")</f>
        <v>Yes</v>
      </c>
      <c r="DF20" s="118" t="str">
        <f>IF(DF25&lt;=Assumptions!$C$8,"No","Yes")</f>
        <v>Yes</v>
      </c>
      <c r="DG20" s="118" t="str">
        <f>IF(DG25&lt;=Assumptions!$C$8,"No","Yes")</f>
        <v>Yes</v>
      </c>
      <c r="DH20" s="118" t="str">
        <f>IF(DH25&lt;=Assumptions!$C$8,"No","Yes")</f>
        <v>Yes</v>
      </c>
      <c r="DI20" s="118" t="str">
        <f>IF(DI25&lt;=Assumptions!$C$8,"No","Yes")</f>
        <v>Yes</v>
      </c>
      <c r="DJ20" s="118" t="str">
        <f>IF(DJ25&lt;=Assumptions!$C$8,"No","Yes")</f>
        <v>Yes</v>
      </c>
      <c r="DK20" s="118" t="str">
        <f>IF(DK25&lt;=Assumptions!$C$8,"No","Yes")</f>
        <v>Yes</v>
      </c>
      <c r="DL20" s="118" t="str">
        <f>IF(DL25&lt;=Assumptions!$C$8,"No","Yes")</f>
        <v>Yes</v>
      </c>
      <c r="DM20" s="118" t="str">
        <f>IF(DM25&lt;=Assumptions!$C$8,"No","Yes")</f>
        <v>Yes</v>
      </c>
      <c r="DN20" s="118" t="str">
        <f>IF(DN25&lt;=Assumptions!$C$8,"No","Yes")</f>
        <v>Yes</v>
      </c>
      <c r="DO20" s="118" t="str">
        <f>IF(DO25&lt;=Assumptions!$C$8,"No","Yes")</f>
        <v>Yes</v>
      </c>
      <c r="DP20" s="118" t="str">
        <f>IF(DP25&lt;=Assumptions!$C$8,"No","Yes")</f>
        <v>Yes</v>
      </c>
      <c r="DQ20" s="118" t="str">
        <f>IF(DQ25&lt;=Assumptions!$C$8,"No","Yes")</f>
        <v>Yes</v>
      </c>
      <c r="DR20" s="118" t="str">
        <f>IF(DR25&lt;=Assumptions!$C$8,"No","Yes")</f>
        <v>Yes</v>
      </c>
      <c r="DS20" s="118" t="str">
        <f>IF(DS25&lt;=Assumptions!$C$8,"No","Yes")</f>
        <v>Yes</v>
      </c>
      <c r="DT20" s="118" t="str">
        <f>IF(DT25&lt;=Assumptions!$C$8,"No","Yes")</f>
        <v>Yes</v>
      </c>
      <c r="DU20" s="118" t="str">
        <f>IF(DU25&lt;=Assumptions!$C$8,"No","Yes")</f>
        <v>Yes</v>
      </c>
      <c r="DV20" s="118" t="str">
        <f>IF(DV25&lt;=Assumptions!$C$8,"No","Yes")</f>
        <v>Yes</v>
      </c>
      <c r="DW20" s="118" t="str">
        <f>IF(DW25&lt;=Assumptions!$C$8,"No","Yes")</f>
        <v>Yes</v>
      </c>
    </row>
    <row r="21" spans="2:127" x14ac:dyDescent="0.3">
      <c r="B21" s="53" t="s">
        <v>229</v>
      </c>
      <c r="C21" s="56">
        <f>IF(C20="No",$C$14,$C$16)*C19*Assumptions!$C$7/12</f>
        <v>126.75000000000001</v>
      </c>
      <c r="D21" s="56">
        <f>IF(D20="No",$C$14,$C$16)*D19*Assumptions!$C$7/12</f>
        <v>126.75000000000001</v>
      </c>
      <c r="E21" s="56">
        <f>IF(E20="No",$C$14,$C$16)*E19*Assumptions!$C$7/12</f>
        <v>126.75000000000001</v>
      </c>
      <c r="F21" s="56">
        <f>IF(F20="No",$C$14,$C$16)*F19*Assumptions!$C$7/12</f>
        <v>71.314845333333338</v>
      </c>
      <c r="G21" s="56">
        <f>IF(G20="No",$C$14,$C$16)*G19*Assumptions!$C$7/12</f>
        <v>445.71778333333344</v>
      </c>
      <c r="H21" s="56">
        <f>IF(H20="No",$C$14,$C$16)*H19*Assumptions!$C$7/12</f>
        <v>445.71778333333344</v>
      </c>
      <c r="I21" s="56">
        <f>IF(I20="No",$C$14,$C$16)*I19*Assumptions!$C$7/12</f>
        <v>445.71778333333344</v>
      </c>
      <c r="J21" s="56">
        <f>IF(J20="No",$C$14,$C$16)*J19*Assumptions!$C$7/12</f>
        <v>445.71778333333344</v>
      </c>
      <c r="K21" s="56">
        <f>IF(K20="No",$C$14,$C$16)*K19*Assumptions!$C$7/12</f>
        <v>445.71778333333344</v>
      </c>
      <c r="L21" s="56">
        <f>IF(L20="No",$C$14,$C$16)*L19*Assumptions!$C$7/12</f>
        <v>891.43556666666689</v>
      </c>
      <c r="M21" s="56">
        <f>IF(M20="No",$C$14,$C$16)*M19*Assumptions!$C$7/12</f>
        <v>891.43556666666689</v>
      </c>
      <c r="N21" s="56">
        <f>IF(N20="No",$C$14,$C$16)*N19*Assumptions!$C$7/12</f>
        <v>891.43556666666689</v>
      </c>
      <c r="O21" s="56">
        <f>IF(O20="No",$C$14,$C$16)*O19*Assumptions!$C$7/12</f>
        <v>891.43556666666689</v>
      </c>
      <c r="P21" s="56">
        <f>IF(P20="No",$C$14,$C$16)*P19*Assumptions!$C$7/12</f>
        <v>891.43556666666689</v>
      </c>
      <c r="Q21" s="56">
        <f>IF(Q20="No",$C$14,$C$16)*Q19*Assumptions!$C$7/12</f>
        <v>891.43556666666689</v>
      </c>
      <c r="R21" s="56">
        <f>IF(R20="No",$C$14,$C$16)*R19*Assumptions!$C$7/12</f>
        <v>891.43556666666689</v>
      </c>
      <c r="S21" s="56">
        <f>IF(S20="No",$C$14,$C$16)*S19*Assumptions!$C$7/12</f>
        <v>891.43556666666689</v>
      </c>
      <c r="T21" s="56">
        <f>IF(T20="No",$C$14,$C$16)*T19*Assumptions!$C$7/12</f>
        <v>891.43556666666689</v>
      </c>
      <c r="U21" s="56">
        <f>IF(U20="No",$C$14,$C$16)*U19*Assumptions!$C$7/12</f>
        <v>891.43556666666689</v>
      </c>
      <c r="V21" s="56">
        <f>IF(V20="No",$C$14,$C$16)*V19*Assumptions!$C$7/12</f>
        <v>891.43556666666689</v>
      </c>
      <c r="W21" s="56">
        <f>IF(W20="No",$C$14,$C$16)*W19*Assumptions!$C$7/12</f>
        <v>891.43556666666689</v>
      </c>
      <c r="X21" s="56">
        <f>IF(X20="No",$C$14,$C$16)*X19*Assumptions!$C$7/12</f>
        <v>891.43556666666689</v>
      </c>
      <c r="Y21" s="56">
        <f>IF(Y20="No",$C$14,$C$16)*Y19*Assumptions!$C$7/12</f>
        <v>891.43556666666689</v>
      </c>
      <c r="Z21" s="56">
        <f>IF(Z20="No",$C$14,$C$16)*Z19*Assumptions!$C$7/12</f>
        <v>891.43556666666689</v>
      </c>
      <c r="AA21" s="56">
        <f>IF(AA20="No",$C$14,$C$16)*AA19*Assumptions!$C$7/12</f>
        <v>891.43556666666689</v>
      </c>
      <c r="AB21" s="56">
        <f>IF(AB20="No",$C$14,$C$16)*AB19*Assumptions!$C$7/12</f>
        <v>891.43556666666689</v>
      </c>
      <c r="AC21" s="56">
        <f>IF(AC20="No",$C$14,$C$16)*AC19*Assumptions!$C$7/12</f>
        <v>891.43556666666689</v>
      </c>
      <c r="AD21" s="56">
        <f>IF(AD20="No",$C$14,$C$16)*AD19*Assumptions!$C$7/12</f>
        <v>891.43556666666689</v>
      </c>
      <c r="AE21" s="56">
        <f>IF(AE20="No",$C$14,$C$16)*AE19*Assumptions!$C$7/12</f>
        <v>891.43556666666689</v>
      </c>
      <c r="AF21" s="56">
        <f>IF(AF20="No",$C$14,$C$16)*AF19*Assumptions!$C$7/12</f>
        <v>891.43556666666689</v>
      </c>
      <c r="AG21" s="56">
        <f>IF(AG20="No",$C$14,$C$16)*AG19*Assumptions!$C$7/12</f>
        <v>891.43556666666689</v>
      </c>
      <c r="AH21" s="56">
        <f>IF(AH20="No",$C$14,$C$16)*AH19*Assumptions!$C$7/12</f>
        <v>891.43556666666689</v>
      </c>
      <c r="AI21" s="56">
        <f>IF(AI20="No",$C$14,$C$16)*AI19*Assumptions!$C$7/12</f>
        <v>891.43556666666689</v>
      </c>
      <c r="AJ21" s="56">
        <f>IF(AJ20="No",$C$14,$C$16)*AJ19*Assumptions!$C$7/12</f>
        <v>891.43556666666689</v>
      </c>
      <c r="AK21" s="56">
        <f>IF(AK20="No",$C$14,$C$16)*AK19*Assumptions!$C$7/12</f>
        <v>891.43556666666689</v>
      </c>
      <c r="AL21" s="56">
        <f>IF(AL20="No",$C$14,$C$16)*AL19*Assumptions!$C$7/12</f>
        <v>891.43556666666689</v>
      </c>
      <c r="AM21" s="56">
        <f>IF(AM20="No",$C$14,$C$16)*AM19*Assumptions!$C$7/12</f>
        <v>891.43556666666689</v>
      </c>
      <c r="AN21" s="56">
        <f>IF(AN20="No",$C$14,$C$16)*AN19*Assumptions!$C$7/12</f>
        <v>891.43556666666689</v>
      </c>
      <c r="AO21" s="56">
        <f>IF(AO20="No",$C$14,$C$16)*AO19*Assumptions!$C$7/12</f>
        <v>891.43556666666689</v>
      </c>
      <c r="AP21" s="56">
        <f>IF(AP20="No",$C$14,$C$16)*AP19*Assumptions!$C$7/12</f>
        <v>891.43556666666689</v>
      </c>
      <c r="AQ21" s="56">
        <f>IF(AQ20="No",$C$14,$C$16)*AQ19*Assumptions!$C$7/12</f>
        <v>891.43556666666689</v>
      </c>
      <c r="AR21" s="56">
        <f>IF(AR20="No",$C$14,$C$16)*AR19*Assumptions!$C$7/12</f>
        <v>891.43556666666689</v>
      </c>
      <c r="AS21" s="56">
        <f>IF(AS20="No",$C$14,$C$16)*AS19*Assumptions!$C$7/12</f>
        <v>891.43556666666689</v>
      </c>
      <c r="AT21" s="56">
        <f>IF(AT20="No",$C$14,$C$16)*AT19*Assumptions!$C$7/12</f>
        <v>891.43556666666689</v>
      </c>
      <c r="AU21" s="56">
        <f>IF(AU20="No",$C$14,$C$16)*AU19*Assumptions!$C$7/12</f>
        <v>891.43556666666689</v>
      </c>
      <c r="AV21" s="56">
        <f>IF(AV20="No",$C$14,$C$16)*AV19*Assumptions!$C$7/12</f>
        <v>891.43556666666689</v>
      </c>
      <c r="AW21" s="56">
        <f>IF(AW20="No",$C$14,$C$16)*AW19*Assumptions!$C$7/12</f>
        <v>891.43556666666689</v>
      </c>
      <c r="AX21" s="56">
        <f>IF(AX20="No",$C$14,$C$16)*AX19*Assumptions!$C$7/12</f>
        <v>891.43556666666689</v>
      </c>
      <c r="AY21" s="56">
        <f>IF(AY20="No",$C$14,$C$16)*AY19*Assumptions!$C$7/12</f>
        <v>891.43556666666689</v>
      </c>
      <c r="AZ21" s="56">
        <f>IF(AZ20="No",$C$14,$C$16)*AZ19*Assumptions!$C$7/12</f>
        <v>891.43556666666689</v>
      </c>
      <c r="BA21" s="56">
        <f>IF(BA20="No",$C$14,$C$16)*BA19*Assumptions!$C$7/12</f>
        <v>891.43556666666689</v>
      </c>
      <c r="BB21" s="56">
        <f>IF(BB20="No",$C$14,$C$16)*BB19*Assumptions!$C$7/12</f>
        <v>891.43556666666689</v>
      </c>
      <c r="BC21" s="56">
        <f>IF(BC20="No",$C$14,$C$16)*BC19*Assumptions!$C$7/12</f>
        <v>891.43556666666689</v>
      </c>
      <c r="BD21" s="56">
        <f>IF(BD20="No",$C$14,$C$16)*BD19*Assumptions!$C$7/12</f>
        <v>891.43556666666689</v>
      </c>
      <c r="BE21" s="56">
        <f>IF(BE20="No",$C$14,$C$16)*BE19*Assumptions!$C$7/12</f>
        <v>891.43556666666689</v>
      </c>
      <c r="BF21" s="56">
        <f>IF(BF20="No",$C$14,$C$16)*BF19*Assumptions!$C$7/12</f>
        <v>891.43556666666689</v>
      </c>
      <c r="BG21" s="56">
        <f>IF(BG20="No",$C$14,$C$16)*BG19*Assumptions!$C$7/12</f>
        <v>891.43556666666689</v>
      </c>
      <c r="BH21" s="56">
        <f>IF(BH20="No",$C$14,$C$16)*BH19*Assumptions!$C$7/12</f>
        <v>891.43556666666689</v>
      </c>
      <c r="BI21" s="56">
        <f>IF(BI20="No",$C$14,$C$16)*BI19*Assumptions!$C$7/12</f>
        <v>891.43556666666689</v>
      </c>
      <c r="BJ21" s="56">
        <f>IF(BJ20="No",$C$14,$C$16)*BJ19*Assumptions!$C$7/12</f>
        <v>891.43556666666689</v>
      </c>
      <c r="BK21" s="56">
        <f>IF(BK20="No",$C$14,$C$16)*BK19*Assumptions!$C$7/12</f>
        <v>891.43556666666689</v>
      </c>
      <c r="BL21" s="56">
        <f>IF(BL20="No",$C$14,$C$16)*BL19*Assumptions!$C$7/12</f>
        <v>891.43556666666689</v>
      </c>
      <c r="BM21" s="56">
        <f>IF(BM20="No",$C$14,$C$16)*BM19*Assumptions!$C$7/12</f>
        <v>891.43556666666689</v>
      </c>
      <c r="BN21" s="56">
        <f>IF(BN20="No",$C$14,$C$16)*BN19*Assumptions!$C$7/12</f>
        <v>891.43556666666689</v>
      </c>
      <c r="BO21" s="56">
        <f>IF(BO20="No",$C$14,$C$16)*BO19*Assumptions!$C$7/12</f>
        <v>891.43556666666689</v>
      </c>
      <c r="BP21" s="56">
        <f>IF(BP20="No",$C$14,$C$16)*BP19*Assumptions!$C$7/12</f>
        <v>891.43556666666689</v>
      </c>
      <c r="BQ21" s="56">
        <f>IF(BQ20="No",$C$14,$C$16)*BQ19*Assumptions!$C$7/12</f>
        <v>891.43556666666689</v>
      </c>
      <c r="BR21" s="56">
        <f>IF(BR20="No",$C$14,$C$16)*BR19*Assumptions!$C$7/12</f>
        <v>891.43556666666689</v>
      </c>
      <c r="BS21" s="56">
        <f>IF(BS20="No",$C$14,$C$16)*BS19*Assumptions!$C$7/12</f>
        <v>891.43556666666689</v>
      </c>
      <c r="BT21" s="56">
        <f>IF(BT20="No",$C$14,$C$16)*BT19*Assumptions!$C$7/12</f>
        <v>891.43556666666689</v>
      </c>
      <c r="BU21" s="56">
        <f>IF(BU20="No",$C$14,$C$16)*BU19*Assumptions!$C$7/12</f>
        <v>891.43556666666689</v>
      </c>
      <c r="BV21" s="56">
        <f>IF(BV20="No",$C$14,$C$16)*BV19*Assumptions!$C$7/12</f>
        <v>891.43556666666689</v>
      </c>
      <c r="BW21" s="56">
        <f>IF(BW20="No",$C$14,$C$16)*BW19*Assumptions!$C$7/12</f>
        <v>891.43556666666689</v>
      </c>
      <c r="BX21" s="56">
        <f>IF(BX20="No",$C$14,$C$16)*BX19*Assumptions!$C$7/12</f>
        <v>891.43556666666689</v>
      </c>
      <c r="BY21" s="56">
        <f>IF(BY20="No",$C$14,$C$16)*BY19*Assumptions!$C$7/12</f>
        <v>891.43556666666689</v>
      </c>
      <c r="BZ21" s="56">
        <f>IF(BZ20="No",$C$14,$C$16)*BZ19*Assumptions!$C$7/12</f>
        <v>891.43556666666689</v>
      </c>
      <c r="CA21" s="56">
        <f>IF(CA20="No",$C$14,$C$16)*CA19*Assumptions!$C$7/12</f>
        <v>891.43556666666689</v>
      </c>
      <c r="CB21" s="56">
        <f>IF(CB20="No",$C$14,$C$16)*CB19*Assumptions!$C$7/12</f>
        <v>891.43556666666689</v>
      </c>
      <c r="CC21" s="56">
        <f>IF(CC20="No",$C$14,$C$16)*CC19*Assumptions!$C$7/12</f>
        <v>891.43556666666689</v>
      </c>
      <c r="CD21" s="56">
        <f>IF(CD20="No",$C$14,$C$16)*CD19*Assumptions!$C$7/12</f>
        <v>891.43556666666689</v>
      </c>
      <c r="CE21" s="56">
        <f>IF(CE20="No",$C$14,$C$16)*CE19*Assumptions!$C$7/12</f>
        <v>891.43556666666689</v>
      </c>
      <c r="CF21" s="56">
        <f>IF(CF20="No",$C$14,$C$16)*CF19*Assumptions!$C$7/12</f>
        <v>891.43556666666689</v>
      </c>
      <c r="CG21" s="56">
        <f>IF(CG20="No",$C$14,$C$16)*CG19*Assumptions!$C$7/12</f>
        <v>891.43556666666689</v>
      </c>
      <c r="CH21" s="56">
        <f>IF(CH20="No",$C$14,$C$16)*CH19*Assumptions!$C$7/12</f>
        <v>891.43556666666689</v>
      </c>
      <c r="CI21" s="56">
        <f>IF(CI20="No",$C$14,$C$16)*CI19*Assumptions!$C$7/12</f>
        <v>891.43556666666689</v>
      </c>
      <c r="CJ21" s="56">
        <f>IF(CJ20="No",$C$14,$C$16)*CJ19*Assumptions!$C$7/12</f>
        <v>891.43556666666689</v>
      </c>
      <c r="CK21" s="56">
        <f>IF(CK20="No",$C$14,$C$16)*CK19*Assumptions!$C$7/12</f>
        <v>891.43556666666689</v>
      </c>
      <c r="CL21" s="56">
        <f>IF(CL20="No",$C$14,$C$16)*CL19*Assumptions!$C$7/12</f>
        <v>891.43556666666689</v>
      </c>
      <c r="CM21" s="56">
        <f>IF(CM20="No",$C$14,$C$16)*CM19*Assumptions!$C$7/12</f>
        <v>891.43556666666689</v>
      </c>
      <c r="CN21" s="56">
        <f>IF(CN20="No",$C$14,$C$16)*CN19*Assumptions!$C$7/12</f>
        <v>891.43556666666689</v>
      </c>
      <c r="CO21" s="56">
        <f>IF(CO20="No",$C$14,$C$16)*CO19*Assumptions!$C$7/12</f>
        <v>891.43556666666689</v>
      </c>
      <c r="CP21" s="56">
        <f>IF(CP20="No",$C$14,$C$16)*CP19*Assumptions!$C$7/12</f>
        <v>891.43556666666689</v>
      </c>
      <c r="CQ21" s="56">
        <f>IF(CQ20="No",$C$14,$C$16)*CQ19*Assumptions!$C$7/12</f>
        <v>891.43556666666689</v>
      </c>
      <c r="CR21" s="56">
        <f>IF(CR20="No",$C$14,$C$16)*CR19*Assumptions!$C$7/12</f>
        <v>891.43556666666689</v>
      </c>
      <c r="CS21" s="56">
        <f>IF(CS20="No",$C$14,$C$16)*CS19*Assumptions!$C$7/12</f>
        <v>891.43556666666689</v>
      </c>
      <c r="CT21" s="56">
        <f>IF(CT20="No",$C$14,$C$16)*CT19*Assumptions!$C$7/12</f>
        <v>891.43556666666689</v>
      </c>
      <c r="CU21" s="56">
        <f>IF(CU20="No",$C$14,$C$16)*CU19*Assumptions!$C$7/12</f>
        <v>891.43556666666689</v>
      </c>
      <c r="CV21" s="56">
        <f>IF(CV20="No",$C$14,$C$16)*CV19*Assumptions!$C$7/12</f>
        <v>891.43556666666689</v>
      </c>
      <c r="CW21" s="56">
        <f>IF(CW20="No",$C$14,$C$16)*CW19*Assumptions!$C$7/12</f>
        <v>891.43556666666689</v>
      </c>
      <c r="CX21" s="56">
        <f>IF(CX20="No",$C$14,$C$16)*CX19*Assumptions!$C$7/12</f>
        <v>891.43556666666689</v>
      </c>
      <c r="CY21" s="56">
        <f>IF(CY20="No",$C$14,$C$16)*CY19*Assumptions!$C$7/12</f>
        <v>891.43556666666689</v>
      </c>
      <c r="CZ21" s="56">
        <f>IF(CZ20="No",$C$14,$C$16)*CZ19*Assumptions!$C$7/12</f>
        <v>891.43556666666689</v>
      </c>
      <c r="DA21" s="56">
        <f>IF(DA20="No",$C$14,$C$16)*DA19*Assumptions!$C$7/12</f>
        <v>891.43556666666689</v>
      </c>
      <c r="DB21" s="56">
        <f>IF(DB20="No",$C$14,$C$16)*DB19*Assumptions!$C$7/12</f>
        <v>891.43556666666689</v>
      </c>
      <c r="DC21" s="56">
        <f>IF(DC20="No",$C$14,$C$16)*DC19*Assumptions!$C$7/12</f>
        <v>891.43556666666689</v>
      </c>
      <c r="DD21" s="56">
        <f>IF(DD20="No",$C$14,$C$16)*DD19*Assumptions!$C$7/12</f>
        <v>891.43556666666689</v>
      </c>
      <c r="DE21" s="56">
        <f>IF(DE20="No",$C$14,$C$16)*DE19*Assumptions!$C$7/12</f>
        <v>891.43556666666689</v>
      </c>
      <c r="DF21" s="56">
        <f>IF(DF20="No",$C$14,$C$16)*DF19*Assumptions!$C$7/12</f>
        <v>891.43556666666689</v>
      </c>
      <c r="DG21" s="56">
        <f>IF(DG20="No",$C$14,$C$16)*DG19*Assumptions!$C$7/12</f>
        <v>891.43556666666689</v>
      </c>
      <c r="DH21" s="56">
        <f>IF(DH20="No",$C$14,$C$16)*DH19*Assumptions!$C$7/12</f>
        <v>891.43556666666689</v>
      </c>
      <c r="DI21" s="56">
        <f>IF(DI20="No",$C$14,$C$16)*DI19*Assumptions!$C$7/12</f>
        <v>891.43556666666689</v>
      </c>
      <c r="DJ21" s="56">
        <f>IF(DJ20="No",$C$14,$C$16)*DJ19*Assumptions!$C$7/12</f>
        <v>891.43556666666689</v>
      </c>
      <c r="DK21" s="56">
        <f>IF(DK20="No",$C$14,$C$16)*DK19*Assumptions!$C$7/12</f>
        <v>891.43556666666689</v>
      </c>
      <c r="DL21" s="56">
        <f>IF(DL20="No",$C$14,$C$16)*DL19*Assumptions!$C$7/12</f>
        <v>891.43556666666689</v>
      </c>
      <c r="DM21" s="56">
        <f>IF(DM20="No",$C$14,$C$16)*DM19*Assumptions!$C$7/12</f>
        <v>891.43556666666689</v>
      </c>
      <c r="DN21" s="56">
        <f>IF(DN20="No",$C$14,$C$16)*DN19*Assumptions!$C$7/12</f>
        <v>891.43556666666689</v>
      </c>
      <c r="DO21" s="56">
        <f>IF(DO20="No",$C$14,$C$16)*DO19*Assumptions!$C$7/12</f>
        <v>891.43556666666689</v>
      </c>
      <c r="DP21" s="56">
        <f>IF(DP20="No",$C$14,$C$16)*DP19*Assumptions!$C$7/12</f>
        <v>891.43556666666689</v>
      </c>
      <c r="DQ21" s="56">
        <f>IF(DQ20="No",$C$14,$C$16)*DQ19*Assumptions!$C$7/12</f>
        <v>891.43556666666689</v>
      </c>
      <c r="DR21" s="56">
        <f>IF(DR20="No",$C$14,$C$16)*DR19*Assumptions!$C$7/12</f>
        <v>891.43556666666689</v>
      </c>
      <c r="DS21" s="56">
        <f>IF(DS20="No",$C$14,$C$16)*DS19*Assumptions!$C$7/12</f>
        <v>891.43556666666689</v>
      </c>
      <c r="DT21" s="56">
        <f>IF(DT20="No",$C$14,$C$16)*DT19*Assumptions!$C$7/12</f>
        <v>891.43556666666689</v>
      </c>
      <c r="DU21" s="56">
        <f>IF(DU20="No",$C$14,$C$16)*DU19*Assumptions!$C$7/12</f>
        <v>891.43556666666689</v>
      </c>
      <c r="DV21" s="56">
        <f>IF(DV20="No",$C$14,$C$16)*DV19*Assumptions!$C$7/12</f>
        <v>891.43556666666689</v>
      </c>
      <c r="DW21" s="56">
        <f>IF(DW20="No",$C$14,$C$16)*DW19*Assumptions!$C$7/12</f>
        <v>891.43556666666689</v>
      </c>
    </row>
    <row r="22" spans="2:127" x14ac:dyDescent="0.3">
      <c r="B22" s="53" t="s">
        <v>230</v>
      </c>
      <c r="C22" s="119">
        <f>+C21/$C$5*$C$6</f>
        <v>1014000.0000000001</v>
      </c>
      <c r="D22" s="119">
        <f t="shared" ref="D22:BO22" si="0">+D21/$C$5*$C$6</f>
        <v>1014000.0000000001</v>
      </c>
      <c r="E22" s="119">
        <f t="shared" si="0"/>
        <v>1014000.0000000001</v>
      </c>
      <c r="F22" s="119">
        <f t="shared" si="0"/>
        <v>570518.76266666665</v>
      </c>
      <c r="G22" s="119">
        <f t="shared" si="0"/>
        <v>3565742.2666666675</v>
      </c>
      <c r="H22" s="119">
        <f t="shared" si="0"/>
        <v>3565742.2666666675</v>
      </c>
      <c r="I22" s="119">
        <f t="shared" si="0"/>
        <v>3565742.2666666675</v>
      </c>
      <c r="J22" s="119">
        <f t="shared" si="0"/>
        <v>3565742.2666666675</v>
      </c>
      <c r="K22" s="119">
        <f t="shared" si="0"/>
        <v>3565742.2666666675</v>
      </c>
      <c r="L22" s="119">
        <f t="shared" si="0"/>
        <v>7131484.5333333351</v>
      </c>
      <c r="M22" s="119">
        <f t="shared" si="0"/>
        <v>7131484.5333333351</v>
      </c>
      <c r="N22" s="119">
        <f t="shared" si="0"/>
        <v>7131484.5333333351</v>
      </c>
      <c r="O22" s="119">
        <f t="shared" si="0"/>
        <v>7131484.5333333351</v>
      </c>
      <c r="P22" s="119">
        <f t="shared" si="0"/>
        <v>7131484.5333333351</v>
      </c>
      <c r="Q22" s="119">
        <f t="shared" si="0"/>
        <v>7131484.5333333351</v>
      </c>
      <c r="R22" s="119">
        <f t="shared" si="0"/>
        <v>7131484.5333333351</v>
      </c>
      <c r="S22" s="119">
        <f t="shared" si="0"/>
        <v>7131484.5333333351</v>
      </c>
      <c r="T22" s="119">
        <f t="shared" si="0"/>
        <v>7131484.5333333351</v>
      </c>
      <c r="U22" s="119">
        <f t="shared" si="0"/>
        <v>7131484.5333333351</v>
      </c>
      <c r="V22" s="119">
        <f t="shared" si="0"/>
        <v>7131484.5333333351</v>
      </c>
      <c r="W22" s="119">
        <f t="shared" si="0"/>
        <v>7131484.5333333351</v>
      </c>
      <c r="X22" s="119">
        <f t="shared" si="0"/>
        <v>7131484.5333333351</v>
      </c>
      <c r="Y22" s="119">
        <f t="shared" si="0"/>
        <v>7131484.5333333351</v>
      </c>
      <c r="Z22" s="119">
        <f t="shared" si="0"/>
        <v>7131484.5333333351</v>
      </c>
      <c r="AA22" s="119">
        <f t="shared" si="0"/>
        <v>7131484.5333333351</v>
      </c>
      <c r="AB22" s="119">
        <f t="shared" si="0"/>
        <v>7131484.5333333351</v>
      </c>
      <c r="AC22" s="119">
        <f t="shared" si="0"/>
        <v>7131484.5333333351</v>
      </c>
      <c r="AD22" s="119">
        <f t="shared" si="0"/>
        <v>7131484.5333333351</v>
      </c>
      <c r="AE22" s="119">
        <f t="shared" si="0"/>
        <v>7131484.5333333351</v>
      </c>
      <c r="AF22" s="119">
        <f t="shared" si="0"/>
        <v>7131484.5333333351</v>
      </c>
      <c r="AG22" s="119">
        <f t="shared" si="0"/>
        <v>7131484.5333333351</v>
      </c>
      <c r="AH22" s="119">
        <f t="shared" si="0"/>
        <v>7131484.5333333351</v>
      </c>
      <c r="AI22" s="119">
        <f t="shared" si="0"/>
        <v>7131484.5333333351</v>
      </c>
      <c r="AJ22" s="119">
        <f t="shared" si="0"/>
        <v>7131484.5333333351</v>
      </c>
      <c r="AK22" s="119">
        <f t="shared" si="0"/>
        <v>7131484.5333333351</v>
      </c>
      <c r="AL22" s="119">
        <f t="shared" si="0"/>
        <v>7131484.5333333351</v>
      </c>
      <c r="AM22" s="119">
        <f t="shared" si="0"/>
        <v>7131484.5333333351</v>
      </c>
      <c r="AN22" s="119">
        <f t="shared" si="0"/>
        <v>7131484.5333333351</v>
      </c>
      <c r="AO22" s="119">
        <f t="shared" si="0"/>
        <v>7131484.5333333351</v>
      </c>
      <c r="AP22" s="119">
        <f t="shared" si="0"/>
        <v>7131484.5333333351</v>
      </c>
      <c r="AQ22" s="119">
        <f t="shared" si="0"/>
        <v>7131484.5333333351</v>
      </c>
      <c r="AR22" s="119">
        <f t="shared" si="0"/>
        <v>7131484.5333333351</v>
      </c>
      <c r="AS22" s="119">
        <f t="shared" si="0"/>
        <v>7131484.5333333351</v>
      </c>
      <c r="AT22" s="119">
        <f t="shared" si="0"/>
        <v>7131484.5333333351</v>
      </c>
      <c r="AU22" s="119">
        <f t="shared" si="0"/>
        <v>7131484.5333333351</v>
      </c>
      <c r="AV22" s="119">
        <f t="shared" si="0"/>
        <v>7131484.5333333351</v>
      </c>
      <c r="AW22" s="119">
        <f t="shared" si="0"/>
        <v>7131484.5333333351</v>
      </c>
      <c r="AX22" s="119">
        <f t="shared" si="0"/>
        <v>7131484.5333333351</v>
      </c>
      <c r="AY22" s="119">
        <f t="shared" si="0"/>
        <v>7131484.5333333351</v>
      </c>
      <c r="AZ22" s="119">
        <f t="shared" si="0"/>
        <v>7131484.5333333351</v>
      </c>
      <c r="BA22" s="119">
        <f t="shared" si="0"/>
        <v>7131484.5333333351</v>
      </c>
      <c r="BB22" s="119">
        <f t="shared" si="0"/>
        <v>7131484.5333333351</v>
      </c>
      <c r="BC22" s="119">
        <f t="shared" si="0"/>
        <v>7131484.5333333351</v>
      </c>
      <c r="BD22" s="119">
        <f t="shared" si="0"/>
        <v>7131484.5333333351</v>
      </c>
      <c r="BE22" s="119">
        <f t="shared" si="0"/>
        <v>7131484.5333333351</v>
      </c>
      <c r="BF22" s="119">
        <f t="shared" si="0"/>
        <v>7131484.5333333351</v>
      </c>
      <c r="BG22" s="119">
        <f t="shared" si="0"/>
        <v>7131484.5333333351</v>
      </c>
      <c r="BH22" s="119">
        <f t="shared" si="0"/>
        <v>7131484.5333333351</v>
      </c>
      <c r="BI22" s="119">
        <f t="shared" si="0"/>
        <v>7131484.5333333351</v>
      </c>
      <c r="BJ22" s="119">
        <f t="shared" si="0"/>
        <v>7131484.5333333351</v>
      </c>
      <c r="BK22" s="119">
        <f t="shared" si="0"/>
        <v>7131484.5333333351</v>
      </c>
      <c r="BL22" s="119">
        <f t="shared" si="0"/>
        <v>7131484.5333333351</v>
      </c>
      <c r="BM22" s="119">
        <f t="shared" si="0"/>
        <v>7131484.5333333351</v>
      </c>
      <c r="BN22" s="119">
        <f t="shared" si="0"/>
        <v>7131484.5333333351</v>
      </c>
      <c r="BO22" s="119">
        <f t="shared" si="0"/>
        <v>7131484.5333333351</v>
      </c>
      <c r="BP22" s="119">
        <f t="shared" ref="BP22:DW22" si="1">+BP21/$C$5*$C$6</f>
        <v>7131484.5333333351</v>
      </c>
      <c r="BQ22" s="119">
        <f t="shared" si="1"/>
        <v>7131484.5333333351</v>
      </c>
      <c r="BR22" s="119">
        <f t="shared" si="1"/>
        <v>7131484.5333333351</v>
      </c>
      <c r="BS22" s="119">
        <f t="shared" si="1"/>
        <v>7131484.5333333351</v>
      </c>
      <c r="BT22" s="119">
        <f t="shared" si="1"/>
        <v>7131484.5333333351</v>
      </c>
      <c r="BU22" s="119">
        <f t="shared" si="1"/>
        <v>7131484.5333333351</v>
      </c>
      <c r="BV22" s="119">
        <f t="shared" si="1"/>
        <v>7131484.5333333351</v>
      </c>
      <c r="BW22" s="119">
        <f t="shared" si="1"/>
        <v>7131484.5333333351</v>
      </c>
      <c r="BX22" s="119">
        <f t="shared" si="1"/>
        <v>7131484.5333333351</v>
      </c>
      <c r="BY22" s="119">
        <f t="shared" si="1"/>
        <v>7131484.5333333351</v>
      </c>
      <c r="BZ22" s="119">
        <f t="shared" si="1"/>
        <v>7131484.5333333351</v>
      </c>
      <c r="CA22" s="119">
        <f t="shared" si="1"/>
        <v>7131484.5333333351</v>
      </c>
      <c r="CB22" s="119">
        <f t="shared" si="1"/>
        <v>7131484.5333333351</v>
      </c>
      <c r="CC22" s="119">
        <f t="shared" si="1"/>
        <v>7131484.5333333351</v>
      </c>
      <c r="CD22" s="119">
        <f t="shared" si="1"/>
        <v>7131484.5333333351</v>
      </c>
      <c r="CE22" s="119">
        <f t="shared" si="1"/>
        <v>7131484.5333333351</v>
      </c>
      <c r="CF22" s="119">
        <f t="shared" si="1"/>
        <v>7131484.5333333351</v>
      </c>
      <c r="CG22" s="119">
        <f t="shared" si="1"/>
        <v>7131484.5333333351</v>
      </c>
      <c r="CH22" s="119">
        <f t="shared" si="1"/>
        <v>7131484.5333333351</v>
      </c>
      <c r="CI22" s="119">
        <f t="shared" si="1"/>
        <v>7131484.5333333351</v>
      </c>
      <c r="CJ22" s="119">
        <f t="shared" si="1"/>
        <v>7131484.5333333351</v>
      </c>
      <c r="CK22" s="119">
        <f t="shared" si="1"/>
        <v>7131484.5333333351</v>
      </c>
      <c r="CL22" s="119">
        <f t="shared" si="1"/>
        <v>7131484.5333333351</v>
      </c>
      <c r="CM22" s="119">
        <f t="shared" si="1"/>
        <v>7131484.5333333351</v>
      </c>
      <c r="CN22" s="119">
        <f t="shared" si="1"/>
        <v>7131484.5333333351</v>
      </c>
      <c r="CO22" s="119">
        <f t="shared" si="1"/>
        <v>7131484.5333333351</v>
      </c>
      <c r="CP22" s="119">
        <f t="shared" si="1"/>
        <v>7131484.5333333351</v>
      </c>
      <c r="CQ22" s="119">
        <f t="shared" si="1"/>
        <v>7131484.5333333351</v>
      </c>
      <c r="CR22" s="119">
        <f t="shared" si="1"/>
        <v>7131484.5333333351</v>
      </c>
      <c r="CS22" s="119">
        <f t="shared" si="1"/>
        <v>7131484.5333333351</v>
      </c>
      <c r="CT22" s="119">
        <f t="shared" si="1"/>
        <v>7131484.5333333351</v>
      </c>
      <c r="CU22" s="119">
        <f t="shared" si="1"/>
        <v>7131484.5333333351</v>
      </c>
      <c r="CV22" s="119">
        <f t="shared" si="1"/>
        <v>7131484.5333333351</v>
      </c>
      <c r="CW22" s="119">
        <f t="shared" si="1"/>
        <v>7131484.5333333351</v>
      </c>
      <c r="CX22" s="119">
        <f t="shared" si="1"/>
        <v>7131484.5333333351</v>
      </c>
      <c r="CY22" s="119">
        <f t="shared" si="1"/>
        <v>7131484.5333333351</v>
      </c>
      <c r="CZ22" s="119">
        <f t="shared" si="1"/>
        <v>7131484.5333333351</v>
      </c>
      <c r="DA22" s="119">
        <f t="shared" si="1"/>
        <v>7131484.5333333351</v>
      </c>
      <c r="DB22" s="119">
        <f t="shared" si="1"/>
        <v>7131484.5333333351</v>
      </c>
      <c r="DC22" s="119">
        <f t="shared" si="1"/>
        <v>7131484.5333333351</v>
      </c>
      <c r="DD22" s="119">
        <f t="shared" si="1"/>
        <v>7131484.5333333351</v>
      </c>
      <c r="DE22" s="119">
        <f t="shared" si="1"/>
        <v>7131484.5333333351</v>
      </c>
      <c r="DF22" s="119">
        <f t="shared" si="1"/>
        <v>7131484.5333333351</v>
      </c>
      <c r="DG22" s="119">
        <f t="shared" si="1"/>
        <v>7131484.5333333351</v>
      </c>
      <c r="DH22" s="119">
        <f t="shared" si="1"/>
        <v>7131484.5333333351</v>
      </c>
      <c r="DI22" s="119">
        <f t="shared" si="1"/>
        <v>7131484.5333333351</v>
      </c>
      <c r="DJ22" s="119">
        <f t="shared" si="1"/>
        <v>7131484.5333333351</v>
      </c>
      <c r="DK22" s="119">
        <f t="shared" si="1"/>
        <v>7131484.5333333351</v>
      </c>
      <c r="DL22" s="119">
        <f t="shared" si="1"/>
        <v>7131484.5333333351</v>
      </c>
      <c r="DM22" s="119">
        <f t="shared" si="1"/>
        <v>7131484.5333333351</v>
      </c>
      <c r="DN22" s="119">
        <f t="shared" si="1"/>
        <v>7131484.5333333351</v>
      </c>
      <c r="DO22" s="119">
        <f t="shared" si="1"/>
        <v>7131484.5333333351</v>
      </c>
      <c r="DP22" s="119">
        <f t="shared" si="1"/>
        <v>7131484.5333333351</v>
      </c>
      <c r="DQ22" s="119">
        <f t="shared" si="1"/>
        <v>7131484.5333333351</v>
      </c>
      <c r="DR22" s="119">
        <f t="shared" si="1"/>
        <v>7131484.5333333351</v>
      </c>
      <c r="DS22" s="119">
        <f t="shared" si="1"/>
        <v>7131484.5333333351</v>
      </c>
      <c r="DT22" s="119">
        <f t="shared" si="1"/>
        <v>7131484.5333333351</v>
      </c>
      <c r="DU22" s="119">
        <f t="shared" si="1"/>
        <v>7131484.5333333351</v>
      </c>
      <c r="DV22" s="119">
        <f t="shared" si="1"/>
        <v>7131484.5333333351</v>
      </c>
      <c r="DW22" s="119">
        <f t="shared" si="1"/>
        <v>7131484.5333333351</v>
      </c>
    </row>
    <row r="23" spans="2:127" x14ac:dyDescent="0.3">
      <c r="B23" s="53" t="s">
        <v>234</v>
      </c>
      <c r="C23" s="56">
        <f>+C21/$C$9/$C$10*$C$12*2000</f>
        <v>1428169.0140845072</v>
      </c>
      <c r="D23" s="56">
        <f t="shared" ref="D23:BO23" si="2">+D21/$C$9/$C$10*$C$12*2000</f>
        <v>1428169.0140845072</v>
      </c>
      <c r="E23" s="56">
        <f t="shared" si="2"/>
        <v>1428169.0140845072</v>
      </c>
      <c r="F23" s="56">
        <f t="shared" si="2"/>
        <v>803547.55305164331</v>
      </c>
      <c r="G23" s="56">
        <f t="shared" si="2"/>
        <v>5022172.206572772</v>
      </c>
      <c r="H23" s="56">
        <f t="shared" si="2"/>
        <v>5022172.206572772</v>
      </c>
      <c r="I23" s="56">
        <f t="shared" si="2"/>
        <v>5022172.206572772</v>
      </c>
      <c r="J23" s="56">
        <f t="shared" si="2"/>
        <v>5022172.206572772</v>
      </c>
      <c r="K23" s="56">
        <f t="shared" si="2"/>
        <v>5022172.206572772</v>
      </c>
      <c r="L23" s="56">
        <f t="shared" si="2"/>
        <v>10044344.413145544</v>
      </c>
      <c r="M23" s="56">
        <f t="shared" si="2"/>
        <v>10044344.413145544</v>
      </c>
      <c r="N23" s="56">
        <f t="shared" si="2"/>
        <v>10044344.413145544</v>
      </c>
      <c r="O23" s="56">
        <f t="shared" si="2"/>
        <v>10044344.413145544</v>
      </c>
      <c r="P23" s="56">
        <f t="shared" si="2"/>
        <v>10044344.413145544</v>
      </c>
      <c r="Q23" s="56">
        <f t="shared" si="2"/>
        <v>10044344.413145544</v>
      </c>
      <c r="R23" s="56">
        <f t="shared" si="2"/>
        <v>10044344.413145544</v>
      </c>
      <c r="S23" s="56">
        <f t="shared" si="2"/>
        <v>10044344.413145544</v>
      </c>
      <c r="T23" s="56">
        <f t="shared" si="2"/>
        <v>10044344.413145544</v>
      </c>
      <c r="U23" s="56">
        <f t="shared" si="2"/>
        <v>10044344.413145544</v>
      </c>
      <c r="V23" s="56">
        <f t="shared" si="2"/>
        <v>10044344.413145544</v>
      </c>
      <c r="W23" s="56">
        <f t="shared" si="2"/>
        <v>10044344.413145544</v>
      </c>
      <c r="X23" s="56">
        <f t="shared" si="2"/>
        <v>10044344.413145544</v>
      </c>
      <c r="Y23" s="56">
        <f t="shared" si="2"/>
        <v>10044344.413145544</v>
      </c>
      <c r="Z23" s="56">
        <f t="shared" si="2"/>
        <v>10044344.413145544</v>
      </c>
      <c r="AA23" s="56">
        <f t="shared" si="2"/>
        <v>10044344.413145544</v>
      </c>
      <c r="AB23" s="56">
        <f t="shared" si="2"/>
        <v>10044344.413145544</v>
      </c>
      <c r="AC23" s="56">
        <f t="shared" si="2"/>
        <v>10044344.413145544</v>
      </c>
      <c r="AD23" s="56">
        <f t="shared" si="2"/>
        <v>10044344.413145544</v>
      </c>
      <c r="AE23" s="56">
        <f t="shared" si="2"/>
        <v>10044344.413145544</v>
      </c>
      <c r="AF23" s="56">
        <f t="shared" si="2"/>
        <v>10044344.413145544</v>
      </c>
      <c r="AG23" s="56">
        <f t="shared" si="2"/>
        <v>10044344.413145544</v>
      </c>
      <c r="AH23" s="56">
        <f t="shared" si="2"/>
        <v>10044344.413145544</v>
      </c>
      <c r="AI23" s="56">
        <f t="shared" si="2"/>
        <v>10044344.413145544</v>
      </c>
      <c r="AJ23" s="56">
        <f t="shared" si="2"/>
        <v>10044344.413145544</v>
      </c>
      <c r="AK23" s="56">
        <f t="shared" si="2"/>
        <v>10044344.413145544</v>
      </c>
      <c r="AL23" s="56">
        <f t="shared" si="2"/>
        <v>10044344.413145544</v>
      </c>
      <c r="AM23" s="56">
        <f t="shared" si="2"/>
        <v>10044344.413145544</v>
      </c>
      <c r="AN23" s="56">
        <f t="shared" si="2"/>
        <v>10044344.413145544</v>
      </c>
      <c r="AO23" s="56">
        <f t="shared" si="2"/>
        <v>10044344.413145544</v>
      </c>
      <c r="AP23" s="56">
        <f t="shared" si="2"/>
        <v>10044344.413145544</v>
      </c>
      <c r="AQ23" s="56">
        <f t="shared" si="2"/>
        <v>10044344.413145544</v>
      </c>
      <c r="AR23" s="56">
        <f t="shared" si="2"/>
        <v>10044344.413145544</v>
      </c>
      <c r="AS23" s="56">
        <f t="shared" si="2"/>
        <v>10044344.413145544</v>
      </c>
      <c r="AT23" s="56">
        <f t="shared" si="2"/>
        <v>10044344.413145544</v>
      </c>
      <c r="AU23" s="56">
        <f t="shared" si="2"/>
        <v>10044344.413145544</v>
      </c>
      <c r="AV23" s="56">
        <f t="shared" si="2"/>
        <v>10044344.413145544</v>
      </c>
      <c r="AW23" s="56">
        <f t="shared" si="2"/>
        <v>10044344.413145544</v>
      </c>
      <c r="AX23" s="56">
        <f t="shared" si="2"/>
        <v>10044344.413145544</v>
      </c>
      <c r="AY23" s="56">
        <f t="shared" si="2"/>
        <v>10044344.413145544</v>
      </c>
      <c r="AZ23" s="56">
        <f t="shared" si="2"/>
        <v>10044344.413145544</v>
      </c>
      <c r="BA23" s="56">
        <f t="shared" si="2"/>
        <v>10044344.413145544</v>
      </c>
      <c r="BB23" s="56">
        <f t="shared" si="2"/>
        <v>10044344.413145544</v>
      </c>
      <c r="BC23" s="56">
        <f t="shared" si="2"/>
        <v>10044344.413145544</v>
      </c>
      <c r="BD23" s="56">
        <f t="shared" si="2"/>
        <v>10044344.413145544</v>
      </c>
      <c r="BE23" s="56">
        <f t="shared" si="2"/>
        <v>10044344.413145544</v>
      </c>
      <c r="BF23" s="56">
        <f t="shared" si="2"/>
        <v>10044344.413145544</v>
      </c>
      <c r="BG23" s="56">
        <f t="shared" si="2"/>
        <v>10044344.413145544</v>
      </c>
      <c r="BH23" s="56">
        <f t="shared" si="2"/>
        <v>10044344.413145544</v>
      </c>
      <c r="BI23" s="56">
        <f t="shared" si="2"/>
        <v>10044344.413145544</v>
      </c>
      <c r="BJ23" s="56">
        <f t="shared" si="2"/>
        <v>10044344.413145544</v>
      </c>
      <c r="BK23" s="56">
        <f t="shared" si="2"/>
        <v>10044344.413145544</v>
      </c>
      <c r="BL23" s="56">
        <f t="shared" si="2"/>
        <v>10044344.413145544</v>
      </c>
      <c r="BM23" s="56">
        <f t="shared" si="2"/>
        <v>10044344.413145544</v>
      </c>
      <c r="BN23" s="56">
        <f t="shared" si="2"/>
        <v>10044344.413145544</v>
      </c>
      <c r="BO23" s="56">
        <f t="shared" si="2"/>
        <v>10044344.413145544</v>
      </c>
      <c r="BP23" s="56">
        <f t="shared" ref="BP23:DW23" si="3">+BP21/$C$9/$C$10*$C$12*2000</f>
        <v>10044344.413145544</v>
      </c>
      <c r="BQ23" s="56">
        <f t="shared" si="3"/>
        <v>10044344.413145544</v>
      </c>
      <c r="BR23" s="56">
        <f t="shared" si="3"/>
        <v>10044344.413145544</v>
      </c>
      <c r="BS23" s="56">
        <f t="shared" si="3"/>
        <v>10044344.413145544</v>
      </c>
      <c r="BT23" s="56">
        <f t="shared" si="3"/>
        <v>10044344.413145544</v>
      </c>
      <c r="BU23" s="56">
        <f t="shared" si="3"/>
        <v>10044344.413145544</v>
      </c>
      <c r="BV23" s="56">
        <f t="shared" si="3"/>
        <v>10044344.413145544</v>
      </c>
      <c r="BW23" s="56">
        <f t="shared" si="3"/>
        <v>10044344.413145544</v>
      </c>
      <c r="BX23" s="56">
        <f t="shared" si="3"/>
        <v>10044344.413145544</v>
      </c>
      <c r="BY23" s="56">
        <f t="shared" si="3"/>
        <v>10044344.413145544</v>
      </c>
      <c r="BZ23" s="56">
        <f t="shared" si="3"/>
        <v>10044344.413145544</v>
      </c>
      <c r="CA23" s="56">
        <f t="shared" si="3"/>
        <v>10044344.413145544</v>
      </c>
      <c r="CB23" s="56">
        <f t="shared" si="3"/>
        <v>10044344.413145544</v>
      </c>
      <c r="CC23" s="56">
        <f t="shared" si="3"/>
        <v>10044344.413145544</v>
      </c>
      <c r="CD23" s="56">
        <f t="shared" si="3"/>
        <v>10044344.413145544</v>
      </c>
      <c r="CE23" s="56">
        <f t="shared" si="3"/>
        <v>10044344.413145544</v>
      </c>
      <c r="CF23" s="56">
        <f t="shared" si="3"/>
        <v>10044344.413145544</v>
      </c>
      <c r="CG23" s="56">
        <f t="shared" si="3"/>
        <v>10044344.413145544</v>
      </c>
      <c r="CH23" s="56">
        <f t="shared" si="3"/>
        <v>10044344.413145544</v>
      </c>
      <c r="CI23" s="56">
        <f t="shared" si="3"/>
        <v>10044344.413145544</v>
      </c>
      <c r="CJ23" s="56">
        <f t="shared" si="3"/>
        <v>10044344.413145544</v>
      </c>
      <c r="CK23" s="56">
        <f t="shared" si="3"/>
        <v>10044344.413145544</v>
      </c>
      <c r="CL23" s="56">
        <f t="shared" si="3"/>
        <v>10044344.413145544</v>
      </c>
      <c r="CM23" s="56">
        <f t="shared" si="3"/>
        <v>10044344.413145544</v>
      </c>
      <c r="CN23" s="56">
        <f t="shared" si="3"/>
        <v>10044344.413145544</v>
      </c>
      <c r="CO23" s="56">
        <f t="shared" si="3"/>
        <v>10044344.413145544</v>
      </c>
      <c r="CP23" s="56">
        <f t="shared" si="3"/>
        <v>10044344.413145544</v>
      </c>
      <c r="CQ23" s="56">
        <f t="shared" si="3"/>
        <v>10044344.413145544</v>
      </c>
      <c r="CR23" s="56">
        <f t="shared" si="3"/>
        <v>10044344.413145544</v>
      </c>
      <c r="CS23" s="56">
        <f t="shared" si="3"/>
        <v>10044344.413145544</v>
      </c>
      <c r="CT23" s="56">
        <f t="shared" si="3"/>
        <v>10044344.413145544</v>
      </c>
      <c r="CU23" s="56">
        <f t="shared" si="3"/>
        <v>10044344.413145544</v>
      </c>
      <c r="CV23" s="56">
        <f t="shared" si="3"/>
        <v>10044344.413145544</v>
      </c>
      <c r="CW23" s="56">
        <f t="shared" si="3"/>
        <v>10044344.413145544</v>
      </c>
      <c r="CX23" s="56">
        <f t="shared" si="3"/>
        <v>10044344.413145544</v>
      </c>
      <c r="CY23" s="56">
        <f t="shared" si="3"/>
        <v>10044344.413145544</v>
      </c>
      <c r="CZ23" s="56">
        <f t="shared" si="3"/>
        <v>10044344.413145544</v>
      </c>
      <c r="DA23" s="56">
        <f t="shared" si="3"/>
        <v>10044344.413145544</v>
      </c>
      <c r="DB23" s="56">
        <f t="shared" si="3"/>
        <v>10044344.413145544</v>
      </c>
      <c r="DC23" s="56">
        <f t="shared" si="3"/>
        <v>10044344.413145544</v>
      </c>
      <c r="DD23" s="56">
        <f t="shared" si="3"/>
        <v>10044344.413145544</v>
      </c>
      <c r="DE23" s="56">
        <f t="shared" si="3"/>
        <v>10044344.413145544</v>
      </c>
      <c r="DF23" s="56">
        <f t="shared" si="3"/>
        <v>10044344.413145544</v>
      </c>
      <c r="DG23" s="56">
        <f t="shared" si="3"/>
        <v>10044344.413145544</v>
      </c>
      <c r="DH23" s="56">
        <f t="shared" si="3"/>
        <v>10044344.413145544</v>
      </c>
      <c r="DI23" s="56">
        <f t="shared" si="3"/>
        <v>10044344.413145544</v>
      </c>
      <c r="DJ23" s="56">
        <f t="shared" si="3"/>
        <v>10044344.413145544</v>
      </c>
      <c r="DK23" s="56">
        <f t="shared" si="3"/>
        <v>10044344.413145544</v>
      </c>
      <c r="DL23" s="56">
        <f t="shared" si="3"/>
        <v>10044344.413145544</v>
      </c>
      <c r="DM23" s="56">
        <f t="shared" si="3"/>
        <v>10044344.413145544</v>
      </c>
      <c r="DN23" s="56">
        <f t="shared" si="3"/>
        <v>10044344.413145544</v>
      </c>
      <c r="DO23" s="56">
        <f t="shared" si="3"/>
        <v>10044344.413145544</v>
      </c>
      <c r="DP23" s="56">
        <f t="shared" si="3"/>
        <v>10044344.413145544</v>
      </c>
      <c r="DQ23" s="56">
        <f t="shared" si="3"/>
        <v>10044344.413145544</v>
      </c>
      <c r="DR23" s="56">
        <f t="shared" si="3"/>
        <v>10044344.413145544</v>
      </c>
      <c r="DS23" s="56">
        <f t="shared" si="3"/>
        <v>10044344.413145544</v>
      </c>
      <c r="DT23" s="56">
        <f t="shared" si="3"/>
        <v>10044344.413145544</v>
      </c>
      <c r="DU23" s="56">
        <f t="shared" si="3"/>
        <v>10044344.413145544</v>
      </c>
      <c r="DV23" s="56">
        <f t="shared" si="3"/>
        <v>10044344.413145544</v>
      </c>
      <c r="DW23" s="56">
        <f t="shared" si="3"/>
        <v>10044344.413145544</v>
      </c>
    </row>
    <row r="25" spans="2:127" x14ac:dyDescent="0.3">
      <c r="B25" s="123" t="s">
        <v>18</v>
      </c>
      <c r="C25" s="124">
        <f>EOMONTH(Assumptions!C4,Assumptions!C6)+1</f>
        <v>46327</v>
      </c>
      <c r="D25" s="124">
        <f>EOMONTH(C25,1)</f>
        <v>46387</v>
      </c>
      <c r="E25" s="124">
        <f t="shared" ref="E25:BP25" si="4">EOMONTH(D25,1)</f>
        <v>46418</v>
      </c>
      <c r="F25" s="124">
        <f t="shared" si="4"/>
        <v>46446</v>
      </c>
      <c r="G25" s="124">
        <f t="shared" si="4"/>
        <v>46477</v>
      </c>
      <c r="H25" s="124">
        <f t="shared" si="4"/>
        <v>46507</v>
      </c>
      <c r="I25" s="124">
        <f t="shared" si="4"/>
        <v>46538</v>
      </c>
      <c r="J25" s="124">
        <f t="shared" si="4"/>
        <v>46568</v>
      </c>
      <c r="K25" s="124">
        <f t="shared" si="4"/>
        <v>46599</v>
      </c>
      <c r="L25" s="124">
        <f t="shared" si="4"/>
        <v>46630</v>
      </c>
      <c r="M25" s="124">
        <f t="shared" si="4"/>
        <v>46660</v>
      </c>
      <c r="N25" s="124">
        <f t="shared" si="4"/>
        <v>46691</v>
      </c>
      <c r="O25" s="124">
        <f t="shared" si="4"/>
        <v>46721</v>
      </c>
      <c r="P25" s="124">
        <f t="shared" si="4"/>
        <v>46752</v>
      </c>
      <c r="Q25" s="124">
        <f t="shared" si="4"/>
        <v>46783</v>
      </c>
      <c r="R25" s="124">
        <f t="shared" si="4"/>
        <v>46812</v>
      </c>
      <c r="S25" s="124">
        <f t="shared" si="4"/>
        <v>46843</v>
      </c>
      <c r="T25" s="124">
        <f t="shared" si="4"/>
        <v>46873</v>
      </c>
      <c r="U25" s="124">
        <f t="shared" si="4"/>
        <v>46904</v>
      </c>
      <c r="V25" s="124">
        <f t="shared" si="4"/>
        <v>46934</v>
      </c>
      <c r="W25" s="124">
        <f t="shared" si="4"/>
        <v>46965</v>
      </c>
      <c r="X25" s="124">
        <f t="shared" si="4"/>
        <v>46996</v>
      </c>
      <c r="Y25" s="124">
        <f t="shared" si="4"/>
        <v>47026</v>
      </c>
      <c r="Z25" s="124">
        <f t="shared" si="4"/>
        <v>47057</v>
      </c>
      <c r="AA25" s="124">
        <f t="shared" si="4"/>
        <v>47087</v>
      </c>
      <c r="AB25" s="124">
        <f t="shared" si="4"/>
        <v>47118</v>
      </c>
      <c r="AC25" s="124">
        <f t="shared" si="4"/>
        <v>47149</v>
      </c>
      <c r="AD25" s="124">
        <f t="shared" si="4"/>
        <v>47177</v>
      </c>
      <c r="AE25" s="124">
        <f t="shared" si="4"/>
        <v>47208</v>
      </c>
      <c r="AF25" s="124">
        <f t="shared" si="4"/>
        <v>47238</v>
      </c>
      <c r="AG25" s="124">
        <f t="shared" si="4"/>
        <v>47269</v>
      </c>
      <c r="AH25" s="124">
        <f t="shared" si="4"/>
        <v>47299</v>
      </c>
      <c r="AI25" s="124">
        <f t="shared" si="4"/>
        <v>47330</v>
      </c>
      <c r="AJ25" s="124">
        <f t="shared" si="4"/>
        <v>47361</v>
      </c>
      <c r="AK25" s="124">
        <f t="shared" si="4"/>
        <v>47391</v>
      </c>
      <c r="AL25" s="124">
        <f t="shared" si="4"/>
        <v>47422</v>
      </c>
      <c r="AM25" s="124">
        <f t="shared" si="4"/>
        <v>47452</v>
      </c>
      <c r="AN25" s="124">
        <f t="shared" si="4"/>
        <v>47483</v>
      </c>
      <c r="AO25" s="124">
        <f t="shared" si="4"/>
        <v>47514</v>
      </c>
      <c r="AP25" s="124">
        <f t="shared" si="4"/>
        <v>47542</v>
      </c>
      <c r="AQ25" s="124">
        <f t="shared" si="4"/>
        <v>47573</v>
      </c>
      <c r="AR25" s="124">
        <f t="shared" si="4"/>
        <v>47603</v>
      </c>
      <c r="AS25" s="124">
        <f t="shared" si="4"/>
        <v>47634</v>
      </c>
      <c r="AT25" s="124">
        <f t="shared" si="4"/>
        <v>47664</v>
      </c>
      <c r="AU25" s="124">
        <f t="shared" si="4"/>
        <v>47695</v>
      </c>
      <c r="AV25" s="124">
        <f t="shared" si="4"/>
        <v>47726</v>
      </c>
      <c r="AW25" s="124">
        <f t="shared" si="4"/>
        <v>47756</v>
      </c>
      <c r="AX25" s="124">
        <f t="shared" si="4"/>
        <v>47787</v>
      </c>
      <c r="AY25" s="124">
        <f t="shared" si="4"/>
        <v>47817</v>
      </c>
      <c r="AZ25" s="124">
        <f t="shared" si="4"/>
        <v>47848</v>
      </c>
      <c r="BA25" s="124">
        <f t="shared" si="4"/>
        <v>47879</v>
      </c>
      <c r="BB25" s="124">
        <f t="shared" si="4"/>
        <v>47907</v>
      </c>
      <c r="BC25" s="124">
        <f t="shared" si="4"/>
        <v>47938</v>
      </c>
      <c r="BD25" s="124">
        <f t="shared" si="4"/>
        <v>47968</v>
      </c>
      <c r="BE25" s="124">
        <f t="shared" si="4"/>
        <v>47999</v>
      </c>
      <c r="BF25" s="124">
        <f t="shared" si="4"/>
        <v>48029</v>
      </c>
      <c r="BG25" s="124">
        <f t="shared" si="4"/>
        <v>48060</v>
      </c>
      <c r="BH25" s="124">
        <f t="shared" si="4"/>
        <v>48091</v>
      </c>
      <c r="BI25" s="124">
        <f t="shared" si="4"/>
        <v>48121</v>
      </c>
      <c r="BJ25" s="124">
        <f t="shared" si="4"/>
        <v>48152</v>
      </c>
      <c r="BK25" s="124">
        <f t="shared" si="4"/>
        <v>48182</v>
      </c>
      <c r="BL25" s="124">
        <f t="shared" si="4"/>
        <v>48213</v>
      </c>
      <c r="BM25" s="124">
        <f t="shared" si="4"/>
        <v>48244</v>
      </c>
      <c r="BN25" s="124">
        <f t="shared" si="4"/>
        <v>48273</v>
      </c>
      <c r="BO25" s="124">
        <f t="shared" si="4"/>
        <v>48304</v>
      </c>
      <c r="BP25" s="124">
        <f t="shared" si="4"/>
        <v>48334</v>
      </c>
      <c r="BQ25" s="124">
        <f t="shared" ref="BQ25:DW25" si="5">EOMONTH(BP25,1)</f>
        <v>48365</v>
      </c>
      <c r="BR25" s="124">
        <f t="shared" si="5"/>
        <v>48395</v>
      </c>
      <c r="BS25" s="124">
        <f t="shared" si="5"/>
        <v>48426</v>
      </c>
      <c r="BT25" s="124">
        <f t="shared" si="5"/>
        <v>48457</v>
      </c>
      <c r="BU25" s="124">
        <f t="shared" si="5"/>
        <v>48487</v>
      </c>
      <c r="BV25" s="124">
        <f t="shared" si="5"/>
        <v>48518</v>
      </c>
      <c r="BW25" s="124">
        <f t="shared" si="5"/>
        <v>48548</v>
      </c>
      <c r="BX25" s="124">
        <f t="shared" si="5"/>
        <v>48579</v>
      </c>
      <c r="BY25" s="124">
        <f t="shared" si="5"/>
        <v>48610</v>
      </c>
      <c r="BZ25" s="124">
        <f t="shared" si="5"/>
        <v>48638</v>
      </c>
      <c r="CA25" s="124">
        <f t="shared" si="5"/>
        <v>48669</v>
      </c>
      <c r="CB25" s="124">
        <f t="shared" si="5"/>
        <v>48699</v>
      </c>
      <c r="CC25" s="124">
        <f t="shared" si="5"/>
        <v>48730</v>
      </c>
      <c r="CD25" s="124">
        <f t="shared" si="5"/>
        <v>48760</v>
      </c>
      <c r="CE25" s="124">
        <f t="shared" si="5"/>
        <v>48791</v>
      </c>
      <c r="CF25" s="124">
        <f t="shared" si="5"/>
        <v>48822</v>
      </c>
      <c r="CG25" s="124">
        <f t="shared" si="5"/>
        <v>48852</v>
      </c>
      <c r="CH25" s="124">
        <f t="shared" si="5"/>
        <v>48883</v>
      </c>
      <c r="CI25" s="124">
        <f t="shared" si="5"/>
        <v>48913</v>
      </c>
      <c r="CJ25" s="124">
        <f t="shared" si="5"/>
        <v>48944</v>
      </c>
      <c r="CK25" s="124">
        <f t="shared" si="5"/>
        <v>48975</v>
      </c>
      <c r="CL25" s="124">
        <f t="shared" si="5"/>
        <v>49003</v>
      </c>
      <c r="CM25" s="124">
        <f t="shared" si="5"/>
        <v>49034</v>
      </c>
      <c r="CN25" s="124">
        <f t="shared" si="5"/>
        <v>49064</v>
      </c>
      <c r="CO25" s="124">
        <f t="shared" si="5"/>
        <v>49095</v>
      </c>
      <c r="CP25" s="124">
        <f t="shared" si="5"/>
        <v>49125</v>
      </c>
      <c r="CQ25" s="124">
        <f t="shared" si="5"/>
        <v>49156</v>
      </c>
      <c r="CR25" s="124">
        <f t="shared" si="5"/>
        <v>49187</v>
      </c>
      <c r="CS25" s="124">
        <f t="shared" si="5"/>
        <v>49217</v>
      </c>
      <c r="CT25" s="124">
        <f t="shared" si="5"/>
        <v>49248</v>
      </c>
      <c r="CU25" s="124">
        <f t="shared" si="5"/>
        <v>49278</v>
      </c>
      <c r="CV25" s="124">
        <f t="shared" si="5"/>
        <v>49309</v>
      </c>
      <c r="CW25" s="124">
        <f t="shared" si="5"/>
        <v>49340</v>
      </c>
      <c r="CX25" s="124">
        <f t="shared" si="5"/>
        <v>49368</v>
      </c>
      <c r="CY25" s="124">
        <f t="shared" si="5"/>
        <v>49399</v>
      </c>
      <c r="CZ25" s="124">
        <f t="shared" si="5"/>
        <v>49429</v>
      </c>
      <c r="DA25" s="124">
        <f t="shared" si="5"/>
        <v>49460</v>
      </c>
      <c r="DB25" s="124">
        <f t="shared" si="5"/>
        <v>49490</v>
      </c>
      <c r="DC25" s="124">
        <f t="shared" si="5"/>
        <v>49521</v>
      </c>
      <c r="DD25" s="124">
        <f t="shared" si="5"/>
        <v>49552</v>
      </c>
      <c r="DE25" s="124">
        <f t="shared" si="5"/>
        <v>49582</v>
      </c>
      <c r="DF25" s="124">
        <f t="shared" si="5"/>
        <v>49613</v>
      </c>
      <c r="DG25" s="124">
        <f t="shared" si="5"/>
        <v>49643</v>
      </c>
      <c r="DH25" s="124">
        <f t="shared" si="5"/>
        <v>49674</v>
      </c>
      <c r="DI25" s="124">
        <f t="shared" si="5"/>
        <v>49705</v>
      </c>
      <c r="DJ25" s="124">
        <f t="shared" si="5"/>
        <v>49734</v>
      </c>
      <c r="DK25" s="124">
        <f t="shared" si="5"/>
        <v>49765</v>
      </c>
      <c r="DL25" s="124">
        <f t="shared" si="5"/>
        <v>49795</v>
      </c>
      <c r="DM25" s="124">
        <f t="shared" si="5"/>
        <v>49826</v>
      </c>
      <c r="DN25" s="124">
        <f t="shared" si="5"/>
        <v>49856</v>
      </c>
      <c r="DO25" s="124">
        <f t="shared" si="5"/>
        <v>49887</v>
      </c>
      <c r="DP25" s="124">
        <f t="shared" si="5"/>
        <v>49918</v>
      </c>
      <c r="DQ25" s="124">
        <f t="shared" si="5"/>
        <v>49948</v>
      </c>
      <c r="DR25" s="124">
        <f t="shared" si="5"/>
        <v>49979</v>
      </c>
      <c r="DS25" s="124">
        <f t="shared" si="5"/>
        <v>50009</v>
      </c>
      <c r="DT25" s="124">
        <f t="shared" si="5"/>
        <v>50040</v>
      </c>
      <c r="DU25" s="124">
        <f t="shared" si="5"/>
        <v>50071</v>
      </c>
      <c r="DV25" s="124">
        <f t="shared" si="5"/>
        <v>50099</v>
      </c>
      <c r="DW25" s="124">
        <f t="shared" si="5"/>
        <v>50130</v>
      </c>
    </row>
    <row r="26" spans="2:127" x14ac:dyDescent="0.3">
      <c r="B26" s="53" t="s">
        <v>208</v>
      </c>
      <c r="C26" s="56">
        <f>IF(C19&lt;Assumptions!$D$13,'Zinc Agra'!C22,'Zinc Agra'!C23)</f>
        <v>1014000.0000000001</v>
      </c>
      <c r="D26" s="56">
        <f>IF(D19&lt;Assumptions!$D$13,'Zinc Agra'!D22,'Zinc Agra'!D23)</f>
        <v>1014000.0000000001</v>
      </c>
      <c r="E26" s="56">
        <f>IF(E19&lt;Assumptions!$D$13,'Zinc Agra'!E22,'Zinc Agra'!E23)</f>
        <v>1014000.0000000001</v>
      </c>
      <c r="F26" s="56">
        <f>IF(F19&lt;Assumptions!$D$13,'Zinc Agra'!F22,'Zinc Agra'!F23)</f>
        <v>570518.76266666665</v>
      </c>
      <c r="G26" s="56">
        <f>IF(G19&lt;Assumptions!$D$13,'Zinc Agra'!G22,'Zinc Agra'!G23)</f>
        <v>5022172.206572772</v>
      </c>
      <c r="H26" s="56">
        <f>IF(H19&lt;Assumptions!$D$13,'Zinc Agra'!H22,'Zinc Agra'!H23)</f>
        <v>5022172.206572772</v>
      </c>
      <c r="I26" s="56">
        <f>IF(I19&lt;Assumptions!$D$13,'Zinc Agra'!I22,'Zinc Agra'!I23)</f>
        <v>5022172.206572772</v>
      </c>
      <c r="J26" s="56">
        <f>IF(J19&lt;Assumptions!$D$13,'Zinc Agra'!J22,'Zinc Agra'!J23)</f>
        <v>5022172.206572772</v>
      </c>
      <c r="K26" s="56">
        <f>IF(K19&lt;Assumptions!$D$13,'Zinc Agra'!K22,'Zinc Agra'!K23)</f>
        <v>5022172.206572772</v>
      </c>
      <c r="L26" s="56">
        <f>IF(L19&lt;Assumptions!$D$13,'Zinc Agra'!L22,'Zinc Agra'!L23)</f>
        <v>10044344.413145544</v>
      </c>
      <c r="M26" s="56">
        <f>IF(M19&lt;Assumptions!$D$13,'Zinc Agra'!M22,'Zinc Agra'!M23)</f>
        <v>10044344.413145544</v>
      </c>
      <c r="N26" s="56">
        <f>IF(N19&lt;Assumptions!$D$13,'Zinc Agra'!N22,'Zinc Agra'!N23)</f>
        <v>10044344.413145544</v>
      </c>
      <c r="O26" s="56">
        <f>IF(O19&lt;Assumptions!$D$13,'Zinc Agra'!O22,'Zinc Agra'!O23)</f>
        <v>10044344.413145544</v>
      </c>
      <c r="P26" s="56">
        <f>IF(P19&lt;Assumptions!$D$13,'Zinc Agra'!P22,'Zinc Agra'!P23)</f>
        <v>10044344.413145544</v>
      </c>
      <c r="Q26" s="56">
        <f>IF(Q19&lt;Assumptions!$D$13,'Zinc Agra'!Q22,'Zinc Agra'!Q23)</f>
        <v>10044344.413145544</v>
      </c>
      <c r="R26" s="56">
        <f>IF(R19&lt;Assumptions!$D$13,'Zinc Agra'!R22,'Zinc Agra'!R23)</f>
        <v>10044344.413145544</v>
      </c>
      <c r="S26" s="56">
        <f>IF(S19&lt;Assumptions!$D$13,'Zinc Agra'!S22,'Zinc Agra'!S23)</f>
        <v>10044344.413145544</v>
      </c>
      <c r="T26" s="56">
        <f>IF(T19&lt;Assumptions!$D$13,'Zinc Agra'!T22,'Zinc Agra'!T23)</f>
        <v>10044344.413145544</v>
      </c>
      <c r="U26" s="56">
        <f>IF(U19&lt;Assumptions!$D$13,'Zinc Agra'!U22,'Zinc Agra'!U23)</f>
        <v>10044344.413145544</v>
      </c>
      <c r="V26" s="56">
        <f>IF(V19&lt;Assumptions!$D$13,'Zinc Agra'!V22,'Zinc Agra'!V23)</f>
        <v>10044344.413145544</v>
      </c>
      <c r="W26" s="56">
        <f>IF(W19&lt;Assumptions!$D$13,'Zinc Agra'!W22,'Zinc Agra'!W23)</f>
        <v>10044344.413145544</v>
      </c>
      <c r="X26" s="56">
        <f>IF(X19&lt;Assumptions!$D$13,'Zinc Agra'!X22,'Zinc Agra'!X23)</f>
        <v>10044344.413145544</v>
      </c>
      <c r="Y26" s="56">
        <f>IF(Y19&lt;Assumptions!$D$13,'Zinc Agra'!Y22,'Zinc Agra'!Y23)</f>
        <v>10044344.413145544</v>
      </c>
      <c r="Z26" s="56">
        <f>IF(Z19&lt;Assumptions!$D$13,'Zinc Agra'!Z22,'Zinc Agra'!Z23)</f>
        <v>10044344.413145544</v>
      </c>
      <c r="AA26" s="56">
        <f>IF(AA19&lt;Assumptions!$D$13,'Zinc Agra'!AA22,'Zinc Agra'!AA23)</f>
        <v>10044344.413145544</v>
      </c>
      <c r="AB26" s="56">
        <f>IF(AB19&lt;Assumptions!$D$13,'Zinc Agra'!AB22,'Zinc Agra'!AB23)</f>
        <v>10044344.413145544</v>
      </c>
      <c r="AC26" s="56">
        <f>IF(AC19&lt;Assumptions!$D$13,'Zinc Agra'!AC22,'Zinc Agra'!AC23)</f>
        <v>10044344.413145544</v>
      </c>
      <c r="AD26" s="56">
        <f>IF(AD19&lt;Assumptions!$D$13,'Zinc Agra'!AD22,'Zinc Agra'!AD23)</f>
        <v>10044344.413145544</v>
      </c>
      <c r="AE26" s="56">
        <f>IF(AE19&lt;Assumptions!$D$13,'Zinc Agra'!AE22,'Zinc Agra'!AE23)</f>
        <v>10044344.413145544</v>
      </c>
      <c r="AF26" s="56">
        <f>IF(AF19&lt;Assumptions!$D$13,'Zinc Agra'!AF22,'Zinc Agra'!AF23)</f>
        <v>10044344.413145544</v>
      </c>
      <c r="AG26" s="56">
        <f>IF(AG19&lt;Assumptions!$D$13,'Zinc Agra'!AG22,'Zinc Agra'!AG23)</f>
        <v>10044344.413145544</v>
      </c>
      <c r="AH26" s="56">
        <f>IF(AH19&lt;Assumptions!$D$13,'Zinc Agra'!AH22,'Zinc Agra'!AH23)</f>
        <v>10044344.413145544</v>
      </c>
      <c r="AI26" s="56">
        <f>IF(AI19&lt;Assumptions!$D$13,'Zinc Agra'!AI22,'Zinc Agra'!AI23)</f>
        <v>10044344.413145544</v>
      </c>
      <c r="AJ26" s="56">
        <f>IF(AJ19&lt;Assumptions!$D$13,'Zinc Agra'!AJ22,'Zinc Agra'!AJ23)</f>
        <v>10044344.413145544</v>
      </c>
      <c r="AK26" s="56">
        <f>IF(AK19&lt;Assumptions!$D$13,'Zinc Agra'!AK22,'Zinc Agra'!AK23)</f>
        <v>10044344.413145544</v>
      </c>
      <c r="AL26" s="56">
        <f>IF(AL19&lt;Assumptions!$D$13,'Zinc Agra'!AL22,'Zinc Agra'!AL23)</f>
        <v>10044344.413145544</v>
      </c>
      <c r="AM26" s="56">
        <f>IF(AM19&lt;Assumptions!$D$13,'Zinc Agra'!AM22,'Zinc Agra'!AM23)</f>
        <v>10044344.413145544</v>
      </c>
      <c r="AN26" s="56">
        <f>IF(AN19&lt;Assumptions!$D$13,'Zinc Agra'!AN22,'Zinc Agra'!AN23)</f>
        <v>10044344.413145544</v>
      </c>
      <c r="AO26" s="56">
        <f>IF(AO19&lt;Assumptions!$D$13,'Zinc Agra'!AO22,'Zinc Agra'!AO23)</f>
        <v>10044344.413145544</v>
      </c>
      <c r="AP26" s="56">
        <f>IF(AP19&lt;Assumptions!$D$13,'Zinc Agra'!AP22,'Zinc Agra'!AP23)</f>
        <v>10044344.413145544</v>
      </c>
      <c r="AQ26" s="56">
        <f>IF(AQ19&lt;Assumptions!$D$13,'Zinc Agra'!AQ22,'Zinc Agra'!AQ23)</f>
        <v>10044344.413145544</v>
      </c>
      <c r="AR26" s="56">
        <f>IF(AR19&lt;Assumptions!$D$13,'Zinc Agra'!AR22,'Zinc Agra'!AR23)</f>
        <v>10044344.413145544</v>
      </c>
      <c r="AS26" s="56">
        <f>IF(AS19&lt;Assumptions!$D$13,'Zinc Agra'!AS22,'Zinc Agra'!AS23)</f>
        <v>10044344.413145544</v>
      </c>
      <c r="AT26" s="56">
        <f>IF(AT19&lt;Assumptions!$D$13,'Zinc Agra'!AT22,'Zinc Agra'!AT23)</f>
        <v>10044344.413145544</v>
      </c>
      <c r="AU26" s="56">
        <f>IF(AU19&lt;Assumptions!$D$13,'Zinc Agra'!AU22,'Zinc Agra'!AU23)</f>
        <v>10044344.413145544</v>
      </c>
      <c r="AV26" s="56">
        <f>IF(AV19&lt;Assumptions!$D$13,'Zinc Agra'!AV22,'Zinc Agra'!AV23)</f>
        <v>10044344.413145544</v>
      </c>
      <c r="AW26" s="56">
        <f>IF(AW19&lt;Assumptions!$D$13,'Zinc Agra'!AW22,'Zinc Agra'!AW23)</f>
        <v>10044344.413145544</v>
      </c>
      <c r="AX26" s="56">
        <f>IF(AX19&lt;Assumptions!$D$13,'Zinc Agra'!AX22,'Zinc Agra'!AX23)</f>
        <v>10044344.413145544</v>
      </c>
      <c r="AY26" s="56">
        <f>IF(AY19&lt;Assumptions!$D$13,'Zinc Agra'!AY22,'Zinc Agra'!AY23)</f>
        <v>10044344.413145544</v>
      </c>
      <c r="AZ26" s="56">
        <f>IF(AZ19&lt;Assumptions!$D$13,'Zinc Agra'!AZ22,'Zinc Agra'!AZ23)</f>
        <v>10044344.413145544</v>
      </c>
      <c r="BA26" s="56">
        <f>IF(BA19&lt;Assumptions!$D$13,'Zinc Agra'!BA22,'Zinc Agra'!BA23)</f>
        <v>10044344.413145544</v>
      </c>
      <c r="BB26" s="56">
        <f>IF(BB19&lt;Assumptions!$D$13,'Zinc Agra'!BB22,'Zinc Agra'!BB23)</f>
        <v>10044344.413145544</v>
      </c>
      <c r="BC26" s="56">
        <f>IF(BC19&lt;Assumptions!$D$13,'Zinc Agra'!BC22,'Zinc Agra'!BC23)</f>
        <v>10044344.413145544</v>
      </c>
      <c r="BD26" s="56">
        <f>IF(BD19&lt;Assumptions!$D$13,'Zinc Agra'!BD22,'Zinc Agra'!BD23)</f>
        <v>10044344.413145544</v>
      </c>
      <c r="BE26" s="56">
        <f>IF(BE19&lt;Assumptions!$D$13,'Zinc Agra'!BE22,'Zinc Agra'!BE23)</f>
        <v>10044344.413145544</v>
      </c>
      <c r="BF26" s="56">
        <f>IF(BF19&lt;Assumptions!$D$13,'Zinc Agra'!BF22,'Zinc Agra'!BF23)</f>
        <v>10044344.413145544</v>
      </c>
      <c r="BG26" s="56">
        <f>IF(BG19&lt;Assumptions!$D$13,'Zinc Agra'!BG22,'Zinc Agra'!BG23)</f>
        <v>10044344.413145544</v>
      </c>
      <c r="BH26" s="56">
        <f>IF(BH19&lt;Assumptions!$D$13,'Zinc Agra'!BH22,'Zinc Agra'!BH23)</f>
        <v>10044344.413145544</v>
      </c>
      <c r="BI26" s="56">
        <f>IF(BI19&lt;Assumptions!$D$13,'Zinc Agra'!BI22,'Zinc Agra'!BI23)</f>
        <v>10044344.413145544</v>
      </c>
      <c r="BJ26" s="56">
        <f>IF(BJ19&lt;Assumptions!$D$13,'Zinc Agra'!BJ22,'Zinc Agra'!BJ23)</f>
        <v>10044344.413145544</v>
      </c>
      <c r="BK26" s="56">
        <f>IF(BK19&lt;Assumptions!$D$13,'Zinc Agra'!BK22,'Zinc Agra'!BK23)</f>
        <v>10044344.413145544</v>
      </c>
      <c r="BL26" s="56">
        <f>IF(BL19&lt;Assumptions!$D$13,'Zinc Agra'!BL22,'Zinc Agra'!BL23)</f>
        <v>10044344.413145544</v>
      </c>
      <c r="BM26" s="56">
        <f>IF(BM19&lt;Assumptions!$D$13,'Zinc Agra'!BM22,'Zinc Agra'!BM23)</f>
        <v>10044344.413145544</v>
      </c>
      <c r="BN26" s="56">
        <f>IF(BN19&lt;Assumptions!$D$13,'Zinc Agra'!BN22,'Zinc Agra'!BN23)</f>
        <v>10044344.413145544</v>
      </c>
      <c r="BO26" s="56">
        <f>IF(BO19&lt;Assumptions!$D$13,'Zinc Agra'!BO22,'Zinc Agra'!BO23)</f>
        <v>10044344.413145544</v>
      </c>
      <c r="BP26" s="56">
        <f>IF(BP19&lt;Assumptions!$D$13,'Zinc Agra'!BP22,'Zinc Agra'!BP23)</f>
        <v>10044344.413145544</v>
      </c>
      <c r="BQ26" s="56">
        <f>IF(BQ19&lt;Assumptions!$D$13,'Zinc Agra'!BQ22,'Zinc Agra'!BQ23)</f>
        <v>10044344.413145544</v>
      </c>
      <c r="BR26" s="56">
        <f>IF(BR19&lt;Assumptions!$D$13,'Zinc Agra'!BR22,'Zinc Agra'!BR23)</f>
        <v>10044344.413145544</v>
      </c>
      <c r="BS26" s="56">
        <f>IF(BS19&lt;Assumptions!$D$13,'Zinc Agra'!BS22,'Zinc Agra'!BS23)</f>
        <v>10044344.413145544</v>
      </c>
      <c r="BT26" s="56">
        <f>IF(BT19&lt;Assumptions!$D$13,'Zinc Agra'!BT22,'Zinc Agra'!BT23)</f>
        <v>10044344.413145544</v>
      </c>
      <c r="BU26" s="56">
        <f>IF(BU19&lt;Assumptions!$D$13,'Zinc Agra'!BU22,'Zinc Agra'!BU23)</f>
        <v>10044344.413145544</v>
      </c>
      <c r="BV26" s="56">
        <f>IF(BV19&lt;Assumptions!$D$13,'Zinc Agra'!BV22,'Zinc Agra'!BV23)</f>
        <v>10044344.413145544</v>
      </c>
      <c r="BW26" s="56">
        <f>IF(BW19&lt;Assumptions!$D$13,'Zinc Agra'!BW22,'Zinc Agra'!BW23)</f>
        <v>10044344.413145544</v>
      </c>
      <c r="BX26" s="56">
        <f>IF(BX19&lt;Assumptions!$D$13,'Zinc Agra'!BX22,'Zinc Agra'!BX23)</f>
        <v>10044344.413145544</v>
      </c>
      <c r="BY26" s="56">
        <f>IF(BY19&lt;Assumptions!$D$13,'Zinc Agra'!BY22,'Zinc Agra'!BY23)</f>
        <v>10044344.413145544</v>
      </c>
      <c r="BZ26" s="56">
        <f>IF(BZ19&lt;Assumptions!$D$13,'Zinc Agra'!BZ22,'Zinc Agra'!BZ23)</f>
        <v>10044344.413145544</v>
      </c>
      <c r="CA26" s="56">
        <f>IF(CA19&lt;Assumptions!$D$13,'Zinc Agra'!CA22,'Zinc Agra'!CA23)</f>
        <v>10044344.413145544</v>
      </c>
      <c r="CB26" s="56">
        <f>IF(CB19&lt;Assumptions!$D$13,'Zinc Agra'!CB22,'Zinc Agra'!CB23)</f>
        <v>10044344.413145544</v>
      </c>
      <c r="CC26" s="56">
        <f>IF(CC19&lt;Assumptions!$D$13,'Zinc Agra'!CC22,'Zinc Agra'!CC23)</f>
        <v>10044344.413145544</v>
      </c>
      <c r="CD26" s="56">
        <f>IF(CD19&lt;Assumptions!$D$13,'Zinc Agra'!CD22,'Zinc Agra'!CD23)</f>
        <v>10044344.413145544</v>
      </c>
      <c r="CE26" s="56">
        <f>IF(CE19&lt;Assumptions!$D$13,'Zinc Agra'!CE22,'Zinc Agra'!CE23)</f>
        <v>10044344.413145544</v>
      </c>
      <c r="CF26" s="56">
        <f>IF(CF19&lt;Assumptions!$D$13,'Zinc Agra'!CF22,'Zinc Agra'!CF23)</f>
        <v>10044344.413145544</v>
      </c>
      <c r="CG26" s="56">
        <f>IF(CG19&lt;Assumptions!$D$13,'Zinc Agra'!CG22,'Zinc Agra'!CG23)</f>
        <v>10044344.413145544</v>
      </c>
      <c r="CH26" s="56">
        <f>IF(CH19&lt;Assumptions!$D$13,'Zinc Agra'!CH22,'Zinc Agra'!CH23)</f>
        <v>10044344.413145544</v>
      </c>
      <c r="CI26" s="56">
        <f>IF(CI19&lt;Assumptions!$D$13,'Zinc Agra'!CI22,'Zinc Agra'!CI23)</f>
        <v>10044344.413145544</v>
      </c>
      <c r="CJ26" s="56">
        <f>IF(CJ19&lt;Assumptions!$D$13,'Zinc Agra'!CJ22,'Zinc Agra'!CJ23)</f>
        <v>10044344.413145544</v>
      </c>
      <c r="CK26" s="56">
        <f>IF(CK19&lt;Assumptions!$D$13,'Zinc Agra'!CK22,'Zinc Agra'!CK23)</f>
        <v>10044344.413145544</v>
      </c>
      <c r="CL26" s="56">
        <f>IF(CL19&lt;Assumptions!$D$13,'Zinc Agra'!CL22,'Zinc Agra'!CL23)</f>
        <v>10044344.413145544</v>
      </c>
      <c r="CM26" s="56">
        <f>IF(CM19&lt;Assumptions!$D$13,'Zinc Agra'!CM22,'Zinc Agra'!CM23)</f>
        <v>10044344.413145544</v>
      </c>
      <c r="CN26" s="56">
        <f>IF(CN19&lt;Assumptions!$D$13,'Zinc Agra'!CN22,'Zinc Agra'!CN23)</f>
        <v>10044344.413145544</v>
      </c>
      <c r="CO26" s="56">
        <f>IF(CO19&lt;Assumptions!$D$13,'Zinc Agra'!CO22,'Zinc Agra'!CO23)</f>
        <v>10044344.413145544</v>
      </c>
      <c r="CP26" s="56">
        <f>IF(CP19&lt;Assumptions!$D$13,'Zinc Agra'!CP22,'Zinc Agra'!CP23)</f>
        <v>10044344.413145544</v>
      </c>
      <c r="CQ26" s="56">
        <f>IF(CQ19&lt;Assumptions!$D$13,'Zinc Agra'!CQ22,'Zinc Agra'!CQ23)</f>
        <v>10044344.413145544</v>
      </c>
      <c r="CR26" s="56">
        <f>IF(CR19&lt;Assumptions!$D$13,'Zinc Agra'!CR22,'Zinc Agra'!CR23)</f>
        <v>10044344.413145544</v>
      </c>
      <c r="CS26" s="56">
        <f>IF(CS19&lt;Assumptions!$D$13,'Zinc Agra'!CS22,'Zinc Agra'!CS23)</f>
        <v>10044344.413145544</v>
      </c>
      <c r="CT26" s="56">
        <f>IF(CT19&lt;Assumptions!$D$13,'Zinc Agra'!CT22,'Zinc Agra'!CT23)</f>
        <v>10044344.413145544</v>
      </c>
      <c r="CU26" s="56">
        <f>IF(CU19&lt;Assumptions!$D$13,'Zinc Agra'!CU22,'Zinc Agra'!CU23)</f>
        <v>10044344.413145544</v>
      </c>
      <c r="CV26" s="56">
        <f>IF(CV19&lt;Assumptions!$D$13,'Zinc Agra'!CV22,'Zinc Agra'!CV23)</f>
        <v>10044344.413145544</v>
      </c>
      <c r="CW26" s="56">
        <f>IF(CW19&lt;Assumptions!$D$13,'Zinc Agra'!CW22,'Zinc Agra'!CW23)</f>
        <v>10044344.413145544</v>
      </c>
      <c r="CX26" s="56">
        <f>IF(CX19&lt;Assumptions!$D$13,'Zinc Agra'!CX22,'Zinc Agra'!CX23)</f>
        <v>10044344.413145544</v>
      </c>
      <c r="CY26" s="56">
        <f>IF(CY19&lt;Assumptions!$D$13,'Zinc Agra'!CY22,'Zinc Agra'!CY23)</f>
        <v>10044344.413145544</v>
      </c>
      <c r="CZ26" s="56">
        <f>IF(CZ19&lt;Assumptions!$D$13,'Zinc Agra'!CZ22,'Zinc Agra'!CZ23)</f>
        <v>10044344.413145544</v>
      </c>
      <c r="DA26" s="56">
        <f>IF(DA19&lt;Assumptions!$D$13,'Zinc Agra'!DA22,'Zinc Agra'!DA23)</f>
        <v>10044344.413145544</v>
      </c>
      <c r="DB26" s="56">
        <f>IF(DB19&lt;Assumptions!$D$13,'Zinc Agra'!DB22,'Zinc Agra'!DB23)</f>
        <v>10044344.413145544</v>
      </c>
      <c r="DC26" s="56">
        <f>IF(DC19&lt;Assumptions!$D$13,'Zinc Agra'!DC22,'Zinc Agra'!DC23)</f>
        <v>10044344.413145544</v>
      </c>
      <c r="DD26" s="56">
        <f>IF(DD19&lt;Assumptions!$D$13,'Zinc Agra'!DD22,'Zinc Agra'!DD23)</f>
        <v>10044344.413145544</v>
      </c>
      <c r="DE26" s="56">
        <f>IF(DE19&lt;Assumptions!$D$13,'Zinc Agra'!DE22,'Zinc Agra'!DE23)</f>
        <v>10044344.413145544</v>
      </c>
      <c r="DF26" s="56">
        <f>IF(DF19&lt;Assumptions!$D$13,'Zinc Agra'!DF22,'Zinc Agra'!DF23)</f>
        <v>10044344.413145544</v>
      </c>
      <c r="DG26" s="56">
        <f>IF(DG19&lt;Assumptions!$D$13,'Zinc Agra'!DG22,'Zinc Agra'!DG23)</f>
        <v>10044344.413145544</v>
      </c>
      <c r="DH26" s="56">
        <f>IF(DH19&lt;Assumptions!$D$13,'Zinc Agra'!DH22,'Zinc Agra'!DH23)</f>
        <v>10044344.413145544</v>
      </c>
      <c r="DI26" s="56">
        <f>IF(DI19&lt;Assumptions!$D$13,'Zinc Agra'!DI22,'Zinc Agra'!DI23)</f>
        <v>10044344.413145544</v>
      </c>
      <c r="DJ26" s="56">
        <f>IF(DJ19&lt;Assumptions!$D$13,'Zinc Agra'!DJ22,'Zinc Agra'!DJ23)</f>
        <v>10044344.413145544</v>
      </c>
      <c r="DK26" s="56">
        <f>IF(DK19&lt;Assumptions!$D$13,'Zinc Agra'!DK22,'Zinc Agra'!DK23)</f>
        <v>10044344.413145544</v>
      </c>
      <c r="DL26" s="56">
        <f>IF(DL19&lt;Assumptions!$D$13,'Zinc Agra'!DL22,'Zinc Agra'!DL23)</f>
        <v>10044344.413145544</v>
      </c>
      <c r="DM26" s="56">
        <f>IF(DM19&lt;Assumptions!$D$13,'Zinc Agra'!DM22,'Zinc Agra'!DM23)</f>
        <v>10044344.413145544</v>
      </c>
      <c r="DN26" s="56">
        <f>IF(DN19&lt;Assumptions!$D$13,'Zinc Agra'!DN22,'Zinc Agra'!DN23)</f>
        <v>10044344.413145544</v>
      </c>
      <c r="DO26" s="56">
        <f>IF(DO19&lt;Assumptions!$D$13,'Zinc Agra'!DO22,'Zinc Agra'!DO23)</f>
        <v>10044344.413145544</v>
      </c>
      <c r="DP26" s="56">
        <f>IF(DP19&lt;Assumptions!$D$13,'Zinc Agra'!DP22,'Zinc Agra'!DP23)</f>
        <v>10044344.413145544</v>
      </c>
      <c r="DQ26" s="56">
        <f>IF(DQ19&lt;Assumptions!$D$13,'Zinc Agra'!DQ22,'Zinc Agra'!DQ23)</f>
        <v>10044344.413145544</v>
      </c>
      <c r="DR26" s="56">
        <f>IF(DR19&lt;Assumptions!$D$13,'Zinc Agra'!DR22,'Zinc Agra'!DR23)</f>
        <v>10044344.413145544</v>
      </c>
      <c r="DS26" s="56">
        <f>IF(DS19&lt;Assumptions!$D$13,'Zinc Agra'!DS22,'Zinc Agra'!DS23)</f>
        <v>10044344.413145544</v>
      </c>
      <c r="DT26" s="56">
        <f>IF(DT19&lt;Assumptions!$D$13,'Zinc Agra'!DT22,'Zinc Agra'!DT23)</f>
        <v>10044344.413145544</v>
      </c>
      <c r="DU26" s="56">
        <f>IF(DU19&lt;Assumptions!$D$13,'Zinc Agra'!DU22,'Zinc Agra'!DU23)</f>
        <v>10044344.413145544</v>
      </c>
      <c r="DV26" s="56">
        <f>IF(DV19&lt;Assumptions!$D$13,'Zinc Agra'!DV22,'Zinc Agra'!DV23)</f>
        <v>10044344.413145544</v>
      </c>
      <c r="DW26" s="56">
        <f>IF(DW19&lt;Assumptions!$D$13,'Zinc Agra'!DW22,'Zinc Agra'!DW23)</f>
        <v>10044344.413145544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05D1E-8343-4298-99F4-C136E4C2E90D}">
  <sheetPr>
    <tabColor theme="8"/>
  </sheetPr>
  <dimension ref="B1:M120"/>
  <sheetViews>
    <sheetView showGridLines="0" workbookViewId="0">
      <selection activeCell="B1" sqref="B1"/>
    </sheetView>
  </sheetViews>
  <sheetFormatPr defaultRowHeight="15" x14ac:dyDescent="0.3"/>
  <cols>
    <col min="1" max="1" width="1.7109375" style="53" customWidth="1"/>
    <col min="2" max="2" width="17.85546875" style="53" customWidth="1"/>
    <col min="3" max="3" width="14.42578125" style="56" bestFit="1" customWidth="1"/>
    <col min="4" max="4" width="19.140625" style="56" bestFit="1" customWidth="1"/>
    <col min="5" max="5" width="19.140625" style="56" customWidth="1"/>
    <col min="6" max="6" width="13.5703125" style="56" bestFit="1" customWidth="1"/>
    <col min="7" max="7" width="18.42578125" style="56" bestFit="1" customWidth="1"/>
    <col min="8" max="8" width="18.42578125" style="56" customWidth="1"/>
    <col min="9" max="9" width="17.42578125" style="56" bestFit="1" customWidth="1"/>
    <col min="10" max="14" width="12" style="53" bestFit="1" customWidth="1"/>
    <col min="15" max="16" width="10.42578125" style="53" bestFit="1" customWidth="1"/>
    <col min="17" max="16384" width="9.140625" style="53"/>
  </cols>
  <sheetData>
    <row r="1" spans="2:13" s="84" customFormat="1" x14ac:dyDescent="0.3">
      <c r="B1" s="188" t="s">
        <v>300</v>
      </c>
      <c r="C1" s="164"/>
      <c r="D1" s="164"/>
      <c r="E1" s="164"/>
      <c r="F1" s="164"/>
      <c r="G1" s="164"/>
      <c r="H1" s="164"/>
      <c r="I1" s="164"/>
    </row>
    <row r="2" spans="2:13" s="84" customFormat="1" ht="18" x14ac:dyDescent="0.35">
      <c r="B2" s="91" t="s">
        <v>243</v>
      </c>
      <c r="C2" s="165"/>
      <c r="D2" s="165"/>
      <c r="E2" s="165"/>
      <c r="F2" s="165"/>
      <c r="G2" s="165"/>
      <c r="H2" s="165"/>
      <c r="I2" s="165"/>
      <c r="J2" s="90"/>
      <c r="K2" s="90"/>
      <c r="L2" s="90"/>
      <c r="M2" s="90"/>
    </row>
    <row r="4" spans="2:13" x14ac:dyDescent="0.3">
      <c r="B4" s="67" t="s">
        <v>270</v>
      </c>
      <c r="C4" s="163">
        <f>+Assumptions!I4</f>
        <v>50000000</v>
      </c>
    </row>
    <row r="5" spans="2:13" x14ac:dyDescent="0.3">
      <c r="B5" s="113" t="s">
        <v>272</v>
      </c>
      <c r="C5" s="170" t="str">
        <f>+Assumptions!I5</f>
        <v>IO</v>
      </c>
    </row>
    <row r="6" spans="2:13" x14ac:dyDescent="0.3">
      <c r="B6" s="53" t="s">
        <v>273</v>
      </c>
      <c r="C6" s="68">
        <f>+Assumptions!I6</f>
        <v>0.11</v>
      </c>
    </row>
    <row r="7" spans="2:13" x14ac:dyDescent="0.3">
      <c r="B7" s="113" t="s">
        <v>274</v>
      </c>
      <c r="C7" s="171">
        <f>+Assumptions!I7</f>
        <v>36</v>
      </c>
    </row>
    <row r="8" spans="2:13" x14ac:dyDescent="0.3">
      <c r="B8" s="53" t="s">
        <v>275</v>
      </c>
      <c r="C8" s="173">
        <f>+Assumptions!I8</f>
        <v>47299</v>
      </c>
    </row>
    <row r="10" spans="2:13" x14ac:dyDescent="0.3">
      <c r="B10" s="74" t="s">
        <v>18</v>
      </c>
      <c r="C10" s="174" t="s">
        <v>63</v>
      </c>
      <c r="D10" s="174" t="s">
        <v>281</v>
      </c>
      <c r="E10" s="174" t="s">
        <v>54</v>
      </c>
      <c r="F10" s="174" t="s">
        <v>276</v>
      </c>
      <c r="G10" s="174" t="s">
        <v>279</v>
      </c>
      <c r="H10" s="174" t="s">
        <v>283</v>
      </c>
      <c r="I10" s="174" t="s">
        <v>277</v>
      </c>
    </row>
    <row r="11" spans="2:13" x14ac:dyDescent="0.3">
      <c r="B11" s="66">
        <f>EOMONTH(Assumptions!C4,1)</f>
        <v>46234</v>
      </c>
      <c r="C11" s="172">
        <f>IF(B11="","",$C$4)</f>
        <v>50000000</v>
      </c>
      <c r="D11" s="172">
        <f>IF(B11="","",IF($C$5="IO",C11*$C$6/12,-PMT($C$6/12,$C$7,$C$4)))</f>
        <v>458333.33333333331</v>
      </c>
      <c r="E11" s="172">
        <f>IF(B11="","",C11*$C$6/12)</f>
        <v>458333.33333333331</v>
      </c>
      <c r="F11" s="172">
        <f>IF(B11="","",+D11-E11)</f>
        <v>0</v>
      </c>
      <c r="G11" s="172">
        <f>IF(B11="","",IF(AND($C$5="io",$C$8=B11),$C$4,0))</f>
        <v>0</v>
      </c>
      <c r="H11" s="172">
        <f>IF(B11="","",G11+F11)</f>
        <v>0</v>
      </c>
      <c r="I11" s="172">
        <f>IF(B11="","",C11-H11)</f>
        <v>50000000</v>
      </c>
    </row>
    <row r="12" spans="2:13" x14ac:dyDescent="0.3">
      <c r="B12" s="66">
        <f>IF(B11="","",IF(B11=$C$8,"",EOMONTH(B11,1)))</f>
        <v>46265</v>
      </c>
      <c r="C12" s="172">
        <f>IF(B12="","",I11)</f>
        <v>50000000</v>
      </c>
      <c r="D12" s="172">
        <f t="shared" ref="D12:D48" si="0">IF(B12="","",IF($C$5="IO",C12*$C$6/12,-PMT($C$6/12,$C$7,$C$4)))</f>
        <v>458333.33333333331</v>
      </c>
      <c r="E12" s="172">
        <f t="shared" ref="E12:E48" si="1">IF(B12="","",C12*$C$6/12)</f>
        <v>458333.33333333331</v>
      </c>
      <c r="F12" s="172">
        <f t="shared" ref="F12:F48" si="2">IF(B12="","",+D12-E12)</f>
        <v>0</v>
      </c>
      <c r="G12" s="172">
        <f t="shared" ref="G12:G48" si="3">IF(B12="","",IF(AND($C$5="io",$C$8=B12),$C$4,0))</f>
        <v>0</v>
      </c>
      <c r="H12" s="172">
        <f t="shared" ref="H12:H48" si="4">IF(B12="","",G12+F12)</f>
        <v>0</v>
      </c>
      <c r="I12" s="172">
        <f t="shared" ref="I12:I48" si="5">IF(B12="","",C12-H12)</f>
        <v>50000000</v>
      </c>
    </row>
    <row r="13" spans="2:13" x14ac:dyDescent="0.3">
      <c r="B13" s="66">
        <f t="shared" ref="B13:B48" si="6">IF(B12="","",IF(B12=$C$8,"",EOMONTH(B12,1)))</f>
        <v>46295</v>
      </c>
      <c r="C13" s="172">
        <f t="shared" ref="C13:C48" si="7">IF(B13="","",I12)</f>
        <v>50000000</v>
      </c>
      <c r="D13" s="172">
        <f t="shared" si="0"/>
        <v>458333.33333333331</v>
      </c>
      <c r="E13" s="172">
        <f t="shared" si="1"/>
        <v>458333.33333333331</v>
      </c>
      <c r="F13" s="172">
        <f t="shared" si="2"/>
        <v>0</v>
      </c>
      <c r="G13" s="172">
        <f t="shared" si="3"/>
        <v>0</v>
      </c>
      <c r="H13" s="172">
        <f t="shared" si="4"/>
        <v>0</v>
      </c>
      <c r="I13" s="172">
        <f t="shared" si="5"/>
        <v>50000000</v>
      </c>
    </row>
    <row r="14" spans="2:13" x14ac:dyDescent="0.3">
      <c r="B14" s="66">
        <f t="shared" si="6"/>
        <v>46326</v>
      </c>
      <c r="C14" s="172">
        <f t="shared" si="7"/>
        <v>50000000</v>
      </c>
      <c r="D14" s="172">
        <f t="shared" si="0"/>
        <v>458333.33333333331</v>
      </c>
      <c r="E14" s="172">
        <f t="shared" si="1"/>
        <v>458333.33333333331</v>
      </c>
      <c r="F14" s="172">
        <f t="shared" si="2"/>
        <v>0</v>
      </c>
      <c r="G14" s="172">
        <f t="shared" si="3"/>
        <v>0</v>
      </c>
      <c r="H14" s="172">
        <f t="shared" si="4"/>
        <v>0</v>
      </c>
      <c r="I14" s="172">
        <f t="shared" si="5"/>
        <v>50000000</v>
      </c>
    </row>
    <row r="15" spans="2:13" x14ac:dyDescent="0.3">
      <c r="B15" s="66">
        <f t="shared" si="6"/>
        <v>46356</v>
      </c>
      <c r="C15" s="172">
        <f t="shared" si="7"/>
        <v>50000000</v>
      </c>
      <c r="D15" s="172">
        <f t="shared" si="0"/>
        <v>458333.33333333331</v>
      </c>
      <c r="E15" s="172">
        <f t="shared" si="1"/>
        <v>458333.33333333331</v>
      </c>
      <c r="F15" s="172">
        <f t="shared" si="2"/>
        <v>0</v>
      </c>
      <c r="G15" s="172">
        <f t="shared" si="3"/>
        <v>0</v>
      </c>
      <c r="H15" s="172">
        <f t="shared" si="4"/>
        <v>0</v>
      </c>
      <c r="I15" s="172">
        <f t="shared" si="5"/>
        <v>50000000</v>
      </c>
    </row>
    <row r="16" spans="2:13" x14ac:dyDescent="0.3">
      <c r="B16" s="66">
        <f t="shared" si="6"/>
        <v>46387</v>
      </c>
      <c r="C16" s="172">
        <f t="shared" si="7"/>
        <v>50000000</v>
      </c>
      <c r="D16" s="172">
        <f t="shared" si="0"/>
        <v>458333.33333333331</v>
      </c>
      <c r="E16" s="172">
        <f t="shared" si="1"/>
        <v>458333.33333333331</v>
      </c>
      <c r="F16" s="172">
        <f t="shared" si="2"/>
        <v>0</v>
      </c>
      <c r="G16" s="172">
        <f t="shared" si="3"/>
        <v>0</v>
      </c>
      <c r="H16" s="172">
        <f t="shared" si="4"/>
        <v>0</v>
      </c>
      <c r="I16" s="172">
        <f t="shared" si="5"/>
        <v>50000000</v>
      </c>
    </row>
    <row r="17" spans="2:9" x14ac:dyDescent="0.3">
      <c r="B17" s="66">
        <f t="shared" si="6"/>
        <v>46418</v>
      </c>
      <c r="C17" s="172">
        <f t="shared" si="7"/>
        <v>50000000</v>
      </c>
      <c r="D17" s="172">
        <f t="shared" si="0"/>
        <v>458333.33333333331</v>
      </c>
      <c r="E17" s="172">
        <f t="shared" si="1"/>
        <v>458333.33333333331</v>
      </c>
      <c r="F17" s="172">
        <f t="shared" si="2"/>
        <v>0</v>
      </c>
      <c r="G17" s="172">
        <f t="shared" si="3"/>
        <v>0</v>
      </c>
      <c r="H17" s="172">
        <f t="shared" si="4"/>
        <v>0</v>
      </c>
      <c r="I17" s="172">
        <f t="shared" si="5"/>
        <v>50000000</v>
      </c>
    </row>
    <row r="18" spans="2:9" x14ac:dyDescent="0.3">
      <c r="B18" s="66">
        <f t="shared" si="6"/>
        <v>46446</v>
      </c>
      <c r="C18" s="172">
        <f t="shared" si="7"/>
        <v>50000000</v>
      </c>
      <c r="D18" s="172">
        <f t="shared" si="0"/>
        <v>458333.33333333331</v>
      </c>
      <c r="E18" s="172">
        <f t="shared" si="1"/>
        <v>458333.33333333331</v>
      </c>
      <c r="F18" s="172">
        <f t="shared" si="2"/>
        <v>0</v>
      </c>
      <c r="G18" s="172">
        <f t="shared" si="3"/>
        <v>0</v>
      </c>
      <c r="H18" s="172">
        <f t="shared" si="4"/>
        <v>0</v>
      </c>
      <c r="I18" s="172">
        <f t="shared" si="5"/>
        <v>50000000</v>
      </c>
    </row>
    <row r="19" spans="2:9" x14ac:dyDescent="0.3">
      <c r="B19" s="66">
        <f t="shared" si="6"/>
        <v>46477</v>
      </c>
      <c r="C19" s="172">
        <f t="shared" si="7"/>
        <v>50000000</v>
      </c>
      <c r="D19" s="172">
        <f t="shared" si="0"/>
        <v>458333.33333333331</v>
      </c>
      <c r="E19" s="172">
        <f t="shared" si="1"/>
        <v>458333.33333333331</v>
      </c>
      <c r="F19" s="172">
        <f t="shared" si="2"/>
        <v>0</v>
      </c>
      <c r="G19" s="172">
        <f t="shared" si="3"/>
        <v>0</v>
      </c>
      <c r="H19" s="172">
        <f t="shared" si="4"/>
        <v>0</v>
      </c>
      <c r="I19" s="172">
        <f t="shared" si="5"/>
        <v>50000000</v>
      </c>
    </row>
    <row r="20" spans="2:9" x14ac:dyDescent="0.3">
      <c r="B20" s="66">
        <f t="shared" si="6"/>
        <v>46507</v>
      </c>
      <c r="C20" s="172">
        <f t="shared" si="7"/>
        <v>50000000</v>
      </c>
      <c r="D20" s="172">
        <f t="shared" si="0"/>
        <v>458333.33333333331</v>
      </c>
      <c r="E20" s="172">
        <f t="shared" si="1"/>
        <v>458333.33333333331</v>
      </c>
      <c r="F20" s="172">
        <f t="shared" si="2"/>
        <v>0</v>
      </c>
      <c r="G20" s="172">
        <f t="shared" si="3"/>
        <v>0</v>
      </c>
      <c r="H20" s="172">
        <f t="shared" si="4"/>
        <v>0</v>
      </c>
      <c r="I20" s="172">
        <f t="shared" si="5"/>
        <v>50000000</v>
      </c>
    </row>
    <row r="21" spans="2:9" x14ac:dyDescent="0.3">
      <c r="B21" s="66">
        <f t="shared" si="6"/>
        <v>46538</v>
      </c>
      <c r="C21" s="172">
        <f t="shared" si="7"/>
        <v>50000000</v>
      </c>
      <c r="D21" s="172">
        <f t="shared" si="0"/>
        <v>458333.33333333331</v>
      </c>
      <c r="E21" s="172">
        <f t="shared" si="1"/>
        <v>458333.33333333331</v>
      </c>
      <c r="F21" s="172">
        <f t="shared" si="2"/>
        <v>0</v>
      </c>
      <c r="G21" s="172">
        <f t="shared" si="3"/>
        <v>0</v>
      </c>
      <c r="H21" s="172">
        <f t="shared" si="4"/>
        <v>0</v>
      </c>
      <c r="I21" s="172">
        <f t="shared" si="5"/>
        <v>50000000</v>
      </c>
    </row>
    <row r="22" spans="2:9" x14ac:dyDescent="0.3">
      <c r="B22" s="66">
        <f t="shared" si="6"/>
        <v>46568</v>
      </c>
      <c r="C22" s="172">
        <f t="shared" si="7"/>
        <v>50000000</v>
      </c>
      <c r="D22" s="172">
        <f t="shared" si="0"/>
        <v>458333.33333333331</v>
      </c>
      <c r="E22" s="172">
        <f t="shared" si="1"/>
        <v>458333.33333333331</v>
      </c>
      <c r="F22" s="172">
        <f t="shared" si="2"/>
        <v>0</v>
      </c>
      <c r="G22" s="172">
        <f t="shared" si="3"/>
        <v>0</v>
      </c>
      <c r="H22" s="172">
        <f t="shared" si="4"/>
        <v>0</v>
      </c>
      <c r="I22" s="172">
        <f t="shared" si="5"/>
        <v>50000000</v>
      </c>
    </row>
    <row r="23" spans="2:9" x14ac:dyDescent="0.3">
      <c r="B23" s="66">
        <f t="shared" si="6"/>
        <v>46599</v>
      </c>
      <c r="C23" s="172">
        <f t="shared" si="7"/>
        <v>50000000</v>
      </c>
      <c r="D23" s="172">
        <f t="shared" si="0"/>
        <v>458333.33333333331</v>
      </c>
      <c r="E23" s="172">
        <f t="shared" si="1"/>
        <v>458333.33333333331</v>
      </c>
      <c r="F23" s="172">
        <f t="shared" si="2"/>
        <v>0</v>
      </c>
      <c r="G23" s="172">
        <f t="shared" si="3"/>
        <v>0</v>
      </c>
      <c r="H23" s="172">
        <f t="shared" si="4"/>
        <v>0</v>
      </c>
      <c r="I23" s="172">
        <f t="shared" si="5"/>
        <v>50000000</v>
      </c>
    </row>
    <row r="24" spans="2:9" x14ac:dyDescent="0.3">
      <c r="B24" s="66">
        <f t="shared" si="6"/>
        <v>46630</v>
      </c>
      <c r="C24" s="172">
        <f t="shared" si="7"/>
        <v>50000000</v>
      </c>
      <c r="D24" s="172">
        <f t="shared" si="0"/>
        <v>458333.33333333331</v>
      </c>
      <c r="E24" s="172">
        <f t="shared" si="1"/>
        <v>458333.33333333331</v>
      </c>
      <c r="F24" s="172">
        <f t="shared" si="2"/>
        <v>0</v>
      </c>
      <c r="G24" s="172">
        <f t="shared" si="3"/>
        <v>0</v>
      </c>
      <c r="H24" s="172">
        <f t="shared" si="4"/>
        <v>0</v>
      </c>
      <c r="I24" s="172">
        <f t="shared" si="5"/>
        <v>50000000</v>
      </c>
    </row>
    <row r="25" spans="2:9" x14ac:dyDescent="0.3">
      <c r="B25" s="66">
        <f t="shared" si="6"/>
        <v>46660</v>
      </c>
      <c r="C25" s="172">
        <f t="shared" si="7"/>
        <v>50000000</v>
      </c>
      <c r="D25" s="172">
        <f t="shared" si="0"/>
        <v>458333.33333333331</v>
      </c>
      <c r="E25" s="172">
        <f t="shared" si="1"/>
        <v>458333.33333333331</v>
      </c>
      <c r="F25" s="172">
        <f t="shared" si="2"/>
        <v>0</v>
      </c>
      <c r="G25" s="172">
        <f t="shared" si="3"/>
        <v>0</v>
      </c>
      <c r="H25" s="172">
        <f t="shared" si="4"/>
        <v>0</v>
      </c>
      <c r="I25" s="172">
        <f t="shared" si="5"/>
        <v>50000000</v>
      </c>
    </row>
    <row r="26" spans="2:9" x14ac:dyDescent="0.3">
      <c r="B26" s="66">
        <f t="shared" si="6"/>
        <v>46691</v>
      </c>
      <c r="C26" s="172">
        <f t="shared" si="7"/>
        <v>50000000</v>
      </c>
      <c r="D26" s="172">
        <f t="shared" si="0"/>
        <v>458333.33333333331</v>
      </c>
      <c r="E26" s="172">
        <f t="shared" si="1"/>
        <v>458333.33333333331</v>
      </c>
      <c r="F26" s="172">
        <f t="shared" si="2"/>
        <v>0</v>
      </c>
      <c r="G26" s="172">
        <f t="shared" si="3"/>
        <v>0</v>
      </c>
      <c r="H26" s="172">
        <f t="shared" si="4"/>
        <v>0</v>
      </c>
      <c r="I26" s="172">
        <f t="shared" si="5"/>
        <v>50000000</v>
      </c>
    </row>
    <row r="27" spans="2:9" x14ac:dyDescent="0.3">
      <c r="B27" s="66">
        <f t="shared" si="6"/>
        <v>46721</v>
      </c>
      <c r="C27" s="172">
        <f t="shared" si="7"/>
        <v>50000000</v>
      </c>
      <c r="D27" s="172">
        <f t="shared" si="0"/>
        <v>458333.33333333331</v>
      </c>
      <c r="E27" s="172">
        <f t="shared" si="1"/>
        <v>458333.33333333331</v>
      </c>
      <c r="F27" s="172">
        <f t="shared" si="2"/>
        <v>0</v>
      </c>
      <c r="G27" s="172">
        <f t="shared" si="3"/>
        <v>0</v>
      </c>
      <c r="H27" s="172">
        <f t="shared" si="4"/>
        <v>0</v>
      </c>
      <c r="I27" s="172">
        <f t="shared" si="5"/>
        <v>50000000</v>
      </c>
    </row>
    <row r="28" spans="2:9" x14ac:dyDescent="0.3">
      <c r="B28" s="66">
        <f t="shared" si="6"/>
        <v>46752</v>
      </c>
      <c r="C28" s="172">
        <f t="shared" si="7"/>
        <v>50000000</v>
      </c>
      <c r="D28" s="172">
        <f t="shared" si="0"/>
        <v>458333.33333333331</v>
      </c>
      <c r="E28" s="172">
        <f t="shared" si="1"/>
        <v>458333.33333333331</v>
      </c>
      <c r="F28" s="172">
        <f t="shared" si="2"/>
        <v>0</v>
      </c>
      <c r="G28" s="172">
        <f t="shared" si="3"/>
        <v>0</v>
      </c>
      <c r="H28" s="172">
        <f t="shared" si="4"/>
        <v>0</v>
      </c>
      <c r="I28" s="172">
        <f t="shared" si="5"/>
        <v>50000000</v>
      </c>
    </row>
    <row r="29" spans="2:9" x14ac:dyDescent="0.3">
      <c r="B29" s="66">
        <f t="shared" si="6"/>
        <v>46783</v>
      </c>
      <c r="C29" s="172">
        <f t="shared" si="7"/>
        <v>50000000</v>
      </c>
      <c r="D29" s="172">
        <f t="shared" si="0"/>
        <v>458333.33333333331</v>
      </c>
      <c r="E29" s="172">
        <f t="shared" si="1"/>
        <v>458333.33333333331</v>
      </c>
      <c r="F29" s="172">
        <f t="shared" si="2"/>
        <v>0</v>
      </c>
      <c r="G29" s="172">
        <f t="shared" si="3"/>
        <v>0</v>
      </c>
      <c r="H29" s="172">
        <f t="shared" si="4"/>
        <v>0</v>
      </c>
      <c r="I29" s="172">
        <f t="shared" si="5"/>
        <v>50000000</v>
      </c>
    </row>
    <row r="30" spans="2:9" x14ac:dyDescent="0.3">
      <c r="B30" s="66">
        <f t="shared" si="6"/>
        <v>46812</v>
      </c>
      <c r="C30" s="172">
        <f t="shared" si="7"/>
        <v>50000000</v>
      </c>
      <c r="D30" s="172">
        <f t="shared" si="0"/>
        <v>458333.33333333331</v>
      </c>
      <c r="E30" s="172">
        <f t="shared" si="1"/>
        <v>458333.33333333331</v>
      </c>
      <c r="F30" s="172">
        <f t="shared" si="2"/>
        <v>0</v>
      </c>
      <c r="G30" s="172">
        <f t="shared" si="3"/>
        <v>0</v>
      </c>
      <c r="H30" s="172">
        <f t="shared" si="4"/>
        <v>0</v>
      </c>
      <c r="I30" s="172">
        <f t="shared" si="5"/>
        <v>50000000</v>
      </c>
    </row>
    <row r="31" spans="2:9" x14ac:dyDescent="0.3">
      <c r="B31" s="66">
        <f t="shared" si="6"/>
        <v>46843</v>
      </c>
      <c r="C31" s="172">
        <f t="shared" si="7"/>
        <v>50000000</v>
      </c>
      <c r="D31" s="172">
        <f t="shared" si="0"/>
        <v>458333.33333333331</v>
      </c>
      <c r="E31" s="172">
        <f t="shared" si="1"/>
        <v>458333.33333333331</v>
      </c>
      <c r="F31" s="172">
        <f t="shared" si="2"/>
        <v>0</v>
      </c>
      <c r="G31" s="172">
        <f t="shared" si="3"/>
        <v>0</v>
      </c>
      <c r="H31" s="172">
        <f t="shared" si="4"/>
        <v>0</v>
      </c>
      <c r="I31" s="172">
        <f t="shared" si="5"/>
        <v>50000000</v>
      </c>
    </row>
    <row r="32" spans="2:9" x14ac:dyDescent="0.3">
      <c r="B32" s="66">
        <f t="shared" si="6"/>
        <v>46873</v>
      </c>
      <c r="C32" s="172">
        <f t="shared" si="7"/>
        <v>50000000</v>
      </c>
      <c r="D32" s="172">
        <f t="shared" si="0"/>
        <v>458333.33333333331</v>
      </c>
      <c r="E32" s="172">
        <f t="shared" si="1"/>
        <v>458333.33333333331</v>
      </c>
      <c r="F32" s="172">
        <f t="shared" si="2"/>
        <v>0</v>
      </c>
      <c r="G32" s="172">
        <f t="shared" si="3"/>
        <v>0</v>
      </c>
      <c r="H32" s="172">
        <f t="shared" si="4"/>
        <v>0</v>
      </c>
      <c r="I32" s="172">
        <f t="shared" si="5"/>
        <v>50000000</v>
      </c>
    </row>
    <row r="33" spans="2:9" x14ac:dyDescent="0.3">
      <c r="B33" s="66">
        <f t="shared" si="6"/>
        <v>46904</v>
      </c>
      <c r="C33" s="172">
        <f t="shared" si="7"/>
        <v>50000000</v>
      </c>
      <c r="D33" s="172">
        <f t="shared" si="0"/>
        <v>458333.33333333331</v>
      </c>
      <c r="E33" s="172">
        <f t="shared" si="1"/>
        <v>458333.33333333331</v>
      </c>
      <c r="F33" s="172">
        <f t="shared" si="2"/>
        <v>0</v>
      </c>
      <c r="G33" s="172">
        <f t="shared" si="3"/>
        <v>0</v>
      </c>
      <c r="H33" s="172">
        <f t="shared" si="4"/>
        <v>0</v>
      </c>
      <c r="I33" s="172">
        <f t="shared" si="5"/>
        <v>50000000</v>
      </c>
    </row>
    <row r="34" spans="2:9" x14ac:dyDescent="0.3">
      <c r="B34" s="66">
        <f t="shared" si="6"/>
        <v>46934</v>
      </c>
      <c r="C34" s="172">
        <f t="shared" si="7"/>
        <v>50000000</v>
      </c>
      <c r="D34" s="172">
        <f t="shared" si="0"/>
        <v>458333.33333333331</v>
      </c>
      <c r="E34" s="172">
        <f t="shared" si="1"/>
        <v>458333.33333333331</v>
      </c>
      <c r="F34" s="172">
        <f t="shared" si="2"/>
        <v>0</v>
      </c>
      <c r="G34" s="172">
        <f t="shared" si="3"/>
        <v>0</v>
      </c>
      <c r="H34" s="172">
        <f t="shared" si="4"/>
        <v>0</v>
      </c>
      <c r="I34" s="172">
        <f t="shared" si="5"/>
        <v>50000000</v>
      </c>
    </row>
    <row r="35" spans="2:9" x14ac:dyDescent="0.3">
      <c r="B35" s="66">
        <f t="shared" si="6"/>
        <v>46965</v>
      </c>
      <c r="C35" s="172">
        <f t="shared" si="7"/>
        <v>50000000</v>
      </c>
      <c r="D35" s="172">
        <f t="shared" si="0"/>
        <v>458333.33333333331</v>
      </c>
      <c r="E35" s="172">
        <f t="shared" si="1"/>
        <v>458333.33333333331</v>
      </c>
      <c r="F35" s="172">
        <f t="shared" si="2"/>
        <v>0</v>
      </c>
      <c r="G35" s="172">
        <f t="shared" si="3"/>
        <v>0</v>
      </c>
      <c r="H35" s="172">
        <f t="shared" si="4"/>
        <v>0</v>
      </c>
      <c r="I35" s="172">
        <f t="shared" si="5"/>
        <v>50000000</v>
      </c>
    </row>
    <row r="36" spans="2:9" x14ac:dyDescent="0.3">
      <c r="B36" s="66">
        <f t="shared" si="6"/>
        <v>46996</v>
      </c>
      <c r="C36" s="172">
        <f t="shared" si="7"/>
        <v>50000000</v>
      </c>
      <c r="D36" s="172">
        <f t="shared" si="0"/>
        <v>458333.33333333331</v>
      </c>
      <c r="E36" s="172">
        <f t="shared" si="1"/>
        <v>458333.33333333331</v>
      </c>
      <c r="F36" s="172">
        <f t="shared" si="2"/>
        <v>0</v>
      </c>
      <c r="G36" s="172">
        <f t="shared" si="3"/>
        <v>0</v>
      </c>
      <c r="H36" s="172">
        <f t="shared" si="4"/>
        <v>0</v>
      </c>
      <c r="I36" s="172">
        <f t="shared" si="5"/>
        <v>50000000</v>
      </c>
    </row>
    <row r="37" spans="2:9" x14ac:dyDescent="0.3">
      <c r="B37" s="66">
        <f t="shared" si="6"/>
        <v>47026</v>
      </c>
      <c r="C37" s="172">
        <f t="shared" si="7"/>
        <v>50000000</v>
      </c>
      <c r="D37" s="172">
        <f t="shared" si="0"/>
        <v>458333.33333333331</v>
      </c>
      <c r="E37" s="172">
        <f t="shared" si="1"/>
        <v>458333.33333333331</v>
      </c>
      <c r="F37" s="172">
        <f t="shared" si="2"/>
        <v>0</v>
      </c>
      <c r="G37" s="172">
        <f t="shared" si="3"/>
        <v>0</v>
      </c>
      <c r="H37" s="172">
        <f t="shared" si="4"/>
        <v>0</v>
      </c>
      <c r="I37" s="172">
        <f t="shared" si="5"/>
        <v>50000000</v>
      </c>
    </row>
    <row r="38" spans="2:9" x14ac:dyDescent="0.3">
      <c r="B38" s="66">
        <f t="shared" si="6"/>
        <v>47057</v>
      </c>
      <c r="C38" s="172">
        <f t="shared" si="7"/>
        <v>50000000</v>
      </c>
      <c r="D38" s="172">
        <f t="shared" si="0"/>
        <v>458333.33333333331</v>
      </c>
      <c r="E38" s="172">
        <f t="shared" si="1"/>
        <v>458333.33333333331</v>
      </c>
      <c r="F38" s="172">
        <f t="shared" si="2"/>
        <v>0</v>
      </c>
      <c r="G38" s="172">
        <f t="shared" si="3"/>
        <v>0</v>
      </c>
      <c r="H38" s="172">
        <f t="shared" si="4"/>
        <v>0</v>
      </c>
      <c r="I38" s="172">
        <f t="shared" si="5"/>
        <v>50000000</v>
      </c>
    </row>
    <row r="39" spans="2:9" x14ac:dyDescent="0.3">
      <c r="B39" s="66">
        <f t="shared" si="6"/>
        <v>47087</v>
      </c>
      <c r="C39" s="172">
        <f t="shared" si="7"/>
        <v>50000000</v>
      </c>
      <c r="D39" s="172">
        <f t="shared" si="0"/>
        <v>458333.33333333331</v>
      </c>
      <c r="E39" s="172">
        <f t="shared" si="1"/>
        <v>458333.33333333331</v>
      </c>
      <c r="F39" s="172">
        <f t="shared" si="2"/>
        <v>0</v>
      </c>
      <c r="G39" s="172">
        <f t="shared" si="3"/>
        <v>0</v>
      </c>
      <c r="H39" s="172">
        <f t="shared" si="4"/>
        <v>0</v>
      </c>
      <c r="I39" s="172">
        <f t="shared" si="5"/>
        <v>50000000</v>
      </c>
    </row>
    <row r="40" spans="2:9" x14ac:dyDescent="0.3">
      <c r="B40" s="66">
        <f t="shared" si="6"/>
        <v>47118</v>
      </c>
      <c r="C40" s="172">
        <f t="shared" si="7"/>
        <v>50000000</v>
      </c>
      <c r="D40" s="172">
        <f t="shared" si="0"/>
        <v>458333.33333333331</v>
      </c>
      <c r="E40" s="172">
        <f t="shared" si="1"/>
        <v>458333.33333333331</v>
      </c>
      <c r="F40" s="172">
        <f t="shared" si="2"/>
        <v>0</v>
      </c>
      <c r="G40" s="172">
        <f t="shared" si="3"/>
        <v>0</v>
      </c>
      <c r="H40" s="172">
        <f t="shared" si="4"/>
        <v>0</v>
      </c>
      <c r="I40" s="172">
        <f t="shared" si="5"/>
        <v>50000000</v>
      </c>
    </row>
    <row r="41" spans="2:9" x14ac:dyDescent="0.3">
      <c r="B41" s="66">
        <f t="shared" si="6"/>
        <v>47149</v>
      </c>
      <c r="C41" s="172">
        <f t="shared" si="7"/>
        <v>50000000</v>
      </c>
      <c r="D41" s="172">
        <f t="shared" si="0"/>
        <v>458333.33333333331</v>
      </c>
      <c r="E41" s="172">
        <f t="shared" si="1"/>
        <v>458333.33333333331</v>
      </c>
      <c r="F41" s="172">
        <f t="shared" si="2"/>
        <v>0</v>
      </c>
      <c r="G41" s="172">
        <f t="shared" si="3"/>
        <v>0</v>
      </c>
      <c r="H41" s="172">
        <f t="shared" si="4"/>
        <v>0</v>
      </c>
      <c r="I41" s="172">
        <f t="shared" si="5"/>
        <v>50000000</v>
      </c>
    </row>
    <row r="42" spans="2:9" x14ac:dyDescent="0.3">
      <c r="B42" s="66">
        <f t="shared" si="6"/>
        <v>47177</v>
      </c>
      <c r="C42" s="172">
        <f t="shared" si="7"/>
        <v>50000000</v>
      </c>
      <c r="D42" s="172">
        <f t="shared" si="0"/>
        <v>458333.33333333331</v>
      </c>
      <c r="E42" s="172">
        <f t="shared" si="1"/>
        <v>458333.33333333331</v>
      </c>
      <c r="F42" s="172">
        <f t="shared" si="2"/>
        <v>0</v>
      </c>
      <c r="G42" s="172">
        <f t="shared" si="3"/>
        <v>0</v>
      </c>
      <c r="H42" s="172">
        <f t="shared" si="4"/>
        <v>0</v>
      </c>
      <c r="I42" s="172">
        <f t="shared" si="5"/>
        <v>50000000</v>
      </c>
    </row>
    <row r="43" spans="2:9" x14ac:dyDescent="0.3">
      <c r="B43" s="66">
        <f t="shared" si="6"/>
        <v>47208</v>
      </c>
      <c r="C43" s="172">
        <f t="shared" si="7"/>
        <v>50000000</v>
      </c>
      <c r="D43" s="172">
        <f t="shared" si="0"/>
        <v>458333.33333333331</v>
      </c>
      <c r="E43" s="172">
        <f t="shared" si="1"/>
        <v>458333.33333333331</v>
      </c>
      <c r="F43" s="172">
        <f t="shared" si="2"/>
        <v>0</v>
      </c>
      <c r="G43" s="172">
        <f t="shared" si="3"/>
        <v>0</v>
      </c>
      <c r="H43" s="172">
        <f t="shared" si="4"/>
        <v>0</v>
      </c>
      <c r="I43" s="172">
        <f t="shared" si="5"/>
        <v>50000000</v>
      </c>
    </row>
    <row r="44" spans="2:9" x14ac:dyDescent="0.3">
      <c r="B44" s="66">
        <f t="shared" si="6"/>
        <v>47238</v>
      </c>
      <c r="C44" s="172">
        <f t="shared" si="7"/>
        <v>50000000</v>
      </c>
      <c r="D44" s="172">
        <f t="shared" si="0"/>
        <v>458333.33333333331</v>
      </c>
      <c r="E44" s="172">
        <f t="shared" si="1"/>
        <v>458333.33333333331</v>
      </c>
      <c r="F44" s="172">
        <f t="shared" si="2"/>
        <v>0</v>
      </c>
      <c r="G44" s="172">
        <f t="shared" si="3"/>
        <v>0</v>
      </c>
      <c r="H44" s="172">
        <f t="shared" si="4"/>
        <v>0</v>
      </c>
      <c r="I44" s="172">
        <f t="shared" si="5"/>
        <v>50000000</v>
      </c>
    </row>
    <row r="45" spans="2:9" x14ac:dyDescent="0.3">
      <c r="B45" s="66">
        <f t="shared" si="6"/>
        <v>47269</v>
      </c>
      <c r="C45" s="172">
        <f t="shared" si="7"/>
        <v>50000000</v>
      </c>
      <c r="D45" s="172">
        <f t="shared" si="0"/>
        <v>458333.33333333331</v>
      </c>
      <c r="E45" s="172">
        <f t="shared" si="1"/>
        <v>458333.33333333331</v>
      </c>
      <c r="F45" s="172">
        <f t="shared" si="2"/>
        <v>0</v>
      </c>
      <c r="G45" s="172">
        <f t="shared" si="3"/>
        <v>0</v>
      </c>
      <c r="H45" s="172">
        <f t="shared" si="4"/>
        <v>0</v>
      </c>
      <c r="I45" s="172">
        <f t="shared" si="5"/>
        <v>50000000</v>
      </c>
    </row>
    <row r="46" spans="2:9" x14ac:dyDescent="0.3">
      <c r="B46" s="66">
        <f t="shared" si="6"/>
        <v>47299</v>
      </c>
      <c r="C46" s="172">
        <f t="shared" si="7"/>
        <v>50000000</v>
      </c>
      <c r="D46" s="172">
        <f t="shared" si="0"/>
        <v>458333.33333333331</v>
      </c>
      <c r="E46" s="172">
        <f t="shared" si="1"/>
        <v>458333.33333333331</v>
      </c>
      <c r="F46" s="172">
        <f t="shared" si="2"/>
        <v>0</v>
      </c>
      <c r="G46" s="172">
        <f t="shared" si="3"/>
        <v>50000000</v>
      </c>
      <c r="H46" s="172">
        <f t="shared" si="4"/>
        <v>50000000</v>
      </c>
      <c r="I46" s="172">
        <f t="shared" si="5"/>
        <v>0</v>
      </c>
    </row>
    <row r="47" spans="2:9" x14ac:dyDescent="0.3">
      <c r="B47" s="66" t="str">
        <f t="shared" si="6"/>
        <v/>
      </c>
      <c r="C47" s="172" t="str">
        <f t="shared" si="7"/>
        <v/>
      </c>
      <c r="D47" s="172" t="str">
        <f t="shared" si="0"/>
        <v/>
      </c>
      <c r="E47" s="172" t="str">
        <f t="shared" si="1"/>
        <v/>
      </c>
      <c r="F47" s="172" t="str">
        <f t="shared" si="2"/>
        <v/>
      </c>
      <c r="G47" s="172" t="str">
        <f t="shared" si="3"/>
        <v/>
      </c>
      <c r="H47" s="172" t="str">
        <f t="shared" si="4"/>
        <v/>
      </c>
      <c r="I47" s="172" t="str">
        <f t="shared" si="5"/>
        <v/>
      </c>
    </row>
    <row r="48" spans="2:9" x14ac:dyDescent="0.3">
      <c r="B48" s="66" t="str">
        <f t="shared" si="6"/>
        <v/>
      </c>
      <c r="C48" s="172" t="str">
        <f t="shared" si="7"/>
        <v/>
      </c>
      <c r="D48" s="172" t="str">
        <f t="shared" si="0"/>
        <v/>
      </c>
      <c r="E48" s="172" t="str">
        <f t="shared" si="1"/>
        <v/>
      </c>
      <c r="F48" s="172" t="str">
        <f t="shared" si="2"/>
        <v/>
      </c>
      <c r="G48" s="172" t="str">
        <f t="shared" si="3"/>
        <v/>
      </c>
      <c r="H48" s="172" t="str">
        <f t="shared" si="4"/>
        <v/>
      </c>
      <c r="I48" s="172" t="str">
        <f t="shared" si="5"/>
        <v/>
      </c>
    </row>
    <row r="49" spans="2:9" x14ac:dyDescent="0.3">
      <c r="B49" s="66" t="str">
        <f t="shared" ref="B49:B112" si="8">IF(B48="","",IF(B48=$C$8,"",EOMONTH(B48,1)))</f>
        <v/>
      </c>
      <c r="C49" s="172" t="str">
        <f t="shared" ref="C49:C112" si="9">IF(B49="","",I48)</f>
        <v/>
      </c>
      <c r="D49" s="172" t="str">
        <f t="shared" ref="D49:D112" si="10">IF(B49="","",IF($C$5="IO",C49*$C$6/12,-PMT($C$6/12,$C$7,$C$4)))</f>
        <v/>
      </c>
      <c r="E49" s="172" t="str">
        <f t="shared" ref="E49:E112" si="11">IF(B49="","",C49*$C$6/12)</f>
        <v/>
      </c>
      <c r="F49" s="172" t="str">
        <f t="shared" ref="F49:F112" si="12">IF(B49="","",+D49-E49)</f>
        <v/>
      </c>
      <c r="G49" s="172" t="str">
        <f t="shared" ref="G49:G112" si="13">IF(B49="","",IF(AND($C$5="io",$C$8=B49),$C$4,0))</f>
        <v/>
      </c>
      <c r="H49" s="172" t="str">
        <f t="shared" ref="H49:H112" si="14">IF(B49="","",G49+F49)</f>
        <v/>
      </c>
      <c r="I49" s="172" t="str">
        <f t="shared" ref="I49:I112" si="15">IF(B49="","",C49-H49)</f>
        <v/>
      </c>
    </row>
    <row r="50" spans="2:9" x14ac:dyDescent="0.3">
      <c r="B50" s="66" t="str">
        <f t="shared" si="8"/>
        <v/>
      </c>
      <c r="C50" s="172" t="str">
        <f t="shared" si="9"/>
        <v/>
      </c>
      <c r="D50" s="172" t="str">
        <f t="shared" si="10"/>
        <v/>
      </c>
      <c r="E50" s="172" t="str">
        <f t="shared" si="11"/>
        <v/>
      </c>
      <c r="F50" s="172" t="str">
        <f t="shared" si="12"/>
        <v/>
      </c>
      <c r="G50" s="172" t="str">
        <f t="shared" si="13"/>
        <v/>
      </c>
      <c r="H50" s="172" t="str">
        <f t="shared" si="14"/>
        <v/>
      </c>
      <c r="I50" s="172" t="str">
        <f t="shared" si="15"/>
        <v/>
      </c>
    </row>
    <row r="51" spans="2:9" x14ac:dyDescent="0.3">
      <c r="B51" s="66" t="str">
        <f t="shared" si="8"/>
        <v/>
      </c>
      <c r="C51" s="172" t="str">
        <f t="shared" si="9"/>
        <v/>
      </c>
      <c r="D51" s="172" t="str">
        <f t="shared" si="10"/>
        <v/>
      </c>
      <c r="E51" s="172" t="str">
        <f t="shared" si="11"/>
        <v/>
      </c>
      <c r="F51" s="172" t="str">
        <f t="shared" si="12"/>
        <v/>
      </c>
      <c r="G51" s="172" t="str">
        <f t="shared" si="13"/>
        <v/>
      </c>
      <c r="H51" s="172" t="str">
        <f t="shared" si="14"/>
        <v/>
      </c>
      <c r="I51" s="172" t="str">
        <f t="shared" si="15"/>
        <v/>
      </c>
    </row>
    <row r="52" spans="2:9" x14ac:dyDescent="0.3">
      <c r="B52" s="66" t="str">
        <f t="shared" si="8"/>
        <v/>
      </c>
      <c r="C52" s="172" t="str">
        <f t="shared" si="9"/>
        <v/>
      </c>
      <c r="D52" s="172" t="str">
        <f t="shared" si="10"/>
        <v/>
      </c>
      <c r="E52" s="172" t="str">
        <f t="shared" si="11"/>
        <v/>
      </c>
      <c r="F52" s="172" t="str">
        <f t="shared" si="12"/>
        <v/>
      </c>
      <c r="G52" s="172" t="str">
        <f t="shared" si="13"/>
        <v/>
      </c>
      <c r="H52" s="172" t="str">
        <f t="shared" si="14"/>
        <v/>
      </c>
      <c r="I52" s="172" t="str">
        <f t="shared" si="15"/>
        <v/>
      </c>
    </row>
    <row r="53" spans="2:9" x14ac:dyDescent="0.3">
      <c r="B53" s="66" t="str">
        <f t="shared" si="8"/>
        <v/>
      </c>
      <c r="C53" s="172" t="str">
        <f t="shared" si="9"/>
        <v/>
      </c>
      <c r="D53" s="172" t="str">
        <f t="shared" si="10"/>
        <v/>
      </c>
      <c r="E53" s="172" t="str">
        <f t="shared" si="11"/>
        <v/>
      </c>
      <c r="F53" s="172" t="str">
        <f t="shared" si="12"/>
        <v/>
      </c>
      <c r="G53" s="172" t="str">
        <f t="shared" si="13"/>
        <v/>
      </c>
      <c r="H53" s="172" t="str">
        <f t="shared" si="14"/>
        <v/>
      </c>
      <c r="I53" s="172" t="str">
        <f t="shared" si="15"/>
        <v/>
      </c>
    </row>
    <row r="54" spans="2:9" x14ac:dyDescent="0.3">
      <c r="B54" s="66" t="str">
        <f t="shared" si="8"/>
        <v/>
      </c>
      <c r="C54" s="172" t="str">
        <f t="shared" si="9"/>
        <v/>
      </c>
      <c r="D54" s="172" t="str">
        <f t="shared" si="10"/>
        <v/>
      </c>
      <c r="E54" s="172" t="str">
        <f t="shared" si="11"/>
        <v/>
      </c>
      <c r="F54" s="172" t="str">
        <f t="shared" si="12"/>
        <v/>
      </c>
      <c r="G54" s="172" t="str">
        <f t="shared" si="13"/>
        <v/>
      </c>
      <c r="H54" s="172" t="str">
        <f t="shared" si="14"/>
        <v/>
      </c>
      <c r="I54" s="172" t="str">
        <f t="shared" si="15"/>
        <v/>
      </c>
    </row>
    <row r="55" spans="2:9" x14ac:dyDescent="0.3">
      <c r="B55" s="66" t="str">
        <f t="shared" si="8"/>
        <v/>
      </c>
      <c r="C55" s="172" t="str">
        <f t="shared" si="9"/>
        <v/>
      </c>
      <c r="D55" s="172" t="str">
        <f t="shared" si="10"/>
        <v/>
      </c>
      <c r="E55" s="172" t="str">
        <f t="shared" si="11"/>
        <v/>
      </c>
      <c r="F55" s="172" t="str">
        <f t="shared" si="12"/>
        <v/>
      </c>
      <c r="G55" s="172" t="str">
        <f t="shared" si="13"/>
        <v/>
      </c>
      <c r="H55" s="172" t="str">
        <f t="shared" si="14"/>
        <v/>
      </c>
      <c r="I55" s="172" t="str">
        <f t="shared" si="15"/>
        <v/>
      </c>
    </row>
    <row r="56" spans="2:9" x14ac:dyDescent="0.3">
      <c r="B56" s="66" t="str">
        <f t="shared" si="8"/>
        <v/>
      </c>
      <c r="C56" s="172" t="str">
        <f t="shared" si="9"/>
        <v/>
      </c>
      <c r="D56" s="172" t="str">
        <f t="shared" si="10"/>
        <v/>
      </c>
      <c r="E56" s="172" t="str">
        <f t="shared" si="11"/>
        <v/>
      </c>
      <c r="F56" s="172" t="str">
        <f t="shared" si="12"/>
        <v/>
      </c>
      <c r="G56" s="172" t="str">
        <f t="shared" si="13"/>
        <v/>
      </c>
      <c r="H56" s="172" t="str">
        <f t="shared" si="14"/>
        <v/>
      </c>
      <c r="I56" s="172" t="str">
        <f t="shared" si="15"/>
        <v/>
      </c>
    </row>
    <row r="57" spans="2:9" x14ac:dyDescent="0.3">
      <c r="B57" s="66" t="str">
        <f t="shared" si="8"/>
        <v/>
      </c>
      <c r="C57" s="172" t="str">
        <f t="shared" si="9"/>
        <v/>
      </c>
      <c r="D57" s="172" t="str">
        <f t="shared" si="10"/>
        <v/>
      </c>
      <c r="E57" s="172" t="str">
        <f t="shared" si="11"/>
        <v/>
      </c>
      <c r="F57" s="172" t="str">
        <f t="shared" si="12"/>
        <v/>
      </c>
      <c r="G57" s="172" t="str">
        <f t="shared" si="13"/>
        <v/>
      </c>
      <c r="H57" s="172" t="str">
        <f t="shared" si="14"/>
        <v/>
      </c>
      <c r="I57" s="172" t="str">
        <f t="shared" si="15"/>
        <v/>
      </c>
    </row>
    <row r="58" spans="2:9" x14ac:dyDescent="0.3">
      <c r="B58" s="66" t="str">
        <f t="shared" si="8"/>
        <v/>
      </c>
      <c r="C58" s="172" t="str">
        <f t="shared" si="9"/>
        <v/>
      </c>
      <c r="D58" s="172" t="str">
        <f t="shared" si="10"/>
        <v/>
      </c>
      <c r="E58" s="172" t="str">
        <f t="shared" si="11"/>
        <v/>
      </c>
      <c r="F58" s="172" t="str">
        <f t="shared" si="12"/>
        <v/>
      </c>
      <c r="G58" s="172" t="str">
        <f t="shared" si="13"/>
        <v/>
      </c>
      <c r="H58" s="172" t="str">
        <f t="shared" si="14"/>
        <v/>
      </c>
      <c r="I58" s="172" t="str">
        <f t="shared" si="15"/>
        <v/>
      </c>
    </row>
    <row r="59" spans="2:9" x14ac:dyDescent="0.3">
      <c r="B59" s="66" t="str">
        <f t="shared" si="8"/>
        <v/>
      </c>
      <c r="C59" s="172" t="str">
        <f t="shared" si="9"/>
        <v/>
      </c>
      <c r="D59" s="172" t="str">
        <f t="shared" si="10"/>
        <v/>
      </c>
      <c r="E59" s="172" t="str">
        <f t="shared" si="11"/>
        <v/>
      </c>
      <c r="F59" s="172" t="str">
        <f t="shared" si="12"/>
        <v/>
      </c>
      <c r="G59" s="172" t="str">
        <f t="shared" si="13"/>
        <v/>
      </c>
      <c r="H59" s="172" t="str">
        <f t="shared" si="14"/>
        <v/>
      </c>
      <c r="I59" s="172" t="str">
        <f t="shared" si="15"/>
        <v/>
      </c>
    </row>
    <row r="60" spans="2:9" x14ac:dyDescent="0.3">
      <c r="B60" s="66" t="str">
        <f t="shared" si="8"/>
        <v/>
      </c>
      <c r="C60" s="172" t="str">
        <f t="shared" si="9"/>
        <v/>
      </c>
      <c r="D60" s="172" t="str">
        <f t="shared" si="10"/>
        <v/>
      </c>
      <c r="E60" s="172" t="str">
        <f t="shared" si="11"/>
        <v/>
      </c>
      <c r="F60" s="172" t="str">
        <f t="shared" si="12"/>
        <v/>
      </c>
      <c r="G60" s="172" t="str">
        <f t="shared" si="13"/>
        <v/>
      </c>
      <c r="H60" s="172" t="str">
        <f t="shared" si="14"/>
        <v/>
      </c>
      <c r="I60" s="172" t="str">
        <f t="shared" si="15"/>
        <v/>
      </c>
    </row>
    <row r="61" spans="2:9" x14ac:dyDescent="0.3">
      <c r="B61" s="66" t="str">
        <f t="shared" si="8"/>
        <v/>
      </c>
      <c r="C61" s="172" t="str">
        <f t="shared" si="9"/>
        <v/>
      </c>
      <c r="D61" s="172" t="str">
        <f t="shared" si="10"/>
        <v/>
      </c>
      <c r="E61" s="172" t="str">
        <f t="shared" si="11"/>
        <v/>
      </c>
      <c r="F61" s="172" t="str">
        <f t="shared" si="12"/>
        <v/>
      </c>
      <c r="G61" s="172" t="str">
        <f t="shared" si="13"/>
        <v/>
      </c>
      <c r="H61" s="172" t="str">
        <f t="shared" si="14"/>
        <v/>
      </c>
      <c r="I61" s="172" t="str">
        <f t="shared" si="15"/>
        <v/>
      </c>
    </row>
    <row r="62" spans="2:9" x14ac:dyDescent="0.3">
      <c r="B62" s="66" t="str">
        <f t="shared" si="8"/>
        <v/>
      </c>
      <c r="C62" s="172" t="str">
        <f t="shared" si="9"/>
        <v/>
      </c>
      <c r="D62" s="172" t="str">
        <f t="shared" si="10"/>
        <v/>
      </c>
      <c r="E62" s="172" t="str">
        <f t="shared" si="11"/>
        <v/>
      </c>
      <c r="F62" s="172" t="str">
        <f t="shared" si="12"/>
        <v/>
      </c>
      <c r="G62" s="172" t="str">
        <f t="shared" si="13"/>
        <v/>
      </c>
      <c r="H62" s="172" t="str">
        <f t="shared" si="14"/>
        <v/>
      </c>
      <c r="I62" s="172" t="str">
        <f t="shared" si="15"/>
        <v/>
      </c>
    </row>
    <row r="63" spans="2:9" x14ac:dyDescent="0.3">
      <c r="B63" s="66" t="str">
        <f t="shared" si="8"/>
        <v/>
      </c>
      <c r="C63" s="172" t="str">
        <f t="shared" si="9"/>
        <v/>
      </c>
      <c r="D63" s="172" t="str">
        <f t="shared" si="10"/>
        <v/>
      </c>
      <c r="E63" s="172" t="str">
        <f t="shared" si="11"/>
        <v/>
      </c>
      <c r="F63" s="172" t="str">
        <f t="shared" si="12"/>
        <v/>
      </c>
      <c r="G63" s="172" t="str">
        <f t="shared" si="13"/>
        <v/>
      </c>
      <c r="H63" s="172" t="str">
        <f t="shared" si="14"/>
        <v/>
      </c>
      <c r="I63" s="172" t="str">
        <f t="shared" si="15"/>
        <v/>
      </c>
    </row>
    <row r="64" spans="2:9" x14ac:dyDescent="0.3">
      <c r="B64" s="66" t="str">
        <f t="shared" si="8"/>
        <v/>
      </c>
      <c r="C64" s="172" t="str">
        <f t="shared" si="9"/>
        <v/>
      </c>
      <c r="D64" s="172" t="str">
        <f t="shared" si="10"/>
        <v/>
      </c>
      <c r="E64" s="172" t="str">
        <f t="shared" si="11"/>
        <v/>
      </c>
      <c r="F64" s="172" t="str">
        <f t="shared" si="12"/>
        <v/>
      </c>
      <c r="G64" s="172" t="str">
        <f t="shared" si="13"/>
        <v/>
      </c>
      <c r="H64" s="172" t="str">
        <f t="shared" si="14"/>
        <v/>
      </c>
      <c r="I64" s="172" t="str">
        <f t="shared" si="15"/>
        <v/>
      </c>
    </row>
    <row r="65" spans="2:9" x14ac:dyDescent="0.3">
      <c r="B65" s="66" t="str">
        <f t="shared" si="8"/>
        <v/>
      </c>
      <c r="C65" s="172" t="str">
        <f t="shared" si="9"/>
        <v/>
      </c>
      <c r="D65" s="172" t="str">
        <f t="shared" si="10"/>
        <v/>
      </c>
      <c r="E65" s="172" t="str">
        <f t="shared" si="11"/>
        <v/>
      </c>
      <c r="F65" s="172" t="str">
        <f t="shared" si="12"/>
        <v/>
      </c>
      <c r="G65" s="172" t="str">
        <f t="shared" si="13"/>
        <v/>
      </c>
      <c r="H65" s="172" t="str">
        <f t="shared" si="14"/>
        <v/>
      </c>
      <c r="I65" s="172" t="str">
        <f t="shared" si="15"/>
        <v/>
      </c>
    </row>
    <row r="66" spans="2:9" x14ac:dyDescent="0.3">
      <c r="B66" s="66" t="str">
        <f t="shared" si="8"/>
        <v/>
      </c>
      <c r="C66" s="172" t="str">
        <f t="shared" si="9"/>
        <v/>
      </c>
      <c r="D66" s="172" t="str">
        <f t="shared" si="10"/>
        <v/>
      </c>
      <c r="E66" s="172" t="str">
        <f t="shared" si="11"/>
        <v/>
      </c>
      <c r="F66" s="172" t="str">
        <f t="shared" si="12"/>
        <v/>
      </c>
      <c r="G66" s="172" t="str">
        <f t="shared" si="13"/>
        <v/>
      </c>
      <c r="H66" s="172" t="str">
        <f t="shared" si="14"/>
        <v/>
      </c>
      <c r="I66" s="172" t="str">
        <f t="shared" si="15"/>
        <v/>
      </c>
    </row>
    <row r="67" spans="2:9" x14ac:dyDescent="0.3">
      <c r="B67" s="66" t="str">
        <f t="shared" si="8"/>
        <v/>
      </c>
      <c r="C67" s="172" t="str">
        <f t="shared" si="9"/>
        <v/>
      </c>
      <c r="D67" s="172" t="str">
        <f t="shared" si="10"/>
        <v/>
      </c>
      <c r="E67" s="172" t="str">
        <f t="shared" si="11"/>
        <v/>
      </c>
      <c r="F67" s="172" t="str">
        <f t="shared" si="12"/>
        <v/>
      </c>
      <c r="G67" s="172" t="str">
        <f t="shared" si="13"/>
        <v/>
      </c>
      <c r="H67" s="172" t="str">
        <f t="shared" si="14"/>
        <v/>
      </c>
      <c r="I67" s="172" t="str">
        <f t="shared" si="15"/>
        <v/>
      </c>
    </row>
    <row r="68" spans="2:9" x14ac:dyDescent="0.3">
      <c r="B68" s="66" t="str">
        <f t="shared" si="8"/>
        <v/>
      </c>
      <c r="C68" s="172" t="str">
        <f t="shared" si="9"/>
        <v/>
      </c>
      <c r="D68" s="172" t="str">
        <f t="shared" si="10"/>
        <v/>
      </c>
      <c r="E68" s="172" t="str">
        <f t="shared" si="11"/>
        <v/>
      </c>
      <c r="F68" s="172" t="str">
        <f t="shared" si="12"/>
        <v/>
      </c>
      <c r="G68" s="172" t="str">
        <f t="shared" si="13"/>
        <v/>
      </c>
      <c r="H68" s="172" t="str">
        <f t="shared" si="14"/>
        <v/>
      </c>
      <c r="I68" s="172" t="str">
        <f t="shared" si="15"/>
        <v/>
      </c>
    </row>
    <row r="69" spans="2:9" x14ac:dyDescent="0.3">
      <c r="B69" s="66" t="str">
        <f t="shared" si="8"/>
        <v/>
      </c>
      <c r="C69" s="172" t="str">
        <f t="shared" si="9"/>
        <v/>
      </c>
      <c r="D69" s="172" t="str">
        <f t="shared" si="10"/>
        <v/>
      </c>
      <c r="E69" s="172" t="str">
        <f t="shared" si="11"/>
        <v/>
      </c>
      <c r="F69" s="172" t="str">
        <f t="shared" si="12"/>
        <v/>
      </c>
      <c r="G69" s="172" t="str">
        <f t="shared" si="13"/>
        <v/>
      </c>
      <c r="H69" s="172" t="str">
        <f t="shared" si="14"/>
        <v/>
      </c>
      <c r="I69" s="172" t="str">
        <f t="shared" si="15"/>
        <v/>
      </c>
    </row>
    <row r="70" spans="2:9" x14ac:dyDescent="0.3">
      <c r="B70" s="66" t="str">
        <f t="shared" si="8"/>
        <v/>
      </c>
      <c r="C70" s="172" t="str">
        <f t="shared" si="9"/>
        <v/>
      </c>
      <c r="D70" s="172" t="str">
        <f t="shared" si="10"/>
        <v/>
      </c>
      <c r="E70" s="172" t="str">
        <f t="shared" si="11"/>
        <v/>
      </c>
      <c r="F70" s="172" t="str">
        <f t="shared" si="12"/>
        <v/>
      </c>
      <c r="G70" s="172" t="str">
        <f t="shared" si="13"/>
        <v/>
      </c>
      <c r="H70" s="172" t="str">
        <f t="shared" si="14"/>
        <v/>
      </c>
      <c r="I70" s="172" t="str">
        <f t="shared" si="15"/>
        <v/>
      </c>
    </row>
    <row r="71" spans="2:9" x14ac:dyDescent="0.3">
      <c r="B71" s="66" t="str">
        <f t="shared" si="8"/>
        <v/>
      </c>
      <c r="C71" s="172" t="str">
        <f t="shared" si="9"/>
        <v/>
      </c>
      <c r="D71" s="172" t="str">
        <f t="shared" si="10"/>
        <v/>
      </c>
      <c r="E71" s="172" t="str">
        <f t="shared" si="11"/>
        <v/>
      </c>
      <c r="F71" s="172" t="str">
        <f t="shared" si="12"/>
        <v/>
      </c>
      <c r="G71" s="172" t="str">
        <f t="shared" si="13"/>
        <v/>
      </c>
      <c r="H71" s="172" t="str">
        <f t="shared" si="14"/>
        <v/>
      </c>
      <c r="I71" s="172" t="str">
        <f t="shared" si="15"/>
        <v/>
      </c>
    </row>
    <row r="72" spans="2:9" x14ac:dyDescent="0.3">
      <c r="B72" s="66" t="str">
        <f t="shared" si="8"/>
        <v/>
      </c>
      <c r="C72" s="172" t="str">
        <f t="shared" si="9"/>
        <v/>
      </c>
      <c r="D72" s="172" t="str">
        <f t="shared" si="10"/>
        <v/>
      </c>
      <c r="E72" s="172" t="str">
        <f t="shared" si="11"/>
        <v/>
      </c>
      <c r="F72" s="172" t="str">
        <f t="shared" si="12"/>
        <v/>
      </c>
      <c r="G72" s="172" t="str">
        <f t="shared" si="13"/>
        <v/>
      </c>
      <c r="H72" s="172" t="str">
        <f t="shared" si="14"/>
        <v/>
      </c>
      <c r="I72" s="172" t="str">
        <f t="shared" si="15"/>
        <v/>
      </c>
    </row>
    <row r="73" spans="2:9" x14ac:dyDescent="0.3">
      <c r="B73" s="66" t="str">
        <f t="shared" si="8"/>
        <v/>
      </c>
      <c r="C73" s="172" t="str">
        <f t="shared" si="9"/>
        <v/>
      </c>
      <c r="D73" s="172" t="str">
        <f t="shared" si="10"/>
        <v/>
      </c>
      <c r="E73" s="172" t="str">
        <f t="shared" si="11"/>
        <v/>
      </c>
      <c r="F73" s="172" t="str">
        <f t="shared" si="12"/>
        <v/>
      </c>
      <c r="G73" s="172" t="str">
        <f t="shared" si="13"/>
        <v/>
      </c>
      <c r="H73" s="172" t="str">
        <f t="shared" si="14"/>
        <v/>
      </c>
      <c r="I73" s="172" t="str">
        <f t="shared" si="15"/>
        <v/>
      </c>
    </row>
    <row r="74" spans="2:9" x14ac:dyDescent="0.3">
      <c r="B74" s="66" t="str">
        <f t="shared" si="8"/>
        <v/>
      </c>
      <c r="C74" s="172" t="str">
        <f t="shared" si="9"/>
        <v/>
      </c>
      <c r="D74" s="172" t="str">
        <f t="shared" si="10"/>
        <v/>
      </c>
      <c r="E74" s="172" t="str">
        <f t="shared" si="11"/>
        <v/>
      </c>
      <c r="F74" s="172" t="str">
        <f t="shared" si="12"/>
        <v/>
      </c>
      <c r="G74" s="172" t="str">
        <f t="shared" si="13"/>
        <v/>
      </c>
      <c r="H74" s="172" t="str">
        <f t="shared" si="14"/>
        <v/>
      </c>
      <c r="I74" s="172" t="str">
        <f t="shared" si="15"/>
        <v/>
      </c>
    </row>
    <row r="75" spans="2:9" x14ac:dyDescent="0.3">
      <c r="B75" s="66" t="str">
        <f t="shared" si="8"/>
        <v/>
      </c>
      <c r="C75" s="172" t="str">
        <f t="shared" si="9"/>
        <v/>
      </c>
      <c r="D75" s="172" t="str">
        <f t="shared" si="10"/>
        <v/>
      </c>
      <c r="E75" s="172" t="str">
        <f t="shared" si="11"/>
        <v/>
      </c>
      <c r="F75" s="172" t="str">
        <f t="shared" si="12"/>
        <v/>
      </c>
      <c r="G75" s="172" t="str">
        <f t="shared" si="13"/>
        <v/>
      </c>
      <c r="H75" s="172" t="str">
        <f t="shared" si="14"/>
        <v/>
      </c>
      <c r="I75" s="172" t="str">
        <f t="shared" si="15"/>
        <v/>
      </c>
    </row>
    <row r="76" spans="2:9" x14ac:dyDescent="0.3">
      <c r="B76" s="66" t="str">
        <f t="shared" si="8"/>
        <v/>
      </c>
      <c r="C76" s="172" t="str">
        <f t="shared" si="9"/>
        <v/>
      </c>
      <c r="D76" s="172" t="str">
        <f t="shared" si="10"/>
        <v/>
      </c>
      <c r="E76" s="172" t="str">
        <f t="shared" si="11"/>
        <v/>
      </c>
      <c r="F76" s="172" t="str">
        <f t="shared" si="12"/>
        <v/>
      </c>
      <c r="G76" s="172" t="str">
        <f t="shared" si="13"/>
        <v/>
      </c>
      <c r="H76" s="172" t="str">
        <f t="shared" si="14"/>
        <v/>
      </c>
      <c r="I76" s="172" t="str">
        <f t="shared" si="15"/>
        <v/>
      </c>
    </row>
    <row r="77" spans="2:9" x14ac:dyDescent="0.3">
      <c r="B77" s="66" t="str">
        <f t="shared" si="8"/>
        <v/>
      </c>
      <c r="C77" s="172" t="str">
        <f t="shared" si="9"/>
        <v/>
      </c>
      <c r="D77" s="172" t="str">
        <f t="shared" si="10"/>
        <v/>
      </c>
      <c r="E77" s="172" t="str">
        <f t="shared" si="11"/>
        <v/>
      </c>
      <c r="F77" s="172" t="str">
        <f t="shared" si="12"/>
        <v/>
      </c>
      <c r="G77" s="172" t="str">
        <f t="shared" si="13"/>
        <v/>
      </c>
      <c r="H77" s="172" t="str">
        <f t="shared" si="14"/>
        <v/>
      </c>
      <c r="I77" s="172" t="str">
        <f t="shared" si="15"/>
        <v/>
      </c>
    </row>
    <row r="78" spans="2:9" x14ac:dyDescent="0.3">
      <c r="B78" s="66" t="str">
        <f t="shared" si="8"/>
        <v/>
      </c>
      <c r="C78" s="172" t="str">
        <f t="shared" si="9"/>
        <v/>
      </c>
      <c r="D78" s="172" t="str">
        <f t="shared" si="10"/>
        <v/>
      </c>
      <c r="E78" s="172" t="str">
        <f t="shared" si="11"/>
        <v/>
      </c>
      <c r="F78" s="172" t="str">
        <f t="shared" si="12"/>
        <v/>
      </c>
      <c r="G78" s="172" t="str">
        <f t="shared" si="13"/>
        <v/>
      </c>
      <c r="H78" s="172" t="str">
        <f t="shared" si="14"/>
        <v/>
      </c>
      <c r="I78" s="172" t="str">
        <f t="shared" si="15"/>
        <v/>
      </c>
    </row>
    <row r="79" spans="2:9" x14ac:dyDescent="0.3">
      <c r="B79" s="66" t="str">
        <f t="shared" si="8"/>
        <v/>
      </c>
      <c r="C79" s="172" t="str">
        <f t="shared" si="9"/>
        <v/>
      </c>
      <c r="D79" s="172" t="str">
        <f t="shared" si="10"/>
        <v/>
      </c>
      <c r="E79" s="172" t="str">
        <f t="shared" si="11"/>
        <v/>
      </c>
      <c r="F79" s="172" t="str">
        <f t="shared" si="12"/>
        <v/>
      </c>
      <c r="G79" s="172" t="str">
        <f t="shared" si="13"/>
        <v/>
      </c>
      <c r="H79" s="172" t="str">
        <f t="shared" si="14"/>
        <v/>
      </c>
      <c r="I79" s="172" t="str">
        <f t="shared" si="15"/>
        <v/>
      </c>
    </row>
    <row r="80" spans="2:9" x14ac:dyDescent="0.3">
      <c r="B80" s="66" t="str">
        <f t="shared" si="8"/>
        <v/>
      </c>
      <c r="C80" s="172" t="str">
        <f t="shared" si="9"/>
        <v/>
      </c>
      <c r="D80" s="172" t="str">
        <f t="shared" si="10"/>
        <v/>
      </c>
      <c r="E80" s="172" t="str">
        <f t="shared" si="11"/>
        <v/>
      </c>
      <c r="F80" s="172" t="str">
        <f t="shared" si="12"/>
        <v/>
      </c>
      <c r="G80" s="172" t="str">
        <f t="shared" si="13"/>
        <v/>
      </c>
      <c r="H80" s="172" t="str">
        <f t="shared" si="14"/>
        <v/>
      </c>
      <c r="I80" s="172" t="str">
        <f t="shared" si="15"/>
        <v/>
      </c>
    </row>
    <row r="81" spans="2:9" x14ac:dyDescent="0.3">
      <c r="B81" s="66" t="str">
        <f t="shared" si="8"/>
        <v/>
      </c>
      <c r="C81" s="172" t="str">
        <f t="shared" si="9"/>
        <v/>
      </c>
      <c r="D81" s="172" t="str">
        <f t="shared" si="10"/>
        <v/>
      </c>
      <c r="E81" s="172" t="str">
        <f t="shared" si="11"/>
        <v/>
      </c>
      <c r="F81" s="172" t="str">
        <f t="shared" si="12"/>
        <v/>
      </c>
      <c r="G81" s="172" t="str">
        <f t="shared" si="13"/>
        <v/>
      </c>
      <c r="H81" s="172" t="str">
        <f t="shared" si="14"/>
        <v/>
      </c>
      <c r="I81" s="172" t="str">
        <f t="shared" si="15"/>
        <v/>
      </c>
    </row>
    <row r="82" spans="2:9" x14ac:dyDescent="0.3">
      <c r="B82" s="66" t="str">
        <f t="shared" si="8"/>
        <v/>
      </c>
      <c r="C82" s="172" t="str">
        <f t="shared" si="9"/>
        <v/>
      </c>
      <c r="D82" s="172" t="str">
        <f t="shared" si="10"/>
        <v/>
      </c>
      <c r="E82" s="172" t="str">
        <f t="shared" si="11"/>
        <v/>
      </c>
      <c r="F82" s="172" t="str">
        <f t="shared" si="12"/>
        <v/>
      </c>
      <c r="G82" s="172" t="str">
        <f t="shared" si="13"/>
        <v/>
      </c>
      <c r="H82" s="172" t="str">
        <f t="shared" si="14"/>
        <v/>
      </c>
      <c r="I82" s="172" t="str">
        <f t="shared" si="15"/>
        <v/>
      </c>
    </row>
    <row r="83" spans="2:9" x14ac:dyDescent="0.3">
      <c r="B83" s="66" t="str">
        <f t="shared" si="8"/>
        <v/>
      </c>
      <c r="C83" s="172" t="str">
        <f t="shared" si="9"/>
        <v/>
      </c>
      <c r="D83" s="172" t="str">
        <f t="shared" si="10"/>
        <v/>
      </c>
      <c r="E83" s="172" t="str">
        <f t="shared" si="11"/>
        <v/>
      </c>
      <c r="F83" s="172" t="str">
        <f t="shared" si="12"/>
        <v/>
      </c>
      <c r="G83" s="172" t="str">
        <f t="shared" si="13"/>
        <v/>
      </c>
      <c r="H83" s="172" t="str">
        <f t="shared" si="14"/>
        <v/>
      </c>
      <c r="I83" s="172" t="str">
        <f t="shared" si="15"/>
        <v/>
      </c>
    </row>
    <row r="84" spans="2:9" x14ac:dyDescent="0.3">
      <c r="B84" s="66" t="str">
        <f t="shared" si="8"/>
        <v/>
      </c>
      <c r="C84" s="172" t="str">
        <f t="shared" si="9"/>
        <v/>
      </c>
      <c r="D84" s="172" t="str">
        <f t="shared" si="10"/>
        <v/>
      </c>
      <c r="E84" s="172" t="str">
        <f t="shared" si="11"/>
        <v/>
      </c>
      <c r="F84" s="172" t="str">
        <f t="shared" si="12"/>
        <v/>
      </c>
      <c r="G84" s="172" t="str">
        <f t="shared" si="13"/>
        <v/>
      </c>
      <c r="H84" s="172" t="str">
        <f t="shared" si="14"/>
        <v/>
      </c>
      <c r="I84" s="172" t="str">
        <f t="shared" si="15"/>
        <v/>
      </c>
    </row>
    <row r="85" spans="2:9" x14ac:dyDescent="0.3">
      <c r="B85" s="66" t="str">
        <f t="shared" si="8"/>
        <v/>
      </c>
      <c r="C85" s="172" t="str">
        <f t="shared" si="9"/>
        <v/>
      </c>
      <c r="D85" s="172" t="str">
        <f t="shared" si="10"/>
        <v/>
      </c>
      <c r="E85" s="172" t="str">
        <f t="shared" si="11"/>
        <v/>
      </c>
      <c r="F85" s="172" t="str">
        <f t="shared" si="12"/>
        <v/>
      </c>
      <c r="G85" s="172" t="str">
        <f t="shared" si="13"/>
        <v/>
      </c>
      <c r="H85" s="172" t="str">
        <f t="shared" si="14"/>
        <v/>
      </c>
      <c r="I85" s="172" t="str">
        <f t="shared" si="15"/>
        <v/>
      </c>
    </row>
    <row r="86" spans="2:9" x14ac:dyDescent="0.3">
      <c r="B86" s="66" t="str">
        <f t="shared" si="8"/>
        <v/>
      </c>
      <c r="C86" s="172" t="str">
        <f t="shared" si="9"/>
        <v/>
      </c>
      <c r="D86" s="172" t="str">
        <f t="shared" si="10"/>
        <v/>
      </c>
      <c r="E86" s="172" t="str">
        <f t="shared" si="11"/>
        <v/>
      </c>
      <c r="F86" s="172" t="str">
        <f t="shared" si="12"/>
        <v/>
      </c>
      <c r="G86" s="172" t="str">
        <f t="shared" si="13"/>
        <v/>
      </c>
      <c r="H86" s="172" t="str">
        <f t="shared" si="14"/>
        <v/>
      </c>
      <c r="I86" s="172" t="str">
        <f t="shared" si="15"/>
        <v/>
      </c>
    </row>
    <row r="87" spans="2:9" x14ac:dyDescent="0.3">
      <c r="B87" s="66" t="str">
        <f t="shared" si="8"/>
        <v/>
      </c>
      <c r="C87" s="172" t="str">
        <f t="shared" si="9"/>
        <v/>
      </c>
      <c r="D87" s="172" t="str">
        <f t="shared" si="10"/>
        <v/>
      </c>
      <c r="E87" s="172" t="str">
        <f t="shared" si="11"/>
        <v/>
      </c>
      <c r="F87" s="172" t="str">
        <f t="shared" si="12"/>
        <v/>
      </c>
      <c r="G87" s="172" t="str">
        <f t="shared" si="13"/>
        <v/>
      </c>
      <c r="H87" s="172" t="str">
        <f t="shared" si="14"/>
        <v/>
      </c>
      <c r="I87" s="172" t="str">
        <f t="shared" si="15"/>
        <v/>
      </c>
    </row>
    <row r="88" spans="2:9" x14ac:dyDescent="0.3">
      <c r="B88" s="66" t="str">
        <f t="shared" si="8"/>
        <v/>
      </c>
      <c r="C88" s="172" t="str">
        <f t="shared" si="9"/>
        <v/>
      </c>
      <c r="D88" s="172" t="str">
        <f t="shared" si="10"/>
        <v/>
      </c>
      <c r="E88" s="172" t="str">
        <f t="shared" si="11"/>
        <v/>
      </c>
      <c r="F88" s="172" t="str">
        <f t="shared" si="12"/>
        <v/>
      </c>
      <c r="G88" s="172" t="str">
        <f t="shared" si="13"/>
        <v/>
      </c>
      <c r="H88" s="172" t="str">
        <f t="shared" si="14"/>
        <v/>
      </c>
      <c r="I88" s="172" t="str">
        <f t="shared" si="15"/>
        <v/>
      </c>
    </row>
    <row r="89" spans="2:9" x14ac:dyDescent="0.3">
      <c r="B89" s="66" t="str">
        <f t="shared" si="8"/>
        <v/>
      </c>
      <c r="C89" s="172" t="str">
        <f t="shared" si="9"/>
        <v/>
      </c>
      <c r="D89" s="172" t="str">
        <f t="shared" si="10"/>
        <v/>
      </c>
      <c r="E89" s="172" t="str">
        <f t="shared" si="11"/>
        <v/>
      </c>
      <c r="F89" s="172" t="str">
        <f t="shared" si="12"/>
        <v/>
      </c>
      <c r="G89" s="172" t="str">
        <f t="shared" si="13"/>
        <v/>
      </c>
      <c r="H89" s="172" t="str">
        <f t="shared" si="14"/>
        <v/>
      </c>
      <c r="I89" s="172" t="str">
        <f t="shared" si="15"/>
        <v/>
      </c>
    </row>
    <row r="90" spans="2:9" x14ac:dyDescent="0.3">
      <c r="B90" s="66" t="str">
        <f t="shared" si="8"/>
        <v/>
      </c>
      <c r="C90" s="172" t="str">
        <f t="shared" si="9"/>
        <v/>
      </c>
      <c r="D90" s="172" t="str">
        <f t="shared" si="10"/>
        <v/>
      </c>
      <c r="E90" s="172" t="str">
        <f t="shared" si="11"/>
        <v/>
      </c>
      <c r="F90" s="172" t="str">
        <f t="shared" si="12"/>
        <v/>
      </c>
      <c r="G90" s="172" t="str">
        <f t="shared" si="13"/>
        <v/>
      </c>
      <c r="H90" s="172" t="str">
        <f t="shared" si="14"/>
        <v/>
      </c>
      <c r="I90" s="172" t="str">
        <f t="shared" si="15"/>
        <v/>
      </c>
    </row>
    <row r="91" spans="2:9" x14ac:dyDescent="0.3">
      <c r="B91" s="66" t="str">
        <f t="shared" si="8"/>
        <v/>
      </c>
      <c r="C91" s="172" t="str">
        <f t="shared" si="9"/>
        <v/>
      </c>
      <c r="D91" s="172" t="str">
        <f t="shared" si="10"/>
        <v/>
      </c>
      <c r="E91" s="172" t="str">
        <f t="shared" si="11"/>
        <v/>
      </c>
      <c r="F91" s="172" t="str">
        <f t="shared" si="12"/>
        <v/>
      </c>
      <c r="G91" s="172" t="str">
        <f t="shared" si="13"/>
        <v/>
      </c>
      <c r="H91" s="172" t="str">
        <f t="shared" si="14"/>
        <v/>
      </c>
      <c r="I91" s="172" t="str">
        <f t="shared" si="15"/>
        <v/>
      </c>
    </row>
    <row r="92" spans="2:9" x14ac:dyDescent="0.3">
      <c r="B92" s="66" t="str">
        <f t="shared" si="8"/>
        <v/>
      </c>
      <c r="C92" s="172" t="str">
        <f t="shared" si="9"/>
        <v/>
      </c>
      <c r="D92" s="172" t="str">
        <f t="shared" si="10"/>
        <v/>
      </c>
      <c r="E92" s="172" t="str">
        <f t="shared" si="11"/>
        <v/>
      </c>
      <c r="F92" s="172" t="str">
        <f t="shared" si="12"/>
        <v/>
      </c>
      <c r="G92" s="172" t="str">
        <f t="shared" si="13"/>
        <v/>
      </c>
      <c r="H92" s="172" t="str">
        <f t="shared" si="14"/>
        <v/>
      </c>
      <c r="I92" s="172" t="str">
        <f t="shared" si="15"/>
        <v/>
      </c>
    </row>
    <row r="93" spans="2:9" x14ac:dyDescent="0.3">
      <c r="B93" s="66" t="str">
        <f t="shared" si="8"/>
        <v/>
      </c>
      <c r="C93" s="172" t="str">
        <f t="shared" si="9"/>
        <v/>
      </c>
      <c r="D93" s="172" t="str">
        <f t="shared" si="10"/>
        <v/>
      </c>
      <c r="E93" s="172" t="str">
        <f t="shared" si="11"/>
        <v/>
      </c>
      <c r="F93" s="172" t="str">
        <f t="shared" si="12"/>
        <v/>
      </c>
      <c r="G93" s="172" t="str">
        <f t="shared" si="13"/>
        <v/>
      </c>
      <c r="H93" s="172" t="str">
        <f t="shared" si="14"/>
        <v/>
      </c>
      <c r="I93" s="172" t="str">
        <f t="shared" si="15"/>
        <v/>
      </c>
    </row>
    <row r="94" spans="2:9" x14ac:dyDescent="0.3">
      <c r="B94" s="66" t="str">
        <f t="shared" si="8"/>
        <v/>
      </c>
      <c r="C94" s="172" t="str">
        <f t="shared" si="9"/>
        <v/>
      </c>
      <c r="D94" s="172" t="str">
        <f t="shared" si="10"/>
        <v/>
      </c>
      <c r="E94" s="172" t="str">
        <f t="shared" si="11"/>
        <v/>
      </c>
      <c r="F94" s="172" t="str">
        <f t="shared" si="12"/>
        <v/>
      </c>
      <c r="G94" s="172" t="str">
        <f t="shared" si="13"/>
        <v/>
      </c>
      <c r="H94" s="172" t="str">
        <f t="shared" si="14"/>
        <v/>
      </c>
      <c r="I94" s="172" t="str">
        <f t="shared" si="15"/>
        <v/>
      </c>
    </row>
    <row r="95" spans="2:9" x14ac:dyDescent="0.3">
      <c r="B95" s="66" t="str">
        <f t="shared" si="8"/>
        <v/>
      </c>
      <c r="C95" s="172" t="str">
        <f t="shared" si="9"/>
        <v/>
      </c>
      <c r="D95" s="172" t="str">
        <f t="shared" si="10"/>
        <v/>
      </c>
      <c r="E95" s="172" t="str">
        <f t="shared" si="11"/>
        <v/>
      </c>
      <c r="F95" s="172" t="str">
        <f t="shared" si="12"/>
        <v/>
      </c>
      <c r="G95" s="172" t="str">
        <f t="shared" si="13"/>
        <v/>
      </c>
      <c r="H95" s="172" t="str">
        <f t="shared" si="14"/>
        <v/>
      </c>
      <c r="I95" s="172" t="str">
        <f t="shared" si="15"/>
        <v/>
      </c>
    </row>
    <row r="96" spans="2:9" x14ac:dyDescent="0.3">
      <c r="B96" s="66" t="str">
        <f t="shared" si="8"/>
        <v/>
      </c>
      <c r="C96" s="172" t="str">
        <f t="shared" si="9"/>
        <v/>
      </c>
      <c r="D96" s="172" t="str">
        <f t="shared" si="10"/>
        <v/>
      </c>
      <c r="E96" s="172" t="str">
        <f t="shared" si="11"/>
        <v/>
      </c>
      <c r="F96" s="172" t="str">
        <f t="shared" si="12"/>
        <v/>
      </c>
      <c r="G96" s="172" t="str">
        <f t="shared" si="13"/>
        <v/>
      </c>
      <c r="H96" s="172" t="str">
        <f t="shared" si="14"/>
        <v/>
      </c>
      <c r="I96" s="172" t="str">
        <f t="shared" si="15"/>
        <v/>
      </c>
    </row>
    <row r="97" spans="2:9" x14ac:dyDescent="0.3">
      <c r="B97" s="66" t="str">
        <f t="shared" si="8"/>
        <v/>
      </c>
      <c r="C97" s="172" t="str">
        <f t="shared" si="9"/>
        <v/>
      </c>
      <c r="D97" s="172" t="str">
        <f t="shared" si="10"/>
        <v/>
      </c>
      <c r="E97" s="172" t="str">
        <f t="shared" si="11"/>
        <v/>
      </c>
      <c r="F97" s="172" t="str">
        <f t="shared" si="12"/>
        <v/>
      </c>
      <c r="G97" s="172" t="str">
        <f t="shared" si="13"/>
        <v/>
      </c>
      <c r="H97" s="172" t="str">
        <f t="shared" si="14"/>
        <v/>
      </c>
      <c r="I97" s="172" t="str">
        <f t="shared" si="15"/>
        <v/>
      </c>
    </row>
    <row r="98" spans="2:9" x14ac:dyDescent="0.3">
      <c r="B98" s="66" t="str">
        <f t="shared" si="8"/>
        <v/>
      </c>
      <c r="C98" s="172" t="str">
        <f t="shared" si="9"/>
        <v/>
      </c>
      <c r="D98" s="172" t="str">
        <f t="shared" si="10"/>
        <v/>
      </c>
      <c r="E98" s="172" t="str">
        <f t="shared" si="11"/>
        <v/>
      </c>
      <c r="F98" s="172" t="str">
        <f t="shared" si="12"/>
        <v/>
      </c>
      <c r="G98" s="172" t="str">
        <f t="shared" si="13"/>
        <v/>
      </c>
      <c r="H98" s="172" t="str">
        <f t="shared" si="14"/>
        <v/>
      </c>
      <c r="I98" s="172" t="str">
        <f t="shared" si="15"/>
        <v/>
      </c>
    </row>
    <row r="99" spans="2:9" x14ac:dyDescent="0.3">
      <c r="B99" s="66" t="str">
        <f t="shared" si="8"/>
        <v/>
      </c>
      <c r="C99" s="172" t="str">
        <f t="shared" si="9"/>
        <v/>
      </c>
      <c r="D99" s="172" t="str">
        <f t="shared" si="10"/>
        <v/>
      </c>
      <c r="E99" s="172" t="str">
        <f t="shared" si="11"/>
        <v/>
      </c>
      <c r="F99" s="172" t="str">
        <f t="shared" si="12"/>
        <v/>
      </c>
      <c r="G99" s="172" t="str">
        <f t="shared" si="13"/>
        <v/>
      </c>
      <c r="H99" s="172" t="str">
        <f t="shared" si="14"/>
        <v/>
      </c>
      <c r="I99" s="172" t="str">
        <f t="shared" si="15"/>
        <v/>
      </c>
    </row>
    <row r="100" spans="2:9" x14ac:dyDescent="0.3">
      <c r="B100" s="66" t="str">
        <f t="shared" si="8"/>
        <v/>
      </c>
      <c r="C100" s="172" t="str">
        <f t="shared" si="9"/>
        <v/>
      </c>
      <c r="D100" s="172" t="str">
        <f t="shared" si="10"/>
        <v/>
      </c>
      <c r="E100" s="172" t="str">
        <f t="shared" si="11"/>
        <v/>
      </c>
      <c r="F100" s="172" t="str">
        <f t="shared" si="12"/>
        <v/>
      </c>
      <c r="G100" s="172" t="str">
        <f t="shared" si="13"/>
        <v/>
      </c>
      <c r="H100" s="172" t="str">
        <f t="shared" si="14"/>
        <v/>
      </c>
      <c r="I100" s="172" t="str">
        <f t="shared" si="15"/>
        <v/>
      </c>
    </row>
    <row r="101" spans="2:9" x14ac:dyDescent="0.3">
      <c r="B101" s="66" t="str">
        <f t="shared" si="8"/>
        <v/>
      </c>
      <c r="C101" s="172" t="str">
        <f t="shared" si="9"/>
        <v/>
      </c>
      <c r="D101" s="172" t="str">
        <f t="shared" si="10"/>
        <v/>
      </c>
      <c r="E101" s="172" t="str">
        <f t="shared" si="11"/>
        <v/>
      </c>
      <c r="F101" s="172" t="str">
        <f t="shared" si="12"/>
        <v/>
      </c>
      <c r="G101" s="172" t="str">
        <f t="shared" si="13"/>
        <v/>
      </c>
      <c r="H101" s="172" t="str">
        <f t="shared" si="14"/>
        <v/>
      </c>
      <c r="I101" s="172" t="str">
        <f t="shared" si="15"/>
        <v/>
      </c>
    </row>
    <row r="102" spans="2:9" x14ac:dyDescent="0.3">
      <c r="B102" s="66" t="str">
        <f t="shared" si="8"/>
        <v/>
      </c>
      <c r="C102" s="172" t="str">
        <f t="shared" si="9"/>
        <v/>
      </c>
      <c r="D102" s="172" t="str">
        <f t="shared" si="10"/>
        <v/>
      </c>
      <c r="E102" s="172" t="str">
        <f t="shared" si="11"/>
        <v/>
      </c>
      <c r="F102" s="172" t="str">
        <f t="shared" si="12"/>
        <v/>
      </c>
      <c r="G102" s="172" t="str">
        <f t="shared" si="13"/>
        <v/>
      </c>
      <c r="H102" s="172" t="str">
        <f t="shared" si="14"/>
        <v/>
      </c>
      <c r="I102" s="172" t="str">
        <f t="shared" si="15"/>
        <v/>
      </c>
    </row>
    <row r="103" spans="2:9" x14ac:dyDescent="0.3">
      <c r="B103" s="66" t="str">
        <f t="shared" si="8"/>
        <v/>
      </c>
      <c r="C103" s="172" t="str">
        <f t="shared" si="9"/>
        <v/>
      </c>
      <c r="D103" s="172" t="str">
        <f t="shared" si="10"/>
        <v/>
      </c>
      <c r="E103" s="172" t="str">
        <f t="shared" si="11"/>
        <v/>
      </c>
      <c r="F103" s="172" t="str">
        <f t="shared" si="12"/>
        <v/>
      </c>
      <c r="G103" s="172" t="str">
        <f t="shared" si="13"/>
        <v/>
      </c>
      <c r="H103" s="172" t="str">
        <f t="shared" si="14"/>
        <v/>
      </c>
      <c r="I103" s="172" t="str">
        <f t="shared" si="15"/>
        <v/>
      </c>
    </row>
    <row r="104" spans="2:9" x14ac:dyDescent="0.3">
      <c r="B104" s="66" t="str">
        <f t="shared" si="8"/>
        <v/>
      </c>
      <c r="C104" s="172" t="str">
        <f t="shared" si="9"/>
        <v/>
      </c>
      <c r="D104" s="172" t="str">
        <f t="shared" si="10"/>
        <v/>
      </c>
      <c r="E104" s="172" t="str">
        <f t="shared" si="11"/>
        <v/>
      </c>
      <c r="F104" s="172" t="str">
        <f t="shared" si="12"/>
        <v/>
      </c>
      <c r="G104" s="172" t="str">
        <f t="shared" si="13"/>
        <v/>
      </c>
      <c r="H104" s="172" t="str">
        <f t="shared" si="14"/>
        <v/>
      </c>
      <c r="I104" s="172" t="str">
        <f t="shared" si="15"/>
        <v/>
      </c>
    </row>
    <row r="105" spans="2:9" x14ac:dyDescent="0.3">
      <c r="B105" s="66" t="str">
        <f t="shared" si="8"/>
        <v/>
      </c>
      <c r="C105" s="172" t="str">
        <f t="shared" si="9"/>
        <v/>
      </c>
      <c r="D105" s="172" t="str">
        <f t="shared" si="10"/>
        <v/>
      </c>
      <c r="E105" s="172" t="str">
        <f t="shared" si="11"/>
        <v/>
      </c>
      <c r="F105" s="172" t="str">
        <f t="shared" si="12"/>
        <v/>
      </c>
      <c r="G105" s="172" t="str">
        <f t="shared" si="13"/>
        <v/>
      </c>
      <c r="H105" s="172" t="str">
        <f t="shared" si="14"/>
        <v/>
      </c>
      <c r="I105" s="172" t="str">
        <f t="shared" si="15"/>
        <v/>
      </c>
    </row>
    <row r="106" spans="2:9" x14ac:dyDescent="0.3">
      <c r="B106" s="66" t="str">
        <f t="shared" si="8"/>
        <v/>
      </c>
      <c r="C106" s="172" t="str">
        <f t="shared" si="9"/>
        <v/>
      </c>
      <c r="D106" s="172" t="str">
        <f t="shared" si="10"/>
        <v/>
      </c>
      <c r="E106" s="172" t="str">
        <f t="shared" si="11"/>
        <v/>
      </c>
      <c r="F106" s="172" t="str">
        <f t="shared" si="12"/>
        <v/>
      </c>
      <c r="G106" s="172" t="str">
        <f t="shared" si="13"/>
        <v/>
      </c>
      <c r="H106" s="172" t="str">
        <f t="shared" si="14"/>
        <v/>
      </c>
      <c r="I106" s="172" t="str">
        <f t="shared" si="15"/>
        <v/>
      </c>
    </row>
    <row r="107" spans="2:9" x14ac:dyDescent="0.3">
      <c r="B107" s="66" t="str">
        <f t="shared" si="8"/>
        <v/>
      </c>
      <c r="C107" s="172" t="str">
        <f t="shared" si="9"/>
        <v/>
      </c>
      <c r="D107" s="172" t="str">
        <f t="shared" si="10"/>
        <v/>
      </c>
      <c r="E107" s="172" t="str">
        <f t="shared" si="11"/>
        <v/>
      </c>
      <c r="F107" s="172" t="str">
        <f t="shared" si="12"/>
        <v/>
      </c>
      <c r="G107" s="172" t="str">
        <f t="shared" si="13"/>
        <v/>
      </c>
      <c r="H107" s="172" t="str">
        <f t="shared" si="14"/>
        <v/>
      </c>
      <c r="I107" s="172" t="str">
        <f t="shared" si="15"/>
        <v/>
      </c>
    </row>
    <row r="108" spans="2:9" x14ac:dyDescent="0.3">
      <c r="B108" s="66" t="str">
        <f t="shared" si="8"/>
        <v/>
      </c>
      <c r="C108" s="172" t="str">
        <f t="shared" si="9"/>
        <v/>
      </c>
      <c r="D108" s="172" t="str">
        <f t="shared" si="10"/>
        <v/>
      </c>
      <c r="E108" s="172" t="str">
        <f t="shared" si="11"/>
        <v/>
      </c>
      <c r="F108" s="172" t="str">
        <f t="shared" si="12"/>
        <v/>
      </c>
      <c r="G108" s="172" t="str">
        <f t="shared" si="13"/>
        <v/>
      </c>
      <c r="H108" s="172" t="str">
        <f t="shared" si="14"/>
        <v/>
      </c>
      <c r="I108" s="172" t="str">
        <f t="shared" si="15"/>
        <v/>
      </c>
    </row>
    <row r="109" spans="2:9" x14ac:dyDescent="0.3">
      <c r="B109" s="66" t="str">
        <f t="shared" si="8"/>
        <v/>
      </c>
      <c r="C109" s="172" t="str">
        <f t="shared" si="9"/>
        <v/>
      </c>
      <c r="D109" s="172" t="str">
        <f t="shared" si="10"/>
        <v/>
      </c>
      <c r="E109" s="172" t="str">
        <f t="shared" si="11"/>
        <v/>
      </c>
      <c r="F109" s="172" t="str">
        <f t="shared" si="12"/>
        <v/>
      </c>
      <c r="G109" s="172" t="str">
        <f t="shared" si="13"/>
        <v/>
      </c>
      <c r="H109" s="172" t="str">
        <f t="shared" si="14"/>
        <v/>
      </c>
      <c r="I109" s="172" t="str">
        <f t="shared" si="15"/>
        <v/>
      </c>
    </row>
    <row r="110" spans="2:9" x14ac:dyDescent="0.3">
      <c r="B110" s="66" t="str">
        <f t="shared" si="8"/>
        <v/>
      </c>
      <c r="C110" s="172" t="str">
        <f t="shared" si="9"/>
        <v/>
      </c>
      <c r="D110" s="172" t="str">
        <f t="shared" si="10"/>
        <v/>
      </c>
      <c r="E110" s="172" t="str">
        <f t="shared" si="11"/>
        <v/>
      </c>
      <c r="F110" s="172" t="str">
        <f t="shared" si="12"/>
        <v/>
      </c>
      <c r="G110" s="172" t="str">
        <f t="shared" si="13"/>
        <v/>
      </c>
      <c r="H110" s="172" t="str">
        <f t="shared" si="14"/>
        <v/>
      </c>
      <c r="I110" s="172" t="str">
        <f t="shared" si="15"/>
        <v/>
      </c>
    </row>
    <row r="111" spans="2:9" x14ac:dyDescent="0.3">
      <c r="B111" s="66" t="str">
        <f t="shared" si="8"/>
        <v/>
      </c>
      <c r="C111" s="172" t="str">
        <f t="shared" si="9"/>
        <v/>
      </c>
      <c r="D111" s="172" t="str">
        <f t="shared" si="10"/>
        <v/>
      </c>
      <c r="E111" s="172" t="str">
        <f t="shared" si="11"/>
        <v/>
      </c>
      <c r="F111" s="172" t="str">
        <f t="shared" si="12"/>
        <v/>
      </c>
      <c r="G111" s="172" t="str">
        <f t="shared" si="13"/>
        <v/>
      </c>
      <c r="H111" s="172" t="str">
        <f t="shared" si="14"/>
        <v/>
      </c>
      <c r="I111" s="172" t="str">
        <f t="shared" si="15"/>
        <v/>
      </c>
    </row>
    <row r="112" spans="2:9" x14ac:dyDescent="0.3">
      <c r="B112" s="66" t="str">
        <f t="shared" si="8"/>
        <v/>
      </c>
      <c r="C112" s="172" t="str">
        <f t="shared" si="9"/>
        <v/>
      </c>
      <c r="D112" s="172" t="str">
        <f t="shared" si="10"/>
        <v/>
      </c>
      <c r="E112" s="172" t="str">
        <f t="shared" si="11"/>
        <v/>
      </c>
      <c r="F112" s="172" t="str">
        <f t="shared" si="12"/>
        <v/>
      </c>
      <c r="G112" s="172" t="str">
        <f t="shared" si="13"/>
        <v/>
      </c>
      <c r="H112" s="172" t="str">
        <f t="shared" si="14"/>
        <v/>
      </c>
      <c r="I112" s="172" t="str">
        <f t="shared" si="15"/>
        <v/>
      </c>
    </row>
    <row r="113" spans="2:9" x14ac:dyDescent="0.3">
      <c r="B113" s="66" t="str">
        <f t="shared" ref="B113:B120" si="16">IF(B112="","",IF(B112=$C$8,"",EOMONTH(B112,1)))</f>
        <v/>
      </c>
      <c r="C113" s="172" t="str">
        <f t="shared" ref="C113:C120" si="17">IF(B113="","",I112)</f>
        <v/>
      </c>
      <c r="D113" s="172" t="str">
        <f t="shared" ref="D113:D120" si="18">IF(B113="","",IF($C$5="IO",C113*$C$6/12,-PMT($C$6/12,$C$7,$C$4)))</f>
        <v/>
      </c>
      <c r="E113" s="172" t="str">
        <f t="shared" ref="E113:E120" si="19">IF(B113="","",C113*$C$6/12)</f>
        <v/>
      </c>
      <c r="F113" s="172" t="str">
        <f t="shared" ref="F113:F120" si="20">IF(B113="","",+D113-E113)</f>
        <v/>
      </c>
      <c r="G113" s="172" t="str">
        <f t="shared" ref="G113:G120" si="21">IF(B113="","",IF(AND($C$5="io",$C$8=B113),$C$4,0))</f>
        <v/>
      </c>
      <c r="H113" s="172" t="str">
        <f t="shared" ref="H113:H120" si="22">IF(B113="","",G113+F113)</f>
        <v/>
      </c>
      <c r="I113" s="172" t="str">
        <f t="shared" ref="I113:I120" si="23">IF(B113="","",C113-H113)</f>
        <v/>
      </c>
    </row>
    <row r="114" spans="2:9" x14ac:dyDescent="0.3">
      <c r="B114" s="66" t="str">
        <f t="shared" si="16"/>
        <v/>
      </c>
      <c r="C114" s="172" t="str">
        <f t="shared" si="17"/>
        <v/>
      </c>
      <c r="D114" s="172" t="str">
        <f t="shared" si="18"/>
        <v/>
      </c>
      <c r="E114" s="172" t="str">
        <f t="shared" si="19"/>
        <v/>
      </c>
      <c r="F114" s="172" t="str">
        <f t="shared" si="20"/>
        <v/>
      </c>
      <c r="G114" s="172" t="str">
        <f t="shared" si="21"/>
        <v/>
      </c>
      <c r="H114" s="172" t="str">
        <f t="shared" si="22"/>
        <v/>
      </c>
      <c r="I114" s="172" t="str">
        <f t="shared" si="23"/>
        <v/>
      </c>
    </row>
    <row r="115" spans="2:9" x14ac:dyDescent="0.3">
      <c r="B115" s="66" t="str">
        <f t="shared" si="16"/>
        <v/>
      </c>
      <c r="C115" s="172" t="str">
        <f t="shared" si="17"/>
        <v/>
      </c>
      <c r="D115" s="172" t="str">
        <f t="shared" si="18"/>
        <v/>
      </c>
      <c r="E115" s="172" t="str">
        <f t="shared" si="19"/>
        <v/>
      </c>
      <c r="F115" s="172" t="str">
        <f t="shared" si="20"/>
        <v/>
      </c>
      <c r="G115" s="172" t="str">
        <f t="shared" si="21"/>
        <v/>
      </c>
      <c r="H115" s="172" t="str">
        <f t="shared" si="22"/>
        <v/>
      </c>
      <c r="I115" s="172" t="str">
        <f t="shared" si="23"/>
        <v/>
      </c>
    </row>
    <row r="116" spans="2:9" x14ac:dyDescent="0.3">
      <c r="B116" s="66" t="str">
        <f t="shared" si="16"/>
        <v/>
      </c>
      <c r="C116" s="172" t="str">
        <f t="shared" si="17"/>
        <v/>
      </c>
      <c r="D116" s="172" t="str">
        <f t="shared" si="18"/>
        <v/>
      </c>
      <c r="E116" s="172" t="str">
        <f t="shared" si="19"/>
        <v/>
      </c>
      <c r="F116" s="172" t="str">
        <f t="shared" si="20"/>
        <v/>
      </c>
      <c r="G116" s="172" t="str">
        <f t="shared" si="21"/>
        <v/>
      </c>
      <c r="H116" s="172" t="str">
        <f t="shared" si="22"/>
        <v/>
      </c>
      <c r="I116" s="172" t="str">
        <f t="shared" si="23"/>
        <v/>
      </c>
    </row>
    <row r="117" spans="2:9" x14ac:dyDescent="0.3">
      <c r="B117" s="66" t="str">
        <f t="shared" si="16"/>
        <v/>
      </c>
      <c r="C117" s="172" t="str">
        <f t="shared" si="17"/>
        <v/>
      </c>
      <c r="D117" s="172" t="str">
        <f t="shared" si="18"/>
        <v/>
      </c>
      <c r="E117" s="172" t="str">
        <f t="shared" si="19"/>
        <v/>
      </c>
      <c r="F117" s="172" t="str">
        <f t="shared" si="20"/>
        <v/>
      </c>
      <c r="G117" s="172" t="str">
        <f t="shared" si="21"/>
        <v/>
      </c>
      <c r="H117" s="172" t="str">
        <f t="shared" si="22"/>
        <v/>
      </c>
      <c r="I117" s="172" t="str">
        <f t="shared" si="23"/>
        <v/>
      </c>
    </row>
    <row r="118" spans="2:9" x14ac:dyDescent="0.3">
      <c r="B118" s="66" t="str">
        <f t="shared" si="16"/>
        <v/>
      </c>
      <c r="C118" s="172" t="str">
        <f t="shared" si="17"/>
        <v/>
      </c>
      <c r="D118" s="172" t="str">
        <f t="shared" si="18"/>
        <v/>
      </c>
      <c r="E118" s="172" t="str">
        <f t="shared" si="19"/>
        <v/>
      </c>
      <c r="F118" s="172" t="str">
        <f t="shared" si="20"/>
        <v/>
      </c>
      <c r="G118" s="172" t="str">
        <f t="shared" si="21"/>
        <v/>
      </c>
      <c r="H118" s="172" t="str">
        <f t="shared" si="22"/>
        <v/>
      </c>
      <c r="I118" s="172" t="str">
        <f t="shared" si="23"/>
        <v/>
      </c>
    </row>
    <row r="119" spans="2:9" x14ac:dyDescent="0.3">
      <c r="B119" s="66" t="str">
        <f t="shared" si="16"/>
        <v/>
      </c>
      <c r="C119" s="172" t="str">
        <f t="shared" si="17"/>
        <v/>
      </c>
      <c r="D119" s="172" t="str">
        <f t="shared" si="18"/>
        <v/>
      </c>
      <c r="E119" s="172" t="str">
        <f t="shared" si="19"/>
        <v/>
      </c>
      <c r="F119" s="172" t="str">
        <f t="shared" si="20"/>
        <v/>
      </c>
      <c r="G119" s="172" t="str">
        <f t="shared" si="21"/>
        <v/>
      </c>
      <c r="H119" s="172" t="str">
        <f t="shared" si="22"/>
        <v/>
      </c>
      <c r="I119" s="172" t="str">
        <f t="shared" si="23"/>
        <v/>
      </c>
    </row>
    <row r="120" spans="2:9" x14ac:dyDescent="0.3">
      <c r="B120" s="66" t="str">
        <f t="shared" si="16"/>
        <v/>
      </c>
      <c r="C120" s="172" t="str">
        <f t="shared" si="17"/>
        <v/>
      </c>
      <c r="D120" s="172" t="str">
        <f t="shared" si="18"/>
        <v/>
      </c>
      <c r="E120" s="172" t="str">
        <f t="shared" si="19"/>
        <v/>
      </c>
      <c r="F120" s="172" t="str">
        <f t="shared" si="20"/>
        <v/>
      </c>
      <c r="G120" s="172" t="str">
        <f t="shared" si="21"/>
        <v/>
      </c>
      <c r="H120" s="172" t="str">
        <f t="shared" si="22"/>
        <v/>
      </c>
      <c r="I120" s="172" t="str">
        <f t="shared" si="23"/>
        <v/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E30"/>
  <sheetViews>
    <sheetView showGridLines="0" workbookViewId="0"/>
  </sheetViews>
  <sheetFormatPr defaultColWidth="9" defaultRowHeight="15" customHeight="1" x14ac:dyDescent="0.25"/>
  <cols>
    <col min="1" max="1" width="2.28515625" style="11" customWidth="1"/>
    <col min="2" max="2" width="19.28515625" style="11" customWidth="1"/>
    <col min="3" max="3" width="12.7109375" style="11" customWidth="1"/>
    <col min="4" max="5" width="10.42578125" style="11" customWidth="1"/>
    <col min="6" max="6" width="9.42578125" style="11" customWidth="1"/>
    <col min="7" max="9" width="10.42578125" style="11" customWidth="1"/>
    <col min="10" max="14" width="9.42578125" style="11" customWidth="1"/>
    <col min="15" max="17" width="10.42578125" style="11" customWidth="1"/>
    <col min="18" max="18" width="9.42578125" style="11" customWidth="1"/>
    <col min="19" max="21" width="10.42578125" style="11" customWidth="1"/>
    <col min="22" max="26" width="9.42578125" style="11" customWidth="1"/>
    <col min="27" max="29" width="10.42578125" style="11" customWidth="1"/>
    <col min="30" max="30" width="9.42578125" style="11" customWidth="1"/>
    <col min="31" max="33" width="10.42578125" style="11" customWidth="1"/>
    <col min="34" max="38" width="9.42578125" style="11" customWidth="1"/>
    <col min="39" max="41" width="10.42578125" style="11" customWidth="1"/>
    <col min="42" max="42" width="9.42578125" style="11" customWidth="1"/>
    <col min="43" max="45" width="10.42578125" style="11" customWidth="1"/>
    <col min="46" max="50" width="9.42578125" style="11" customWidth="1"/>
    <col min="51" max="53" width="10.42578125" style="11" customWidth="1"/>
    <col min="54" max="54" width="9.42578125" style="11" customWidth="1"/>
    <col min="55" max="57" width="10.42578125" style="11" customWidth="1"/>
    <col min="58" max="58" width="9.42578125" style="11" customWidth="1"/>
    <col min="59" max="62" width="9.85546875" style="11" customWidth="1"/>
    <col min="63" max="65" width="10.42578125" style="11" customWidth="1"/>
    <col min="66" max="66" width="9.85546875" style="11" customWidth="1"/>
    <col min="67" max="69" width="10.42578125" style="11" customWidth="1"/>
    <col min="70" max="74" width="9.85546875" style="11" customWidth="1"/>
    <col min="75" max="77" width="10.42578125" style="11" customWidth="1"/>
    <col min="78" max="78" width="9.85546875" style="11" customWidth="1"/>
    <col min="79" max="81" width="10.42578125" style="11" customWidth="1"/>
    <col min="82" max="86" width="9.85546875" style="11" customWidth="1"/>
    <col min="87" max="89" width="10.42578125" style="11" customWidth="1"/>
    <col min="90" max="90" width="9.85546875" style="11" customWidth="1"/>
    <col min="91" max="93" width="10.42578125" style="11" customWidth="1"/>
    <col min="94" max="98" width="9.85546875" style="11" customWidth="1"/>
    <col min="99" max="101" width="10.42578125" style="11" customWidth="1"/>
    <col min="102" max="102" width="9.85546875" style="11" customWidth="1"/>
    <col min="103" max="105" width="10.42578125" style="11" customWidth="1"/>
    <col min="106" max="110" width="9.85546875" style="11" customWidth="1"/>
    <col min="111" max="113" width="10.42578125" style="11" customWidth="1"/>
    <col min="114" max="114" width="9.85546875" style="11" customWidth="1"/>
    <col min="115" max="117" width="10.42578125" style="11" customWidth="1"/>
    <col min="118" max="122" width="9.85546875" style="11" customWidth="1"/>
    <col min="123" max="125" width="10.42578125" style="11" customWidth="1"/>
    <col min="126" max="126" width="9.85546875" style="11" customWidth="1"/>
    <col min="127" max="129" width="10.42578125" style="11" customWidth="1"/>
    <col min="130" max="134" width="9.85546875" style="11" customWidth="1"/>
    <col min="135" max="135" width="10.42578125" style="11" customWidth="1"/>
    <col min="136" max="136" width="9" style="11" customWidth="1"/>
    <col min="137" max="16384" width="9" style="11"/>
  </cols>
  <sheetData>
    <row r="1" spans="1:135" ht="10.5" customHeight="1" x14ac:dyDescent="0.25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4"/>
    </row>
    <row r="2" spans="1:135" ht="23.25" customHeight="1" x14ac:dyDescent="0.4">
      <c r="A2" s="15"/>
      <c r="B2" s="16" t="s">
        <v>67</v>
      </c>
      <c r="C2" s="17"/>
      <c r="D2" s="17"/>
      <c r="E2" s="17"/>
      <c r="F2" s="17"/>
      <c r="G2" s="17"/>
      <c r="H2" s="17"/>
      <c r="I2" s="17"/>
      <c r="J2" s="17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9"/>
    </row>
    <row r="3" spans="1:135" ht="15.75" customHeight="1" x14ac:dyDescent="0.25">
      <c r="A3" s="15"/>
      <c r="B3" s="20"/>
      <c r="C3" s="20"/>
      <c r="D3" s="20"/>
      <c r="E3" s="20"/>
      <c r="F3" s="20"/>
      <c r="G3" s="20"/>
      <c r="H3" s="20"/>
      <c r="I3" s="20"/>
      <c r="J3" s="20"/>
      <c r="K3" s="20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9"/>
    </row>
    <row r="4" spans="1:135" ht="15" customHeight="1" x14ac:dyDescent="0.25">
      <c r="A4" s="15"/>
      <c r="B4" s="21" t="s">
        <v>65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9"/>
    </row>
    <row r="5" spans="1:135" ht="15" customHeight="1" x14ac:dyDescent="0.25">
      <c r="A5" s="15"/>
      <c r="B5" s="22"/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5"/>
    </row>
    <row r="6" spans="1:135" ht="15" customHeight="1" x14ac:dyDescent="0.25">
      <c r="A6" s="15"/>
      <c r="B6" s="26" t="s">
        <v>66</v>
      </c>
      <c r="C6" s="27">
        <v>1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9"/>
    </row>
    <row r="7" spans="1:135" ht="15" customHeight="1" x14ac:dyDescent="0.3">
      <c r="A7" s="15"/>
      <c r="B7" s="28" t="s">
        <v>60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30"/>
    </row>
    <row r="8" spans="1:135" ht="15" customHeight="1" x14ac:dyDescent="0.3">
      <c r="A8" s="15"/>
      <c r="B8" s="21" t="s">
        <v>4</v>
      </c>
      <c r="C8" s="31" t="e">
        <f>#REF!*#REF!</f>
        <v>#REF!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3"/>
    </row>
    <row r="9" spans="1:135" ht="15" customHeight="1" x14ac:dyDescent="0.3">
      <c r="A9" s="15"/>
      <c r="B9" s="21" t="s">
        <v>68</v>
      </c>
      <c r="C9" s="34" t="e">
        <f>C8*2000</f>
        <v>#REF!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3"/>
    </row>
    <row r="10" spans="1:135" ht="15" customHeight="1" x14ac:dyDescent="0.25">
      <c r="A10" s="15"/>
      <c r="B10" s="21" t="s">
        <v>69</v>
      </c>
      <c r="C10" s="29" t="e">
        <f>#REF!</f>
        <v>#REF!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30"/>
    </row>
    <row r="11" spans="1:135" ht="15" customHeight="1" x14ac:dyDescent="0.25">
      <c r="A11" s="15"/>
      <c r="B11" s="21" t="s">
        <v>70</v>
      </c>
      <c r="C11" s="35" t="e">
        <f>#REF!</f>
        <v>#REF!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6"/>
    </row>
    <row r="12" spans="1:135" ht="15" customHeight="1" x14ac:dyDescent="0.25">
      <c r="A12" s="15"/>
      <c r="B12" s="21" t="s">
        <v>9</v>
      </c>
      <c r="C12" s="34" t="e">
        <f>#REF!</f>
        <v>#REF!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6"/>
    </row>
    <row r="13" spans="1:135" ht="15" customHeight="1" x14ac:dyDescent="0.25">
      <c r="A13" s="15"/>
      <c r="B13" s="21" t="s">
        <v>11</v>
      </c>
      <c r="C13" s="37" t="e">
        <f>C9/C10/C12</f>
        <v>#REF!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30"/>
    </row>
    <row r="14" spans="1:135" ht="15" customHeight="1" x14ac:dyDescent="0.3">
      <c r="A14" s="15"/>
      <c r="B14" s="28" t="s">
        <v>65</v>
      </c>
      <c r="C14" s="35" t="e">
        <f>C13*C11</f>
        <v>#REF!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9"/>
    </row>
    <row r="15" spans="1:135" ht="15" customHeight="1" x14ac:dyDescent="0.25">
      <c r="A15" s="15"/>
      <c r="B15" s="1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30"/>
    </row>
    <row r="16" spans="1:135" ht="15" customHeight="1" x14ac:dyDescent="0.25">
      <c r="A16" s="15"/>
      <c r="B16" s="1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30"/>
    </row>
    <row r="17" spans="1:135" ht="13.5" customHeight="1" x14ac:dyDescent="0.25">
      <c r="A17" s="15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9"/>
    </row>
    <row r="18" spans="1:135" ht="15" customHeight="1" x14ac:dyDescent="0.3">
      <c r="A18" s="15"/>
      <c r="B18" s="3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9"/>
    </row>
    <row r="19" spans="1:135" ht="15" customHeight="1" x14ac:dyDescent="0.25">
      <c r="A19" s="15"/>
      <c r="B19" s="1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30"/>
    </row>
    <row r="20" spans="1:135" ht="15" customHeight="1" x14ac:dyDescent="0.25">
      <c r="A20" s="15"/>
      <c r="B20" s="1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30"/>
    </row>
    <row r="21" spans="1:135" ht="13.5" customHeight="1" x14ac:dyDescent="0.25">
      <c r="A21" s="15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9"/>
    </row>
    <row r="22" spans="1:135" ht="15" customHeight="1" x14ac:dyDescent="0.3">
      <c r="A22" s="15"/>
      <c r="B22" s="3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9"/>
    </row>
    <row r="23" spans="1:135" ht="15" customHeight="1" x14ac:dyDescent="0.25">
      <c r="A23" s="15"/>
      <c r="B23" s="18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6"/>
    </row>
    <row r="24" spans="1:135" ht="15" customHeight="1" x14ac:dyDescent="0.25">
      <c r="A24" s="15"/>
      <c r="B24" s="1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30"/>
    </row>
    <row r="25" spans="1:135" ht="13.5" customHeight="1" x14ac:dyDescent="0.25">
      <c r="A25" s="1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9"/>
    </row>
    <row r="26" spans="1:135" ht="13.5" customHeight="1" x14ac:dyDescent="0.25">
      <c r="A26" s="15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9"/>
    </row>
    <row r="27" spans="1:135" ht="15" customHeight="1" x14ac:dyDescent="0.25">
      <c r="A27" s="15"/>
      <c r="B27" s="18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6"/>
    </row>
    <row r="28" spans="1:135" ht="15" customHeight="1" x14ac:dyDescent="0.25">
      <c r="A28" s="15"/>
      <c r="B28" s="1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30"/>
    </row>
    <row r="29" spans="1:135" ht="13.5" customHeight="1" x14ac:dyDescent="0.25">
      <c r="A29" s="15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9"/>
    </row>
    <row r="30" spans="1:135" ht="15" customHeight="1" x14ac:dyDescent="0.25">
      <c r="A30" s="39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2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A58F3-0FFB-4DE8-9E3D-5B6E6B608A03}">
  <sheetPr>
    <tabColor theme="9" tint="0.39997558519241921"/>
  </sheetPr>
  <dimension ref="B1:O68"/>
  <sheetViews>
    <sheetView showGridLines="0" tabSelected="1" workbookViewId="0">
      <selection activeCell="B2" sqref="B2"/>
    </sheetView>
  </sheetViews>
  <sheetFormatPr defaultRowHeight="15" x14ac:dyDescent="0.3"/>
  <cols>
    <col min="1" max="1" width="2.28515625" style="53" customWidth="1"/>
    <col min="2" max="2" width="27.42578125" style="53" customWidth="1"/>
    <col min="3" max="4" width="16.28515625" style="53" customWidth="1"/>
    <col min="5" max="5" width="19.5703125" style="53" customWidth="1"/>
    <col min="6" max="6" width="15.85546875" style="53" customWidth="1"/>
    <col min="7" max="7" width="2.42578125" style="53" customWidth="1"/>
    <col min="8" max="8" width="18.28515625" style="53" customWidth="1"/>
    <col min="9" max="9" width="14.42578125" style="53" bestFit="1" customWidth="1"/>
    <col min="10" max="16384" width="9.140625" style="53"/>
  </cols>
  <sheetData>
    <row r="1" spans="2:15" x14ac:dyDescent="0.3">
      <c r="B1" s="188" t="s">
        <v>300</v>
      </c>
    </row>
    <row r="2" spans="2:15" ht="18" x14ac:dyDescent="0.35">
      <c r="B2" s="75" t="s">
        <v>80</v>
      </c>
      <c r="C2" s="76"/>
      <c r="D2" s="76"/>
      <c r="E2" s="76"/>
      <c r="F2" s="76"/>
      <c r="G2" s="76"/>
      <c r="H2" s="76"/>
      <c r="I2" s="76"/>
      <c r="J2" s="76"/>
      <c r="K2" s="76"/>
    </row>
    <row r="4" spans="2:15" x14ac:dyDescent="0.3">
      <c r="B4" s="67" t="s">
        <v>64</v>
      </c>
      <c r="C4" s="71">
        <v>46203</v>
      </c>
      <c r="E4" s="67" t="s">
        <v>47</v>
      </c>
      <c r="F4" s="189">
        <v>0.06</v>
      </c>
      <c r="H4" s="67" t="s">
        <v>270</v>
      </c>
      <c r="I4" s="159">
        <v>50000000</v>
      </c>
      <c r="O4" s="169" t="s">
        <v>271</v>
      </c>
    </row>
    <row r="5" spans="2:15" x14ac:dyDescent="0.3">
      <c r="B5" s="113" t="s">
        <v>73</v>
      </c>
      <c r="C5" s="114">
        <v>6</v>
      </c>
      <c r="E5" s="113" t="s">
        <v>51</v>
      </c>
      <c r="F5" s="190">
        <v>0.05</v>
      </c>
      <c r="H5" s="113" t="s">
        <v>272</v>
      </c>
      <c r="I5" s="162" t="s">
        <v>271</v>
      </c>
      <c r="O5" s="169" t="s">
        <v>280</v>
      </c>
    </row>
    <row r="6" spans="2:15" x14ac:dyDescent="0.3">
      <c r="B6" s="53" t="s">
        <v>74</v>
      </c>
      <c r="C6" s="72">
        <v>4</v>
      </c>
      <c r="E6" s="53" t="s">
        <v>212</v>
      </c>
      <c r="F6" s="188">
        <f>30+189.5</f>
        <v>219.5</v>
      </c>
      <c r="H6" s="53" t="s">
        <v>273</v>
      </c>
      <c r="I6" s="161">
        <v>0.11</v>
      </c>
    </row>
    <row r="7" spans="2:15" x14ac:dyDescent="0.3">
      <c r="B7" s="113" t="s">
        <v>173</v>
      </c>
      <c r="C7" s="114">
        <v>325</v>
      </c>
      <c r="E7" s="113" t="s">
        <v>213</v>
      </c>
      <c r="F7" s="186">
        <f>'Mining Cost Assumptions'!C4</f>
        <v>189.5</v>
      </c>
      <c r="H7" s="113" t="s">
        <v>274</v>
      </c>
      <c r="I7" s="162">
        <v>36</v>
      </c>
    </row>
    <row r="8" spans="2:15" x14ac:dyDescent="0.3">
      <c r="B8" s="80" t="s">
        <v>181</v>
      </c>
      <c r="C8" s="116">
        <f>EOMONTH(C4,C5+1)</f>
        <v>46418</v>
      </c>
      <c r="E8" s="53" t="s">
        <v>225</v>
      </c>
      <c r="F8" s="188">
        <f>+F6*0.5+F7*0.5</f>
        <v>204.5</v>
      </c>
      <c r="H8" s="53" t="s">
        <v>275</v>
      </c>
      <c r="I8" s="179">
        <f>EOMONTH(C4,I7)</f>
        <v>47299</v>
      </c>
    </row>
    <row r="9" spans="2:15" x14ac:dyDescent="0.3">
      <c r="B9" s="113" t="s">
        <v>182</v>
      </c>
      <c r="C9" s="117">
        <f>EOMONTH(C4,C6+1)</f>
        <v>46356</v>
      </c>
      <c r="E9" s="113" t="s">
        <v>49</v>
      </c>
      <c r="F9" s="137">
        <v>0.21</v>
      </c>
      <c r="H9" s="113" t="s">
        <v>297</v>
      </c>
      <c r="I9" s="114">
        <v>20</v>
      </c>
      <c r="J9" s="53" t="s">
        <v>298</v>
      </c>
    </row>
    <row r="10" spans="2:15" x14ac:dyDescent="0.3">
      <c r="B10" s="80"/>
      <c r="C10" s="115"/>
    </row>
    <row r="11" spans="2:15" ht="15.75" thickBot="1" x14ac:dyDescent="0.35">
      <c r="B11" s="105" t="s">
        <v>177</v>
      </c>
      <c r="C11" s="105" t="s">
        <v>178</v>
      </c>
      <c r="D11" s="105" t="s">
        <v>6</v>
      </c>
      <c r="E11" s="105" t="s">
        <v>7</v>
      </c>
      <c r="F11" s="105" t="s">
        <v>179</v>
      </c>
    </row>
    <row r="12" spans="2:15" x14ac:dyDescent="0.3">
      <c r="B12" s="53" t="s">
        <v>174</v>
      </c>
      <c r="C12" s="72">
        <v>4</v>
      </c>
      <c r="D12" s="53">
        <v>40</v>
      </c>
      <c r="E12" s="66">
        <f>EOMONTH(C4,C12+1)</f>
        <v>46356</v>
      </c>
      <c r="F12" s="66">
        <f>EOMONTH(E12,C12-1)</f>
        <v>46446</v>
      </c>
    </row>
    <row r="13" spans="2:15" x14ac:dyDescent="0.3">
      <c r="B13" s="113" t="s">
        <v>175</v>
      </c>
      <c r="C13" s="114">
        <v>6</v>
      </c>
      <c r="D13" s="53">
        <v>250</v>
      </c>
      <c r="E13" s="66">
        <f>+F12</f>
        <v>46446</v>
      </c>
      <c r="F13" s="66">
        <f>EOMONTH(E13,C13-1)</f>
        <v>46599</v>
      </c>
    </row>
    <row r="14" spans="2:15" x14ac:dyDescent="0.3">
      <c r="B14" s="191" t="s">
        <v>176</v>
      </c>
      <c r="C14" s="192">
        <f>120-SUM(C12:C13)</f>
        <v>110</v>
      </c>
      <c r="D14" s="191">
        <v>500</v>
      </c>
      <c r="E14" s="193">
        <f>+F13</f>
        <v>46599</v>
      </c>
      <c r="F14" s="193">
        <f>EOMONTH(E14,C14-1)</f>
        <v>49918</v>
      </c>
    </row>
    <row r="16" spans="2:15" ht="15.75" thickBot="1" x14ac:dyDescent="0.35">
      <c r="B16" s="105" t="s">
        <v>75</v>
      </c>
      <c r="C16" s="106"/>
      <c r="D16" s="106"/>
      <c r="E16" s="106"/>
      <c r="F16" s="106"/>
    </row>
    <row r="17" spans="2:7" x14ac:dyDescent="0.3">
      <c r="B17" s="53" t="s">
        <v>78</v>
      </c>
      <c r="C17" s="70">
        <f>668000+494000</f>
        <v>1162000</v>
      </c>
    </row>
    <row r="18" spans="2:7" x14ac:dyDescent="0.3">
      <c r="B18" s="74" t="s">
        <v>76</v>
      </c>
      <c r="C18" s="74" t="s">
        <v>2</v>
      </c>
      <c r="D18" s="74" t="s">
        <v>77</v>
      </c>
      <c r="E18" s="74" t="s">
        <v>17</v>
      </c>
      <c r="F18" s="74" t="s">
        <v>17</v>
      </c>
    </row>
    <row r="19" spans="2:7" x14ac:dyDescent="0.3">
      <c r="B19" s="53" t="s">
        <v>3</v>
      </c>
      <c r="C19" s="167">
        <v>8.8376940000000001E-3</v>
      </c>
      <c r="D19" s="160">
        <v>0.8</v>
      </c>
      <c r="E19" s="62">
        <f>+D19*C19</f>
        <v>7.0701552000000008E-3</v>
      </c>
      <c r="F19" s="57">
        <f>+$C$17*C19*D19</f>
        <v>8215.520342400001</v>
      </c>
      <c r="G19" s="56"/>
    </row>
    <row r="20" spans="2:7" x14ac:dyDescent="0.3">
      <c r="B20" s="53" t="s">
        <v>321</v>
      </c>
      <c r="C20" s="167">
        <v>3.985026E-3</v>
      </c>
      <c r="D20" s="160">
        <v>0.8</v>
      </c>
      <c r="E20" s="62">
        <f t="shared" ref="E20:E22" si="0">+D20*C20</f>
        <v>3.1880208E-3</v>
      </c>
      <c r="F20" s="57">
        <f>+$C$17*C20*D20</f>
        <v>3704.4801696000004</v>
      </c>
    </row>
    <row r="21" spans="2:7" x14ac:dyDescent="0.3">
      <c r="B21" s="53" t="s">
        <v>4</v>
      </c>
      <c r="C21" s="167">
        <v>1.8322720000000001E-2</v>
      </c>
      <c r="D21" s="160">
        <v>0.8</v>
      </c>
      <c r="E21" s="62">
        <f t="shared" si="0"/>
        <v>1.4658176000000002E-2</v>
      </c>
      <c r="F21" s="57">
        <f>+$C$17*C21*D21</f>
        <v>17032.800512000002</v>
      </c>
    </row>
    <row r="22" spans="2:7" x14ac:dyDescent="0.3">
      <c r="B22" s="191" t="s">
        <v>322</v>
      </c>
      <c r="C22" s="192">
        <v>0.26</v>
      </c>
      <c r="D22" s="194">
        <v>0.8</v>
      </c>
      <c r="E22" s="191">
        <f t="shared" si="0"/>
        <v>0.20800000000000002</v>
      </c>
      <c r="F22" s="195">
        <f>+$C$17*C22*D22</f>
        <v>241696</v>
      </c>
    </row>
    <row r="24" spans="2:7" ht="15.75" thickBot="1" x14ac:dyDescent="0.35">
      <c r="B24" s="105" t="s">
        <v>202</v>
      </c>
      <c r="C24" s="106"/>
      <c r="D24" s="106"/>
      <c r="E24" s="106"/>
      <c r="F24" s="106"/>
    </row>
    <row r="25" spans="2:7" x14ac:dyDescent="0.3">
      <c r="B25" s="53" t="s">
        <v>78</v>
      </c>
      <c r="C25" s="70">
        <v>1184150</v>
      </c>
    </row>
    <row r="26" spans="2:7" x14ac:dyDescent="0.3">
      <c r="B26" s="74" t="s">
        <v>1</v>
      </c>
      <c r="C26" s="74" t="s">
        <v>2</v>
      </c>
      <c r="D26" s="74" t="s">
        <v>77</v>
      </c>
      <c r="E26" s="74" t="s">
        <v>17</v>
      </c>
      <c r="F26" s="74" t="s">
        <v>17</v>
      </c>
    </row>
    <row r="27" spans="2:7" x14ac:dyDescent="0.3">
      <c r="B27" s="53" t="s">
        <v>322</v>
      </c>
      <c r="C27" s="72">
        <v>13.89</v>
      </c>
      <c r="D27" s="168">
        <v>0.9</v>
      </c>
      <c r="E27" s="56">
        <f>+D27*C27</f>
        <v>12.501000000000001</v>
      </c>
      <c r="F27" s="73">
        <f t="shared" ref="F27:F32" si="1">+$C$25*C27*D27</f>
        <v>14803059.15</v>
      </c>
    </row>
    <row r="28" spans="2:7" x14ac:dyDescent="0.3">
      <c r="B28" s="53" t="s">
        <v>321</v>
      </c>
      <c r="C28" s="167">
        <v>2.5000000000000001E-2</v>
      </c>
      <c r="D28" s="168">
        <v>0.85</v>
      </c>
      <c r="E28" s="62">
        <f t="shared" ref="E28:E32" si="2">+D28*C28</f>
        <v>2.1250000000000002E-2</v>
      </c>
      <c r="F28" s="57">
        <f t="shared" si="1"/>
        <v>25163.1875</v>
      </c>
    </row>
    <row r="29" spans="2:7" x14ac:dyDescent="0.3">
      <c r="B29" s="53" t="s">
        <v>323</v>
      </c>
      <c r="C29" s="167">
        <v>3.8000000000000003E-8</v>
      </c>
      <c r="D29" s="168">
        <v>0.7</v>
      </c>
      <c r="E29" s="62">
        <f t="shared" si="2"/>
        <v>2.66E-8</v>
      </c>
      <c r="F29" s="57">
        <f t="shared" si="1"/>
        <v>3.1498390000000001E-2</v>
      </c>
    </row>
    <row r="30" spans="2:7" x14ac:dyDescent="0.3">
      <c r="B30" s="53" t="s">
        <v>324</v>
      </c>
      <c r="C30" s="167">
        <v>1.9E-2</v>
      </c>
      <c r="D30" s="168">
        <v>0.85</v>
      </c>
      <c r="E30" s="62">
        <f t="shared" si="2"/>
        <v>1.6149999999999998E-2</v>
      </c>
      <c r="F30" s="57">
        <f t="shared" si="1"/>
        <v>19124.022499999999</v>
      </c>
    </row>
    <row r="31" spans="2:7" x14ac:dyDescent="0.3">
      <c r="B31" s="53" t="s">
        <v>3</v>
      </c>
      <c r="C31" s="167">
        <v>2E-3</v>
      </c>
      <c r="D31" s="168">
        <v>0.85</v>
      </c>
      <c r="E31" s="62">
        <f t="shared" si="2"/>
        <v>1.6999999999999999E-3</v>
      </c>
      <c r="F31" s="57">
        <f t="shared" si="1"/>
        <v>2013.0550000000001</v>
      </c>
    </row>
    <row r="32" spans="2:7" x14ac:dyDescent="0.3">
      <c r="B32" s="191" t="s">
        <v>4</v>
      </c>
      <c r="C32" s="196">
        <v>0.1</v>
      </c>
      <c r="D32" s="197">
        <v>0.98</v>
      </c>
      <c r="E32" s="198">
        <f t="shared" si="2"/>
        <v>9.8000000000000004E-2</v>
      </c>
      <c r="F32" s="199">
        <f t="shared" si="1"/>
        <v>116046.7</v>
      </c>
    </row>
    <row r="34" spans="2:7" ht="15.75" thickBot="1" x14ac:dyDescent="0.35">
      <c r="B34" s="105" t="s">
        <v>149</v>
      </c>
      <c r="C34" s="106"/>
      <c r="D34" s="106"/>
      <c r="E34" s="106"/>
    </row>
    <row r="35" spans="2:7" x14ac:dyDescent="0.3">
      <c r="B35" s="107" t="s">
        <v>169</v>
      </c>
      <c r="C35" s="107"/>
      <c r="D35" s="107"/>
      <c r="E35" s="107"/>
    </row>
    <row r="36" spans="2:7" x14ac:dyDescent="0.3">
      <c r="B36" s="108" t="s">
        <v>150</v>
      </c>
      <c r="C36" s="111">
        <v>2800</v>
      </c>
      <c r="D36" s="109" t="s">
        <v>151</v>
      </c>
      <c r="E36" s="110"/>
    </row>
    <row r="37" spans="2:7" x14ac:dyDescent="0.3">
      <c r="B37" s="108" t="s">
        <v>152</v>
      </c>
      <c r="C37" s="111">
        <v>3040</v>
      </c>
      <c r="D37" s="109" t="s">
        <v>153</v>
      </c>
      <c r="E37" s="110"/>
    </row>
    <row r="38" spans="2:7" x14ac:dyDescent="0.3">
      <c r="B38" s="108" t="s">
        <v>154</v>
      </c>
      <c r="C38" s="111">
        <v>3280</v>
      </c>
      <c r="D38" s="109" t="s">
        <v>155</v>
      </c>
      <c r="E38" s="110"/>
    </row>
    <row r="39" spans="2:7" x14ac:dyDescent="0.3">
      <c r="B39" s="108" t="s">
        <v>156</v>
      </c>
      <c r="C39" s="112">
        <v>0.74</v>
      </c>
      <c r="D39" s="109" t="s">
        <v>157</v>
      </c>
      <c r="E39" s="110"/>
    </row>
    <row r="40" spans="2:7" x14ac:dyDescent="0.3">
      <c r="B40" s="108" t="s">
        <v>197</v>
      </c>
      <c r="C40" s="112">
        <v>0.67</v>
      </c>
      <c r="D40" s="109"/>
      <c r="E40" s="110"/>
    </row>
    <row r="41" spans="2:7" x14ac:dyDescent="0.3">
      <c r="B41" s="108" t="s">
        <v>195</v>
      </c>
      <c r="C41" s="122">
        <f>1-C40/C39</f>
        <v>9.4594594594594517E-2</v>
      </c>
      <c r="D41" s="109"/>
      <c r="E41" s="110"/>
    </row>
    <row r="42" spans="2:7" x14ac:dyDescent="0.3">
      <c r="B42" s="104"/>
      <c r="C42" s="104"/>
      <c r="D42" s="104"/>
      <c r="E42" s="104"/>
    </row>
    <row r="43" spans="2:7" x14ac:dyDescent="0.3">
      <c r="B43" s="74" t="s">
        <v>60</v>
      </c>
      <c r="C43" s="74"/>
      <c r="D43" s="74"/>
      <c r="E43" s="74"/>
    </row>
    <row r="44" spans="2:7" x14ac:dyDescent="0.3">
      <c r="B44" s="108" t="s">
        <v>158</v>
      </c>
      <c r="C44" s="70">
        <v>40</v>
      </c>
      <c r="D44" s="109" t="s">
        <v>159</v>
      </c>
      <c r="E44" s="110"/>
      <c r="G44" s="108"/>
    </row>
    <row r="45" spans="2:7" x14ac:dyDescent="0.3">
      <c r="B45" s="108" t="s">
        <v>160</v>
      </c>
      <c r="C45" s="70">
        <v>4</v>
      </c>
      <c r="D45" s="109"/>
      <c r="E45" s="110"/>
      <c r="G45" s="108"/>
    </row>
    <row r="46" spans="2:7" x14ac:dyDescent="0.3">
      <c r="B46" s="108" t="s">
        <v>161</v>
      </c>
      <c r="C46" s="70">
        <v>250</v>
      </c>
      <c r="D46" s="109" t="s">
        <v>159</v>
      </c>
      <c r="E46" s="110"/>
      <c r="G46" s="108"/>
    </row>
    <row r="47" spans="2:7" x14ac:dyDescent="0.3">
      <c r="B47" s="108" t="s">
        <v>162</v>
      </c>
      <c r="C47" s="70">
        <v>6</v>
      </c>
      <c r="D47" s="109"/>
      <c r="E47" s="110"/>
      <c r="G47" s="108"/>
    </row>
    <row r="48" spans="2:7" x14ac:dyDescent="0.3">
      <c r="B48" s="108" t="s">
        <v>163</v>
      </c>
      <c r="C48" s="70">
        <v>500</v>
      </c>
      <c r="D48" s="109" t="s">
        <v>164</v>
      </c>
      <c r="E48" s="110"/>
      <c r="G48" s="108"/>
    </row>
    <row r="49" spans="2:8" x14ac:dyDescent="0.3">
      <c r="B49" s="108" t="s">
        <v>193</v>
      </c>
      <c r="C49" s="70">
        <v>54000</v>
      </c>
      <c r="D49" s="109" t="s">
        <v>194</v>
      </c>
      <c r="E49" s="110"/>
      <c r="G49" s="108"/>
    </row>
    <row r="50" spans="2:8" x14ac:dyDescent="0.3">
      <c r="B50" s="104"/>
      <c r="C50" s="104"/>
      <c r="D50" s="104"/>
      <c r="E50" s="104"/>
    </row>
    <row r="51" spans="2:8" x14ac:dyDescent="0.3">
      <c r="B51" s="74" t="s">
        <v>170</v>
      </c>
      <c r="C51" s="74"/>
      <c r="D51" s="74"/>
      <c r="E51" s="74"/>
    </row>
    <row r="52" spans="2:8" x14ac:dyDescent="0.3">
      <c r="B52" s="108" t="s">
        <v>165</v>
      </c>
      <c r="C52" s="72">
        <v>0.90720000000000001</v>
      </c>
      <c r="D52" s="109" t="s">
        <v>166</v>
      </c>
      <c r="E52" s="110"/>
      <c r="G52" s="108"/>
      <c r="H52" s="108"/>
    </row>
    <row r="53" spans="2:8" x14ac:dyDescent="0.3">
      <c r="B53" s="108" t="s">
        <v>167</v>
      </c>
      <c r="C53" s="72">
        <v>10</v>
      </c>
      <c r="D53" s="109" t="s">
        <v>168</v>
      </c>
      <c r="E53" s="110"/>
      <c r="G53" s="108"/>
      <c r="H53" s="108"/>
    </row>
    <row r="54" spans="2:8" x14ac:dyDescent="0.3">
      <c r="B54" s="108" t="s">
        <v>191</v>
      </c>
      <c r="C54" s="72">
        <v>1.2609999999999999</v>
      </c>
      <c r="D54" s="109" t="s">
        <v>192</v>
      </c>
      <c r="E54" s="110"/>
      <c r="G54" s="108"/>
      <c r="H54" s="108"/>
    </row>
    <row r="56" spans="2:8" ht="15.75" thickBot="1" x14ac:dyDescent="0.35">
      <c r="B56" s="105" t="s">
        <v>215</v>
      </c>
      <c r="C56" s="106"/>
      <c r="D56" s="106"/>
      <c r="E56" s="106"/>
    </row>
    <row r="57" spans="2:8" x14ac:dyDescent="0.3">
      <c r="B57" s="53" t="s">
        <v>78</v>
      </c>
      <c r="C57" s="70">
        <v>1184150</v>
      </c>
      <c r="D57" s="132"/>
      <c r="E57" s="132"/>
    </row>
    <row r="58" spans="2:8" x14ac:dyDescent="0.3">
      <c r="B58" s="74" t="s">
        <v>76</v>
      </c>
      <c r="C58" s="74" t="s">
        <v>2</v>
      </c>
      <c r="D58" s="74" t="s">
        <v>77</v>
      </c>
      <c r="E58" s="74" t="s">
        <v>17</v>
      </c>
      <c r="F58" s="74" t="s">
        <v>17</v>
      </c>
    </row>
    <row r="59" spans="2:8" x14ac:dyDescent="0.3">
      <c r="B59" s="53" t="s">
        <v>326</v>
      </c>
      <c r="C59" s="69">
        <v>1.0900000000000001E-4</v>
      </c>
      <c r="D59" s="69">
        <v>0.7</v>
      </c>
      <c r="E59" s="69">
        <f t="shared" ref="E59:E68" si="3">+D59*C59</f>
        <v>7.6299999999999998E-5</v>
      </c>
      <c r="F59" s="57">
        <f t="shared" ref="F59:F68" si="4">+$C$25*C59*D59</f>
        <v>90.350645</v>
      </c>
    </row>
    <row r="60" spans="2:8" x14ac:dyDescent="0.3">
      <c r="B60" s="53" t="s">
        <v>327</v>
      </c>
      <c r="C60" s="69">
        <v>7.7999999999999999E-5</v>
      </c>
      <c r="D60" s="69">
        <v>0.7</v>
      </c>
      <c r="E60" s="69">
        <f t="shared" si="3"/>
        <v>5.4599999999999992E-5</v>
      </c>
      <c r="F60" s="57">
        <f t="shared" si="4"/>
        <v>64.654589999999999</v>
      </c>
    </row>
    <row r="61" spans="2:8" x14ac:dyDescent="0.3">
      <c r="B61" s="53" t="s">
        <v>328</v>
      </c>
      <c r="C61" s="69">
        <v>8.0000000000000007E-5</v>
      </c>
      <c r="D61" s="69">
        <v>0.75</v>
      </c>
      <c r="E61" s="69">
        <f t="shared" si="3"/>
        <v>6.0000000000000008E-5</v>
      </c>
      <c r="F61" s="57">
        <f t="shared" si="4"/>
        <v>71.049000000000007</v>
      </c>
    </row>
    <row r="62" spans="2:8" x14ac:dyDescent="0.3">
      <c r="B62" s="53" t="s">
        <v>336</v>
      </c>
      <c r="C62" s="69">
        <v>3.4699999999999998E-4</v>
      </c>
      <c r="D62" s="69">
        <v>0.8</v>
      </c>
      <c r="E62" s="69">
        <f t="shared" si="3"/>
        <v>2.7759999999999997E-4</v>
      </c>
      <c r="F62" s="57">
        <f t="shared" si="4"/>
        <v>328.72003999999998</v>
      </c>
    </row>
    <row r="63" spans="2:8" x14ac:dyDescent="0.3">
      <c r="B63" s="53" t="s">
        <v>335</v>
      </c>
      <c r="C63" s="69">
        <v>8.1999999999999998E-4</v>
      </c>
      <c r="D63" s="69">
        <v>0.85</v>
      </c>
      <c r="E63" s="69">
        <f t="shared" si="3"/>
        <v>6.9699999999999992E-4</v>
      </c>
      <c r="F63" s="57">
        <f t="shared" si="4"/>
        <v>825.35254999999995</v>
      </c>
    </row>
    <row r="64" spans="2:8" x14ac:dyDescent="0.3">
      <c r="B64" s="53" t="s">
        <v>331</v>
      </c>
      <c r="C64" s="69">
        <v>5.0000000000000001E-4</v>
      </c>
      <c r="D64" s="69">
        <v>0.7</v>
      </c>
      <c r="E64" s="69">
        <f t="shared" si="3"/>
        <v>3.5E-4</v>
      </c>
      <c r="F64" s="57">
        <f t="shared" si="4"/>
        <v>414.45249999999999</v>
      </c>
    </row>
    <row r="65" spans="2:6" x14ac:dyDescent="0.3">
      <c r="B65" s="53" t="s">
        <v>330</v>
      </c>
      <c r="C65" s="69">
        <v>7.7999999999999999E-5</v>
      </c>
      <c r="D65" s="69">
        <v>0.7</v>
      </c>
      <c r="E65" s="69">
        <f t="shared" si="3"/>
        <v>5.4599999999999992E-5</v>
      </c>
      <c r="F65" s="57">
        <f t="shared" si="4"/>
        <v>64.654589999999999</v>
      </c>
    </row>
    <row r="66" spans="2:6" x14ac:dyDescent="0.3">
      <c r="B66" s="53" t="s">
        <v>332</v>
      </c>
      <c r="C66" s="69">
        <v>1.74E-4</v>
      </c>
      <c r="D66" s="69">
        <v>0.7</v>
      </c>
      <c r="E66" s="69">
        <f t="shared" si="3"/>
        <v>1.2179999999999999E-4</v>
      </c>
      <c r="F66" s="57">
        <f t="shared" si="4"/>
        <v>144.22946999999999</v>
      </c>
    </row>
    <row r="67" spans="2:6" x14ac:dyDescent="0.3">
      <c r="B67" s="53" t="s">
        <v>333</v>
      </c>
      <c r="C67" s="69">
        <v>5.0000000000000001E-3</v>
      </c>
      <c r="D67" s="69">
        <v>0.7</v>
      </c>
      <c r="E67" s="69">
        <f t="shared" si="3"/>
        <v>3.4999999999999996E-3</v>
      </c>
      <c r="F67" s="57">
        <f t="shared" si="4"/>
        <v>4144.5249999999996</v>
      </c>
    </row>
    <row r="68" spans="2:6" x14ac:dyDescent="0.3">
      <c r="B68" s="53" t="s">
        <v>334</v>
      </c>
      <c r="C68" s="69">
        <v>4.5000000000000003E-5</v>
      </c>
      <c r="D68" s="69">
        <v>0.7</v>
      </c>
      <c r="E68" s="69">
        <f t="shared" si="3"/>
        <v>3.15E-5</v>
      </c>
      <c r="F68" s="57">
        <f t="shared" si="4"/>
        <v>37.300725</v>
      </c>
    </row>
  </sheetData>
  <dataValidations disablePrompts="1" count="1">
    <dataValidation type="list" allowBlank="1" showInputMessage="1" showErrorMessage="1" sqref="I5" xr:uid="{376A9BFB-125A-4EBA-9446-D8C5C938E404}">
      <formula1>$O$4:$O$5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929A-6180-4E6B-8671-001DF1FBD324}">
  <sheetPr>
    <tabColor theme="9" tint="0.39997558519241921"/>
  </sheetPr>
  <dimension ref="B1:L22"/>
  <sheetViews>
    <sheetView showGridLines="0" workbookViewId="0">
      <selection activeCell="B4" sqref="B4"/>
    </sheetView>
  </sheetViews>
  <sheetFormatPr defaultRowHeight="15" x14ac:dyDescent="0.3"/>
  <cols>
    <col min="1" max="1" width="1.7109375" style="53" customWidth="1"/>
    <col min="2" max="2" width="23.28515625" style="53" customWidth="1"/>
    <col min="3" max="3" width="17.7109375" style="53" customWidth="1"/>
    <col min="4" max="4" width="14" style="53" bestFit="1" customWidth="1"/>
    <col min="5" max="16384" width="9.140625" style="53"/>
  </cols>
  <sheetData>
    <row r="1" spans="2:12" x14ac:dyDescent="0.3">
      <c r="B1" s="188" t="s">
        <v>300</v>
      </c>
      <c r="C1" s="188"/>
    </row>
    <row r="2" spans="2:12" ht="18" x14ac:dyDescent="0.35">
      <c r="B2" s="75" t="s">
        <v>233</v>
      </c>
      <c r="C2" s="75"/>
      <c r="D2" s="76"/>
      <c r="E2" s="76"/>
      <c r="F2" s="76"/>
      <c r="G2" s="76"/>
      <c r="H2" s="76"/>
      <c r="I2" s="76"/>
      <c r="J2" s="76"/>
      <c r="K2" s="76"/>
      <c r="L2" s="76"/>
    </row>
    <row r="4" spans="2:12" x14ac:dyDescent="0.3">
      <c r="B4" s="123" t="s">
        <v>337</v>
      </c>
      <c r="C4" s="226">
        <v>0</v>
      </c>
    </row>
    <row r="6" spans="2:12" x14ac:dyDescent="0.3">
      <c r="B6" s="74" t="s">
        <v>5</v>
      </c>
      <c r="C6" s="74" t="s">
        <v>301</v>
      </c>
      <c r="D6" s="74" t="s">
        <v>209</v>
      </c>
    </row>
    <row r="7" spans="2:12" x14ac:dyDescent="0.3">
      <c r="B7" s="53" t="s">
        <v>322</v>
      </c>
      <c r="C7" s="225">
        <v>75</v>
      </c>
      <c r="D7" s="164">
        <f>(1+$C$4)*C7</f>
        <v>75</v>
      </c>
      <c r="E7" s="53" t="s">
        <v>61</v>
      </c>
    </row>
    <row r="8" spans="2:12" x14ac:dyDescent="0.3">
      <c r="B8" s="53" t="s">
        <v>321</v>
      </c>
      <c r="C8" s="225">
        <v>9673</v>
      </c>
      <c r="D8" s="164">
        <f t="shared" ref="D8:D22" si="0">(1+$C$4)*C8</f>
        <v>9673</v>
      </c>
      <c r="E8" s="53" t="s">
        <v>210</v>
      </c>
    </row>
    <row r="9" spans="2:12" x14ac:dyDescent="0.3">
      <c r="B9" s="53" t="s">
        <v>323</v>
      </c>
      <c r="C9" s="225">
        <v>99400000</v>
      </c>
      <c r="D9" s="164">
        <f t="shared" si="0"/>
        <v>99400000</v>
      </c>
      <c r="E9" s="53" t="s">
        <v>210</v>
      </c>
    </row>
    <row r="10" spans="2:12" x14ac:dyDescent="0.3">
      <c r="B10" s="53" t="s">
        <v>326</v>
      </c>
      <c r="C10" s="225">
        <v>4500000</v>
      </c>
      <c r="D10" s="164">
        <f t="shared" si="0"/>
        <v>4500000</v>
      </c>
      <c r="E10" s="53" t="s">
        <v>210</v>
      </c>
    </row>
    <row r="11" spans="2:12" x14ac:dyDescent="0.3">
      <c r="B11" s="53" t="s">
        <v>327</v>
      </c>
      <c r="C11" s="225">
        <v>1500000</v>
      </c>
      <c r="D11" s="164">
        <f t="shared" si="0"/>
        <v>1500000</v>
      </c>
      <c r="E11" s="53" t="s">
        <v>210</v>
      </c>
    </row>
    <row r="12" spans="2:12" x14ac:dyDescent="0.3">
      <c r="B12" s="53" t="s">
        <v>328</v>
      </c>
      <c r="C12" s="225">
        <v>600000</v>
      </c>
      <c r="D12" s="164">
        <f t="shared" si="0"/>
        <v>600000</v>
      </c>
      <c r="E12" s="53" t="s">
        <v>210</v>
      </c>
    </row>
    <row r="13" spans="2:12" x14ac:dyDescent="0.3">
      <c r="B13" s="53" t="s">
        <v>329</v>
      </c>
      <c r="C13" s="225">
        <v>200000</v>
      </c>
      <c r="D13" s="164">
        <f t="shared" si="0"/>
        <v>200000</v>
      </c>
      <c r="E13" s="53" t="s">
        <v>210</v>
      </c>
    </row>
    <row r="14" spans="2:12" x14ac:dyDescent="0.3">
      <c r="B14" s="53" t="s">
        <v>335</v>
      </c>
      <c r="C14" s="225">
        <v>70000</v>
      </c>
      <c r="D14" s="164">
        <f t="shared" si="0"/>
        <v>70000</v>
      </c>
      <c r="E14" s="53" t="s">
        <v>210</v>
      </c>
    </row>
    <row r="15" spans="2:12" x14ac:dyDescent="0.3">
      <c r="B15" s="53" t="s">
        <v>324</v>
      </c>
      <c r="C15" s="225">
        <v>1800</v>
      </c>
      <c r="D15" s="164">
        <f t="shared" si="0"/>
        <v>1800</v>
      </c>
      <c r="E15" s="53" t="s">
        <v>210</v>
      </c>
    </row>
    <row r="16" spans="2:12" x14ac:dyDescent="0.3">
      <c r="B16" s="53" t="s">
        <v>331</v>
      </c>
      <c r="C16" s="225">
        <v>2500</v>
      </c>
      <c r="D16" s="164">
        <f t="shared" si="0"/>
        <v>2500</v>
      </c>
      <c r="E16" s="53" t="s">
        <v>210</v>
      </c>
    </row>
    <row r="17" spans="2:5" x14ac:dyDescent="0.3">
      <c r="B17" s="53" t="s">
        <v>330</v>
      </c>
      <c r="C17" s="225">
        <v>16000</v>
      </c>
      <c r="D17" s="164">
        <f t="shared" si="0"/>
        <v>16000</v>
      </c>
      <c r="E17" s="53" t="s">
        <v>210</v>
      </c>
    </row>
    <row r="18" spans="2:5" x14ac:dyDescent="0.3">
      <c r="B18" s="53" t="s">
        <v>332</v>
      </c>
      <c r="C18" s="225">
        <v>25000</v>
      </c>
      <c r="D18" s="164">
        <f t="shared" si="0"/>
        <v>25000</v>
      </c>
      <c r="E18" s="53" t="s">
        <v>210</v>
      </c>
    </row>
    <row r="19" spans="2:5" x14ac:dyDescent="0.3">
      <c r="B19" s="53" t="s">
        <v>333</v>
      </c>
      <c r="C19" s="225">
        <v>2000</v>
      </c>
      <c r="D19" s="164">
        <f t="shared" si="0"/>
        <v>2000</v>
      </c>
      <c r="E19" s="53" t="s">
        <v>210</v>
      </c>
    </row>
    <row r="20" spans="2:5" x14ac:dyDescent="0.3">
      <c r="B20" s="53" t="s">
        <v>3</v>
      </c>
      <c r="C20" s="225">
        <v>200000</v>
      </c>
      <c r="D20" s="164">
        <f t="shared" si="0"/>
        <v>200000</v>
      </c>
      <c r="E20" s="53" t="s">
        <v>210</v>
      </c>
    </row>
    <row r="21" spans="2:5" x14ac:dyDescent="0.3">
      <c r="B21" s="53" t="s">
        <v>334</v>
      </c>
      <c r="C21" s="225">
        <v>12000000</v>
      </c>
      <c r="D21" s="164">
        <f t="shared" si="0"/>
        <v>12000000</v>
      </c>
      <c r="E21" s="53" t="s">
        <v>210</v>
      </c>
    </row>
    <row r="22" spans="2:5" x14ac:dyDescent="0.3">
      <c r="B22" s="53" t="s">
        <v>4</v>
      </c>
      <c r="C22" s="225">
        <v>2600</v>
      </c>
      <c r="D22" s="164">
        <f t="shared" si="0"/>
        <v>2600</v>
      </c>
      <c r="E22" s="53" t="s">
        <v>210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L89"/>
  <sheetViews>
    <sheetView showGridLines="0" workbookViewId="0">
      <selection activeCell="B1" sqref="B1"/>
    </sheetView>
  </sheetViews>
  <sheetFormatPr defaultColWidth="8.85546875" defaultRowHeight="15" customHeight="1" x14ac:dyDescent="0.25"/>
  <cols>
    <col min="1" max="1" width="2" style="8" customWidth="1"/>
    <col min="2" max="2" width="29.42578125" style="8" customWidth="1"/>
    <col min="3" max="3" width="14" style="8" customWidth="1"/>
    <col min="4" max="4" width="17" style="8" customWidth="1"/>
    <col min="5" max="5" width="2" style="8" customWidth="1"/>
    <col min="6" max="7" width="21.42578125" style="8" customWidth="1"/>
    <col min="8" max="8" width="2" style="8" customWidth="1"/>
    <col min="9" max="10" width="16.140625" style="8" bestFit="1" customWidth="1"/>
    <col min="11" max="12" width="9.140625" style="8" customWidth="1"/>
    <col min="13" max="14" width="12.42578125" style="8" bestFit="1" customWidth="1"/>
    <col min="15" max="16" width="9" style="8" bestFit="1" customWidth="1"/>
    <col min="17" max="17" width="11" style="8" bestFit="1" customWidth="1"/>
    <col min="18" max="16384" width="8.85546875" style="8"/>
  </cols>
  <sheetData>
    <row r="1" spans="1:12" s="44" customFormat="1" ht="16.5" x14ac:dyDescent="0.3">
      <c r="A1" s="43"/>
      <c r="B1" s="188" t="s">
        <v>300</v>
      </c>
      <c r="C1" s="63"/>
      <c r="D1" s="63"/>
      <c r="E1" s="63"/>
      <c r="F1" s="63"/>
      <c r="G1" s="63"/>
      <c r="H1" s="63"/>
    </row>
    <row r="2" spans="1:12" ht="23.25" customHeight="1" thickBot="1" x14ac:dyDescent="0.4">
      <c r="A2" s="1"/>
      <c r="B2" s="75" t="s">
        <v>222</v>
      </c>
      <c r="C2" s="75"/>
      <c r="D2" s="75"/>
      <c r="E2" s="75"/>
      <c r="F2" s="75"/>
      <c r="G2" s="75"/>
      <c r="H2" s="75"/>
      <c r="I2" s="3"/>
      <c r="J2" s="5"/>
      <c r="K2" s="4"/>
      <c r="L2" s="6"/>
    </row>
    <row r="3" spans="1:12" ht="14.1" customHeight="1" x14ac:dyDescent="0.25">
      <c r="A3" s="1"/>
      <c r="B3" s="9"/>
      <c r="C3" s="9"/>
      <c r="D3" s="9"/>
      <c r="E3" s="9"/>
      <c r="F3" s="9"/>
      <c r="G3" s="9"/>
      <c r="H3" s="9"/>
      <c r="I3" s="3"/>
      <c r="J3" s="3"/>
      <c r="K3" s="3"/>
      <c r="L3" s="2"/>
    </row>
    <row r="4" spans="1:12" s="47" customFormat="1" ht="15" customHeight="1" x14ac:dyDescent="0.3">
      <c r="A4" s="45"/>
      <c r="B4" s="48" t="s">
        <v>13</v>
      </c>
      <c r="C4" s="51">
        <f>SUM(C7:C32)</f>
        <v>189.5</v>
      </c>
      <c r="D4" s="7"/>
      <c r="E4" s="7"/>
      <c r="F4" s="7"/>
      <c r="G4" s="7"/>
      <c r="H4" s="7"/>
      <c r="I4" s="7"/>
      <c r="J4" s="7"/>
      <c r="K4" s="7"/>
      <c r="L4" s="46"/>
    </row>
    <row r="5" spans="1:12" s="47" customFormat="1" ht="15" customHeight="1" x14ac:dyDescent="0.3">
      <c r="A5" s="45"/>
      <c r="B5" s="7"/>
      <c r="C5" s="51"/>
      <c r="D5" s="7"/>
      <c r="E5" s="7"/>
      <c r="F5" s="7"/>
      <c r="G5" s="7"/>
      <c r="H5" s="7"/>
      <c r="I5" s="7"/>
      <c r="J5" s="7"/>
      <c r="K5" s="7"/>
      <c r="L5" s="46"/>
    </row>
    <row r="6" spans="1:12" s="47" customFormat="1" ht="15.75" customHeight="1" x14ac:dyDescent="0.3">
      <c r="A6" s="45"/>
      <c r="B6" s="155" t="s">
        <v>14</v>
      </c>
      <c r="C6" s="155" t="s">
        <v>15</v>
      </c>
      <c r="D6" s="155" t="s">
        <v>16</v>
      </c>
      <c r="E6" s="7"/>
      <c r="F6" s="155" t="s">
        <v>14</v>
      </c>
      <c r="G6" s="155" t="s">
        <v>17</v>
      </c>
      <c r="H6" s="7"/>
      <c r="I6" s="7"/>
      <c r="J6" s="7"/>
      <c r="K6" s="7"/>
      <c r="L6" s="46"/>
    </row>
    <row r="7" spans="1:12" s="47" customFormat="1" ht="15.6" customHeight="1" x14ac:dyDescent="0.3">
      <c r="A7" s="45"/>
      <c r="B7" s="48" t="s">
        <v>19</v>
      </c>
      <c r="C7" s="187">
        <v>28</v>
      </c>
      <c r="D7" s="48" t="s">
        <v>20</v>
      </c>
      <c r="E7" s="7"/>
      <c r="F7" s="48" t="s">
        <v>21</v>
      </c>
      <c r="G7" s="51">
        <f>SUMIF(D1:D33,F7,C1:C33)</f>
        <v>6</v>
      </c>
      <c r="H7" s="7"/>
      <c r="I7" s="7"/>
      <c r="J7" s="7"/>
      <c r="K7" s="7"/>
      <c r="L7" s="46"/>
    </row>
    <row r="8" spans="1:12" s="47" customFormat="1" ht="15" customHeight="1" x14ac:dyDescent="0.3">
      <c r="A8" s="45"/>
      <c r="B8" s="48" t="s">
        <v>22</v>
      </c>
      <c r="C8" s="187">
        <v>6</v>
      </c>
      <c r="D8" s="48" t="s">
        <v>23</v>
      </c>
      <c r="E8" s="7"/>
      <c r="F8" s="48" t="s">
        <v>24</v>
      </c>
      <c r="G8" s="51">
        <f>SUMIF(D1:D33,F8,C1:C33)</f>
        <v>8</v>
      </c>
      <c r="H8" s="7"/>
      <c r="I8" s="7"/>
      <c r="J8" s="7"/>
      <c r="K8" s="7"/>
      <c r="L8" s="46"/>
    </row>
    <row r="9" spans="1:12" s="47" customFormat="1" ht="15" customHeight="1" x14ac:dyDescent="0.3">
      <c r="A9" s="45"/>
      <c r="B9" s="48" t="s">
        <v>25</v>
      </c>
      <c r="C9" s="187">
        <v>3</v>
      </c>
      <c r="D9" s="48" t="s">
        <v>26</v>
      </c>
      <c r="E9" s="7"/>
      <c r="F9" s="48" t="s">
        <v>23</v>
      </c>
      <c r="G9" s="51">
        <f>SUMIF(D1:D33,F9,C1:C33)</f>
        <v>6</v>
      </c>
      <c r="H9" s="7"/>
      <c r="I9" s="7"/>
      <c r="J9" s="7"/>
      <c r="K9" s="7"/>
      <c r="L9" s="46"/>
    </row>
    <row r="10" spans="1:12" s="47" customFormat="1" ht="15" customHeight="1" x14ac:dyDescent="0.3">
      <c r="A10" s="45"/>
      <c r="B10" s="48" t="s">
        <v>27</v>
      </c>
      <c r="C10" s="187">
        <v>3.29</v>
      </c>
      <c r="D10" s="48" t="s">
        <v>20</v>
      </c>
      <c r="E10" s="7"/>
      <c r="F10" s="48" t="s">
        <v>20</v>
      </c>
      <c r="G10" s="51">
        <f>SUMIF(D1:D33,F10,C1:C33)</f>
        <v>89.679999999999993</v>
      </c>
      <c r="H10" s="7"/>
      <c r="I10" s="7"/>
      <c r="J10" s="7"/>
      <c r="K10" s="7"/>
      <c r="L10" s="46"/>
    </row>
    <row r="11" spans="1:12" s="47" customFormat="1" ht="15" customHeight="1" x14ac:dyDescent="0.3">
      <c r="A11" s="45"/>
      <c r="B11" s="48" t="s">
        <v>28</v>
      </c>
      <c r="C11" s="187">
        <v>1</v>
      </c>
      <c r="D11" s="48" t="s">
        <v>20</v>
      </c>
      <c r="E11" s="7"/>
      <c r="F11" s="48" t="s">
        <v>29</v>
      </c>
      <c r="G11" s="51">
        <f>SUMIF(D1:D33,F11,C1:C33)</f>
        <v>20.5</v>
      </c>
      <c r="H11" s="7"/>
      <c r="I11" s="7"/>
      <c r="J11" s="7"/>
      <c r="K11" s="7"/>
      <c r="L11" s="46"/>
    </row>
    <row r="12" spans="1:12" s="47" customFormat="1" ht="15" customHeight="1" x14ac:dyDescent="0.3">
      <c r="A12" s="45"/>
      <c r="B12" s="7"/>
      <c r="C12" s="187"/>
      <c r="D12" s="52"/>
      <c r="E12" s="7"/>
      <c r="F12" s="48" t="s">
        <v>30</v>
      </c>
      <c r="G12" s="51">
        <f>SUMIF(D1:D33,F12,C1:C33)</f>
        <v>26.5</v>
      </c>
      <c r="H12" s="7"/>
      <c r="I12" s="7"/>
      <c r="J12" s="7"/>
      <c r="K12" s="7"/>
      <c r="L12" s="46"/>
    </row>
    <row r="13" spans="1:12" s="47" customFormat="1" ht="15" customHeight="1" x14ac:dyDescent="0.3">
      <c r="A13" s="45"/>
      <c r="B13" s="48" t="s">
        <v>31</v>
      </c>
      <c r="C13" s="187">
        <v>4.25</v>
      </c>
      <c r="D13" s="48" t="s">
        <v>20</v>
      </c>
      <c r="E13" s="7"/>
      <c r="F13" s="48" t="s">
        <v>32</v>
      </c>
      <c r="G13" s="51">
        <f>SUMIF(D1:D33,F13,C1:C33)</f>
        <v>6.69</v>
      </c>
      <c r="H13" s="7"/>
      <c r="I13" s="7"/>
      <c r="J13" s="7"/>
      <c r="K13" s="7"/>
      <c r="L13" s="46"/>
    </row>
    <row r="14" spans="1:12" s="47" customFormat="1" ht="15" customHeight="1" x14ac:dyDescent="0.3">
      <c r="A14" s="45"/>
      <c r="B14" s="48" t="s">
        <v>33</v>
      </c>
      <c r="C14" s="187">
        <v>2.25</v>
      </c>
      <c r="D14" s="48" t="s">
        <v>20</v>
      </c>
      <c r="E14" s="7"/>
      <c r="F14" s="48" t="s">
        <v>26</v>
      </c>
      <c r="G14" s="51">
        <f>SUMIF(D1:D33,F14,C1:C33)</f>
        <v>9.5</v>
      </c>
      <c r="H14" s="7"/>
      <c r="I14" s="7"/>
      <c r="J14" s="7"/>
      <c r="K14" s="7"/>
      <c r="L14" s="46"/>
    </row>
    <row r="15" spans="1:12" s="47" customFormat="1" ht="15" customHeight="1" x14ac:dyDescent="0.3">
      <c r="A15" s="45"/>
      <c r="B15" s="48" t="s">
        <v>34</v>
      </c>
      <c r="C15" s="187">
        <v>0.5</v>
      </c>
      <c r="D15" s="48" t="s">
        <v>29</v>
      </c>
      <c r="E15" s="7"/>
      <c r="F15" s="48" t="s">
        <v>57</v>
      </c>
      <c r="G15" s="51">
        <f>SUMIF(D1:D33,F15,C1:C33)</f>
        <v>16.63</v>
      </c>
      <c r="H15" s="7"/>
      <c r="I15" s="7"/>
      <c r="J15" s="7"/>
      <c r="K15" s="7"/>
      <c r="L15" s="46"/>
    </row>
    <row r="16" spans="1:12" s="47" customFormat="1" ht="15.75" customHeight="1" x14ac:dyDescent="0.3">
      <c r="A16" s="45"/>
      <c r="B16" s="48" t="s">
        <v>35</v>
      </c>
      <c r="C16" s="187">
        <v>1</v>
      </c>
      <c r="D16" s="48" t="s">
        <v>20</v>
      </c>
      <c r="E16" s="7"/>
      <c r="F16" s="7"/>
      <c r="G16" s="7"/>
      <c r="H16" s="7"/>
      <c r="I16" s="7"/>
      <c r="J16" s="7"/>
      <c r="K16" s="7"/>
      <c r="L16" s="46"/>
    </row>
    <row r="17" spans="1:12" s="47" customFormat="1" ht="15.75" customHeight="1" x14ac:dyDescent="0.3">
      <c r="A17" s="45"/>
      <c r="B17" s="49" t="s">
        <v>36</v>
      </c>
      <c r="C17" s="187">
        <v>3</v>
      </c>
      <c r="D17" s="48" t="s">
        <v>26</v>
      </c>
      <c r="E17" s="7"/>
      <c r="F17" s="7"/>
      <c r="G17" s="7"/>
      <c r="H17" s="7"/>
      <c r="I17" s="7"/>
      <c r="J17" s="7"/>
      <c r="K17" s="7"/>
      <c r="L17" s="46"/>
    </row>
    <row r="18" spans="1:12" s="47" customFormat="1" ht="15.75" customHeight="1" x14ac:dyDescent="0.3">
      <c r="A18" s="45"/>
      <c r="B18" s="50"/>
      <c r="C18" s="187"/>
      <c r="D18" s="7"/>
      <c r="E18" s="7"/>
      <c r="F18" s="7"/>
      <c r="G18" s="54"/>
      <c r="H18" s="7"/>
      <c r="I18" s="7"/>
      <c r="J18" s="7"/>
      <c r="K18" s="7"/>
      <c r="L18" s="46"/>
    </row>
    <row r="19" spans="1:12" s="47" customFormat="1" ht="15.75" customHeight="1" x14ac:dyDescent="0.3">
      <c r="A19" s="45"/>
      <c r="B19" s="48" t="s">
        <v>37</v>
      </c>
      <c r="C19" s="187">
        <v>28</v>
      </c>
      <c r="D19" s="48" t="s">
        <v>20</v>
      </c>
      <c r="E19" s="7"/>
      <c r="F19" s="7"/>
      <c r="G19" s="7"/>
      <c r="H19" s="7"/>
      <c r="I19" s="7"/>
      <c r="J19" s="7"/>
      <c r="K19" s="7"/>
      <c r="L19" s="46"/>
    </row>
    <row r="20" spans="1:12" s="47" customFormat="1" ht="15.75" customHeight="1" x14ac:dyDescent="0.3">
      <c r="A20" s="45"/>
      <c r="B20" s="48" t="s">
        <v>38</v>
      </c>
      <c r="C20" s="187">
        <v>6.39</v>
      </c>
      <c r="D20" s="48" t="s">
        <v>20</v>
      </c>
      <c r="E20" s="7"/>
      <c r="F20" s="10"/>
      <c r="G20" s="58"/>
      <c r="H20" s="7"/>
      <c r="I20" s="7"/>
      <c r="J20" s="7"/>
      <c r="K20" s="7"/>
      <c r="L20" s="46"/>
    </row>
    <row r="21" spans="1:12" s="47" customFormat="1" ht="15.75" customHeight="1" x14ac:dyDescent="0.3">
      <c r="A21" s="45"/>
      <c r="B21" s="48" t="s">
        <v>39</v>
      </c>
      <c r="C21" s="187">
        <v>18</v>
      </c>
      <c r="D21" s="48" t="s">
        <v>29</v>
      </c>
      <c r="E21" s="7"/>
      <c r="F21" s="55"/>
      <c r="G21" s="58"/>
      <c r="H21" s="7"/>
      <c r="I21" s="7"/>
      <c r="J21" s="7"/>
      <c r="K21" s="7"/>
      <c r="L21" s="46"/>
    </row>
    <row r="22" spans="1:12" s="47" customFormat="1" ht="15.75" customHeight="1" x14ac:dyDescent="0.3">
      <c r="A22" s="45"/>
      <c r="B22" s="48" t="s">
        <v>40</v>
      </c>
      <c r="C22" s="187">
        <v>13</v>
      </c>
      <c r="D22" s="48" t="s">
        <v>20</v>
      </c>
      <c r="E22" s="7"/>
      <c r="F22" s="7"/>
      <c r="G22" s="7"/>
      <c r="H22" s="7"/>
      <c r="I22" s="7"/>
      <c r="J22" s="7"/>
      <c r="K22" s="7"/>
      <c r="L22" s="46"/>
    </row>
    <row r="23" spans="1:12" s="47" customFormat="1" ht="15.75" customHeight="1" x14ac:dyDescent="0.3">
      <c r="A23" s="45"/>
      <c r="B23" s="48" t="s">
        <v>41</v>
      </c>
      <c r="C23" s="187">
        <v>2</v>
      </c>
      <c r="D23" s="48" t="s">
        <v>29</v>
      </c>
      <c r="E23" s="7"/>
      <c r="F23" s="7"/>
      <c r="G23" s="7"/>
      <c r="H23" s="7"/>
      <c r="I23" s="7"/>
      <c r="J23" s="7"/>
      <c r="K23" s="7"/>
      <c r="L23" s="46"/>
    </row>
    <row r="24" spans="1:12" s="47" customFormat="1" ht="15.75" customHeight="1" x14ac:dyDescent="0.3">
      <c r="A24" s="45"/>
      <c r="B24" s="48" t="s">
        <v>42</v>
      </c>
      <c r="C24" s="187">
        <v>3.5</v>
      </c>
      <c r="D24" s="48" t="s">
        <v>26</v>
      </c>
      <c r="E24" s="7"/>
      <c r="F24" s="7"/>
      <c r="G24" s="58"/>
      <c r="H24" s="7"/>
      <c r="I24" s="7"/>
      <c r="J24" s="7"/>
      <c r="K24" s="7"/>
      <c r="L24" s="46"/>
    </row>
    <row r="25" spans="1:12" s="47" customFormat="1" ht="15.75" customHeight="1" x14ac:dyDescent="0.3">
      <c r="A25" s="45"/>
      <c r="B25" s="48" t="s">
        <v>43</v>
      </c>
      <c r="C25" s="187">
        <v>2.5</v>
      </c>
      <c r="D25" s="48" t="s">
        <v>20</v>
      </c>
      <c r="E25" s="7"/>
      <c r="F25" s="7"/>
      <c r="G25" s="7"/>
      <c r="H25" s="7"/>
      <c r="I25" s="7"/>
      <c r="J25" s="7"/>
      <c r="K25" s="7"/>
      <c r="L25" s="46"/>
    </row>
    <row r="26" spans="1:12" s="47" customFormat="1" ht="15.75" customHeight="1" x14ac:dyDescent="0.3">
      <c r="A26" s="45"/>
      <c r="B26" s="7"/>
      <c r="C26" s="187"/>
      <c r="D26" s="7"/>
      <c r="E26" s="7"/>
      <c r="F26" s="7"/>
      <c r="G26" s="7"/>
      <c r="H26" s="7"/>
      <c r="I26" s="7"/>
      <c r="J26" s="7"/>
      <c r="K26" s="7"/>
      <c r="L26" s="46"/>
    </row>
    <row r="27" spans="1:12" s="47" customFormat="1" ht="15.75" customHeight="1" x14ac:dyDescent="0.3">
      <c r="A27" s="45"/>
      <c r="B27" s="48" t="s">
        <v>44</v>
      </c>
      <c r="C27" s="187">
        <v>6.69</v>
      </c>
      <c r="D27" s="48" t="s">
        <v>32</v>
      </c>
      <c r="E27" s="7"/>
      <c r="F27" s="58"/>
      <c r="G27" s="7"/>
      <c r="H27" s="7"/>
      <c r="I27" s="7"/>
      <c r="J27" s="7"/>
      <c r="K27" s="7"/>
      <c r="L27" s="46"/>
    </row>
    <row r="28" spans="1:12" s="47" customFormat="1" ht="15.75" customHeight="1" x14ac:dyDescent="0.3">
      <c r="A28" s="45"/>
      <c r="B28" s="48" t="s">
        <v>21</v>
      </c>
      <c r="C28" s="187">
        <v>6</v>
      </c>
      <c r="D28" s="48" t="s">
        <v>21</v>
      </c>
      <c r="E28" s="7"/>
      <c r="F28" s="7"/>
      <c r="G28" s="7"/>
      <c r="H28" s="7"/>
      <c r="I28" s="7"/>
      <c r="J28" s="7"/>
      <c r="K28" s="7"/>
      <c r="L28" s="46"/>
    </row>
    <row r="29" spans="1:12" s="47" customFormat="1" ht="15.75" customHeight="1" x14ac:dyDescent="0.3">
      <c r="A29" s="45"/>
      <c r="B29" s="48" t="s">
        <v>30</v>
      </c>
      <c r="C29" s="187">
        <v>26.5</v>
      </c>
      <c r="D29" s="48" t="s">
        <v>30</v>
      </c>
      <c r="E29" s="7"/>
      <c r="F29" s="7"/>
      <c r="G29" s="7"/>
      <c r="H29" s="7"/>
      <c r="I29" s="7"/>
      <c r="J29" s="7"/>
      <c r="K29" s="7"/>
      <c r="L29" s="46"/>
    </row>
    <row r="30" spans="1:12" s="47" customFormat="1" ht="15.75" customHeight="1" x14ac:dyDescent="0.3">
      <c r="A30" s="45"/>
      <c r="B30" s="7"/>
      <c r="C30" s="187"/>
      <c r="D30" s="7"/>
      <c r="E30" s="7"/>
      <c r="F30" s="7"/>
      <c r="G30" s="7"/>
      <c r="H30" s="7"/>
      <c r="I30" s="7"/>
      <c r="J30" s="7"/>
      <c r="K30" s="7"/>
      <c r="L30" s="46"/>
    </row>
    <row r="31" spans="1:12" s="47" customFormat="1" ht="15.75" customHeight="1" x14ac:dyDescent="0.3">
      <c r="A31" s="45"/>
      <c r="B31" s="48" t="s">
        <v>45</v>
      </c>
      <c r="C31" s="187">
        <v>16.63</v>
      </c>
      <c r="D31" s="48" t="s">
        <v>57</v>
      </c>
      <c r="E31" s="7"/>
      <c r="F31" s="55"/>
      <c r="G31" s="7"/>
      <c r="H31" s="7"/>
      <c r="I31" s="7"/>
      <c r="J31" s="7"/>
      <c r="K31" s="7"/>
      <c r="L31" s="46"/>
    </row>
    <row r="32" spans="1:12" s="47" customFormat="1" ht="15.75" customHeight="1" x14ac:dyDescent="0.3">
      <c r="A32" s="45"/>
      <c r="B32" s="48" t="s">
        <v>46</v>
      </c>
      <c r="C32" s="187">
        <v>8</v>
      </c>
      <c r="D32" s="48" t="s">
        <v>24</v>
      </c>
      <c r="E32" s="7"/>
      <c r="F32" s="55"/>
      <c r="G32" s="7"/>
      <c r="H32" s="7"/>
      <c r="I32" s="7"/>
      <c r="J32" s="7"/>
      <c r="K32" s="7"/>
      <c r="L32" s="46"/>
    </row>
    <row r="33" spans="1:9" s="47" customFormat="1" ht="13.5" customHeight="1" x14ac:dyDescent="0.3">
      <c r="A33" s="45"/>
      <c r="B33" s="7"/>
      <c r="C33" s="7"/>
      <c r="D33" s="7"/>
      <c r="E33" s="7"/>
      <c r="F33" s="7"/>
      <c r="G33" s="7"/>
      <c r="H33" s="7"/>
      <c r="I33" s="7"/>
    </row>
    <row r="34" spans="1:9" s="47" customFormat="1" ht="15" customHeight="1" x14ac:dyDescent="0.3">
      <c r="D34" s="60"/>
      <c r="F34" s="61"/>
    </row>
    <row r="35" spans="1:9" s="47" customFormat="1" ht="15" customHeight="1" x14ac:dyDescent="0.3">
      <c r="F35" s="59"/>
    </row>
    <row r="36" spans="1:9" s="47" customFormat="1" ht="15" customHeight="1" x14ac:dyDescent="0.3"/>
    <row r="37" spans="1:9" s="47" customFormat="1" ht="15" customHeight="1" x14ac:dyDescent="0.3"/>
    <row r="38" spans="1:9" s="47" customFormat="1" ht="15" customHeight="1" x14ac:dyDescent="0.3"/>
    <row r="39" spans="1:9" s="47" customFormat="1" ht="15" customHeight="1" x14ac:dyDescent="0.3"/>
    <row r="40" spans="1:9" s="47" customFormat="1" ht="15" customHeight="1" x14ac:dyDescent="0.3"/>
    <row r="41" spans="1:9" s="47" customFormat="1" ht="15" customHeight="1" x14ac:dyDescent="0.3"/>
    <row r="42" spans="1:9" s="47" customFormat="1" ht="15" customHeight="1" x14ac:dyDescent="0.3"/>
    <row r="43" spans="1:9" s="47" customFormat="1" ht="15" customHeight="1" x14ac:dyDescent="0.3"/>
    <row r="44" spans="1:9" s="47" customFormat="1" ht="15" customHeight="1" x14ac:dyDescent="0.3"/>
    <row r="45" spans="1:9" s="47" customFormat="1" ht="15" customHeight="1" x14ac:dyDescent="0.3"/>
    <row r="46" spans="1:9" s="47" customFormat="1" ht="15" customHeight="1" x14ac:dyDescent="0.3"/>
    <row r="47" spans="1:9" s="47" customFormat="1" ht="15" customHeight="1" x14ac:dyDescent="0.3"/>
    <row r="48" spans="1:9" s="47" customFormat="1" ht="15" customHeight="1" x14ac:dyDescent="0.3"/>
    <row r="49" s="47" customFormat="1" ht="15" customHeight="1" x14ac:dyDescent="0.3"/>
    <row r="50" s="47" customFormat="1" ht="15" customHeight="1" x14ac:dyDescent="0.3"/>
    <row r="51" s="47" customFormat="1" ht="15" customHeight="1" x14ac:dyDescent="0.3"/>
    <row r="52" s="47" customFormat="1" ht="15" customHeight="1" x14ac:dyDescent="0.3"/>
    <row r="53" s="47" customFormat="1" ht="15" customHeight="1" x14ac:dyDescent="0.3"/>
    <row r="54" s="47" customFormat="1" ht="15" customHeight="1" x14ac:dyDescent="0.3"/>
    <row r="55" s="47" customFormat="1" ht="15" customHeight="1" x14ac:dyDescent="0.3"/>
    <row r="56" s="47" customFormat="1" ht="15" customHeight="1" x14ac:dyDescent="0.3"/>
    <row r="57" s="47" customFormat="1" ht="15" customHeight="1" x14ac:dyDescent="0.3"/>
    <row r="58" s="47" customFormat="1" ht="15" customHeight="1" x14ac:dyDescent="0.3"/>
    <row r="59" s="47" customFormat="1" ht="15" customHeight="1" x14ac:dyDescent="0.3"/>
    <row r="60" s="47" customFormat="1" ht="15" customHeight="1" x14ac:dyDescent="0.3"/>
    <row r="61" s="47" customFormat="1" ht="15" customHeight="1" x14ac:dyDescent="0.3"/>
    <row r="62" s="47" customFormat="1" ht="15" customHeight="1" x14ac:dyDescent="0.3"/>
    <row r="63" s="47" customFormat="1" ht="15" customHeight="1" x14ac:dyDescent="0.3"/>
    <row r="64" s="47" customFormat="1" ht="15" customHeight="1" x14ac:dyDescent="0.3"/>
    <row r="65" s="47" customFormat="1" ht="15" customHeight="1" x14ac:dyDescent="0.3"/>
    <row r="66" s="47" customFormat="1" ht="15" customHeight="1" x14ac:dyDescent="0.3"/>
    <row r="67" s="47" customFormat="1" ht="15" customHeight="1" x14ac:dyDescent="0.3"/>
    <row r="68" s="47" customFormat="1" ht="15" customHeight="1" x14ac:dyDescent="0.3"/>
    <row r="69" s="47" customFormat="1" ht="15" customHeight="1" x14ac:dyDescent="0.3"/>
    <row r="70" s="47" customFormat="1" ht="15" customHeight="1" x14ac:dyDescent="0.3"/>
    <row r="71" s="47" customFormat="1" ht="15" customHeight="1" x14ac:dyDescent="0.3"/>
    <row r="72" s="47" customFormat="1" ht="15" customHeight="1" x14ac:dyDescent="0.3"/>
    <row r="73" s="47" customFormat="1" ht="15" customHeight="1" x14ac:dyDescent="0.3"/>
    <row r="74" s="47" customFormat="1" ht="15" customHeight="1" x14ac:dyDescent="0.3"/>
    <row r="75" s="47" customFormat="1" ht="15" customHeight="1" x14ac:dyDescent="0.3"/>
    <row r="76" s="47" customFormat="1" ht="15" customHeight="1" x14ac:dyDescent="0.3"/>
    <row r="77" s="47" customFormat="1" ht="15" customHeight="1" x14ac:dyDescent="0.3"/>
    <row r="78" s="47" customFormat="1" ht="15" customHeight="1" x14ac:dyDescent="0.3"/>
    <row r="79" s="47" customFormat="1" ht="15" customHeight="1" x14ac:dyDescent="0.3"/>
    <row r="80" s="47" customFormat="1" ht="15" customHeight="1" x14ac:dyDescent="0.3"/>
    <row r="81" s="47" customFormat="1" ht="15" customHeight="1" x14ac:dyDescent="0.3"/>
    <row r="82" s="47" customFormat="1" ht="15" customHeight="1" x14ac:dyDescent="0.3"/>
    <row r="83" s="47" customFormat="1" ht="15" customHeight="1" x14ac:dyDescent="0.3"/>
    <row r="84" s="47" customFormat="1" ht="15" customHeight="1" x14ac:dyDescent="0.3"/>
    <row r="85" s="47" customFormat="1" ht="15" customHeight="1" x14ac:dyDescent="0.3"/>
    <row r="86" s="47" customFormat="1" ht="15" customHeight="1" x14ac:dyDescent="0.3"/>
    <row r="87" s="47" customFormat="1" ht="15" customHeight="1" x14ac:dyDescent="0.3"/>
    <row r="88" s="47" customFormat="1" ht="15" customHeight="1" x14ac:dyDescent="0.3"/>
    <row r="89" s="47" customFormat="1" ht="15" customHeight="1" x14ac:dyDescent="0.3"/>
  </sheetData>
  <conditionalFormatting sqref="L2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6578-3B0B-4B40-8410-8C363FD7CCC7}">
  <sheetPr>
    <tabColor theme="0" tint="-0.249977111117893"/>
  </sheetPr>
  <dimension ref="B1:L18"/>
  <sheetViews>
    <sheetView showGridLines="0" workbookViewId="0">
      <selection activeCell="C11" sqref="C11"/>
    </sheetView>
  </sheetViews>
  <sheetFormatPr defaultRowHeight="15" x14ac:dyDescent="0.3"/>
  <cols>
    <col min="1" max="1" width="2.28515625" style="84" customWidth="1"/>
    <col min="2" max="2" width="35.42578125" style="84" customWidth="1"/>
    <col min="3" max="3" width="42" style="84" customWidth="1"/>
    <col min="4" max="10" width="20.28515625" style="84" customWidth="1"/>
    <col min="11" max="16384" width="9.140625" style="84"/>
  </cols>
  <sheetData>
    <row r="1" spans="2:12" x14ac:dyDescent="0.3">
      <c r="B1" s="188" t="s">
        <v>300</v>
      </c>
      <c r="C1" s="188"/>
    </row>
    <row r="2" spans="2:12" ht="18" x14ac:dyDescent="0.35">
      <c r="B2" s="91" t="s">
        <v>319</v>
      </c>
      <c r="C2" s="91"/>
      <c r="D2" s="83"/>
      <c r="E2" s="83"/>
      <c r="F2" s="83"/>
      <c r="G2" s="83"/>
      <c r="H2" s="83"/>
      <c r="I2" s="83"/>
      <c r="J2" s="83"/>
      <c r="K2" s="83"/>
      <c r="L2" s="83"/>
    </row>
    <row r="4" spans="2:12" x14ac:dyDescent="0.3">
      <c r="D4" s="85"/>
    </row>
    <row r="5" spans="2:12" x14ac:dyDescent="0.3">
      <c r="B5" s="86" t="s">
        <v>104</v>
      </c>
      <c r="C5" s="86" t="s">
        <v>302</v>
      </c>
      <c r="D5" s="86" t="s">
        <v>139</v>
      </c>
      <c r="E5" s="86" t="s">
        <v>140</v>
      </c>
      <c r="F5" s="86" t="s">
        <v>141</v>
      </c>
      <c r="G5" s="86" t="s">
        <v>142</v>
      </c>
      <c r="H5" s="86" t="s">
        <v>143</v>
      </c>
      <c r="I5" s="86" t="s">
        <v>144</v>
      </c>
      <c r="J5" s="86" t="s">
        <v>17</v>
      </c>
    </row>
    <row r="6" spans="2:12" x14ac:dyDescent="0.3">
      <c r="B6" s="84" t="s">
        <v>309</v>
      </c>
      <c r="C6" s="84" t="s">
        <v>79</v>
      </c>
      <c r="D6" s="228">
        <f>+'WS - CAPEX'!C17</f>
        <v>153333.33333333299</v>
      </c>
      <c r="E6" s="228">
        <f>+'WS - CAPEX'!D17</f>
        <v>125000</v>
      </c>
      <c r="F6" s="228">
        <f>+'WS - CAPEX'!E17</f>
        <v>96666.666666666701</v>
      </c>
      <c r="G6" s="228">
        <f>+'WS - CAPEX'!F17</f>
        <v>40000</v>
      </c>
      <c r="H6" s="228">
        <f>+'WS - CAPEX'!G17</f>
        <v>208333.33333333299</v>
      </c>
      <c r="I6" s="228">
        <f>+'WS - CAPEX'!H17</f>
        <v>376666.66666666698</v>
      </c>
      <c r="J6" s="229">
        <f>SUM(D6:I6)</f>
        <v>999999.99999999965</v>
      </c>
    </row>
    <row r="7" spans="2:12" x14ac:dyDescent="0.3">
      <c r="B7" s="84" t="s">
        <v>310</v>
      </c>
      <c r="C7" s="84" t="s">
        <v>79</v>
      </c>
      <c r="D7" s="228">
        <f>+'WS - CAPEX'!C25</f>
        <v>60000</v>
      </c>
      <c r="E7" s="228">
        <f>+'WS - CAPEX'!D25</f>
        <v>140000</v>
      </c>
      <c r="F7" s="228">
        <f>+'WS - CAPEX'!E25</f>
        <v>220000</v>
      </c>
      <c r="G7" s="228">
        <f>+'WS - CAPEX'!F25</f>
        <v>300000</v>
      </c>
      <c r="H7" s="228">
        <f>+'WS - CAPEX'!G25</f>
        <v>193333.33333333299</v>
      </c>
      <c r="I7" s="228">
        <f>+'WS - CAPEX'!H25</f>
        <v>86666.666666666701</v>
      </c>
      <c r="J7" s="229">
        <f t="shared" ref="J7:J16" si="0">SUM(D7:I7)</f>
        <v>999999.99999999977</v>
      </c>
    </row>
    <row r="8" spans="2:12" x14ac:dyDescent="0.3">
      <c r="B8" s="84" t="s">
        <v>26</v>
      </c>
      <c r="C8" s="84" t="s">
        <v>79</v>
      </c>
      <c r="D8" s="228">
        <f>+'WS - CAPEX'!C34</f>
        <v>56666.666666666701</v>
      </c>
      <c r="E8" s="228">
        <f>+'WS - CAPEX'!D34</f>
        <v>155000</v>
      </c>
      <c r="F8" s="228">
        <f>+'WS - CAPEX'!E34</f>
        <v>253333.33333333299</v>
      </c>
      <c r="G8" s="228">
        <f>+'WS - CAPEX'!F34</f>
        <v>283333.33333333302</v>
      </c>
      <c r="H8" s="228">
        <f>+'WS - CAPEX'!G34</f>
        <v>178333.33333333299</v>
      </c>
      <c r="I8" s="228">
        <f>+'WS - CAPEX'!H34</f>
        <v>73333.333333333299</v>
      </c>
      <c r="J8" s="229">
        <f t="shared" si="0"/>
        <v>999999.99999999895</v>
      </c>
    </row>
    <row r="9" spans="2:12" x14ac:dyDescent="0.3">
      <c r="B9" s="84" t="s">
        <v>311</v>
      </c>
      <c r="C9" s="84" t="s">
        <v>79</v>
      </c>
      <c r="D9" s="228">
        <f>+'WS - CAPEX'!C45</f>
        <v>146666.66666666701</v>
      </c>
      <c r="E9" s="228">
        <f>+'WS - CAPEX'!D45</f>
        <v>136666.66666666701</v>
      </c>
      <c r="F9" s="228">
        <f>+'WS - CAPEX'!E45</f>
        <v>126666.66666666701</v>
      </c>
      <c r="G9" s="228">
        <f>+'WS - CAPEX'!F45</f>
        <v>160000</v>
      </c>
      <c r="H9" s="228">
        <f>+'WS - CAPEX'!G45</f>
        <v>196666.66666666701</v>
      </c>
      <c r="I9" s="228">
        <f>+'WS - CAPEX'!H45</f>
        <v>233333.33333333299</v>
      </c>
      <c r="J9" s="229">
        <f t="shared" si="0"/>
        <v>1000000.000000001</v>
      </c>
    </row>
    <row r="10" spans="2:12" x14ac:dyDescent="0.3">
      <c r="B10" s="84" t="s">
        <v>312</v>
      </c>
      <c r="C10" s="84" t="s">
        <v>216</v>
      </c>
      <c r="D10" s="228">
        <f>+'Darwin - CAPEX'!C13</f>
        <v>4625000</v>
      </c>
      <c r="E10" s="228">
        <f>+'Darwin - CAPEX'!D13</f>
        <v>3540000</v>
      </c>
      <c r="F10" s="228">
        <f>+'Darwin - CAPEX'!E13</f>
        <v>1349000</v>
      </c>
      <c r="G10" s="228">
        <f>+'Darwin - CAPEX'!F13</f>
        <v>607000</v>
      </c>
      <c r="H10" s="228">
        <f>+'Darwin - CAPEX'!G13</f>
        <v>0</v>
      </c>
      <c r="I10" s="228">
        <f>+'Darwin - CAPEX'!H13</f>
        <v>0</v>
      </c>
      <c r="J10" s="229">
        <f t="shared" si="0"/>
        <v>10121000</v>
      </c>
    </row>
    <row r="11" spans="2:12" x14ac:dyDescent="0.3">
      <c r="B11" s="84" t="s">
        <v>313</v>
      </c>
      <c r="C11" s="84" t="s">
        <v>216</v>
      </c>
      <c r="D11" s="228">
        <f>+'Darwin - CAPEX'!C19</f>
        <v>3500000</v>
      </c>
      <c r="E11" s="228">
        <f>+'Darwin - CAPEX'!D19</f>
        <v>3500000</v>
      </c>
      <c r="F11" s="228">
        <f>+'Darwin - CAPEX'!E19</f>
        <v>2753750</v>
      </c>
      <c r="G11" s="228">
        <f>+'Darwin - CAPEX'!F19</f>
        <v>0</v>
      </c>
      <c r="H11" s="228">
        <f>+'Darwin - CAPEX'!G19</f>
        <v>0</v>
      </c>
      <c r="I11" s="228">
        <f>+'Darwin - CAPEX'!H19</f>
        <v>0</v>
      </c>
      <c r="J11" s="229">
        <f t="shared" si="0"/>
        <v>9753750</v>
      </c>
    </row>
    <row r="12" spans="2:12" x14ac:dyDescent="0.3">
      <c r="B12" s="84" t="s">
        <v>314</v>
      </c>
      <c r="C12" s="84" t="s">
        <v>216</v>
      </c>
      <c r="D12" s="228">
        <f>+'Darwin - CAPEX'!C25</f>
        <v>1200000</v>
      </c>
      <c r="E12" s="228">
        <f>+'Darwin - CAPEX'!D25</f>
        <v>1101000</v>
      </c>
      <c r="F12" s="228">
        <f>+'Darwin - CAPEX'!E25</f>
        <v>250000</v>
      </c>
      <c r="G12" s="228">
        <f>+'Darwin - CAPEX'!F25</f>
        <v>0</v>
      </c>
      <c r="H12" s="228">
        <f>+'Darwin - CAPEX'!G25</f>
        <v>0</v>
      </c>
      <c r="I12" s="228">
        <f>+'Darwin - CAPEX'!H25</f>
        <v>0</v>
      </c>
      <c r="J12" s="229">
        <f t="shared" si="0"/>
        <v>2551000</v>
      </c>
    </row>
    <row r="13" spans="2:12" x14ac:dyDescent="0.3">
      <c r="B13" s="84" t="s">
        <v>315</v>
      </c>
      <c r="C13" s="84" t="s">
        <v>216</v>
      </c>
      <c r="D13" s="228">
        <f>+'Darwin - CAPEX'!C32</f>
        <v>3000000</v>
      </c>
      <c r="E13" s="228">
        <f>+'Darwin - CAPEX'!D32</f>
        <v>3000000</v>
      </c>
      <c r="F13" s="228">
        <f>+'Darwin - CAPEX'!E32</f>
        <v>2505000</v>
      </c>
      <c r="G13" s="228">
        <f>+'Darwin - CAPEX'!F32</f>
        <v>0</v>
      </c>
      <c r="H13" s="228">
        <f>+'Darwin - CAPEX'!G32</f>
        <v>0</v>
      </c>
      <c r="I13" s="228">
        <f>+'Darwin - CAPEX'!H32</f>
        <v>0</v>
      </c>
      <c r="J13" s="229">
        <f t="shared" si="0"/>
        <v>8505000</v>
      </c>
    </row>
    <row r="14" spans="2:12" x14ac:dyDescent="0.3">
      <c r="B14" s="84" t="s">
        <v>316</v>
      </c>
      <c r="C14" s="84" t="s">
        <v>216</v>
      </c>
      <c r="D14" s="228">
        <f>+'Darwin - CAPEX'!C39</f>
        <v>1204666.6666666665</v>
      </c>
      <c r="E14" s="228">
        <f>+'Darwin - CAPEX'!D39</f>
        <v>1204666.6666666665</v>
      </c>
      <c r="F14" s="228">
        <f>+'Darwin - CAPEX'!E39</f>
        <v>1204666.6666666665</v>
      </c>
      <c r="G14" s="228">
        <f>+'Darwin - CAPEX'!F39</f>
        <v>1204666.6666666665</v>
      </c>
      <c r="H14" s="228">
        <f>+'Darwin - CAPEX'!G39</f>
        <v>1204666.6666666665</v>
      </c>
      <c r="I14" s="228">
        <f>+'Darwin - CAPEX'!H39</f>
        <v>1204666.6666666665</v>
      </c>
      <c r="J14" s="229">
        <f t="shared" si="0"/>
        <v>7227999.9999999981</v>
      </c>
    </row>
    <row r="15" spans="2:12" x14ac:dyDescent="0.3">
      <c r="B15" s="232" t="s">
        <v>317</v>
      </c>
      <c r="C15" s="232" t="s">
        <v>216</v>
      </c>
      <c r="D15" s="233">
        <v>553258.33333333337</v>
      </c>
      <c r="E15" s="233">
        <v>553258.33333333337</v>
      </c>
      <c r="F15" s="233">
        <v>553258.33333333337</v>
      </c>
      <c r="G15" s="233">
        <v>553258.33333333337</v>
      </c>
      <c r="H15" s="233">
        <v>553258.33333333337</v>
      </c>
      <c r="I15" s="233">
        <v>553258.33333333337</v>
      </c>
      <c r="J15" s="234">
        <f t="shared" si="0"/>
        <v>3319550.0000000005</v>
      </c>
    </row>
    <row r="16" spans="2:12" x14ac:dyDescent="0.3">
      <c r="B16" s="232" t="s">
        <v>318</v>
      </c>
      <c r="C16" s="232" t="s">
        <v>216</v>
      </c>
      <c r="D16" s="233">
        <v>4521700</v>
      </c>
      <c r="E16" s="233"/>
      <c r="F16" s="233"/>
      <c r="G16" s="233"/>
      <c r="H16" s="233"/>
      <c r="I16" s="233"/>
      <c r="J16" s="234">
        <f t="shared" si="0"/>
        <v>4521700</v>
      </c>
    </row>
    <row r="17" spans="2:10" x14ac:dyDescent="0.3">
      <c r="B17" s="230" t="s">
        <v>320</v>
      </c>
      <c r="C17" s="230"/>
      <c r="D17" s="230"/>
      <c r="E17" s="230"/>
      <c r="F17" s="230"/>
      <c r="G17" s="230"/>
      <c r="H17" s="230"/>
      <c r="I17" s="230"/>
      <c r="J17" s="231">
        <f>SUM(J6:J16)</f>
        <v>50000000</v>
      </c>
    </row>
    <row r="18" spans="2:10" x14ac:dyDescent="0.3">
      <c r="J18" s="2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12AE9-15B7-4E34-9AA1-FD4F784A93C3}">
  <sheetPr>
    <tabColor theme="0" tint="-0.249977111117893"/>
  </sheetPr>
  <dimension ref="B1:K47"/>
  <sheetViews>
    <sheetView showGridLines="0" workbookViewId="0"/>
  </sheetViews>
  <sheetFormatPr defaultRowHeight="15" x14ac:dyDescent="0.3"/>
  <cols>
    <col min="1" max="1" width="2.28515625" style="84" customWidth="1"/>
    <col min="2" max="2" width="55.28515625" style="84" bestFit="1" customWidth="1"/>
    <col min="3" max="9" width="20.28515625" style="84" customWidth="1"/>
    <col min="10" max="16384" width="9.140625" style="84"/>
  </cols>
  <sheetData>
    <row r="1" spans="2:11" x14ac:dyDescent="0.3">
      <c r="B1" s="188" t="s">
        <v>300</v>
      </c>
    </row>
    <row r="2" spans="2:11" ht="18" x14ac:dyDescent="0.35">
      <c r="B2" s="91" t="s">
        <v>147</v>
      </c>
      <c r="C2" s="83"/>
      <c r="D2" s="83"/>
      <c r="E2" s="83"/>
      <c r="F2" s="83"/>
      <c r="G2" s="83"/>
      <c r="H2" s="83"/>
      <c r="I2" s="83"/>
      <c r="J2" s="83"/>
      <c r="K2" s="83"/>
    </row>
    <row r="4" spans="2:11" x14ac:dyDescent="0.3">
      <c r="B4" s="139" t="s">
        <v>79</v>
      </c>
      <c r="C4" s="140">
        <f>EOMONTH(Assumptions!C4,1)</f>
        <v>46234</v>
      </c>
      <c r="D4" s="140">
        <f>EOMONTH(C4,1)</f>
        <v>46265</v>
      </c>
      <c r="E4" s="140">
        <f t="shared" ref="E4:H4" si="0">EOMONTH(D4,1)</f>
        <v>46295</v>
      </c>
      <c r="F4" s="140">
        <f t="shared" si="0"/>
        <v>46326</v>
      </c>
      <c r="G4" s="140">
        <f t="shared" si="0"/>
        <v>46356</v>
      </c>
      <c r="H4" s="140">
        <f t="shared" si="0"/>
        <v>46387</v>
      </c>
      <c r="I4" s="141"/>
    </row>
    <row r="5" spans="2:11" x14ac:dyDescent="0.3">
      <c r="B5" s="142" t="s">
        <v>48</v>
      </c>
      <c r="C5" s="143">
        <f>+C47</f>
        <v>416666.66666666698</v>
      </c>
      <c r="D5" s="143">
        <f t="shared" ref="D5:H5" si="1">+D47</f>
        <v>556666.66666666698</v>
      </c>
      <c r="E5" s="143">
        <f t="shared" si="1"/>
        <v>696666.66666666698</v>
      </c>
      <c r="F5" s="143">
        <f t="shared" si="1"/>
        <v>783333.33333333302</v>
      </c>
      <c r="G5" s="143">
        <f t="shared" si="1"/>
        <v>776666.66666666698</v>
      </c>
      <c r="H5" s="143">
        <f t="shared" si="1"/>
        <v>770000</v>
      </c>
      <c r="I5" s="144"/>
    </row>
    <row r="6" spans="2:11" x14ac:dyDescent="0.3">
      <c r="C6" s="85"/>
    </row>
    <row r="7" spans="2:11" x14ac:dyDescent="0.3">
      <c r="B7" s="86" t="s">
        <v>104</v>
      </c>
      <c r="C7" s="86" t="s">
        <v>139</v>
      </c>
      <c r="D7" s="86" t="s">
        <v>140</v>
      </c>
      <c r="E7" s="86" t="s">
        <v>141</v>
      </c>
      <c r="F7" s="86" t="s">
        <v>142</v>
      </c>
      <c r="G7" s="86" t="s">
        <v>143</v>
      </c>
      <c r="H7" s="86" t="s">
        <v>144</v>
      </c>
      <c r="I7" s="86" t="s">
        <v>17</v>
      </c>
    </row>
    <row r="8" spans="2:11" x14ac:dyDescent="0.3">
      <c r="B8" s="87" t="s">
        <v>105</v>
      </c>
      <c r="C8" s="88"/>
      <c r="D8" s="88"/>
      <c r="E8" s="88"/>
      <c r="F8" s="88"/>
      <c r="G8" s="88"/>
      <c r="H8" s="88"/>
      <c r="I8" s="88"/>
    </row>
    <row r="9" spans="2:11" x14ac:dyDescent="0.3">
      <c r="B9" s="77" t="s">
        <v>109</v>
      </c>
      <c r="C9" s="89">
        <v>23333.333333333299</v>
      </c>
      <c r="D9" s="89">
        <v>20000</v>
      </c>
      <c r="E9" s="89">
        <v>16666.666666666701</v>
      </c>
      <c r="F9" s="89">
        <v>0</v>
      </c>
      <c r="G9" s="89">
        <v>0</v>
      </c>
      <c r="H9" s="89">
        <v>0</v>
      </c>
      <c r="I9" s="89">
        <v>60000</v>
      </c>
    </row>
    <row r="10" spans="2:11" x14ac:dyDescent="0.3">
      <c r="B10" s="77" t="s">
        <v>110</v>
      </c>
      <c r="C10" s="89">
        <v>20000</v>
      </c>
      <c r="D10" s="89">
        <v>18333.333333333299</v>
      </c>
      <c r="E10" s="89">
        <v>16666.666666666701</v>
      </c>
      <c r="F10" s="89">
        <v>10000</v>
      </c>
      <c r="G10" s="89">
        <v>5000</v>
      </c>
      <c r="H10" s="89">
        <v>0</v>
      </c>
      <c r="I10" s="89">
        <v>70000</v>
      </c>
    </row>
    <row r="11" spans="2:11" x14ac:dyDescent="0.3">
      <c r="B11" s="77" t="s">
        <v>111</v>
      </c>
      <c r="C11" s="89">
        <v>33333.333333333299</v>
      </c>
      <c r="D11" s="89">
        <v>16666.666666666701</v>
      </c>
      <c r="E11" s="89">
        <v>0</v>
      </c>
      <c r="F11" s="89">
        <v>0</v>
      </c>
      <c r="G11" s="89">
        <v>0</v>
      </c>
      <c r="H11" s="89">
        <v>0</v>
      </c>
      <c r="I11" s="89">
        <v>50000</v>
      </c>
    </row>
    <row r="12" spans="2:11" x14ac:dyDescent="0.3">
      <c r="B12" s="77" t="s">
        <v>112</v>
      </c>
      <c r="C12" s="89">
        <v>0</v>
      </c>
      <c r="D12" s="89">
        <v>0</v>
      </c>
      <c r="E12" s="89">
        <v>0</v>
      </c>
      <c r="F12" s="89">
        <v>0</v>
      </c>
      <c r="G12" s="89">
        <v>166666.66666666701</v>
      </c>
      <c r="H12" s="89">
        <v>333333.33333333302</v>
      </c>
      <c r="I12" s="89">
        <v>500000</v>
      </c>
    </row>
    <row r="13" spans="2:11" x14ac:dyDescent="0.3">
      <c r="B13" s="77" t="s">
        <v>113</v>
      </c>
      <c r="C13" s="89">
        <v>13333.333333333299</v>
      </c>
      <c r="D13" s="89">
        <v>11666.666666666701</v>
      </c>
      <c r="E13" s="89">
        <v>10000</v>
      </c>
      <c r="F13" s="89">
        <v>0</v>
      </c>
      <c r="G13" s="89">
        <v>0</v>
      </c>
      <c r="H13" s="89">
        <v>0</v>
      </c>
      <c r="I13" s="89">
        <v>35000</v>
      </c>
    </row>
    <row r="14" spans="2:11" x14ac:dyDescent="0.3">
      <c r="B14" s="77" t="s">
        <v>114</v>
      </c>
      <c r="C14" s="89">
        <v>26666.666666666701</v>
      </c>
      <c r="D14" s="89">
        <v>25000</v>
      </c>
      <c r="E14" s="89">
        <v>23333.333333333299</v>
      </c>
      <c r="F14" s="89">
        <v>16666.666666666701</v>
      </c>
      <c r="G14" s="89">
        <v>16666.666666666701</v>
      </c>
      <c r="H14" s="89">
        <v>16666.666666666701</v>
      </c>
      <c r="I14" s="89">
        <v>125000</v>
      </c>
    </row>
    <row r="15" spans="2:11" x14ac:dyDescent="0.3">
      <c r="B15" s="77" t="s">
        <v>115</v>
      </c>
      <c r="C15" s="89">
        <v>13333.333333333299</v>
      </c>
      <c r="D15" s="89">
        <v>11666.666666666701</v>
      </c>
      <c r="E15" s="89">
        <v>10000</v>
      </c>
      <c r="F15" s="89">
        <v>0</v>
      </c>
      <c r="G15" s="89">
        <v>0</v>
      </c>
      <c r="H15" s="89">
        <v>0</v>
      </c>
      <c r="I15" s="89">
        <v>35000</v>
      </c>
    </row>
    <row r="16" spans="2:11" x14ac:dyDescent="0.3">
      <c r="B16" s="77" t="s">
        <v>116</v>
      </c>
      <c r="C16" s="89">
        <v>23333.333333333299</v>
      </c>
      <c r="D16" s="89">
        <v>21666.666666666701</v>
      </c>
      <c r="E16" s="89">
        <v>20000</v>
      </c>
      <c r="F16" s="89">
        <v>13333.333333333299</v>
      </c>
      <c r="G16" s="89">
        <v>20000</v>
      </c>
      <c r="H16" s="89">
        <v>26666.666666666701</v>
      </c>
      <c r="I16" s="89">
        <v>125000</v>
      </c>
    </row>
    <row r="17" spans="2:9" s="90" customFormat="1" x14ac:dyDescent="0.3">
      <c r="B17" s="78" t="s">
        <v>145</v>
      </c>
      <c r="C17" s="79">
        <v>153333.33333333299</v>
      </c>
      <c r="D17" s="79">
        <v>125000</v>
      </c>
      <c r="E17" s="79">
        <v>96666.666666666701</v>
      </c>
      <c r="F17" s="79">
        <v>40000</v>
      </c>
      <c r="G17" s="79">
        <v>208333.33333333299</v>
      </c>
      <c r="H17" s="79">
        <v>376666.66666666698</v>
      </c>
      <c r="I17" s="79">
        <v>1000000</v>
      </c>
    </row>
    <row r="18" spans="2:9" x14ac:dyDescent="0.3">
      <c r="B18" s="87" t="s">
        <v>106</v>
      </c>
      <c r="C18" s="88"/>
      <c r="D18" s="88"/>
      <c r="E18" s="88"/>
      <c r="F18" s="88"/>
      <c r="G18" s="88"/>
      <c r="H18" s="88"/>
      <c r="I18" s="88"/>
    </row>
    <row r="19" spans="2:9" x14ac:dyDescent="0.3">
      <c r="B19" s="77" t="s">
        <v>117</v>
      </c>
      <c r="C19" s="89">
        <v>33333.333333333299</v>
      </c>
      <c r="D19" s="89">
        <v>16666.666666666701</v>
      </c>
      <c r="E19" s="89">
        <v>0</v>
      </c>
      <c r="F19" s="89">
        <v>0</v>
      </c>
      <c r="G19" s="89">
        <v>0</v>
      </c>
      <c r="H19" s="89">
        <v>0</v>
      </c>
      <c r="I19" s="89">
        <v>50000</v>
      </c>
    </row>
    <row r="20" spans="2:9" x14ac:dyDescent="0.3">
      <c r="B20" s="77" t="s">
        <v>118</v>
      </c>
      <c r="C20" s="89">
        <v>0</v>
      </c>
      <c r="D20" s="89">
        <v>50000</v>
      </c>
      <c r="E20" s="89">
        <v>100000</v>
      </c>
      <c r="F20" s="89">
        <v>66666.666666666701</v>
      </c>
      <c r="G20" s="89">
        <v>33333.333333333299</v>
      </c>
      <c r="H20" s="89">
        <v>0</v>
      </c>
      <c r="I20" s="89">
        <v>250000</v>
      </c>
    </row>
    <row r="21" spans="2:9" x14ac:dyDescent="0.3">
      <c r="B21" s="77" t="s">
        <v>119</v>
      </c>
      <c r="C21" s="89">
        <v>0</v>
      </c>
      <c r="D21" s="89">
        <v>33333.333333333299</v>
      </c>
      <c r="E21" s="89">
        <v>66666.666666666701</v>
      </c>
      <c r="F21" s="89">
        <v>133333.33333333299</v>
      </c>
      <c r="G21" s="89">
        <v>83333.333333333299</v>
      </c>
      <c r="H21" s="89">
        <v>33333.333333333299</v>
      </c>
      <c r="I21" s="89">
        <v>350000</v>
      </c>
    </row>
    <row r="22" spans="2:9" x14ac:dyDescent="0.3">
      <c r="B22" s="77" t="s">
        <v>120</v>
      </c>
      <c r="C22" s="89">
        <v>26666.666666666701</v>
      </c>
      <c r="D22" s="89">
        <v>13333.333333333299</v>
      </c>
      <c r="E22" s="89">
        <v>0</v>
      </c>
      <c r="F22" s="89">
        <v>0</v>
      </c>
      <c r="G22" s="89">
        <v>0</v>
      </c>
      <c r="H22" s="89">
        <v>0</v>
      </c>
      <c r="I22" s="89">
        <v>40000</v>
      </c>
    </row>
    <row r="23" spans="2:9" x14ac:dyDescent="0.3">
      <c r="B23" s="77" t="s">
        <v>121</v>
      </c>
      <c r="C23" s="89">
        <v>0</v>
      </c>
      <c r="D23" s="89">
        <v>26666.666666666701</v>
      </c>
      <c r="E23" s="89">
        <v>53333.333333333299</v>
      </c>
      <c r="F23" s="89">
        <v>80000</v>
      </c>
      <c r="G23" s="89">
        <v>60000</v>
      </c>
      <c r="H23" s="89">
        <v>40000</v>
      </c>
      <c r="I23" s="89">
        <v>260000</v>
      </c>
    </row>
    <row r="24" spans="2:9" x14ac:dyDescent="0.3">
      <c r="B24" s="77" t="s">
        <v>122</v>
      </c>
      <c r="C24" s="89">
        <v>0</v>
      </c>
      <c r="D24" s="89">
        <v>0</v>
      </c>
      <c r="E24" s="89">
        <v>0</v>
      </c>
      <c r="F24" s="89">
        <v>20000</v>
      </c>
      <c r="G24" s="89">
        <v>16666.666666666701</v>
      </c>
      <c r="H24" s="89">
        <v>13333.333333333299</v>
      </c>
      <c r="I24" s="89">
        <v>50000</v>
      </c>
    </row>
    <row r="25" spans="2:9" s="90" customFormat="1" x14ac:dyDescent="0.3">
      <c r="B25" s="78" t="s">
        <v>146</v>
      </c>
      <c r="C25" s="79">
        <v>60000</v>
      </c>
      <c r="D25" s="79">
        <v>140000</v>
      </c>
      <c r="E25" s="79">
        <v>220000</v>
      </c>
      <c r="F25" s="79">
        <v>300000</v>
      </c>
      <c r="G25" s="79">
        <v>193333.33333333299</v>
      </c>
      <c r="H25" s="79">
        <v>86666.666666666701</v>
      </c>
      <c r="I25" s="79">
        <v>1000000</v>
      </c>
    </row>
    <row r="26" spans="2:9" x14ac:dyDescent="0.3">
      <c r="B26" s="87" t="s">
        <v>107</v>
      </c>
      <c r="C26" s="88"/>
      <c r="D26" s="88"/>
      <c r="E26" s="88"/>
      <c r="F26" s="88"/>
      <c r="G26" s="88"/>
      <c r="H26" s="88"/>
      <c r="I26" s="88"/>
    </row>
    <row r="27" spans="2:9" x14ac:dyDescent="0.3">
      <c r="B27" s="77" t="s">
        <v>123</v>
      </c>
      <c r="C27" s="89">
        <v>26666.666666666701</v>
      </c>
      <c r="D27" s="89">
        <v>20000</v>
      </c>
      <c r="E27" s="89">
        <v>13333.333333333299</v>
      </c>
      <c r="F27" s="89">
        <v>0</v>
      </c>
      <c r="G27" s="89">
        <v>0</v>
      </c>
      <c r="H27" s="89">
        <v>0</v>
      </c>
      <c r="I27" s="89">
        <v>60000</v>
      </c>
    </row>
    <row r="28" spans="2:9" x14ac:dyDescent="0.3">
      <c r="B28" s="77" t="s">
        <v>124</v>
      </c>
      <c r="C28" s="89">
        <v>0</v>
      </c>
      <c r="D28" s="89">
        <v>33333.333333333299</v>
      </c>
      <c r="E28" s="89">
        <v>66666.666666666701</v>
      </c>
      <c r="F28" s="89">
        <v>100000</v>
      </c>
      <c r="G28" s="89">
        <v>50000</v>
      </c>
      <c r="H28" s="89">
        <v>0</v>
      </c>
      <c r="I28" s="89">
        <v>250000</v>
      </c>
    </row>
    <row r="29" spans="2:9" x14ac:dyDescent="0.3">
      <c r="B29" s="77" t="s">
        <v>125</v>
      </c>
      <c r="C29" s="89">
        <v>0</v>
      </c>
      <c r="D29" s="89">
        <v>16666.666666666701</v>
      </c>
      <c r="E29" s="89">
        <v>33333.333333333299</v>
      </c>
      <c r="F29" s="89">
        <v>66666.666666666701</v>
      </c>
      <c r="G29" s="89">
        <v>50000</v>
      </c>
      <c r="H29" s="89">
        <v>33333.333333333299</v>
      </c>
      <c r="I29" s="89">
        <v>200000</v>
      </c>
    </row>
    <row r="30" spans="2:9" x14ac:dyDescent="0.3">
      <c r="B30" s="77" t="s">
        <v>126</v>
      </c>
      <c r="C30" s="89">
        <v>20000</v>
      </c>
      <c r="D30" s="89">
        <v>36666.666666666701</v>
      </c>
      <c r="E30" s="89">
        <v>53333.333333333299</v>
      </c>
      <c r="F30" s="89">
        <v>33333.333333333299</v>
      </c>
      <c r="G30" s="89">
        <v>16666.666666666701</v>
      </c>
      <c r="H30" s="89">
        <v>0</v>
      </c>
      <c r="I30" s="89">
        <v>160000</v>
      </c>
    </row>
    <row r="31" spans="2:9" x14ac:dyDescent="0.3">
      <c r="B31" s="77" t="s">
        <v>127</v>
      </c>
      <c r="C31" s="89">
        <v>0</v>
      </c>
      <c r="D31" s="89">
        <v>16666.666666666701</v>
      </c>
      <c r="E31" s="89">
        <v>33333.333333333299</v>
      </c>
      <c r="F31" s="89">
        <v>20000</v>
      </c>
      <c r="G31" s="89">
        <v>10000</v>
      </c>
      <c r="H31" s="89">
        <v>0</v>
      </c>
      <c r="I31" s="89">
        <v>80000</v>
      </c>
    </row>
    <row r="32" spans="2:9" x14ac:dyDescent="0.3">
      <c r="B32" s="77" t="s">
        <v>128</v>
      </c>
      <c r="C32" s="89">
        <v>0</v>
      </c>
      <c r="D32" s="89">
        <v>20000</v>
      </c>
      <c r="E32" s="89">
        <v>40000</v>
      </c>
      <c r="F32" s="89">
        <v>53333.333333333299</v>
      </c>
      <c r="G32" s="89">
        <v>46666.666666666701</v>
      </c>
      <c r="H32" s="89">
        <v>40000</v>
      </c>
      <c r="I32" s="89">
        <v>200000</v>
      </c>
    </row>
    <row r="33" spans="2:9" x14ac:dyDescent="0.3">
      <c r="B33" s="77" t="s">
        <v>129</v>
      </c>
      <c r="C33" s="89">
        <v>10000</v>
      </c>
      <c r="D33" s="89">
        <v>11666.666666666701</v>
      </c>
      <c r="E33" s="89">
        <v>13333.333333333299</v>
      </c>
      <c r="F33" s="89">
        <v>10000</v>
      </c>
      <c r="G33" s="89">
        <v>5000</v>
      </c>
      <c r="H33" s="89">
        <v>0</v>
      </c>
      <c r="I33" s="89">
        <v>50000</v>
      </c>
    </row>
    <row r="34" spans="2:9" s="90" customFormat="1" x14ac:dyDescent="0.3">
      <c r="B34" s="78" t="s">
        <v>26</v>
      </c>
      <c r="C34" s="79">
        <v>56666.666666666701</v>
      </c>
      <c r="D34" s="79">
        <v>155000</v>
      </c>
      <c r="E34" s="79">
        <v>253333.33333333299</v>
      </c>
      <c r="F34" s="79">
        <v>283333.33333333302</v>
      </c>
      <c r="G34" s="79">
        <v>178333.33333333299</v>
      </c>
      <c r="H34" s="79">
        <v>73333.333333333299</v>
      </c>
      <c r="I34" s="79">
        <v>1000000</v>
      </c>
    </row>
    <row r="35" spans="2:9" x14ac:dyDescent="0.3">
      <c r="B35" s="87" t="s">
        <v>108</v>
      </c>
      <c r="C35" s="88"/>
      <c r="D35" s="88"/>
      <c r="E35" s="88"/>
      <c r="F35" s="88"/>
      <c r="G35" s="88"/>
      <c r="H35" s="88"/>
      <c r="I35" s="88"/>
    </row>
    <row r="36" spans="2:9" x14ac:dyDescent="0.3">
      <c r="B36" s="77" t="s">
        <v>130</v>
      </c>
      <c r="C36" s="89">
        <v>53333.333333333299</v>
      </c>
      <c r="D36" s="89">
        <v>26666.666666666701</v>
      </c>
      <c r="E36" s="89">
        <v>0</v>
      </c>
      <c r="F36" s="89">
        <v>0</v>
      </c>
      <c r="G36" s="89">
        <v>0</v>
      </c>
      <c r="H36" s="89">
        <v>0</v>
      </c>
      <c r="I36" s="89">
        <v>80000</v>
      </c>
    </row>
    <row r="37" spans="2:9" x14ac:dyDescent="0.3">
      <c r="B37" s="77" t="s">
        <v>131</v>
      </c>
      <c r="C37" s="89">
        <v>33333.333333333299</v>
      </c>
      <c r="D37" s="89">
        <v>36666.666666666701</v>
      </c>
      <c r="E37" s="89">
        <v>40000</v>
      </c>
      <c r="F37" s="89">
        <v>0</v>
      </c>
      <c r="G37" s="89">
        <v>0</v>
      </c>
      <c r="H37" s="89">
        <v>0</v>
      </c>
      <c r="I37" s="89">
        <v>110000</v>
      </c>
    </row>
    <row r="38" spans="2:9" x14ac:dyDescent="0.3">
      <c r="B38" s="77" t="s">
        <v>132</v>
      </c>
      <c r="C38" s="89">
        <v>20000</v>
      </c>
      <c r="D38" s="89">
        <v>20000</v>
      </c>
      <c r="E38" s="89">
        <v>20000</v>
      </c>
      <c r="F38" s="89">
        <v>20000</v>
      </c>
      <c r="G38" s="89">
        <v>20000</v>
      </c>
      <c r="H38" s="89">
        <v>20000</v>
      </c>
      <c r="I38" s="89">
        <v>120000</v>
      </c>
    </row>
    <row r="39" spans="2:9" x14ac:dyDescent="0.3">
      <c r="B39" s="77" t="s">
        <v>133</v>
      </c>
      <c r="C39" s="89">
        <v>13333.333333333299</v>
      </c>
      <c r="D39" s="89">
        <v>13333.333333333299</v>
      </c>
      <c r="E39" s="89">
        <v>13333.333333333299</v>
      </c>
      <c r="F39" s="89">
        <v>13333.333333333299</v>
      </c>
      <c r="G39" s="89">
        <v>6666.6666666666697</v>
      </c>
      <c r="H39" s="89">
        <v>0</v>
      </c>
      <c r="I39" s="89">
        <v>60000</v>
      </c>
    </row>
    <row r="40" spans="2:9" x14ac:dyDescent="0.3">
      <c r="B40" s="77" t="s">
        <v>134</v>
      </c>
      <c r="C40" s="89">
        <v>0</v>
      </c>
      <c r="D40" s="89">
        <v>10000</v>
      </c>
      <c r="E40" s="89">
        <v>20000</v>
      </c>
      <c r="F40" s="89">
        <v>20000</v>
      </c>
      <c r="G40" s="89">
        <v>10000</v>
      </c>
      <c r="H40" s="89">
        <v>0</v>
      </c>
      <c r="I40" s="89">
        <v>60000</v>
      </c>
    </row>
    <row r="41" spans="2:9" x14ac:dyDescent="0.3">
      <c r="B41" s="77" t="s">
        <v>135</v>
      </c>
      <c r="C41" s="89">
        <v>0</v>
      </c>
      <c r="D41" s="89">
        <v>0</v>
      </c>
      <c r="E41" s="89">
        <v>0</v>
      </c>
      <c r="F41" s="89">
        <v>66666.666666666701</v>
      </c>
      <c r="G41" s="89">
        <v>100000</v>
      </c>
      <c r="H41" s="89">
        <v>133333.33333333299</v>
      </c>
      <c r="I41" s="89">
        <v>300000</v>
      </c>
    </row>
    <row r="42" spans="2:9" x14ac:dyDescent="0.3">
      <c r="B42" s="77" t="s">
        <v>136</v>
      </c>
      <c r="C42" s="89">
        <v>20000</v>
      </c>
      <c r="D42" s="89">
        <v>20000</v>
      </c>
      <c r="E42" s="89">
        <v>20000</v>
      </c>
      <c r="F42" s="89">
        <v>20000</v>
      </c>
      <c r="G42" s="89">
        <v>26666.666666666701</v>
      </c>
      <c r="H42" s="89">
        <v>33333.333333333299</v>
      </c>
      <c r="I42" s="89">
        <v>140000</v>
      </c>
    </row>
    <row r="43" spans="2:9" x14ac:dyDescent="0.3">
      <c r="B43" s="77" t="s">
        <v>137</v>
      </c>
      <c r="C43" s="89">
        <v>0</v>
      </c>
      <c r="D43" s="89">
        <v>3333.3333333333298</v>
      </c>
      <c r="E43" s="89">
        <v>6666.6666666666697</v>
      </c>
      <c r="F43" s="89">
        <v>13333.333333333299</v>
      </c>
      <c r="G43" s="89">
        <v>26666.666666666701</v>
      </c>
      <c r="H43" s="89">
        <v>40000</v>
      </c>
      <c r="I43" s="89">
        <v>90000</v>
      </c>
    </row>
    <row r="44" spans="2:9" x14ac:dyDescent="0.3">
      <c r="B44" s="77" t="s">
        <v>138</v>
      </c>
      <c r="C44" s="89">
        <v>6666.6666666666697</v>
      </c>
      <c r="D44" s="89">
        <v>6666.6666666666697</v>
      </c>
      <c r="E44" s="89">
        <v>6666.6666666666697</v>
      </c>
      <c r="F44" s="89">
        <v>6666.6666666666697</v>
      </c>
      <c r="G44" s="89">
        <v>6666.6666666666697</v>
      </c>
      <c r="H44" s="89">
        <v>6666.6666666666697</v>
      </c>
      <c r="I44" s="89">
        <v>40000</v>
      </c>
    </row>
    <row r="45" spans="2:9" s="90" customFormat="1" x14ac:dyDescent="0.3">
      <c r="B45" s="78" t="s">
        <v>72</v>
      </c>
      <c r="C45" s="79">
        <v>146666.66666666701</v>
      </c>
      <c r="D45" s="79">
        <v>136666.66666666701</v>
      </c>
      <c r="E45" s="79">
        <v>126666.66666666701</v>
      </c>
      <c r="F45" s="79">
        <v>160000</v>
      </c>
      <c r="G45" s="79">
        <v>196666.66666666701</v>
      </c>
      <c r="H45" s="79">
        <v>233333.33333333299</v>
      </c>
      <c r="I45" s="79">
        <v>1000000</v>
      </c>
    </row>
    <row r="46" spans="2:9" s="90" customFormat="1" ht="15.75" thickBot="1" x14ac:dyDescent="0.35">
      <c r="B46" s="101"/>
      <c r="C46" s="102"/>
      <c r="D46" s="102"/>
      <c r="E46" s="102"/>
      <c r="F46" s="102"/>
      <c r="G46" s="102"/>
      <c r="H46" s="102"/>
      <c r="I46" s="102"/>
    </row>
    <row r="47" spans="2:9" ht="18.75" thickBot="1" x14ac:dyDescent="0.4">
      <c r="B47" s="81" t="s">
        <v>103</v>
      </c>
      <c r="C47" s="82">
        <v>416666.66666666698</v>
      </c>
      <c r="D47" s="82">
        <v>556666.66666666698</v>
      </c>
      <c r="E47" s="82">
        <v>696666.66666666698</v>
      </c>
      <c r="F47" s="82">
        <v>783333.33333333302</v>
      </c>
      <c r="G47" s="82">
        <v>776666.66666666698</v>
      </c>
      <c r="H47" s="82">
        <v>770000</v>
      </c>
      <c r="I47" s="82">
        <v>4000000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E7FD-4B7F-4283-8ED6-7E630D3597D6}">
  <sheetPr>
    <tabColor theme="0" tint="-0.249977111117893"/>
  </sheetPr>
  <dimension ref="B1:N43"/>
  <sheetViews>
    <sheetView showGridLines="0" workbookViewId="0">
      <selection activeCell="H8" sqref="H8"/>
    </sheetView>
  </sheetViews>
  <sheetFormatPr defaultRowHeight="15" x14ac:dyDescent="0.3"/>
  <cols>
    <col min="1" max="1" width="2.28515625" style="84" customWidth="1"/>
    <col min="2" max="2" width="55.28515625" style="84" bestFit="1" customWidth="1"/>
    <col min="3" max="9" width="20.28515625" style="84" customWidth="1"/>
    <col min="10" max="16384" width="9.140625" style="84"/>
  </cols>
  <sheetData>
    <row r="1" spans="2:13" x14ac:dyDescent="0.3">
      <c r="B1" s="188" t="s">
        <v>300</v>
      </c>
    </row>
    <row r="2" spans="2:13" ht="18" x14ac:dyDescent="0.35">
      <c r="B2" s="91" t="s">
        <v>148</v>
      </c>
      <c r="C2" s="83"/>
      <c r="D2" s="83"/>
      <c r="E2" s="83"/>
      <c r="F2" s="83"/>
      <c r="G2" s="83"/>
      <c r="H2" s="83"/>
      <c r="I2" s="83"/>
      <c r="J2" s="90"/>
      <c r="K2" s="90"/>
      <c r="L2" s="90"/>
      <c r="M2" s="90"/>
    </row>
    <row r="3" spans="2:13" x14ac:dyDescent="0.3">
      <c r="J3" s="90"/>
      <c r="K3" s="90"/>
      <c r="L3" s="90"/>
      <c r="M3" s="90"/>
    </row>
    <row r="4" spans="2:13" x14ac:dyDescent="0.3">
      <c r="B4" s="145" t="s">
        <v>0</v>
      </c>
      <c r="C4" s="146">
        <f>EOMONTH(Assumptions!C4,1)</f>
        <v>46234</v>
      </c>
      <c r="D4" s="146">
        <f>EOMONTH(C4,1)</f>
        <v>46265</v>
      </c>
      <c r="E4" s="146">
        <f t="shared" ref="E4:H4" si="0">EOMONTH(D4,1)</f>
        <v>46295</v>
      </c>
      <c r="F4" s="146">
        <f t="shared" si="0"/>
        <v>46326</v>
      </c>
      <c r="G4" s="146">
        <f t="shared" si="0"/>
        <v>46356</v>
      </c>
      <c r="H4" s="146">
        <f t="shared" si="0"/>
        <v>46387</v>
      </c>
      <c r="I4" s="147"/>
      <c r="J4" s="90"/>
      <c r="K4" s="90"/>
      <c r="L4" s="90"/>
      <c r="M4" s="90"/>
    </row>
    <row r="5" spans="2:13" x14ac:dyDescent="0.3">
      <c r="B5" s="148" t="s">
        <v>48</v>
      </c>
      <c r="C5" s="149">
        <f>+C41</f>
        <v>13529666.666666666</v>
      </c>
      <c r="D5" s="149">
        <f>+D41</f>
        <v>12345666.666666666</v>
      </c>
      <c r="E5" s="149">
        <f>+E41</f>
        <v>8062416.666666666</v>
      </c>
      <c r="F5" s="149">
        <f>+F41</f>
        <v>1811666.6666666665</v>
      </c>
      <c r="G5" s="149">
        <f>+G41</f>
        <v>1204666.6666666665</v>
      </c>
      <c r="H5" s="149">
        <f>+H41</f>
        <v>1204666.6666666665</v>
      </c>
      <c r="I5" s="150"/>
      <c r="J5" s="90"/>
      <c r="K5" s="90"/>
      <c r="L5" s="90"/>
      <c r="M5" s="90"/>
    </row>
    <row r="6" spans="2:13" x14ac:dyDescent="0.3">
      <c r="C6" s="85"/>
    </row>
    <row r="7" spans="2:13" x14ac:dyDescent="0.3">
      <c r="B7" s="92" t="s">
        <v>104</v>
      </c>
      <c r="C7" s="92" t="s">
        <v>139</v>
      </c>
      <c r="D7" s="92" t="s">
        <v>140</v>
      </c>
      <c r="E7" s="92" t="s">
        <v>141</v>
      </c>
      <c r="F7" s="92" t="s">
        <v>142</v>
      </c>
      <c r="G7" s="92" t="s">
        <v>143</v>
      </c>
      <c r="H7" s="92" t="s">
        <v>144</v>
      </c>
      <c r="I7" s="92" t="s">
        <v>17</v>
      </c>
    </row>
    <row r="8" spans="2:13" x14ac:dyDescent="0.3">
      <c r="B8" s="95" t="s">
        <v>81</v>
      </c>
      <c r="C8" s="96"/>
      <c r="D8" s="96"/>
      <c r="E8" s="96"/>
      <c r="F8" s="96"/>
      <c r="G8" s="96"/>
      <c r="H8" s="96"/>
      <c r="I8" s="96"/>
    </row>
    <row r="9" spans="2:13" x14ac:dyDescent="0.3">
      <c r="B9" s="97" t="s">
        <v>82</v>
      </c>
      <c r="C9" s="98">
        <v>3500000</v>
      </c>
      <c r="D9" s="98">
        <v>2140000</v>
      </c>
      <c r="E9" s="98">
        <v>0</v>
      </c>
      <c r="F9" s="98">
        <v>0</v>
      </c>
      <c r="G9" s="98"/>
      <c r="H9" s="98"/>
      <c r="I9" s="98">
        <f>SUM(C9:H9)</f>
        <v>5640000</v>
      </c>
    </row>
    <row r="10" spans="2:13" x14ac:dyDescent="0.3">
      <c r="B10" s="99" t="s">
        <v>83</v>
      </c>
      <c r="C10" s="100">
        <v>225000</v>
      </c>
      <c r="D10" s="100">
        <v>0</v>
      </c>
      <c r="E10" s="100">
        <v>0</v>
      </c>
      <c r="F10" s="100">
        <v>0</v>
      </c>
      <c r="G10" s="100"/>
      <c r="H10" s="100"/>
      <c r="I10" s="100">
        <f t="shared" ref="I10:I12" si="1">SUM(C10:H10)</f>
        <v>225000</v>
      </c>
    </row>
    <row r="11" spans="2:13" x14ac:dyDescent="0.3">
      <c r="B11" s="97" t="s">
        <v>84</v>
      </c>
      <c r="C11" s="98">
        <v>500000</v>
      </c>
      <c r="D11" s="98">
        <v>1000000</v>
      </c>
      <c r="E11" s="98">
        <v>1000000</v>
      </c>
      <c r="F11" s="98">
        <v>607000</v>
      </c>
      <c r="G11" s="98"/>
      <c r="H11" s="98"/>
      <c r="I11" s="98">
        <f t="shared" si="1"/>
        <v>3107000</v>
      </c>
    </row>
    <row r="12" spans="2:13" x14ac:dyDescent="0.3">
      <c r="B12" s="99" t="s">
        <v>85</v>
      </c>
      <c r="C12" s="100">
        <v>400000</v>
      </c>
      <c r="D12" s="100">
        <v>400000</v>
      </c>
      <c r="E12" s="100">
        <v>349000</v>
      </c>
      <c r="F12" s="100">
        <v>0</v>
      </c>
      <c r="G12" s="100"/>
      <c r="H12" s="100"/>
      <c r="I12" s="100">
        <f t="shared" si="1"/>
        <v>1149000</v>
      </c>
    </row>
    <row r="13" spans="2:13" s="90" customFormat="1" x14ac:dyDescent="0.3">
      <c r="B13" s="78" t="s">
        <v>86</v>
      </c>
      <c r="C13" s="79">
        <f>SUM(C9:C12)</f>
        <v>4625000</v>
      </c>
      <c r="D13" s="79">
        <f>SUM(D9:D12)</f>
        <v>3540000</v>
      </c>
      <c r="E13" s="79">
        <f>SUM(E9:E12)</f>
        <v>1349000</v>
      </c>
      <c r="F13" s="79">
        <f>SUM(F9:F12)</f>
        <v>607000</v>
      </c>
      <c r="G13" s="79"/>
      <c r="H13" s="79"/>
      <c r="I13" s="79">
        <f>SUM(C13:F13)</f>
        <v>10121000</v>
      </c>
      <c r="J13" s="84"/>
      <c r="K13" s="84"/>
    </row>
    <row r="14" spans="2:13" x14ac:dyDescent="0.3">
      <c r="B14" s="103"/>
      <c r="C14" s="103"/>
      <c r="D14" s="103"/>
      <c r="E14" s="103"/>
      <c r="F14" s="103"/>
      <c r="G14" s="103"/>
      <c r="H14" s="103"/>
      <c r="I14" s="103"/>
    </row>
    <row r="15" spans="2:13" x14ac:dyDescent="0.3">
      <c r="B15" s="95" t="s">
        <v>87</v>
      </c>
      <c r="C15" s="96"/>
      <c r="D15" s="96"/>
      <c r="E15" s="96"/>
      <c r="F15" s="96"/>
      <c r="G15" s="96"/>
      <c r="H15" s="96"/>
      <c r="I15" s="96"/>
    </row>
    <row r="16" spans="2:13" x14ac:dyDescent="0.3">
      <c r="B16" s="99" t="s">
        <v>88</v>
      </c>
      <c r="C16" s="100">
        <v>1000000</v>
      </c>
      <c r="D16" s="100">
        <v>1000000</v>
      </c>
      <c r="E16" s="100">
        <v>952500</v>
      </c>
      <c r="F16" s="100">
        <v>0</v>
      </c>
      <c r="G16" s="100"/>
      <c r="H16" s="100"/>
      <c r="I16" s="98">
        <f>SUM(C16:H16)</f>
        <v>2952500</v>
      </c>
    </row>
    <row r="17" spans="2:14" s="90" customFormat="1" x14ac:dyDescent="0.3">
      <c r="B17" s="97" t="s">
        <v>89</v>
      </c>
      <c r="C17" s="98">
        <v>500000</v>
      </c>
      <c r="D17" s="98">
        <v>500000</v>
      </c>
      <c r="E17" s="98">
        <v>361250</v>
      </c>
      <c r="F17" s="98">
        <v>0</v>
      </c>
      <c r="G17" s="98"/>
      <c r="H17" s="98"/>
      <c r="I17" s="100">
        <f t="shared" ref="I17:I18" si="2">SUM(C17:H17)</f>
        <v>1361250</v>
      </c>
      <c r="J17" s="84"/>
      <c r="K17" s="84"/>
      <c r="L17" s="84"/>
      <c r="M17" s="84"/>
      <c r="N17" s="84"/>
    </row>
    <row r="18" spans="2:14" x14ac:dyDescent="0.3">
      <c r="B18" s="99" t="s">
        <v>90</v>
      </c>
      <c r="C18" s="100">
        <v>2000000</v>
      </c>
      <c r="D18" s="100">
        <v>2000000</v>
      </c>
      <c r="E18" s="100">
        <v>1440000</v>
      </c>
      <c r="F18" s="100">
        <v>0</v>
      </c>
      <c r="G18" s="100"/>
      <c r="H18" s="100"/>
      <c r="I18" s="98">
        <f t="shared" si="2"/>
        <v>5440000</v>
      </c>
    </row>
    <row r="19" spans="2:14" s="90" customFormat="1" x14ac:dyDescent="0.3">
      <c r="B19" s="78" t="s">
        <v>91</v>
      </c>
      <c r="C19" s="79">
        <f>SUM(C16:C18)</f>
        <v>3500000</v>
      </c>
      <c r="D19" s="79">
        <f>SUM(D16:D18)</f>
        <v>3500000</v>
      </c>
      <c r="E19" s="79">
        <f>SUM(E16:E18)</f>
        <v>2753750</v>
      </c>
      <c r="F19" s="79">
        <f>SUM(F16:F18)</f>
        <v>0</v>
      </c>
      <c r="G19" s="79"/>
      <c r="H19" s="79"/>
      <c r="I19" s="79">
        <f>SUM(C19:F19)</f>
        <v>9753750</v>
      </c>
      <c r="J19" s="84"/>
      <c r="K19" s="84"/>
    </row>
    <row r="20" spans="2:14" x14ac:dyDescent="0.3">
      <c r="B20" s="103"/>
      <c r="C20" s="103"/>
      <c r="D20" s="103"/>
      <c r="E20" s="103"/>
      <c r="F20" s="103"/>
      <c r="G20" s="103"/>
      <c r="H20" s="103"/>
      <c r="I20" s="103"/>
    </row>
    <row r="21" spans="2:14" x14ac:dyDescent="0.3">
      <c r="B21" s="95" t="s">
        <v>92</v>
      </c>
      <c r="C21" s="96"/>
      <c r="D21" s="96"/>
      <c r="E21" s="96"/>
      <c r="F21" s="96"/>
      <c r="G21" s="96"/>
      <c r="H21" s="96"/>
      <c r="I21" s="96"/>
    </row>
    <row r="22" spans="2:14" x14ac:dyDescent="0.3">
      <c r="B22" s="99" t="s">
        <v>93</v>
      </c>
      <c r="C22" s="100">
        <v>300000</v>
      </c>
      <c r="D22" s="100">
        <v>275000</v>
      </c>
      <c r="E22" s="100">
        <v>0</v>
      </c>
      <c r="F22" s="100">
        <v>0</v>
      </c>
      <c r="G22" s="100"/>
      <c r="H22" s="100"/>
      <c r="I22" s="98">
        <f>SUM(C22:H22)</f>
        <v>575000</v>
      </c>
    </row>
    <row r="23" spans="2:14" x14ac:dyDescent="0.3">
      <c r="B23" s="97" t="s">
        <v>94</v>
      </c>
      <c r="C23" s="98">
        <v>500000</v>
      </c>
      <c r="D23" s="98">
        <v>500000</v>
      </c>
      <c r="E23" s="98">
        <v>250000</v>
      </c>
      <c r="F23" s="98">
        <v>0</v>
      </c>
      <c r="G23" s="98"/>
      <c r="H23" s="98"/>
      <c r="I23" s="100">
        <f t="shared" ref="I23:I24" si="3">SUM(C23:H23)</f>
        <v>1250000</v>
      </c>
    </row>
    <row r="24" spans="2:14" x14ac:dyDescent="0.3">
      <c r="B24" s="99" t="s">
        <v>95</v>
      </c>
      <c r="C24" s="100">
        <v>400000</v>
      </c>
      <c r="D24" s="100">
        <v>326000</v>
      </c>
      <c r="E24" s="100">
        <v>0</v>
      </c>
      <c r="F24" s="100">
        <v>0</v>
      </c>
      <c r="G24" s="100"/>
      <c r="H24" s="100"/>
      <c r="I24" s="98">
        <f t="shared" si="3"/>
        <v>726000</v>
      </c>
    </row>
    <row r="25" spans="2:14" s="90" customFormat="1" x14ac:dyDescent="0.3">
      <c r="B25" s="78" t="s">
        <v>96</v>
      </c>
      <c r="C25" s="79">
        <f>SUM(C22:C24)</f>
        <v>1200000</v>
      </c>
      <c r="D25" s="79">
        <f>SUM(D22:D24)</f>
        <v>1101000</v>
      </c>
      <c r="E25" s="79">
        <f>SUM(E22:E24)</f>
        <v>250000</v>
      </c>
      <c r="F25" s="79">
        <f>SUM(F22:F24)</f>
        <v>0</v>
      </c>
      <c r="G25" s="79"/>
      <c r="H25" s="79"/>
      <c r="I25" s="79">
        <f>SUM(C25:F25)</f>
        <v>2551000</v>
      </c>
      <c r="J25" s="84"/>
      <c r="K25" s="84"/>
    </row>
    <row r="26" spans="2:14" x14ac:dyDescent="0.3">
      <c r="B26" s="103"/>
      <c r="C26" s="103"/>
      <c r="D26" s="103"/>
      <c r="E26" s="103"/>
      <c r="F26" s="103"/>
      <c r="G26" s="103"/>
      <c r="H26" s="103"/>
      <c r="I26" s="103"/>
    </row>
    <row r="27" spans="2:14" x14ac:dyDescent="0.3">
      <c r="B27" s="95" t="s">
        <v>97</v>
      </c>
      <c r="C27" s="96"/>
      <c r="D27" s="96"/>
      <c r="E27" s="96"/>
      <c r="F27" s="96"/>
      <c r="G27" s="96"/>
      <c r="H27" s="96"/>
      <c r="I27" s="96"/>
    </row>
    <row r="28" spans="2:14" x14ac:dyDescent="0.3">
      <c r="B28" s="99" t="s">
        <v>98</v>
      </c>
      <c r="C28" s="100">
        <v>800000</v>
      </c>
      <c r="D28" s="100">
        <v>800000</v>
      </c>
      <c r="E28" s="100">
        <v>400000</v>
      </c>
      <c r="F28" s="100">
        <v>0</v>
      </c>
      <c r="G28" s="100"/>
      <c r="H28" s="100"/>
      <c r="I28" s="98">
        <f>SUM(C28:H28)</f>
        <v>2000000</v>
      </c>
    </row>
    <row r="29" spans="2:14" x14ac:dyDescent="0.3">
      <c r="B29" s="97" t="s">
        <v>99</v>
      </c>
      <c r="C29" s="98">
        <v>1000000</v>
      </c>
      <c r="D29" s="98">
        <v>1000000</v>
      </c>
      <c r="E29" s="98">
        <v>1275000</v>
      </c>
      <c r="F29" s="98">
        <v>0</v>
      </c>
      <c r="G29" s="98"/>
      <c r="H29" s="98"/>
      <c r="I29" s="100">
        <f t="shared" ref="I29:I31" si="4">SUM(C29:H29)</f>
        <v>3275000</v>
      </c>
    </row>
    <row r="30" spans="2:14" x14ac:dyDescent="0.3">
      <c r="B30" s="99" t="s">
        <v>100</v>
      </c>
      <c r="C30" s="100">
        <v>200000</v>
      </c>
      <c r="D30" s="100">
        <v>200000</v>
      </c>
      <c r="E30" s="100">
        <v>80000</v>
      </c>
      <c r="F30" s="100">
        <v>0</v>
      </c>
      <c r="G30" s="100"/>
      <c r="H30" s="100"/>
      <c r="I30" s="98">
        <f t="shared" si="4"/>
        <v>480000</v>
      </c>
    </row>
    <row r="31" spans="2:14" x14ac:dyDescent="0.3">
      <c r="B31" s="97" t="s">
        <v>101</v>
      </c>
      <c r="C31" s="98">
        <v>1000000</v>
      </c>
      <c r="D31" s="98">
        <v>1000000</v>
      </c>
      <c r="E31" s="98">
        <v>750000</v>
      </c>
      <c r="F31" s="98">
        <v>0</v>
      </c>
      <c r="G31" s="98"/>
      <c r="H31" s="98"/>
      <c r="I31" s="100">
        <f t="shared" si="4"/>
        <v>2750000</v>
      </c>
    </row>
    <row r="32" spans="2:14" s="90" customFormat="1" x14ac:dyDescent="0.3">
      <c r="B32" s="78" t="s">
        <v>102</v>
      </c>
      <c r="C32" s="79">
        <f>SUM(C28:C31)</f>
        <v>3000000</v>
      </c>
      <c r="D32" s="79">
        <f>SUM(D28:D31)</f>
        <v>3000000</v>
      </c>
      <c r="E32" s="79">
        <f>SUM(E28:E31)</f>
        <v>2505000</v>
      </c>
      <c r="F32" s="79">
        <f>SUM(F28:F31)</f>
        <v>0</v>
      </c>
      <c r="G32" s="79"/>
      <c r="H32" s="79"/>
      <c r="I32" s="79">
        <f>SUM(C32:F32)</f>
        <v>8505000</v>
      </c>
      <c r="J32" s="84"/>
      <c r="K32" s="84"/>
    </row>
    <row r="33" spans="2:11" s="90" customFormat="1" x14ac:dyDescent="0.3">
      <c r="B33" s="101"/>
      <c r="C33" s="102"/>
      <c r="D33" s="102"/>
      <c r="E33" s="102"/>
      <c r="F33" s="102"/>
      <c r="G33" s="102"/>
      <c r="H33" s="102"/>
      <c r="I33" s="102"/>
      <c r="J33" s="84"/>
      <c r="K33" s="84"/>
    </row>
    <row r="34" spans="2:11" x14ac:dyDescent="0.3">
      <c r="B34" s="95" t="s">
        <v>303</v>
      </c>
      <c r="C34" s="96"/>
      <c r="D34" s="96"/>
      <c r="E34" s="96"/>
      <c r="F34" s="96"/>
      <c r="G34" s="96"/>
      <c r="H34" s="96"/>
      <c r="I34" s="96"/>
    </row>
    <row r="35" spans="2:11" x14ac:dyDescent="0.3">
      <c r="B35" s="99" t="s">
        <v>304</v>
      </c>
      <c r="C35" s="100">
        <f>400000/6</f>
        <v>66666.666666666672</v>
      </c>
      <c r="D35" s="100">
        <v>66666.666666666672</v>
      </c>
      <c r="E35" s="100">
        <v>66666.666666666672</v>
      </c>
      <c r="F35" s="100">
        <v>66666.666666666672</v>
      </c>
      <c r="G35" s="100">
        <v>66666.666666666672</v>
      </c>
      <c r="H35" s="100">
        <v>66666.666666666672</v>
      </c>
      <c r="I35" s="98">
        <f>SUM(C35:H35)</f>
        <v>400000.00000000006</v>
      </c>
    </row>
    <row r="36" spans="2:11" x14ac:dyDescent="0.3">
      <c r="B36" s="97" t="s">
        <v>305</v>
      </c>
      <c r="C36" s="98">
        <f>5245000/6</f>
        <v>874166.66666666663</v>
      </c>
      <c r="D36" s="98">
        <v>874166.66666666663</v>
      </c>
      <c r="E36" s="98">
        <v>874166.66666666663</v>
      </c>
      <c r="F36" s="98">
        <v>874166.66666666663</v>
      </c>
      <c r="G36" s="98">
        <v>874166.66666666663</v>
      </c>
      <c r="H36" s="98">
        <v>874166.66666666663</v>
      </c>
      <c r="I36" s="100">
        <f t="shared" ref="I36:I38" si="5">SUM(C36:H36)</f>
        <v>5245000</v>
      </c>
    </row>
    <row r="37" spans="2:11" x14ac:dyDescent="0.3">
      <c r="B37" s="99" t="s">
        <v>306</v>
      </c>
      <c r="C37" s="100">
        <f>250000/6</f>
        <v>41666.666666666664</v>
      </c>
      <c r="D37" s="100">
        <v>41666.666666666664</v>
      </c>
      <c r="E37" s="100">
        <v>41666.666666666664</v>
      </c>
      <c r="F37" s="100">
        <v>41666.666666666664</v>
      </c>
      <c r="G37" s="100">
        <v>41666.666666666664</v>
      </c>
      <c r="H37" s="100">
        <v>41666.666666666664</v>
      </c>
      <c r="I37" s="98">
        <f t="shared" si="5"/>
        <v>249999.99999999997</v>
      </c>
    </row>
    <row r="38" spans="2:11" x14ac:dyDescent="0.3">
      <c r="B38" s="97" t="s">
        <v>307</v>
      </c>
      <c r="C38" s="98">
        <f>1333000/6</f>
        <v>222166.66666666666</v>
      </c>
      <c r="D38" s="98">
        <v>222166.66666666666</v>
      </c>
      <c r="E38" s="98">
        <v>222166.66666666666</v>
      </c>
      <c r="F38" s="98">
        <v>222166.66666666666</v>
      </c>
      <c r="G38" s="98">
        <v>222166.66666666666</v>
      </c>
      <c r="H38" s="98">
        <v>222166.66666666666</v>
      </c>
      <c r="I38" s="100">
        <f t="shared" si="5"/>
        <v>1333000</v>
      </c>
    </row>
    <row r="39" spans="2:11" s="90" customFormat="1" x14ac:dyDescent="0.3">
      <c r="B39" s="78" t="s">
        <v>308</v>
      </c>
      <c r="C39" s="79">
        <f>SUM(C35:C38)</f>
        <v>1204666.6666666665</v>
      </c>
      <c r="D39" s="79">
        <f t="shared" ref="D39:I39" si="6">SUM(D35:D38)</f>
        <v>1204666.6666666665</v>
      </c>
      <c r="E39" s="79">
        <f t="shared" si="6"/>
        <v>1204666.6666666665</v>
      </c>
      <c r="F39" s="79">
        <f t="shared" si="6"/>
        <v>1204666.6666666665</v>
      </c>
      <c r="G39" s="79">
        <f t="shared" si="6"/>
        <v>1204666.6666666665</v>
      </c>
      <c r="H39" s="79">
        <f t="shared" si="6"/>
        <v>1204666.6666666665</v>
      </c>
      <c r="I39" s="79">
        <f t="shared" si="6"/>
        <v>7228000</v>
      </c>
      <c r="J39" s="84"/>
      <c r="K39" s="84"/>
    </row>
    <row r="40" spans="2:11" s="90" customFormat="1" x14ac:dyDescent="0.3">
      <c r="B40" s="99"/>
      <c r="C40" s="102"/>
      <c r="D40" s="102"/>
      <c r="E40" s="102"/>
      <c r="F40" s="102"/>
      <c r="G40" s="102"/>
      <c r="H40" s="102"/>
      <c r="I40" s="102"/>
      <c r="J40" s="84"/>
      <c r="K40" s="84"/>
    </row>
    <row r="41" spans="2:11" ht="18.75" thickBot="1" x14ac:dyDescent="0.4">
      <c r="B41" s="93" t="s">
        <v>103</v>
      </c>
      <c r="C41" s="94">
        <f>+C32+C25+C13+C19+C39</f>
        <v>13529666.666666666</v>
      </c>
      <c r="D41" s="94">
        <f t="shared" ref="D41:G41" si="7">+D32+D25+D13+D19+D39</f>
        <v>12345666.666666666</v>
      </c>
      <c r="E41" s="94">
        <f t="shared" si="7"/>
        <v>8062416.666666666</v>
      </c>
      <c r="F41" s="94">
        <f t="shared" si="7"/>
        <v>1811666.6666666665</v>
      </c>
      <c r="G41" s="94">
        <f t="shared" si="7"/>
        <v>1204666.6666666665</v>
      </c>
      <c r="H41" s="94">
        <f t="shared" ref="H41" si="8">+H32+H25+H13+H19+H39</f>
        <v>1204666.6666666665</v>
      </c>
      <c r="I41" s="94">
        <f>SUM(C41:F41)</f>
        <v>35749416.666666664</v>
      </c>
    </row>
    <row r="43" spans="2:11" x14ac:dyDescent="0.3">
      <c r="I43" s="22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9001B-E223-46AB-A0E1-2B2107B71A26}">
  <sheetPr>
    <tabColor theme="0" tint="-0.249977111117893"/>
  </sheetPr>
  <dimension ref="B1:R17"/>
  <sheetViews>
    <sheetView showGridLines="0" workbookViewId="0">
      <selection activeCell="B1" sqref="B1"/>
    </sheetView>
  </sheetViews>
  <sheetFormatPr defaultRowHeight="15" x14ac:dyDescent="0.3"/>
  <cols>
    <col min="1" max="1" width="1.7109375" style="53" customWidth="1"/>
    <col min="2" max="2" width="49" style="53" bestFit="1" customWidth="1"/>
    <col min="3" max="3" width="14.5703125" style="53" bestFit="1" customWidth="1"/>
    <col min="4" max="4" width="61.28515625" style="53" bestFit="1" customWidth="1"/>
    <col min="5" max="5" width="4.7109375" style="53" bestFit="1" customWidth="1"/>
    <col min="6" max="6" width="12.42578125" style="53" bestFit="1" customWidth="1"/>
    <col min="7" max="7" width="2.42578125" style="132" customWidth="1"/>
    <col min="8" max="18" width="10.42578125" style="53" bestFit="1" customWidth="1"/>
    <col min="19" max="16384" width="9.140625" style="53"/>
  </cols>
  <sheetData>
    <row r="1" spans="2:18" x14ac:dyDescent="0.3">
      <c r="B1" s="188" t="s">
        <v>300</v>
      </c>
    </row>
    <row r="2" spans="2:18" ht="18" x14ac:dyDescent="0.35">
      <c r="B2" s="91" t="s">
        <v>244</v>
      </c>
      <c r="C2" s="127"/>
      <c r="D2" s="127"/>
      <c r="E2" s="127"/>
      <c r="F2" s="127"/>
      <c r="G2" s="38"/>
    </row>
    <row r="3" spans="2:18" x14ac:dyDescent="0.3">
      <c r="H3" s="53">
        <v>1</v>
      </c>
      <c r="I3" s="53">
        <f>+H3+1</f>
        <v>2</v>
      </c>
      <c r="J3" s="53">
        <f t="shared" ref="J3:Q3" si="0">+I3+1</f>
        <v>3</v>
      </c>
      <c r="K3" s="53">
        <f t="shared" si="0"/>
        <v>4</v>
      </c>
      <c r="L3" s="53">
        <f t="shared" si="0"/>
        <v>5</v>
      </c>
      <c r="M3" s="53">
        <f t="shared" si="0"/>
        <v>6</v>
      </c>
      <c r="N3" s="53">
        <f t="shared" si="0"/>
        <v>7</v>
      </c>
      <c r="O3" s="53">
        <f t="shared" si="0"/>
        <v>8</v>
      </c>
      <c r="P3" s="53">
        <f t="shared" si="0"/>
        <v>9</v>
      </c>
      <c r="Q3" s="53">
        <f t="shared" si="0"/>
        <v>10</v>
      </c>
    </row>
    <row r="4" spans="2:18" x14ac:dyDescent="0.3">
      <c r="B4" s="155" t="s">
        <v>245</v>
      </c>
      <c r="C4" s="155" t="s">
        <v>246</v>
      </c>
      <c r="D4" s="155" t="s">
        <v>296</v>
      </c>
      <c r="E4" s="155"/>
      <c r="F4" s="155" t="s">
        <v>267</v>
      </c>
      <c r="G4" s="107"/>
      <c r="H4" s="180">
        <v>46387</v>
      </c>
      <c r="I4" s="180">
        <f>EOMONTH(H4,12)</f>
        <v>46752</v>
      </c>
      <c r="J4" s="180">
        <f t="shared" ref="J4:Q4" si="1">EOMONTH(I4,12)</f>
        <v>47118</v>
      </c>
      <c r="K4" s="180">
        <f t="shared" si="1"/>
        <v>47483</v>
      </c>
      <c r="L4" s="180">
        <f t="shared" si="1"/>
        <v>47848</v>
      </c>
      <c r="M4" s="180">
        <f t="shared" si="1"/>
        <v>48213</v>
      </c>
      <c r="N4" s="180">
        <f t="shared" si="1"/>
        <v>48579</v>
      </c>
      <c r="O4" s="180">
        <f t="shared" si="1"/>
        <v>48944</v>
      </c>
      <c r="P4" s="180">
        <f t="shared" si="1"/>
        <v>49309</v>
      </c>
      <c r="Q4" s="180">
        <f t="shared" si="1"/>
        <v>49674</v>
      </c>
      <c r="R4" s="66"/>
    </row>
    <row r="5" spans="2:18" x14ac:dyDescent="0.3">
      <c r="B5" s="65" t="s">
        <v>268</v>
      </c>
    </row>
    <row r="6" spans="2:18" x14ac:dyDescent="0.3">
      <c r="B6" s="53" t="s">
        <v>247</v>
      </c>
      <c r="C6" s="158">
        <v>1000000</v>
      </c>
      <c r="D6" s="158" t="s">
        <v>249</v>
      </c>
      <c r="E6" s="158" t="s">
        <v>248</v>
      </c>
      <c r="F6" s="53">
        <v>15</v>
      </c>
      <c r="H6" s="119">
        <f>IF(H$3&gt;$F6, 0, IF($E6="SL", $C6/$F6, $C6*(2/$F6)*(1-(2/$F6))^(H$3-1)))</f>
        <v>66666.666666666672</v>
      </c>
      <c r="I6" s="119">
        <f t="shared" ref="I6:Q15" si="2">IF(I$3&gt;$F6, 0, IF($E6="SL", $C6/$F6, $C6*(2/$F6)*(1-(2/$F6))^(I$3-1)))</f>
        <v>66666.666666666672</v>
      </c>
      <c r="J6" s="119">
        <f t="shared" si="2"/>
        <v>66666.666666666672</v>
      </c>
      <c r="K6" s="119">
        <f t="shared" si="2"/>
        <v>66666.666666666672</v>
      </c>
      <c r="L6" s="119">
        <f t="shared" si="2"/>
        <v>66666.666666666672</v>
      </c>
      <c r="M6" s="119">
        <f t="shared" si="2"/>
        <v>66666.666666666672</v>
      </c>
      <c r="N6" s="119">
        <f t="shared" si="2"/>
        <v>66666.666666666672</v>
      </c>
      <c r="O6" s="119">
        <f t="shared" si="2"/>
        <v>66666.666666666672</v>
      </c>
      <c r="P6" s="119">
        <f t="shared" si="2"/>
        <v>66666.666666666672</v>
      </c>
      <c r="Q6" s="119">
        <f t="shared" si="2"/>
        <v>66666.666666666672</v>
      </c>
    </row>
    <row r="7" spans="2:18" x14ac:dyDescent="0.3">
      <c r="B7" s="53" t="s">
        <v>250</v>
      </c>
      <c r="C7" s="158">
        <v>1000000</v>
      </c>
      <c r="D7" s="158" t="s">
        <v>252</v>
      </c>
      <c r="E7" s="158" t="s">
        <v>251</v>
      </c>
      <c r="F7" s="53">
        <v>7</v>
      </c>
      <c r="H7" s="119">
        <f t="shared" ref="H7:H9" si="3">IF(H$3&gt;$F7, 0, IF($E7="SL", $C7/$F7, $C7*(2/$F7)*(1-(2/$F7))^(H$3-1)))</f>
        <v>285714.28571428568</v>
      </c>
      <c r="I7" s="119">
        <f t="shared" si="2"/>
        <v>204081.63265306121</v>
      </c>
      <c r="J7" s="119">
        <f t="shared" si="2"/>
        <v>145772.59475218659</v>
      </c>
      <c r="K7" s="119">
        <f t="shared" si="2"/>
        <v>104123.28196584756</v>
      </c>
      <c r="L7" s="119">
        <f t="shared" si="2"/>
        <v>74373.772832748262</v>
      </c>
      <c r="M7" s="119">
        <f t="shared" si="2"/>
        <v>53124.123451963038</v>
      </c>
      <c r="N7" s="119">
        <f t="shared" si="2"/>
        <v>37945.802465687884</v>
      </c>
      <c r="O7" s="119">
        <f t="shared" si="2"/>
        <v>0</v>
      </c>
      <c r="P7" s="119">
        <f t="shared" si="2"/>
        <v>0</v>
      </c>
      <c r="Q7" s="119">
        <f t="shared" si="2"/>
        <v>0</v>
      </c>
    </row>
    <row r="8" spans="2:18" x14ac:dyDescent="0.3">
      <c r="B8" s="53" t="s">
        <v>253</v>
      </c>
      <c r="C8" s="158">
        <v>999999</v>
      </c>
      <c r="D8" s="158" t="s">
        <v>254</v>
      </c>
      <c r="E8" s="158" t="s">
        <v>251</v>
      </c>
      <c r="F8" s="53">
        <v>7</v>
      </c>
      <c r="H8" s="119">
        <f t="shared" si="3"/>
        <v>285714</v>
      </c>
      <c r="I8" s="119">
        <f t="shared" si="2"/>
        <v>204081.42857142858</v>
      </c>
      <c r="J8" s="119">
        <f t="shared" si="2"/>
        <v>145772.44897959183</v>
      </c>
      <c r="K8" s="119">
        <f t="shared" si="2"/>
        <v>104123.17784256561</v>
      </c>
      <c r="L8" s="119">
        <f t="shared" si="2"/>
        <v>74373.698458975428</v>
      </c>
      <c r="M8" s="119">
        <f t="shared" si="2"/>
        <v>53124.070327839596</v>
      </c>
      <c r="N8" s="119">
        <f t="shared" si="2"/>
        <v>37945.764519885422</v>
      </c>
      <c r="O8" s="119">
        <f t="shared" si="2"/>
        <v>0</v>
      </c>
      <c r="P8" s="119">
        <f t="shared" si="2"/>
        <v>0</v>
      </c>
      <c r="Q8" s="119">
        <f t="shared" si="2"/>
        <v>0</v>
      </c>
    </row>
    <row r="9" spans="2:18" x14ac:dyDescent="0.3">
      <c r="B9" s="53" t="s">
        <v>255</v>
      </c>
      <c r="C9" s="158">
        <v>1000001</v>
      </c>
      <c r="D9" s="158" t="s">
        <v>256</v>
      </c>
      <c r="E9" s="158" t="s">
        <v>251</v>
      </c>
      <c r="F9" s="53">
        <v>7</v>
      </c>
      <c r="H9" s="119">
        <f t="shared" si="3"/>
        <v>285714.57142857142</v>
      </c>
      <c r="I9" s="119">
        <f t="shared" si="2"/>
        <v>204081.83673469388</v>
      </c>
      <c r="J9" s="119">
        <f t="shared" si="2"/>
        <v>145772.74052478134</v>
      </c>
      <c r="K9" s="119">
        <f t="shared" si="2"/>
        <v>104123.38608912953</v>
      </c>
      <c r="L9" s="119">
        <f t="shared" si="2"/>
        <v>74373.847206521095</v>
      </c>
      <c r="M9" s="119">
        <f t="shared" si="2"/>
        <v>53124.176576086495</v>
      </c>
      <c r="N9" s="119">
        <f t="shared" si="2"/>
        <v>37945.840411490353</v>
      </c>
      <c r="O9" s="119">
        <f t="shared" si="2"/>
        <v>0</v>
      </c>
      <c r="P9" s="119">
        <f t="shared" si="2"/>
        <v>0</v>
      </c>
      <c r="Q9" s="119">
        <f t="shared" si="2"/>
        <v>0</v>
      </c>
    </row>
    <row r="10" spans="2:18" x14ac:dyDescent="0.3">
      <c r="B10" s="65" t="s">
        <v>269</v>
      </c>
      <c r="H10" s="119"/>
      <c r="I10" s="119"/>
      <c r="J10" s="119"/>
      <c r="K10" s="119"/>
      <c r="L10" s="119"/>
      <c r="M10" s="119"/>
      <c r="N10" s="119"/>
      <c r="O10" s="119"/>
      <c r="P10" s="119"/>
      <c r="Q10" s="119"/>
    </row>
    <row r="11" spans="2:18" x14ac:dyDescent="0.3">
      <c r="B11" s="53" t="s">
        <v>257</v>
      </c>
      <c r="C11" s="158">
        <v>5865000</v>
      </c>
      <c r="D11" s="158" t="s">
        <v>258</v>
      </c>
      <c r="E11" s="158" t="s">
        <v>251</v>
      </c>
      <c r="F11" s="53">
        <v>7</v>
      </c>
      <c r="H11" s="119">
        <f>IF(H$3&gt;$F11, 0, IF($E11="SL", $C11/$F11, $C11*(2/$F11)*(1-(2/$F11))^(H$3-1)))</f>
        <v>1675714.2857142857</v>
      </c>
      <c r="I11" s="119">
        <f t="shared" si="2"/>
        <v>1196938.775510204</v>
      </c>
      <c r="J11" s="119">
        <f t="shared" si="2"/>
        <v>854956.26822157437</v>
      </c>
      <c r="K11" s="119">
        <f t="shared" si="2"/>
        <v>610683.04872969596</v>
      </c>
      <c r="L11" s="119">
        <f t="shared" si="2"/>
        <v>436202.17766406859</v>
      </c>
      <c r="M11" s="119">
        <f t="shared" si="2"/>
        <v>311572.98404576327</v>
      </c>
      <c r="N11" s="119">
        <f t="shared" si="2"/>
        <v>222552.13146125947</v>
      </c>
      <c r="O11" s="119">
        <f t="shared" si="2"/>
        <v>0</v>
      </c>
      <c r="P11" s="119">
        <f t="shared" si="2"/>
        <v>0</v>
      </c>
      <c r="Q11" s="119">
        <f t="shared" si="2"/>
        <v>0</v>
      </c>
    </row>
    <row r="12" spans="2:18" x14ac:dyDescent="0.3">
      <c r="B12" s="53" t="s">
        <v>259</v>
      </c>
      <c r="C12" s="158">
        <v>4256000</v>
      </c>
      <c r="D12" s="158" t="s">
        <v>260</v>
      </c>
      <c r="E12" s="158" t="s">
        <v>251</v>
      </c>
      <c r="F12" s="53">
        <v>10</v>
      </c>
      <c r="H12" s="119">
        <f t="shared" ref="H12:H15" si="4">IF(H$3&gt;$F12, 0, IF($E12="SL", $C12/$F12, $C12*(2/$F12)*(1-(2/$F12))^(H$3-1)))</f>
        <v>851200</v>
      </c>
      <c r="I12" s="119">
        <f t="shared" si="2"/>
        <v>680960</v>
      </c>
      <c r="J12" s="119">
        <f t="shared" si="2"/>
        <v>544768.00000000012</v>
      </c>
      <c r="K12" s="119">
        <f t="shared" si="2"/>
        <v>435814.40000000008</v>
      </c>
      <c r="L12" s="119">
        <f t="shared" si="2"/>
        <v>348651.52000000014</v>
      </c>
      <c r="M12" s="119">
        <f t="shared" si="2"/>
        <v>278921.21600000019</v>
      </c>
      <c r="N12" s="119">
        <f t="shared" si="2"/>
        <v>223136.97280000013</v>
      </c>
      <c r="O12" s="119">
        <f t="shared" si="2"/>
        <v>178509.57824000015</v>
      </c>
      <c r="P12" s="119">
        <f t="shared" si="2"/>
        <v>142807.66259200012</v>
      </c>
      <c r="Q12" s="119">
        <f t="shared" si="2"/>
        <v>114246.1300736001</v>
      </c>
    </row>
    <row r="13" spans="2:18" x14ac:dyDescent="0.3">
      <c r="B13" s="53" t="s">
        <v>261</v>
      </c>
      <c r="C13" s="158">
        <v>9753750</v>
      </c>
      <c r="D13" s="158" t="s">
        <v>262</v>
      </c>
      <c r="E13" s="158" t="s">
        <v>251</v>
      </c>
      <c r="F13" s="53">
        <v>7</v>
      </c>
      <c r="H13" s="119">
        <f t="shared" si="4"/>
        <v>2786785.7142857141</v>
      </c>
      <c r="I13" s="119">
        <f t="shared" si="2"/>
        <v>1990561.2244897957</v>
      </c>
      <c r="J13" s="119">
        <f t="shared" si="2"/>
        <v>1421829.4460641399</v>
      </c>
      <c r="K13" s="119">
        <f t="shared" si="2"/>
        <v>1015592.4614743857</v>
      </c>
      <c r="L13" s="119">
        <f t="shared" si="2"/>
        <v>725423.18676741829</v>
      </c>
      <c r="M13" s="119">
        <f t="shared" si="2"/>
        <v>518159.41911958449</v>
      </c>
      <c r="N13" s="119">
        <f t="shared" si="2"/>
        <v>370113.87079970323</v>
      </c>
      <c r="O13" s="119">
        <f t="shared" si="2"/>
        <v>0</v>
      </c>
      <c r="P13" s="119">
        <f t="shared" si="2"/>
        <v>0</v>
      </c>
      <c r="Q13" s="119">
        <f t="shared" si="2"/>
        <v>0</v>
      </c>
    </row>
    <row r="14" spans="2:18" x14ac:dyDescent="0.3">
      <c r="B14" s="53" t="s">
        <v>263</v>
      </c>
      <c r="C14" s="158">
        <v>2551000</v>
      </c>
      <c r="D14" s="158" t="s">
        <v>264</v>
      </c>
      <c r="E14" s="158" t="s">
        <v>248</v>
      </c>
      <c r="F14" s="53">
        <v>15</v>
      </c>
      <c r="H14" s="119">
        <f t="shared" si="4"/>
        <v>170066.66666666666</v>
      </c>
      <c r="I14" s="119">
        <f t="shared" si="2"/>
        <v>170066.66666666666</v>
      </c>
      <c r="J14" s="119">
        <f t="shared" si="2"/>
        <v>170066.66666666666</v>
      </c>
      <c r="K14" s="119">
        <f t="shared" si="2"/>
        <v>170066.66666666666</v>
      </c>
      <c r="L14" s="119">
        <f t="shared" si="2"/>
        <v>170066.66666666666</v>
      </c>
      <c r="M14" s="119">
        <f t="shared" si="2"/>
        <v>170066.66666666666</v>
      </c>
      <c r="N14" s="119">
        <f t="shared" si="2"/>
        <v>170066.66666666666</v>
      </c>
      <c r="O14" s="119">
        <f t="shared" si="2"/>
        <v>170066.66666666666</v>
      </c>
      <c r="P14" s="119">
        <f t="shared" si="2"/>
        <v>170066.66666666666</v>
      </c>
      <c r="Q14" s="119">
        <f t="shared" si="2"/>
        <v>170066.66666666666</v>
      </c>
    </row>
    <row r="15" spans="2:18" x14ac:dyDescent="0.3">
      <c r="B15" s="53" t="s">
        <v>265</v>
      </c>
      <c r="C15" s="158">
        <v>8505000</v>
      </c>
      <c r="D15" s="158" t="s">
        <v>266</v>
      </c>
      <c r="E15" s="158" t="s">
        <v>251</v>
      </c>
      <c r="F15" s="53">
        <v>7</v>
      </c>
      <c r="H15" s="119">
        <f t="shared" si="4"/>
        <v>2430000</v>
      </c>
      <c r="I15" s="119">
        <f t="shared" si="2"/>
        <v>1735714.2857142857</v>
      </c>
      <c r="J15" s="119">
        <f t="shared" si="2"/>
        <v>1239795.918367347</v>
      </c>
      <c r="K15" s="119">
        <f t="shared" si="2"/>
        <v>885568.51311953366</v>
      </c>
      <c r="L15" s="119">
        <f t="shared" si="2"/>
        <v>632548.93794252397</v>
      </c>
      <c r="M15" s="119">
        <f t="shared" si="2"/>
        <v>451820.66995894571</v>
      </c>
      <c r="N15" s="119">
        <f t="shared" si="2"/>
        <v>322729.04997067549</v>
      </c>
      <c r="O15" s="119">
        <f t="shared" si="2"/>
        <v>0</v>
      </c>
      <c r="P15" s="119">
        <f t="shared" si="2"/>
        <v>0</v>
      </c>
      <c r="Q15" s="119">
        <f t="shared" si="2"/>
        <v>0</v>
      </c>
    </row>
    <row r="17" spans="2:17" x14ac:dyDescent="0.3">
      <c r="B17" s="181" t="s">
        <v>17</v>
      </c>
      <c r="C17" s="182"/>
      <c r="D17" s="182"/>
      <c r="E17" s="182"/>
      <c r="F17" s="182"/>
      <c r="G17" s="182"/>
      <c r="H17" s="183">
        <f>SUM(H6:H15)</f>
        <v>8837576.1904761903</v>
      </c>
      <c r="I17" s="183">
        <f t="shared" ref="I17:Q17" si="5">SUM(I6:I15)</f>
        <v>6453152.5170068024</v>
      </c>
      <c r="J17" s="183">
        <f t="shared" si="5"/>
        <v>4735400.7502429541</v>
      </c>
      <c r="K17" s="183">
        <f t="shared" si="5"/>
        <v>3496761.6025544913</v>
      </c>
      <c r="L17" s="183">
        <f t="shared" si="5"/>
        <v>2602680.4742055889</v>
      </c>
      <c r="M17" s="183">
        <f t="shared" si="5"/>
        <v>1956579.9928135159</v>
      </c>
      <c r="N17" s="183">
        <f t="shared" si="5"/>
        <v>1489102.7657620355</v>
      </c>
      <c r="O17" s="183">
        <f t="shared" si="5"/>
        <v>415242.91157333343</v>
      </c>
      <c r="P17" s="183">
        <f t="shared" si="5"/>
        <v>379540.99592533347</v>
      </c>
      <c r="Q17" s="184">
        <f t="shared" si="5"/>
        <v>350979.46340693347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03CC2-A065-4B0B-8604-4B9574072269}">
  <sheetPr>
    <tabColor theme="8"/>
  </sheetPr>
  <dimension ref="B1:DW29"/>
  <sheetViews>
    <sheetView showGridLines="0" workbookViewId="0">
      <selection activeCell="B2" sqref="B2"/>
    </sheetView>
  </sheetViews>
  <sheetFormatPr defaultRowHeight="15" x14ac:dyDescent="0.3"/>
  <cols>
    <col min="1" max="1" width="1.7109375" style="53" customWidth="1"/>
    <col min="2" max="2" width="29.7109375" style="53" customWidth="1"/>
    <col min="3" max="3" width="9.5703125" style="53" bestFit="1" customWidth="1"/>
    <col min="4" max="4" width="10.42578125" style="53" bestFit="1" customWidth="1"/>
    <col min="5" max="5" width="9.5703125" style="53" bestFit="1" customWidth="1"/>
    <col min="6" max="11" width="11" style="53" bestFit="1" customWidth="1"/>
    <col min="12" max="23" width="12" style="53" bestFit="1" customWidth="1"/>
    <col min="24" max="127" width="12.42578125" style="53" bestFit="1" customWidth="1"/>
    <col min="128" max="16384" width="9.140625" style="53"/>
  </cols>
  <sheetData>
    <row r="1" spans="2:127" s="84" customFormat="1" x14ac:dyDescent="0.3">
      <c r="B1" s="188" t="s">
        <v>300</v>
      </c>
    </row>
    <row r="2" spans="2:127" s="84" customFormat="1" ht="18" x14ac:dyDescent="0.35">
      <c r="B2" s="91" t="s">
        <v>171</v>
      </c>
      <c r="C2" s="83"/>
      <c r="D2" s="83"/>
      <c r="E2" s="83"/>
      <c r="F2" s="83"/>
      <c r="G2" s="83"/>
      <c r="H2" s="90"/>
      <c r="I2" s="90"/>
      <c r="J2" s="90"/>
      <c r="K2" s="90"/>
    </row>
    <row r="4" spans="2:127" x14ac:dyDescent="0.3">
      <c r="B4" s="65" t="s">
        <v>207</v>
      </c>
    </row>
    <row r="5" spans="2:127" x14ac:dyDescent="0.3">
      <c r="B5" s="151" t="s">
        <v>172</v>
      </c>
      <c r="C5" s="151">
        <f>IF(C25&lt;=Assumptions!$F$12, Assumptions!$D$12, IF(C25&lt;=Assumptions!$F$13, Assumptions!$D$13, Assumptions!$D$14))</f>
        <v>40</v>
      </c>
      <c r="D5" s="151">
        <f>IF(D25&lt;=Assumptions!$F$12, Assumptions!$D$12, IF(D25&lt;=Assumptions!$F$13, Assumptions!$D$13, Assumptions!$D$14))</f>
        <v>40</v>
      </c>
      <c r="E5" s="151">
        <f>IF(E25&lt;=Assumptions!$F$12, Assumptions!$D$12, IF(E25&lt;=Assumptions!$F$13, Assumptions!$D$13, Assumptions!$D$14))</f>
        <v>40</v>
      </c>
      <c r="F5" s="151">
        <f>IF(F25&lt;=Assumptions!$F$12, Assumptions!$D$12, IF(F25&lt;=Assumptions!$F$13, Assumptions!$D$13, Assumptions!$D$14))</f>
        <v>40</v>
      </c>
      <c r="G5" s="151">
        <f>IF(G25&lt;=Assumptions!$F$12, Assumptions!$D$12, IF(G25&lt;=Assumptions!$F$13, Assumptions!$D$13, Assumptions!$D$14))</f>
        <v>250</v>
      </c>
      <c r="H5" s="151">
        <f>IF(H25&lt;=Assumptions!$F$12, Assumptions!$D$12, IF(H25&lt;=Assumptions!$F$13, Assumptions!$D$13, Assumptions!$D$14))</f>
        <v>250</v>
      </c>
      <c r="I5" s="151">
        <f>IF(I25&lt;=Assumptions!$F$12, Assumptions!$D$12, IF(I25&lt;=Assumptions!$F$13, Assumptions!$D$13, Assumptions!$D$14))</f>
        <v>250</v>
      </c>
      <c r="J5" s="151">
        <f>IF(J25&lt;=Assumptions!$F$12, Assumptions!$D$12, IF(J25&lt;=Assumptions!$F$13, Assumptions!$D$13, Assumptions!$D$14))</f>
        <v>250</v>
      </c>
      <c r="K5" s="151">
        <f>IF(K25&lt;=Assumptions!$F$12, Assumptions!$D$12, IF(K25&lt;=Assumptions!$F$13, Assumptions!$D$13, Assumptions!$D$14))</f>
        <v>250</v>
      </c>
      <c r="L5" s="151">
        <f>IF(L25&lt;=Assumptions!$F$12, Assumptions!$D$12, IF(L25&lt;=Assumptions!$F$13, Assumptions!$D$13, Assumptions!$D$14))</f>
        <v>500</v>
      </c>
      <c r="M5" s="151">
        <f>IF(M25&lt;=Assumptions!$F$12, Assumptions!$D$12, IF(M25&lt;=Assumptions!$F$13, Assumptions!$D$13, Assumptions!$D$14))</f>
        <v>500</v>
      </c>
      <c r="N5" s="151">
        <f>IF(N25&lt;=Assumptions!$F$12, Assumptions!$D$12, IF(N25&lt;=Assumptions!$F$13, Assumptions!$D$13, Assumptions!$D$14))</f>
        <v>500</v>
      </c>
      <c r="O5" s="151">
        <f>IF(O25&lt;=Assumptions!$F$12, Assumptions!$D$12, IF(O25&lt;=Assumptions!$F$13, Assumptions!$D$13, Assumptions!$D$14))</f>
        <v>500</v>
      </c>
      <c r="P5" s="151">
        <f>IF(P25&lt;=Assumptions!$F$12, Assumptions!$D$12, IF(P25&lt;=Assumptions!$F$13, Assumptions!$D$13, Assumptions!$D$14))</f>
        <v>500</v>
      </c>
      <c r="Q5" s="151">
        <f>IF(Q25&lt;=Assumptions!$F$12, Assumptions!$D$12, IF(Q25&lt;=Assumptions!$F$13, Assumptions!$D$13, Assumptions!$D$14))</f>
        <v>500</v>
      </c>
      <c r="R5" s="151">
        <f>IF(R25&lt;=Assumptions!$F$12, Assumptions!$D$12, IF(R25&lt;=Assumptions!$F$13, Assumptions!$D$13, Assumptions!$D$14))</f>
        <v>500</v>
      </c>
      <c r="S5" s="151">
        <f>IF(S25&lt;=Assumptions!$F$12, Assumptions!$D$12, IF(S25&lt;=Assumptions!$F$13, Assumptions!$D$13, Assumptions!$D$14))</f>
        <v>500</v>
      </c>
      <c r="T5" s="151">
        <f>IF(T25&lt;=Assumptions!$F$12, Assumptions!$D$12, IF(T25&lt;=Assumptions!$F$13, Assumptions!$D$13, Assumptions!$D$14))</f>
        <v>500</v>
      </c>
      <c r="U5" s="151">
        <f>IF(U25&lt;=Assumptions!$F$12, Assumptions!$D$12, IF(U25&lt;=Assumptions!$F$13, Assumptions!$D$13, Assumptions!$D$14))</f>
        <v>500</v>
      </c>
      <c r="V5" s="151">
        <f>IF(V25&lt;=Assumptions!$F$12, Assumptions!$D$12, IF(V25&lt;=Assumptions!$F$13, Assumptions!$D$13, Assumptions!$D$14))</f>
        <v>500</v>
      </c>
      <c r="W5" s="151">
        <f>IF(W25&lt;=Assumptions!$F$12, Assumptions!$D$12, IF(W25&lt;=Assumptions!$F$13, Assumptions!$D$13, Assumptions!$D$14))</f>
        <v>500</v>
      </c>
      <c r="X5" s="151">
        <f>IF(X25&lt;=Assumptions!$F$12, Assumptions!$D$12, IF(X25&lt;=Assumptions!$F$13, Assumptions!$D$13, Assumptions!$D$14))</f>
        <v>500</v>
      </c>
      <c r="Y5" s="151">
        <f>IF(Y25&lt;=Assumptions!$F$12, Assumptions!$D$12, IF(Y25&lt;=Assumptions!$F$13, Assumptions!$D$13, Assumptions!$D$14))</f>
        <v>500</v>
      </c>
      <c r="Z5" s="151">
        <f>IF(Z25&lt;=Assumptions!$F$12, Assumptions!$D$12, IF(Z25&lt;=Assumptions!$F$13, Assumptions!$D$13, Assumptions!$D$14))</f>
        <v>500</v>
      </c>
      <c r="AA5" s="151">
        <f>IF(AA25&lt;=Assumptions!$F$12, Assumptions!$D$12, IF(AA25&lt;=Assumptions!$F$13, Assumptions!$D$13, Assumptions!$D$14))</f>
        <v>500</v>
      </c>
      <c r="AB5" s="151">
        <f>IF(AB25&lt;=Assumptions!$F$12, Assumptions!$D$12, IF(AB25&lt;=Assumptions!$F$13, Assumptions!$D$13, Assumptions!$D$14))</f>
        <v>500</v>
      </c>
      <c r="AC5" s="151">
        <f>IF(AC25&lt;=Assumptions!$F$12, Assumptions!$D$12, IF(AC25&lt;=Assumptions!$F$13, Assumptions!$D$13, Assumptions!$D$14))</f>
        <v>500</v>
      </c>
      <c r="AD5" s="151">
        <f>IF(AD25&lt;=Assumptions!$F$12, Assumptions!$D$12, IF(AD25&lt;=Assumptions!$F$13, Assumptions!$D$13, Assumptions!$D$14))</f>
        <v>500</v>
      </c>
      <c r="AE5" s="151">
        <f>IF(AE25&lt;=Assumptions!$F$12, Assumptions!$D$12, IF(AE25&lt;=Assumptions!$F$13, Assumptions!$D$13, Assumptions!$D$14))</f>
        <v>500</v>
      </c>
      <c r="AF5" s="151">
        <f>IF(AF25&lt;=Assumptions!$F$12, Assumptions!$D$12, IF(AF25&lt;=Assumptions!$F$13, Assumptions!$D$13, Assumptions!$D$14))</f>
        <v>500</v>
      </c>
      <c r="AG5" s="151">
        <f>IF(AG25&lt;=Assumptions!$F$12, Assumptions!$D$12, IF(AG25&lt;=Assumptions!$F$13, Assumptions!$D$13, Assumptions!$D$14))</f>
        <v>500</v>
      </c>
      <c r="AH5" s="151">
        <f>IF(AH25&lt;=Assumptions!$F$12, Assumptions!$D$12, IF(AH25&lt;=Assumptions!$F$13, Assumptions!$D$13, Assumptions!$D$14))</f>
        <v>500</v>
      </c>
      <c r="AI5" s="151">
        <f>IF(AI25&lt;=Assumptions!$F$12, Assumptions!$D$12, IF(AI25&lt;=Assumptions!$F$13, Assumptions!$D$13, Assumptions!$D$14))</f>
        <v>500</v>
      </c>
      <c r="AJ5" s="151">
        <f>IF(AJ25&lt;=Assumptions!$F$12, Assumptions!$D$12, IF(AJ25&lt;=Assumptions!$F$13, Assumptions!$D$13, Assumptions!$D$14))</f>
        <v>500</v>
      </c>
      <c r="AK5" s="151">
        <f>IF(AK25&lt;=Assumptions!$F$12, Assumptions!$D$12, IF(AK25&lt;=Assumptions!$F$13, Assumptions!$D$13, Assumptions!$D$14))</f>
        <v>500</v>
      </c>
      <c r="AL5" s="151">
        <f>IF(AL25&lt;=Assumptions!$F$12, Assumptions!$D$12, IF(AL25&lt;=Assumptions!$F$13, Assumptions!$D$13, Assumptions!$D$14))</f>
        <v>500</v>
      </c>
      <c r="AM5" s="151">
        <f>IF(AM25&lt;=Assumptions!$F$12, Assumptions!$D$12, IF(AM25&lt;=Assumptions!$F$13, Assumptions!$D$13, Assumptions!$D$14))</f>
        <v>500</v>
      </c>
      <c r="AN5" s="151">
        <f>IF(AN25&lt;=Assumptions!$F$12, Assumptions!$D$12, IF(AN25&lt;=Assumptions!$F$13, Assumptions!$D$13, Assumptions!$D$14))</f>
        <v>500</v>
      </c>
      <c r="AO5" s="151">
        <f>IF(AO25&lt;=Assumptions!$F$12, Assumptions!$D$12, IF(AO25&lt;=Assumptions!$F$13, Assumptions!$D$13, Assumptions!$D$14))</f>
        <v>500</v>
      </c>
      <c r="AP5" s="151">
        <f>IF(AP25&lt;=Assumptions!$F$12, Assumptions!$D$12, IF(AP25&lt;=Assumptions!$F$13, Assumptions!$D$13, Assumptions!$D$14))</f>
        <v>500</v>
      </c>
      <c r="AQ5" s="151">
        <f>IF(AQ25&lt;=Assumptions!$F$12, Assumptions!$D$12, IF(AQ25&lt;=Assumptions!$F$13, Assumptions!$D$13, Assumptions!$D$14))</f>
        <v>500</v>
      </c>
      <c r="AR5" s="151">
        <f>IF(AR25&lt;=Assumptions!$F$12, Assumptions!$D$12, IF(AR25&lt;=Assumptions!$F$13, Assumptions!$D$13, Assumptions!$D$14))</f>
        <v>500</v>
      </c>
      <c r="AS5" s="151">
        <f>IF(AS25&lt;=Assumptions!$F$12, Assumptions!$D$12, IF(AS25&lt;=Assumptions!$F$13, Assumptions!$D$13, Assumptions!$D$14))</f>
        <v>500</v>
      </c>
      <c r="AT5" s="151">
        <f>IF(AT25&lt;=Assumptions!$F$12, Assumptions!$D$12, IF(AT25&lt;=Assumptions!$F$13, Assumptions!$D$13, Assumptions!$D$14))</f>
        <v>500</v>
      </c>
      <c r="AU5" s="151">
        <f>IF(AU25&lt;=Assumptions!$F$12, Assumptions!$D$12, IF(AU25&lt;=Assumptions!$F$13, Assumptions!$D$13, Assumptions!$D$14))</f>
        <v>500</v>
      </c>
      <c r="AV5" s="151">
        <f>IF(AV25&lt;=Assumptions!$F$12, Assumptions!$D$12, IF(AV25&lt;=Assumptions!$F$13, Assumptions!$D$13, Assumptions!$D$14))</f>
        <v>500</v>
      </c>
      <c r="AW5" s="151">
        <f>IF(AW25&lt;=Assumptions!$F$12, Assumptions!$D$12, IF(AW25&lt;=Assumptions!$F$13, Assumptions!$D$13, Assumptions!$D$14))</f>
        <v>500</v>
      </c>
      <c r="AX5" s="151">
        <f>IF(AX25&lt;=Assumptions!$F$12, Assumptions!$D$12, IF(AX25&lt;=Assumptions!$F$13, Assumptions!$D$13, Assumptions!$D$14))</f>
        <v>500</v>
      </c>
      <c r="AY5" s="151">
        <f>IF(AY25&lt;=Assumptions!$F$12, Assumptions!$D$12, IF(AY25&lt;=Assumptions!$F$13, Assumptions!$D$13, Assumptions!$D$14))</f>
        <v>500</v>
      </c>
      <c r="AZ5" s="151">
        <f>IF(AZ25&lt;=Assumptions!$F$12, Assumptions!$D$12, IF(AZ25&lt;=Assumptions!$F$13, Assumptions!$D$13, Assumptions!$D$14))</f>
        <v>500</v>
      </c>
      <c r="BA5" s="151">
        <f>IF(BA25&lt;=Assumptions!$F$12, Assumptions!$D$12, IF(BA25&lt;=Assumptions!$F$13, Assumptions!$D$13, Assumptions!$D$14))</f>
        <v>500</v>
      </c>
      <c r="BB5" s="151">
        <f>IF(BB25&lt;=Assumptions!$F$12, Assumptions!$D$12, IF(BB25&lt;=Assumptions!$F$13, Assumptions!$D$13, Assumptions!$D$14))</f>
        <v>500</v>
      </c>
      <c r="BC5" s="151">
        <f>IF(BC25&lt;=Assumptions!$F$12, Assumptions!$D$12, IF(BC25&lt;=Assumptions!$F$13, Assumptions!$D$13, Assumptions!$D$14))</f>
        <v>500</v>
      </c>
      <c r="BD5" s="151">
        <f>IF(BD25&lt;=Assumptions!$F$12, Assumptions!$D$12, IF(BD25&lt;=Assumptions!$F$13, Assumptions!$D$13, Assumptions!$D$14))</f>
        <v>500</v>
      </c>
      <c r="BE5" s="151">
        <f>IF(BE25&lt;=Assumptions!$F$12, Assumptions!$D$12, IF(BE25&lt;=Assumptions!$F$13, Assumptions!$D$13, Assumptions!$D$14))</f>
        <v>500</v>
      </c>
      <c r="BF5" s="151">
        <f>IF(BF25&lt;=Assumptions!$F$12, Assumptions!$D$12, IF(BF25&lt;=Assumptions!$F$13, Assumptions!$D$13, Assumptions!$D$14))</f>
        <v>500</v>
      </c>
      <c r="BG5" s="151">
        <f>IF(BG25&lt;=Assumptions!$F$12, Assumptions!$D$12, IF(BG25&lt;=Assumptions!$F$13, Assumptions!$D$13, Assumptions!$D$14))</f>
        <v>500</v>
      </c>
      <c r="BH5" s="151">
        <f>IF(BH25&lt;=Assumptions!$F$12, Assumptions!$D$12, IF(BH25&lt;=Assumptions!$F$13, Assumptions!$D$13, Assumptions!$D$14))</f>
        <v>500</v>
      </c>
      <c r="BI5" s="151">
        <f>IF(BI25&lt;=Assumptions!$F$12, Assumptions!$D$12, IF(BI25&lt;=Assumptions!$F$13, Assumptions!$D$13, Assumptions!$D$14))</f>
        <v>500</v>
      </c>
      <c r="BJ5" s="151">
        <f>IF(BJ25&lt;=Assumptions!$F$12, Assumptions!$D$12, IF(BJ25&lt;=Assumptions!$F$13, Assumptions!$D$13, Assumptions!$D$14))</f>
        <v>500</v>
      </c>
      <c r="BK5" s="151">
        <f>IF(BK25&lt;=Assumptions!$F$12, Assumptions!$D$12, IF(BK25&lt;=Assumptions!$F$13, Assumptions!$D$13, Assumptions!$D$14))</f>
        <v>500</v>
      </c>
      <c r="BL5" s="151">
        <f>IF(BL25&lt;=Assumptions!$F$12, Assumptions!$D$12, IF(BL25&lt;=Assumptions!$F$13, Assumptions!$D$13, Assumptions!$D$14))</f>
        <v>500</v>
      </c>
      <c r="BM5" s="151">
        <f>IF(BM25&lt;=Assumptions!$F$12, Assumptions!$D$12, IF(BM25&lt;=Assumptions!$F$13, Assumptions!$D$13, Assumptions!$D$14))</f>
        <v>500</v>
      </c>
      <c r="BN5" s="151">
        <f>IF(BN25&lt;=Assumptions!$F$12, Assumptions!$D$12, IF(BN25&lt;=Assumptions!$F$13, Assumptions!$D$13, Assumptions!$D$14))</f>
        <v>500</v>
      </c>
      <c r="BO5" s="151">
        <f>IF(BO25&lt;=Assumptions!$F$12, Assumptions!$D$12, IF(BO25&lt;=Assumptions!$F$13, Assumptions!$D$13, Assumptions!$D$14))</f>
        <v>500</v>
      </c>
      <c r="BP5" s="151">
        <f>IF(BP25&lt;=Assumptions!$F$12, Assumptions!$D$12, IF(BP25&lt;=Assumptions!$F$13, Assumptions!$D$13, Assumptions!$D$14))</f>
        <v>500</v>
      </c>
      <c r="BQ5" s="151">
        <f>IF(BQ25&lt;=Assumptions!$F$12, Assumptions!$D$12, IF(BQ25&lt;=Assumptions!$F$13, Assumptions!$D$13, Assumptions!$D$14))</f>
        <v>500</v>
      </c>
      <c r="BR5" s="151">
        <f>IF(BR25&lt;=Assumptions!$F$12, Assumptions!$D$12, IF(BR25&lt;=Assumptions!$F$13, Assumptions!$D$13, Assumptions!$D$14))</f>
        <v>500</v>
      </c>
      <c r="BS5" s="151">
        <f>IF(BS25&lt;=Assumptions!$F$12, Assumptions!$D$12, IF(BS25&lt;=Assumptions!$F$13, Assumptions!$D$13, Assumptions!$D$14))</f>
        <v>500</v>
      </c>
      <c r="BT5" s="151">
        <f>IF(BT25&lt;=Assumptions!$F$12, Assumptions!$D$12, IF(BT25&lt;=Assumptions!$F$13, Assumptions!$D$13, Assumptions!$D$14))</f>
        <v>500</v>
      </c>
      <c r="BU5" s="151">
        <f>IF(BU25&lt;=Assumptions!$F$12, Assumptions!$D$12, IF(BU25&lt;=Assumptions!$F$13, Assumptions!$D$13, Assumptions!$D$14))</f>
        <v>500</v>
      </c>
      <c r="BV5" s="151">
        <f>IF(BV25&lt;=Assumptions!$F$12, Assumptions!$D$12, IF(BV25&lt;=Assumptions!$F$13, Assumptions!$D$13, Assumptions!$D$14))</f>
        <v>500</v>
      </c>
      <c r="BW5" s="151">
        <f>IF(BW25&lt;=Assumptions!$F$12, Assumptions!$D$12, IF(BW25&lt;=Assumptions!$F$13, Assumptions!$D$13, Assumptions!$D$14))</f>
        <v>500</v>
      </c>
      <c r="BX5" s="151">
        <f>IF(BX25&lt;=Assumptions!$F$12, Assumptions!$D$12, IF(BX25&lt;=Assumptions!$F$13, Assumptions!$D$13, Assumptions!$D$14))</f>
        <v>500</v>
      </c>
      <c r="BY5" s="151">
        <f>IF(BY25&lt;=Assumptions!$F$12, Assumptions!$D$12, IF(BY25&lt;=Assumptions!$F$13, Assumptions!$D$13, Assumptions!$D$14))</f>
        <v>500</v>
      </c>
      <c r="BZ5" s="151">
        <f>IF(BZ25&lt;=Assumptions!$F$12, Assumptions!$D$12, IF(BZ25&lt;=Assumptions!$F$13, Assumptions!$D$13, Assumptions!$D$14))</f>
        <v>500</v>
      </c>
      <c r="CA5" s="151">
        <f>IF(CA25&lt;=Assumptions!$F$12, Assumptions!$D$12, IF(CA25&lt;=Assumptions!$F$13, Assumptions!$D$13, Assumptions!$D$14))</f>
        <v>500</v>
      </c>
      <c r="CB5" s="151">
        <f>IF(CB25&lt;=Assumptions!$F$12, Assumptions!$D$12, IF(CB25&lt;=Assumptions!$F$13, Assumptions!$D$13, Assumptions!$D$14))</f>
        <v>500</v>
      </c>
      <c r="CC5" s="151">
        <f>IF(CC25&lt;=Assumptions!$F$12, Assumptions!$D$12, IF(CC25&lt;=Assumptions!$F$13, Assumptions!$D$13, Assumptions!$D$14))</f>
        <v>500</v>
      </c>
      <c r="CD5" s="151">
        <f>IF(CD25&lt;=Assumptions!$F$12, Assumptions!$D$12, IF(CD25&lt;=Assumptions!$F$13, Assumptions!$D$13, Assumptions!$D$14))</f>
        <v>500</v>
      </c>
      <c r="CE5" s="151">
        <f>IF(CE25&lt;=Assumptions!$F$12, Assumptions!$D$12, IF(CE25&lt;=Assumptions!$F$13, Assumptions!$D$13, Assumptions!$D$14))</f>
        <v>500</v>
      </c>
      <c r="CF5" s="151">
        <f>IF(CF25&lt;=Assumptions!$F$12, Assumptions!$D$12, IF(CF25&lt;=Assumptions!$F$13, Assumptions!$D$13, Assumptions!$D$14))</f>
        <v>500</v>
      </c>
      <c r="CG5" s="151">
        <f>IF(CG25&lt;=Assumptions!$F$12, Assumptions!$D$12, IF(CG25&lt;=Assumptions!$F$13, Assumptions!$D$13, Assumptions!$D$14))</f>
        <v>500</v>
      </c>
      <c r="CH5" s="151">
        <f>IF(CH25&lt;=Assumptions!$F$12, Assumptions!$D$12, IF(CH25&lt;=Assumptions!$F$13, Assumptions!$D$13, Assumptions!$D$14))</f>
        <v>500</v>
      </c>
      <c r="CI5" s="151">
        <f>IF(CI25&lt;=Assumptions!$F$12, Assumptions!$D$12, IF(CI25&lt;=Assumptions!$F$13, Assumptions!$D$13, Assumptions!$D$14))</f>
        <v>500</v>
      </c>
      <c r="CJ5" s="151">
        <f>IF(CJ25&lt;=Assumptions!$F$12, Assumptions!$D$12, IF(CJ25&lt;=Assumptions!$F$13, Assumptions!$D$13, Assumptions!$D$14))</f>
        <v>500</v>
      </c>
      <c r="CK5" s="151">
        <f>IF(CK25&lt;=Assumptions!$F$12, Assumptions!$D$12, IF(CK25&lt;=Assumptions!$F$13, Assumptions!$D$13, Assumptions!$D$14))</f>
        <v>500</v>
      </c>
      <c r="CL5" s="151">
        <f>IF(CL25&lt;=Assumptions!$F$12, Assumptions!$D$12, IF(CL25&lt;=Assumptions!$F$13, Assumptions!$D$13, Assumptions!$D$14))</f>
        <v>500</v>
      </c>
      <c r="CM5" s="151">
        <f>IF(CM25&lt;=Assumptions!$F$12, Assumptions!$D$12, IF(CM25&lt;=Assumptions!$F$13, Assumptions!$D$13, Assumptions!$D$14))</f>
        <v>500</v>
      </c>
      <c r="CN5" s="151">
        <f>IF(CN25&lt;=Assumptions!$F$12, Assumptions!$D$12, IF(CN25&lt;=Assumptions!$F$13, Assumptions!$D$13, Assumptions!$D$14))</f>
        <v>500</v>
      </c>
      <c r="CO5" s="151">
        <f>IF(CO25&lt;=Assumptions!$F$12, Assumptions!$D$12, IF(CO25&lt;=Assumptions!$F$13, Assumptions!$D$13, Assumptions!$D$14))</f>
        <v>500</v>
      </c>
      <c r="CP5" s="151">
        <f>IF(CP25&lt;=Assumptions!$F$12, Assumptions!$D$12, IF(CP25&lt;=Assumptions!$F$13, Assumptions!$D$13, Assumptions!$D$14))</f>
        <v>500</v>
      </c>
      <c r="CQ5" s="151">
        <f>IF(CQ25&lt;=Assumptions!$F$12, Assumptions!$D$12, IF(CQ25&lt;=Assumptions!$F$13, Assumptions!$D$13, Assumptions!$D$14))</f>
        <v>500</v>
      </c>
      <c r="CR5" s="151">
        <f>IF(CR25&lt;=Assumptions!$F$12, Assumptions!$D$12, IF(CR25&lt;=Assumptions!$F$13, Assumptions!$D$13, Assumptions!$D$14))</f>
        <v>500</v>
      </c>
      <c r="CS5" s="151">
        <f>IF(CS25&lt;=Assumptions!$F$12, Assumptions!$D$12, IF(CS25&lt;=Assumptions!$F$13, Assumptions!$D$13, Assumptions!$D$14))</f>
        <v>500</v>
      </c>
      <c r="CT5" s="151">
        <f>IF(CT25&lt;=Assumptions!$F$12, Assumptions!$D$12, IF(CT25&lt;=Assumptions!$F$13, Assumptions!$D$13, Assumptions!$D$14))</f>
        <v>500</v>
      </c>
      <c r="CU5" s="151">
        <f>IF(CU25&lt;=Assumptions!$F$12, Assumptions!$D$12, IF(CU25&lt;=Assumptions!$F$13, Assumptions!$D$13, Assumptions!$D$14))</f>
        <v>500</v>
      </c>
      <c r="CV5" s="151">
        <f>IF(CV25&lt;=Assumptions!$F$12, Assumptions!$D$12, IF(CV25&lt;=Assumptions!$F$13, Assumptions!$D$13, Assumptions!$D$14))</f>
        <v>500</v>
      </c>
      <c r="CW5" s="151">
        <f>IF(CW25&lt;=Assumptions!$F$12, Assumptions!$D$12, IF(CW25&lt;=Assumptions!$F$13, Assumptions!$D$13, Assumptions!$D$14))</f>
        <v>500</v>
      </c>
      <c r="CX5" s="151">
        <f>IF(CX25&lt;=Assumptions!$F$12, Assumptions!$D$12, IF(CX25&lt;=Assumptions!$F$13, Assumptions!$D$13, Assumptions!$D$14))</f>
        <v>500</v>
      </c>
      <c r="CY5" s="151">
        <f>IF(CY25&lt;=Assumptions!$F$12, Assumptions!$D$12, IF(CY25&lt;=Assumptions!$F$13, Assumptions!$D$13, Assumptions!$D$14))</f>
        <v>500</v>
      </c>
      <c r="CZ5" s="151">
        <f>IF(CZ25&lt;=Assumptions!$F$12, Assumptions!$D$12, IF(CZ25&lt;=Assumptions!$F$13, Assumptions!$D$13, Assumptions!$D$14))</f>
        <v>500</v>
      </c>
      <c r="DA5" s="151">
        <f>IF(DA25&lt;=Assumptions!$F$12, Assumptions!$D$12, IF(DA25&lt;=Assumptions!$F$13, Assumptions!$D$13, Assumptions!$D$14))</f>
        <v>500</v>
      </c>
      <c r="DB5" s="151">
        <f>IF(DB25&lt;=Assumptions!$F$12, Assumptions!$D$12, IF(DB25&lt;=Assumptions!$F$13, Assumptions!$D$13, Assumptions!$D$14))</f>
        <v>500</v>
      </c>
      <c r="DC5" s="151">
        <f>IF(DC25&lt;=Assumptions!$F$12, Assumptions!$D$12, IF(DC25&lt;=Assumptions!$F$13, Assumptions!$D$13, Assumptions!$D$14))</f>
        <v>500</v>
      </c>
      <c r="DD5" s="151">
        <f>IF(DD25&lt;=Assumptions!$F$12, Assumptions!$D$12, IF(DD25&lt;=Assumptions!$F$13, Assumptions!$D$13, Assumptions!$D$14))</f>
        <v>500</v>
      </c>
      <c r="DE5" s="151">
        <f>IF(DE25&lt;=Assumptions!$F$12, Assumptions!$D$12, IF(DE25&lt;=Assumptions!$F$13, Assumptions!$D$13, Assumptions!$D$14))</f>
        <v>500</v>
      </c>
      <c r="DF5" s="151">
        <f>IF(DF25&lt;=Assumptions!$F$12, Assumptions!$D$12, IF(DF25&lt;=Assumptions!$F$13, Assumptions!$D$13, Assumptions!$D$14))</f>
        <v>500</v>
      </c>
      <c r="DG5" s="151">
        <f>IF(DG25&lt;=Assumptions!$F$12, Assumptions!$D$12, IF(DG25&lt;=Assumptions!$F$13, Assumptions!$D$13, Assumptions!$D$14))</f>
        <v>500</v>
      </c>
      <c r="DH5" s="151">
        <f>IF(DH25&lt;=Assumptions!$F$12, Assumptions!$D$12, IF(DH25&lt;=Assumptions!$F$13, Assumptions!$D$13, Assumptions!$D$14))</f>
        <v>500</v>
      </c>
      <c r="DI5" s="151">
        <f>IF(DI25&lt;=Assumptions!$F$12, Assumptions!$D$12, IF(DI25&lt;=Assumptions!$F$13, Assumptions!$D$13, Assumptions!$D$14))</f>
        <v>500</v>
      </c>
      <c r="DJ5" s="151">
        <f>IF(DJ25&lt;=Assumptions!$F$12, Assumptions!$D$12, IF(DJ25&lt;=Assumptions!$F$13, Assumptions!$D$13, Assumptions!$D$14))</f>
        <v>500</v>
      </c>
      <c r="DK5" s="151">
        <f>IF(DK25&lt;=Assumptions!$F$12, Assumptions!$D$12, IF(DK25&lt;=Assumptions!$F$13, Assumptions!$D$13, Assumptions!$D$14))</f>
        <v>500</v>
      </c>
      <c r="DL5" s="151">
        <f>IF(DL25&lt;=Assumptions!$F$12, Assumptions!$D$12, IF(DL25&lt;=Assumptions!$F$13, Assumptions!$D$13, Assumptions!$D$14))</f>
        <v>500</v>
      </c>
      <c r="DM5" s="151">
        <f>IF(DM25&lt;=Assumptions!$F$12, Assumptions!$D$12, IF(DM25&lt;=Assumptions!$F$13, Assumptions!$D$13, Assumptions!$D$14))</f>
        <v>500</v>
      </c>
      <c r="DN5" s="151">
        <f>IF(DN25&lt;=Assumptions!$F$12, Assumptions!$D$12, IF(DN25&lt;=Assumptions!$F$13, Assumptions!$D$13, Assumptions!$D$14))</f>
        <v>500</v>
      </c>
      <c r="DO5" s="151">
        <f>IF(DO25&lt;=Assumptions!$F$12, Assumptions!$D$12, IF(DO25&lt;=Assumptions!$F$13, Assumptions!$D$13, Assumptions!$D$14))</f>
        <v>500</v>
      </c>
      <c r="DP5" s="151">
        <f>IF(DP25&lt;=Assumptions!$F$12, Assumptions!$D$12, IF(DP25&lt;=Assumptions!$F$13, Assumptions!$D$13, Assumptions!$D$14))</f>
        <v>500</v>
      </c>
      <c r="DQ5" s="151">
        <f>IF(DQ25&lt;=Assumptions!$F$12, Assumptions!$D$12, IF(DQ25&lt;=Assumptions!$F$13, Assumptions!$D$13, Assumptions!$D$14))</f>
        <v>500</v>
      </c>
      <c r="DR5" s="151">
        <f>IF(DR25&lt;=Assumptions!$F$12, Assumptions!$D$12, IF(DR25&lt;=Assumptions!$F$13, Assumptions!$D$13, Assumptions!$D$14))</f>
        <v>500</v>
      </c>
      <c r="DS5" s="151">
        <f>IF(DS25&lt;=Assumptions!$F$12, Assumptions!$D$12, IF(DS25&lt;=Assumptions!$F$13, Assumptions!$D$13, Assumptions!$D$14))</f>
        <v>500</v>
      </c>
      <c r="DT5" s="151">
        <f>IF(DT25&lt;=Assumptions!$F$12, Assumptions!$D$12, IF(DT25&lt;=Assumptions!$F$13, Assumptions!$D$13, Assumptions!$D$14))</f>
        <v>500</v>
      </c>
      <c r="DU5" s="151">
        <f>IF(DU25&lt;=Assumptions!$F$12, Assumptions!$D$12, IF(DU25&lt;=Assumptions!$F$13, Assumptions!$D$13, Assumptions!$D$14))</f>
        <v>500</v>
      </c>
      <c r="DV5" s="151">
        <f>IF(DV25&lt;=Assumptions!$F$12, Assumptions!$D$12, IF(DV25&lt;=Assumptions!$F$13, Assumptions!$D$13, Assumptions!$D$14))</f>
        <v>500</v>
      </c>
      <c r="DW5" s="151">
        <f>IF(DW25&lt;=Assumptions!$F$12, Assumptions!$D$12, IF(DW25&lt;=Assumptions!$F$13, Assumptions!$D$13, Assumptions!$D$14))</f>
        <v>500</v>
      </c>
    </row>
    <row r="6" spans="2:127" x14ac:dyDescent="0.3">
      <c r="B6" s="53" t="s">
        <v>180</v>
      </c>
      <c r="C6" s="118" t="str">
        <f>IF(C25&lt;=Assumptions!$C$8,"No","Yes")</f>
        <v>No</v>
      </c>
      <c r="D6" s="118" t="str">
        <f>IF(D25&lt;=Assumptions!$C$8,"No","Yes")</f>
        <v>No</v>
      </c>
      <c r="E6" s="118" t="str">
        <f>IF(E25&lt;=Assumptions!$C$8,"No","Yes")</f>
        <v>No</v>
      </c>
      <c r="F6" s="118" t="str">
        <f>IF(F25&lt;=Assumptions!$C$8,"No","Yes")</f>
        <v>Yes</v>
      </c>
      <c r="G6" s="118" t="str">
        <f>IF(G25&lt;=Assumptions!$C$8,"No","Yes")</f>
        <v>Yes</v>
      </c>
      <c r="H6" s="118" t="str">
        <f>IF(H25&lt;=Assumptions!$C$8,"No","Yes")</f>
        <v>Yes</v>
      </c>
      <c r="I6" s="118" t="str">
        <f>IF(I25&lt;=Assumptions!$C$8,"No","Yes")</f>
        <v>Yes</v>
      </c>
      <c r="J6" s="118" t="str">
        <f>IF(J25&lt;=Assumptions!$C$8,"No","Yes")</f>
        <v>Yes</v>
      </c>
      <c r="K6" s="118" t="str">
        <f>IF(K25&lt;=Assumptions!$C$8,"No","Yes")</f>
        <v>Yes</v>
      </c>
      <c r="L6" s="118" t="str">
        <f>IF(L25&lt;=Assumptions!$C$8,"No","Yes")</f>
        <v>Yes</v>
      </c>
      <c r="M6" s="118" t="str">
        <f>IF(M25&lt;=Assumptions!$C$8,"No","Yes")</f>
        <v>Yes</v>
      </c>
      <c r="N6" s="118" t="str">
        <f>IF(N25&lt;=Assumptions!$C$8,"No","Yes")</f>
        <v>Yes</v>
      </c>
      <c r="O6" s="118" t="str">
        <f>IF(O25&lt;=Assumptions!$C$8,"No","Yes")</f>
        <v>Yes</v>
      </c>
      <c r="P6" s="118" t="str">
        <f>IF(P25&lt;=Assumptions!$C$8,"No","Yes")</f>
        <v>Yes</v>
      </c>
      <c r="Q6" s="118" t="str">
        <f>IF(Q25&lt;=Assumptions!$C$8,"No","Yes")</f>
        <v>Yes</v>
      </c>
      <c r="R6" s="118" t="str">
        <f>IF(R25&lt;=Assumptions!$C$8,"No","Yes")</f>
        <v>Yes</v>
      </c>
      <c r="S6" s="118" t="str">
        <f>IF(S25&lt;=Assumptions!$C$8,"No","Yes")</f>
        <v>Yes</v>
      </c>
      <c r="T6" s="118" t="str">
        <f>IF(T25&lt;=Assumptions!$C$8,"No","Yes")</f>
        <v>Yes</v>
      </c>
      <c r="U6" s="118" t="str">
        <f>IF(U25&lt;=Assumptions!$C$8,"No","Yes")</f>
        <v>Yes</v>
      </c>
      <c r="V6" s="118" t="str">
        <f>IF(V25&lt;=Assumptions!$C$8,"No","Yes")</f>
        <v>Yes</v>
      </c>
      <c r="W6" s="118" t="str">
        <f>IF(W25&lt;=Assumptions!$C$8,"No","Yes")</f>
        <v>Yes</v>
      </c>
      <c r="X6" s="118" t="str">
        <f>IF(X25&lt;=Assumptions!$C$8,"No","Yes")</f>
        <v>Yes</v>
      </c>
      <c r="Y6" s="118" t="str">
        <f>IF(Y25&lt;=Assumptions!$C$8,"No","Yes")</f>
        <v>Yes</v>
      </c>
      <c r="Z6" s="118" t="str">
        <f>IF(Z25&lt;=Assumptions!$C$8,"No","Yes")</f>
        <v>Yes</v>
      </c>
      <c r="AA6" s="118" t="str">
        <f>IF(AA25&lt;=Assumptions!$C$8,"No","Yes")</f>
        <v>Yes</v>
      </c>
      <c r="AB6" s="118" t="str">
        <f>IF(AB25&lt;=Assumptions!$C$8,"No","Yes")</f>
        <v>Yes</v>
      </c>
      <c r="AC6" s="118" t="str">
        <f>IF(AC25&lt;=Assumptions!$C$8,"No","Yes")</f>
        <v>Yes</v>
      </c>
      <c r="AD6" s="118" t="str">
        <f>IF(AD25&lt;=Assumptions!$C$8,"No","Yes")</f>
        <v>Yes</v>
      </c>
      <c r="AE6" s="118" t="str">
        <f>IF(AE25&lt;=Assumptions!$C$8,"No","Yes")</f>
        <v>Yes</v>
      </c>
      <c r="AF6" s="118" t="str">
        <f>IF(AF25&lt;=Assumptions!$C$8,"No","Yes")</f>
        <v>Yes</v>
      </c>
      <c r="AG6" s="118" t="str">
        <f>IF(AG25&lt;=Assumptions!$C$8,"No","Yes")</f>
        <v>Yes</v>
      </c>
      <c r="AH6" s="118" t="str">
        <f>IF(AH25&lt;=Assumptions!$C$8,"No","Yes")</f>
        <v>Yes</v>
      </c>
      <c r="AI6" s="118" t="str">
        <f>IF(AI25&lt;=Assumptions!$C$8,"No","Yes")</f>
        <v>Yes</v>
      </c>
      <c r="AJ6" s="118" t="str">
        <f>IF(AJ25&lt;=Assumptions!$C$8,"No","Yes")</f>
        <v>Yes</v>
      </c>
      <c r="AK6" s="118" t="str">
        <f>IF(AK25&lt;=Assumptions!$C$8,"No","Yes")</f>
        <v>Yes</v>
      </c>
      <c r="AL6" s="118" t="str">
        <f>IF(AL25&lt;=Assumptions!$C$8,"No","Yes")</f>
        <v>Yes</v>
      </c>
      <c r="AM6" s="118" t="str">
        <f>IF(AM25&lt;=Assumptions!$C$8,"No","Yes")</f>
        <v>Yes</v>
      </c>
      <c r="AN6" s="118" t="str">
        <f>IF(AN25&lt;=Assumptions!$C$8,"No","Yes")</f>
        <v>Yes</v>
      </c>
      <c r="AO6" s="118" t="str">
        <f>IF(AO25&lt;=Assumptions!$C$8,"No","Yes")</f>
        <v>Yes</v>
      </c>
      <c r="AP6" s="118" t="str">
        <f>IF(AP25&lt;=Assumptions!$C$8,"No","Yes")</f>
        <v>Yes</v>
      </c>
      <c r="AQ6" s="118" t="str">
        <f>IF(AQ25&lt;=Assumptions!$C$8,"No","Yes")</f>
        <v>Yes</v>
      </c>
      <c r="AR6" s="118" t="str">
        <f>IF(AR25&lt;=Assumptions!$C$8,"No","Yes")</f>
        <v>Yes</v>
      </c>
      <c r="AS6" s="118" t="str">
        <f>IF(AS25&lt;=Assumptions!$C$8,"No","Yes")</f>
        <v>Yes</v>
      </c>
      <c r="AT6" s="118" t="str">
        <f>IF(AT25&lt;=Assumptions!$C$8,"No","Yes")</f>
        <v>Yes</v>
      </c>
      <c r="AU6" s="118" t="str">
        <f>IF(AU25&lt;=Assumptions!$C$8,"No","Yes")</f>
        <v>Yes</v>
      </c>
      <c r="AV6" s="118" t="str">
        <f>IF(AV25&lt;=Assumptions!$C$8,"No","Yes")</f>
        <v>Yes</v>
      </c>
      <c r="AW6" s="118" t="str">
        <f>IF(AW25&lt;=Assumptions!$C$8,"No","Yes")</f>
        <v>Yes</v>
      </c>
      <c r="AX6" s="118" t="str">
        <f>IF(AX25&lt;=Assumptions!$C$8,"No","Yes")</f>
        <v>Yes</v>
      </c>
      <c r="AY6" s="118" t="str">
        <f>IF(AY25&lt;=Assumptions!$C$8,"No","Yes")</f>
        <v>Yes</v>
      </c>
      <c r="AZ6" s="118" t="str">
        <f>IF(AZ25&lt;=Assumptions!$C$8,"No","Yes")</f>
        <v>Yes</v>
      </c>
      <c r="BA6" s="118" t="str">
        <f>IF(BA25&lt;=Assumptions!$C$8,"No","Yes")</f>
        <v>Yes</v>
      </c>
      <c r="BB6" s="118" t="str">
        <f>IF(BB25&lt;=Assumptions!$C$8,"No","Yes")</f>
        <v>Yes</v>
      </c>
      <c r="BC6" s="118" t="str">
        <f>IF(BC25&lt;=Assumptions!$C$8,"No","Yes")</f>
        <v>Yes</v>
      </c>
      <c r="BD6" s="118" t="str">
        <f>IF(BD25&lt;=Assumptions!$C$8,"No","Yes")</f>
        <v>Yes</v>
      </c>
      <c r="BE6" s="118" t="str">
        <f>IF(BE25&lt;=Assumptions!$C$8,"No","Yes")</f>
        <v>Yes</v>
      </c>
      <c r="BF6" s="118" t="str">
        <f>IF(BF25&lt;=Assumptions!$C$8,"No","Yes")</f>
        <v>Yes</v>
      </c>
      <c r="BG6" s="118" t="str">
        <f>IF(BG25&lt;=Assumptions!$C$8,"No","Yes")</f>
        <v>Yes</v>
      </c>
      <c r="BH6" s="118" t="str">
        <f>IF(BH25&lt;=Assumptions!$C$8,"No","Yes")</f>
        <v>Yes</v>
      </c>
      <c r="BI6" s="118" t="str">
        <f>IF(BI25&lt;=Assumptions!$C$8,"No","Yes")</f>
        <v>Yes</v>
      </c>
      <c r="BJ6" s="118" t="str">
        <f>IF(BJ25&lt;=Assumptions!$C$8,"No","Yes")</f>
        <v>Yes</v>
      </c>
      <c r="BK6" s="118" t="str">
        <f>IF(BK25&lt;=Assumptions!$C$8,"No","Yes")</f>
        <v>Yes</v>
      </c>
      <c r="BL6" s="118" t="str">
        <f>IF(BL25&lt;=Assumptions!$C$8,"No","Yes")</f>
        <v>Yes</v>
      </c>
      <c r="BM6" s="118" t="str">
        <f>IF(BM25&lt;=Assumptions!$C$8,"No","Yes")</f>
        <v>Yes</v>
      </c>
      <c r="BN6" s="118" t="str">
        <f>IF(BN25&lt;=Assumptions!$C$8,"No","Yes")</f>
        <v>Yes</v>
      </c>
      <c r="BO6" s="118" t="str">
        <f>IF(BO25&lt;=Assumptions!$C$8,"No","Yes")</f>
        <v>Yes</v>
      </c>
      <c r="BP6" s="118" t="str">
        <f>IF(BP25&lt;=Assumptions!$C$8,"No","Yes")</f>
        <v>Yes</v>
      </c>
      <c r="BQ6" s="118" t="str">
        <f>IF(BQ25&lt;=Assumptions!$C$8,"No","Yes")</f>
        <v>Yes</v>
      </c>
      <c r="BR6" s="118" t="str">
        <f>IF(BR25&lt;=Assumptions!$C$8,"No","Yes")</f>
        <v>Yes</v>
      </c>
      <c r="BS6" s="118" t="str">
        <f>IF(BS25&lt;=Assumptions!$C$8,"No","Yes")</f>
        <v>Yes</v>
      </c>
      <c r="BT6" s="118" t="str">
        <f>IF(BT25&lt;=Assumptions!$C$8,"No","Yes")</f>
        <v>Yes</v>
      </c>
      <c r="BU6" s="118" t="str">
        <f>IF(BU25&lt;=Assumptions!$C$8,"No","Yes")</f>
        <v>Yes</v>
      </c>
      <c r="BV6" s="118" t="str">
        <f>IF(BV25&lt;=Assumptions!$C$8,"No","Yes")</f>
        <v>Yes</v>
      </c>
      <c r="BW6" s="118" t="str">
        <f>IF(BW25&lt;=Assumptions!$C$8,"No","Yes")</f>
        <v>Yes</v>
      </c>
      <c r="BX6" s="118" t="str">
        <f>IF(BX25&lt;=Assumptions!$C$8,"No","Yes")</f>
        <v>Yes</v>
      </c>
      <c r="BY6" s="118" t="str">
        <f>IF(BY25&lt;=Assumptions!$C$8,"No","Yes")</f>
        <v>Yes</v>
      </c>
      <c r="BZ6" s="118" t="str">
        <f>IF(BZ25&lt;=Assumptions!$C$8,"No","Yes")</f>
        <v>Yes</v>
      </c>
      <c r="CA6" s="118" t="str">
        <f>IF(CA25&lt;=Assumptions!$C$8,"No","Yes")</f>
        <v>Yes</v>
      </c>
      <c r="CB6" s="118" t="str">
        <f>IF(CB25&lt;=Assumptions!$C$8,"No","Yes")</f>
        <v>Yes</v>
      </c>
      <c r="CC6" s="118" t="str">
        <f>IF(CC25&lt;=Assumptions!$C$8,"No","Yes")</f>
        <v>Yes</v>
      </c>
      <c r="CD6" s="118" t="str">
        <f>IF(CD25&lt;=Assumptions!$C$8,"No","Yes")</f>
        <v>Yes</v>
      </c>
      <c r="CE6" s="118" t="str">
        <f>IF(CE25&lt;=Assumptions!$C$8,"No","Yes")</f>
        <v>Yes</v>
      </c>
      <c r="CF6" s="118" t="str">
        <f>IF(CF25&lt;=Assumptions!$C$8,"No","Yes")</f>
        <v>Yes</v>
      </c>
      <c r="CG6" s="118" t="str">
        <f>IF(CG25&lt;=Assumptions!$C$8,"No","Yes")</f>
        <v>Yes</v>
      </c>
      <c r="CH6" s="118" t="str">
        <f>IF(CH25&lt;=Assumptions!$C$8,"No","Yes")</f>
        <v>Yes</v>
      </c>
      <c r="CI6" s="118" t="str">
        <f>IF(CI25&lt;=Assumptions!$C$8,"No","Yes")</f>
        <v>Yes</v>
      </c>
      <c r="CJ6" s="118" t="str">
        <f>IF(CJ25&lt;=Assumptions!$C$8,"No","Yes")</f>
        <v>Yes</v>
      </c>
      <c r="CK6" s="118" t="str">
        <f>IF(CK25&lt;=Assumptions!$C$8,"No","Yes")</f>
        <v>Yes</v>
      </c>
      <c r="CL6" s="118" t="str">
        <f>IF(CL25&lt;=Assumptions!$C$8,"No","Yes")</f>
        <v>Yes</v>
      </c>
      <c r="CM6" s="118" t="str">
        <f>IF(CM25&lt;=Assumptions!$C$8,"No","Yes")</f>
        <v>Yes</v>
      </c>
      <c r="CN6" s="118" t="str">
        <f>IF(CN25&lt;=Assumptions!$C$8,"No","Yes")</f>
        <v>Yes</v>
      </c>
      <c r="CO6" s="118" t="str">
        <f>IF(CO25&lt;=Assumptions!$C$8,"No","Yes")</f>
        <v>Yes</v>
      </c>
      <c r="CP6" s="118" t="str">
        <f>IF(CP25&lt;=Assumptions!$C$8,"No","Yes")</f>
        <v>Yes</v>
      </c>
      <c r="CQ6" s="118" t="str">
        <f>IF(CQ25&lt;=Assumptions!$C$8,"No","Yes")</f>
        <v>Yes</v>
      </c>
      <c r="CR6" s="118" t="str">
        <f>IF(CR25&lt;=Assumptions!$C$8,"No","Yes")</f>
        <v>Yes</v>
      </c>
      <c r="CS6" s="118" t="str">
        <f>IF(CS25&lt;=Assumptions!$C$8,"No","Yes")</f>
        <v>Yes</v>
      </c>
      <c r="CT6" s="118" t="str">
        <f>IF(CT25&lt;=Assumptions!$C$8,"No","Yes")</f>
        <v>Yes</v>
      </c>
      <c r="CU6" s="118" t="str">
        <f>IF(CU25&lt;=Assumptions!$C$8,"No","Yes")</f>
        <v>Yes</v>
      </c>
      <c r="CV6" s="118" t="str">
        <f>IF(CV25&lt;=Assumptions!$C$8,"No","Yes")</f>
        <v>Yes</v>
      </c>
      <c r="CW6" s="118" t="str">
        <f>IF(CW25&lt;=Assumptions!$C$8,"No","Yes")</f>
        <v>Yes</v>
      </c>
      <c r="CX6" s="118" t="str">
        <f>IF(CX25&lt;=Assumptions!$C$8,"No","Yes")</f>
        <v>Yes</v>
      </c>
      <c r="CY6" s="118" t="str">
        <f>IF(CY25&lt;=Assumptions!$C$8,"No","Yes")</f>
        <v>Yes</v>
      </c>
      <c r="CZ6" s="118" t="str">
        <f>IF(CZ25&lt;=Assumptions!$C$8,"No","Yes")</f>
        <v>Yes</v>
      </c>
      <c r="DA6" s="118" t="str">
        <f>IF(DA25&lt;=Assumptions!$C$8,"No","Yes")</f>
        <v>Yes</v>
      </c>
      <c r="DB6" s="118" t="str">
        <f>IF(DB25&lt;=Assumptions!$C$8,"No","Yes")</f>
        <v>Yes</v>
      </c>
      <c r="DC6" s="118" t="str">
        <f>IF(DC25&lt;=Assumptions!$C$8,"No","Yes")</f>
        <v>Yes</v>
      </c>
      <c r="DD6" s="118" t="str">
        <f>IF(DD25&lt;=Assumptions!$C$8,"No","Yes")</f>
        <v>Yes</v>
      </c>
      <c r="DE6" s="118" t="str">
        <f>IF(DE25&lt;=Assumptions!$C$8,"No","Yes")</f>
        <v>Yes</v>
      </c>
      <c r="DF6" s="118" t="str">
        <f>IF(DF25&lt;=Assumptions!$C$8,"No","Yes")</f>
        <v>Yes</v>
      </c>
      <c r="DG6" s="118" t="str">
        <f>IF(DG25&lt;=Assumptions!$C$8,"No","Yes")</f>
        <v>Yes</v>
      </c>
      <c r="DH6" s="118" t="str">
        <f>IF(DH25&lt;=Assumptions!$C$8,"No","Yes")</f>
        <v>Yes</v>
      </c>
      <c r="DI6" s="118" t="str">
        <f>IF(DI25&lt;=Assumptions!$C$8,"No","Yes")</f>
        <v>Yes</v>
      </c>
      <c r="DJ6" s="118" t="str">
        <f>IF(DJ25&lt;=Assumptions!$C$8,"No","Yes")</f>
        <v>Yes</v>
      </c>
      <c r="DK6" s="118" t="str">
        <f>IF(DK25&lt;=Assumptions!$C$8,"No","Yes")</f>
        <v>Yes</v>
      </c>
      <c r="DL6" s="118" t="str">
        <f>IF(DL25&lt;=Assumptions!$C$8,"No","Yes")</f>
        <v>Yes</v>
      </c>
      <c r="DM6" s="118" t="str">
        <f>IF(DM25&lt;=Assumptions!$C$8,"No","Yes")</f>
        <v>Yes</v>
      </c>
      <c r="DN6" s="118" t="str">
        <f>IF(DN25&lt;=Assumptions!$C$8,"No","Yes")</f>
        <v>Yes</v>
      </c>
      <c r="DO6" s="118" t="str">
        <f>IF(DO25&lt;=Assumptions!$C$8,"No","Yes")</f>
        <v>Yes</v>
      </c>
      <c r="DP6" s="118" t="str">
        <f>IF(DP25&lt;=Assumptions!$C$8,"No","Yes")</f>
        <v>Yes</v>
      </c>
      <c r="DQ6" s="118" t="str">
        <f>IF(DQ25&lt;=Assumptions!$C$8,"No","Yes")</f>
        <v>Yes</v>
      </c>
      <c r="DR6" s="118" t="str">
        <f>IF(DR25&lt;=Assumptions!$C$8,"No","Yes")</f>
        <v>Yes</v>
      </c>
      <c r="DS6" s="118" t="str">
        <f>IF(DS25&lt;=Assumptions!$C$8,"No","Yes")</f>
        <v>Yes</v>
      </c>
      <c r="DT6" s="118" t="str">
        <f>IF(DT25&lt;=Assumptions!$C$8,"No","Yes")</f>
        <v>Yes</v>
      </c>
      <c r="DU6" s="118" t="str">
        <f>IF(DU25&lt;=Assumptions!$C$8,"No","Yes")</f>
        <v>Yes</v>
      </c>
      <c r="DV6" s="118" t="str">
        <f>IF(DV25&lt;=Assumptions!$C$8,"No","Yes")</f>
        <v>Yes</v>
      </c>
      <c r="DW6" s="118" t="str">
        <f>IF(DW25&lt;=Assumptions!$C$8,"No","Yes")</f>
        <v>Yes</v>
      </c>
    </row>
    <row r="7" spans="2:127" x14ac:dyDescent="0.3">
      <c r="B7" s="53" t="s">
        <v>292</v>
      </c>
      <c r="C7" s="69">
        <f>0.002*0.85</f>
        <v>1.6999999999999999E-3</v>
      </c>
      <c r="D7" s="69">
        <f t="shared" ref="D7:BO7" si="0">0.002*0.85</f>
        <v>1.6999999999999999E-3</v>
      </c>
      <c r="E7" s="69">
        <f t="shared" si="0"/>
        <v>1.6999999999999999E-3</v>
      </c>
      <c r="F7" s="69">
        <f t="shared" si="0"/>
        <v>1.6999999999999999E-3</v>
      </c>
      <c r="G7" s="69">
        <f t="shared" si="0"/>
        <v>1.6999999999999999E-3</v>
      </c>
      <c r="H7" s="69">
        <f t="shared" si="0"/>
        <v>1.6999999999999999E-3</v>
      </c>
      <c r="I7" s="69">
        <f t="shared" si="0"/>
        <v>1.6999999999999999E-3</v>
      </c>
      <c r="J7" s="69">
        <f t="shared" si="0"/>
        <v>1.6999999999999999E-3</v>
      </c>
      <c r="K7" s="69">
        <f t="shared" si="0"/>
        <v>1.6999999999999999E-3</v>
      </c>
      <c r="L7" s="69">
        <f t="shared" si="0"/>
        <v>1.6999999999999999E-3</v>
      </c>
      <c r="M7" s="69">
        <f t="shared" si="0"/>
        <v>1.6999999999999999E-3</v>
      </c>
      <c r="N7" s="69">
        <f t="shared" si="0"/>
        <v>1.6999999999999999E-3</v>
      </c>
      <c r="O7" s="69">
        <f t="shared" si="0"/>
        <v>1.6999999999999999E-3</v>
      </c>
      <c r="P7" s="69">
        <f t="shared" si="0"/>
        <v>1.6999999999999999E-3</v>
      </c>
      <c r="Q7" s="69">
        <f t="shared" si="0"/>
        <v>1.6999999999999999E-3</v>
      </c>
      <c r="R7" s="69">
        <f t="shared" si="0"/>
        <v>1.6999999999999999E-3</v>
      </c>
      <c r="S7" s="69">
        <f t="shared" si="0"/>
        <v>1.6999999999999999E-3</v>
      </c>
      <c r="T7" s="69">
        <f t="shared" si="0"/>
        <v>1.6999999999999999E-3</v>
      </c>
      <c r="U7" s="69">
        <f t="shared" si="0"/>
        <v>1.6999999999999999E-3</v>
      </c>
      <c r="V7" s="69">
        <f t="shared" si="0"/>
        <v>1.6999999999999999E-3</v>
      </c>
      <c r="W7" s="69">
        <f t="shared" si="0"/>
        <v>1.6999999999999999E-3</v>
      </c>
      <c r="X7" s="69">
        <f t="shared" si="0"/>
        <v>1.6999999999999999E-3</v>
      </c>
      <c r="Y7" s="69">
        <f t="shared" si="0"/>
        <v>1.6999999999999999E-3</v>
      </c>
      <c r="Z7" s="69">
        <f t="shared" si="0"/>
        <v>1.6999999999999999E-3</v>
      </c>
      <c r="AA7" s="69">
        <f t="shared" si="0"/>
        <v>1.6999999999999999E-3</v>
      </c>
      <c r="AB7" s="69">
        <f t="shared" si="0"/>
        <v>1.6999999999999999E-3</v>
      </c>
      <c r="AC7" s="69">
        <f t="shared" si="0"/>
        <v>1.6999999999999999E-3</v>
      </c>
      <c r="AD7" s="69">
        <f t="shared" si="0"/>
        <v>1.6999999999999999E-3</v>
      </c>
      <c r="AE7" s="69">
        <f t="shared" si="0"/>
        <v>1.6999999999999999E-3</v>
      </c>
      <c r="AF7" s="69">
        <f t="shared" si="0"/>
        <v>1.6999999999999999E-3</v>
      </c>
      <c r="AG7" s="69">
        <f t="shared" si="0"/>
        <v>1.6999999999999999E-3</v>
      </c>
      <c r="AH7" s="69">
        <f t="shared" si="0"/>
        <v>1.6999999999999999E-3</v>
      </c>
      <c r="AI7" s="69">
        <f t="shared" si="0"/>
        <v>1.6999999999999999E-3</v>
      </c>
      <c r="AJ7" s="69">
        <f t="shared" si="0"/>
        <v>1.6999999999999999E-3</v>
      </c>
      <c r="AK7" s="69">
        <f t="shared" si="0"/>
        <v>1.6999999999999999E-3</v>
      </c>
      <c r="AL7" s="69">
        <f t="shared" si="0"/>
        <v>1.6999999999999999E-3</v>
      </c>
      <c r="AM7" s="69">
        <f t="shared" si="0"/>
        <v>1.6999999999999999E-3</v>
      </c>
      <c r="AN7" s="69">
        <f t="shared" si="0"/>
        <v>1.6999999999999999E-3</v>
      </c>
      <c r="AO7" s="69">
        <f t="shared" si="0"/>
        <v>1.6999999999999999E-3</v>
      </c>
      <c r="AP7" s="69">
        <f t="shared" si="0"/>
        <v>1.6999999999999999E-3</v>
      </c>
      <c r="AQ7" s="69">
        <f t="shared" si="0"/>
        <v>1.6999999999999999E-3</v>
      </c>
      <c r="AR7" s="69">
        <f t="shared" si="0"/>
        <v>1.6999999999999999E-3</v>
      </c>
      <c r="AS7" s="69">
        <f t="shared" si="0"/>
        <v>1.6999999999999999E-3</v>
      </c>
      <c r="AT7" s="69">
        <f t="shared" si="0"/>
        <v>1.6999999999999999E-3</v>
      </c>
      <c r="AU7" s="69">
        <f t="shared" si="0"/>
        <v>1.6999999999999999E-3</v>
      </c>
      <c r="AV7" s="69">
        <f t="shared" si="0"/>
        <v>1.6999999999999999E-3</v>
      </c>
      <c r="AW7" s="69">
        <f t="shared" si="0"/>
        <v>1.6999999999999999E-3</v>
      </c>
      <c r="AX7" s="69">
        <f t="shared" si="0"/>
        <v>1.6999999999999999E-3</v>
      </c>
      <c r="AY7" s="69">
        <f t="shared" si="0"/>
        <v>1.6999999999999999E-3</v>
      </c>
      <c r="AZ7" s="69">
        <f t="shared" si="0"/>
        <v>1.6999999999999999E-3</v>
      </c>
      <c r="BA7" s="69">
        <f t="shared" si="0"/>
        <v>1.6999999999999999E-3</v>
      </c>
      <c r="BB7" s="69">
        <f t="shared" si="0"/>
        <v>1.6999999999999999E-3</v>
      </c>
      <c r="BC7" s="69">
        <f t="shared" si="0"/>
        <v>1.6999999999999999E-3</v>
      </c>
      <c r="BD7" s="69">
        <f t="shared" si="0"/>
        <v>1.6999999999999999E-3</v>
      </c>
      <c r="BE7" s="69">
        <f t="shared" si="0"/>
        <v>1.6999999999999999E-3</v>
      </c>
      <c r="BF7" s="69">
        <f t="shared" si="0"/>
        <v>1.6999999999999999E-3</v>
      </c>
      <c r="BG7" s="69">
        <f t="shared" si="0"/>
        <v>1.6999999999999999E-3</v>
      </c>
      <c r="BH7" s="69">
        <f t="shared" si="0"/>
        <v>1.6999999999999999E-3</v>
      </c>
      <c r="BI7" s="69">
        <f t="shared" si="0"/>
        <v>1.6999999999999999E-3</v>
      </c>
      <c r="BJ7" s="69">
        <f t="shared" si="0"/>
        <v>1.6999999999999999E-3</v>
      </c>
      <c r="BK7" s="69">
        <f t="shared" si="0"/>
        <v>1.6999999999999999E-3</v>
      </c>
      <c r="BL7" s="69">
        <f t="shared" si="0"/>
        <v>1.6999999999999999E-3</v>
      </c>
      <c r="BM7" s="69">
        <f t="shared" si="0"/>
        <v>1.6999999999999999E-3</v>
      </c>
      <c r="BN7" s="69">
        <f t="shared" si="0"/>
        <v>1.6999999999999999E-3</v>
      </c>
      <c r="BO7" s="69">
        <f t="shared" si="0"/>
        <v>1.6999999999999999E-3</v>
      </c>
      <c r="BP7" s="69">
        <f t="shared" ref="BP7:DW7" si="1">0.002*0.85</f>
        <v>1.6999999999999999E-3</v>
      </c>
      <c r="BQ7" s="69">
        <f t="shared" si="1"/>
        <v>1.6999999999999999E-3</v>
      </c>
      <c r="BR7" s="69">
        <f t="shared" si="1"/>
        <v>1.6999999999999999E-3</v>
      </c>
      <c r="BS7" s="69">
        <f t="shared" si="1"/>
        <v>1.6999999999999999E-3</v>
      </c>
      <c r="BT7" s="69">
        <f t="shared" si="1"/>
        <v>1.6999999999999999E-3</v>
      </c>
      <c r="BU7" s="69">
        <f t="shared" si="1"/>
        <v>1.6999999999999999E-3</v>
      </c>
      <c r="BV7" s="69">
        <f t="shared" si="1"/>
        <v>1.6999999999999999E-3</v>
      </c>
      <c r="BW7" s="69">
        <f t="shared" si="1"/>
        <v>1.6999999999999999E-3</v>
      </c>
      <c r="BX7" s="69">
        <f t="shared" si="1"/>
        <v>1.6999999999999999E-3</v>
      </c>
      <c r="BY7" s="69">
        <f t="shared" si="1"/>
        <v>1.6999999999999999E-3</v>
      </c>
      <c r="BZ7" s="69">
        <f t="shared" si="1"/>
        <v>1.6999999999999999E-3</v>
      </c>
      <c r="CA7" s="69">
        <f t="shared" si="1"/>
        <v>1.6999999999999999E-3</v>
      </c>
      <c r="CB7" s="69">
        <f t="shared" si="1"/>
        <v>1.6999999999999999E-3</v>
      </c>
      <c r="CC7" s="69">
        <f t="shared" si="1"/>
        <v>1.6999999999999999E-3</v>
      </c>
      <c r="CD7" s="69">
        <f t="shared" si="1"/>
        <v>1.6999999999999999E-3</v>
      </c>
      <c r="CE7" s="69">
        <f t="shared" si="1"/>
        <v>1.6999999999999999E-3</v>
      </c>
      <c r="CF7" s="69">
        <f t="shared" si="1"/>
        <v>1.6999999999999999E-3</v>
      </c>
      <c r="CG7" s="69">
        <f t="shared" si="1"/>
        <v>1.6999999999999999E-3</v>
      </c>
      <c r="CH7" s="69">
        <f t="shared" si="1"/>
        <v>1.6999999999999999E-3</v>
      </c>
      <c r="CI7" s="69">
        <f t="shared" si="1"/>
        <v>1.6999999999999999E-3</v>
      </c>
      <c r="CJ7" s="69">
        <f t="shared" si="1"/>
        <v>1.6999999999999999E-3</v>
      </c>
      <c r="CK7" s="69">
        <f t="shared" si="1"/>
        <v>1.6999999999999999E-3</v>
      </c>
      <c r="CL7" s="69">
        <f t="shared" si="1"/>
        <v>1.6999999999999999E-3</v>
      </c>
      <c r="CM7" s="69">
        <f t="shared" si="1"/>
        <v>1.6999999999999999E-3</v>
      </c>
      <c r="CN7" s="69">
        <f t="shared" si="1"/>
        <v>1.6999999999999999E-3</v>
      </c>
      <c r="CO7" s="69">
        <f t="shared" si="1"/>
        <v>1.6999999999999999E-3</v>
      </c>
      <c r="CP7" s="69">
        <f t="shared" si="1"/>
        <v>1.6999999999999999E-3</v>
      </c>
      <c r="CQ7" s="69">
        <f t="shared" si="1"/>
        <v>1.6999999999999999E-3</v>
      </c>
      <c r="CR7" s="69">
        <f t="shared" si="1"/>
        <v>1.6999999999999999E-3</v>
      </c>
      <c r="CS7" s="69">
        <f t="shared" si="1"/>
        <v>1.6999999999999999E-3</v>
      </c>
      <c r="CT7" s="69">
        <f t="shared" si="1"/>
        <v>1.6999999999999999E-3</v>
      </c>
      <c r="CU7" s="69">
        <f t="shared" si="1"/>
        <v>1.6999999999999999E-3</v>
      </c>
      <c r="CV7" s="69">
        <f t="shared" si="1"/>
        <v>1.6999999999999999E-3</v>
      </c>
      <c r="CW7" s="69">
        <f t="shared" si="1"/>
        <v>1.6999999999999999E-3</v>
      </c>
      <c r="CX7" s="69">
        <f t="shared" si="1"/>
        <v>1.6999999999999999E-3</v>
      </c>
      <c r="CY7" s="69">
        <f t="shared" si="1"/>
        <v>1.6999999999999999E-3</v>
      </c>
      <c r="CZ7" s="69">
        <f t="shared" si="1"/>
        <v>1.6999999999999999E-3</v>
      </c>
      <c r="DA7" s="69">
        <f t="shared" si="1"/>
        <v>1.6999999999999999E-3</v>
      </c>
      <c r="DB7" s="69">
        <f t="shared" si="1"/>
        <v>1.6999999999999999E-3</v>
      </c>
      <c r="DC7" s="69">
        <f t="shared" si="1"/>
        <v>1.6999999999999999E-3</v>
      </c>
      <c r="DD7" s="69">
        <f t="shared" si="1"/>
        <v>1.6999999999999999E-3</v>
      </c>
      <c r="DE7" s="69">
        <f t="shared" si="1"/>
        <v>1.6999999999999999E-3</v>
      </c>
      <c r="DF7" s="69">
        <f t="shared" si="1"/>
        <v>1.6999999999999999E-3</v>
      </c>
      <c r="DG7" s="69">
        <f t="shared" si="1"/>
        <v>1.6999999999999999E-3</v>
      </c>
      <c r="DH7" s="69">
        <f t="shared" si="1"/>
        <v>1.6999999999999999E-3</v>
      </c>
      <c r="DI7" s="69">
        <f t="shared" si="1"/>
        <v>1.6999999999999999E-3</v>
      </c>
      <c r="DJ7" s="69">
        <f t="shared" si="1"/>
        <v>1.6999999999999999E-3</v>
      </c>
      <c r="DK7" s="69">
        <f t="shared" si="1"/>
        <v>1.6999999999999999E-3</v>
      </c>
      <c r="DL7" s="69">
        <f t="shared" si="1"/>
        <v>1.6999999999999999E-3</v>
      </c>
      <c r="DM7" s="69">
        <f t="shared" si="1"/>
        <v>1.6999999999999999E-3</v>
      </c>
      <c r="DN7" s="69">
        <f t="shared" si="1"/>
        <v>1.6999999999999999E-3</v>
      </c>
      <c r="DO7" s="69">
        <f t="shared" si="1"/>
        <v>1.6999999999999999E-3</v>
      </c>
      <c r="DP7" s="69">
        <f t="shared" si="1"/>
        <v>1.6999999999999999E-3</v>
      </c>
      <c r="DQ7" s="69">
        <f t="shared" si="1"/>
        <v>1.6999999999999999E-3</v>
      </c>
      <c r="DR7" s="69">
        <f t="shared" si="1"/>
        <v>1.6999999999999999E-3</v>
      </c>
      <c r="DS7" s="69">
        <f t="shared" si="1"/>
        <v>1.6999999999999999E-3</v>
      </c>
      <c r="DT7" s="69">
        <f t="shared" si="1"/>
        <v>1.6999999999999999E-3</v>
      </c>
      <c r="DU7" s="69">
        <f t="shared" si="1"/>
        <v>1.6999999999999999E-3</v>
      </c>
      <c r="DV7" s="69">
        <f t="shared" si="1"/>
        <v>1.6999999999999999E-3</v>
      </c>
      <c r="DW7" s="69">
        <f t="shared" si="1"/>
        <v>1.6999999999999999E-3</v>
      </c>
    </row>
    <row r="8" spans="2:127" x14ac:dyDescent="0.3">
      <c r="B8" s="53" t="s">
        <v>294</v>
      </c>
      <c r="C8" s="69">
        <f>+Assumptions!$C$19*Assumptions!$D$19</f>
        <v>7.0701552000000008E-3</v>
      </c>
      <c r="D8" s="69">
        <f>+Assumptions!$C$19*Assumptions!$D$19</f>
        <v>7.0701552000000008E-3</v>
      </c>
      <c r="E8" s="69">
        <f>+Assumptions!$C$19*Assumptions!$D$19</f>
        <v>7.0701552000000008E-3</v>
      </c>
      <c r="F8" s="69">
        <f>+Assumptions!$C$19*Assumptions!$D$19</f>
        <v>7.0701552000000008E-3</v>
      </c>
      <c r="G8" s="69">
        <f>+Assumptions!$C$19*Assumptions!$D$19</f>
        <v>7.0701552000000008E-3</v>
      </c>
      <c r="H8" s="69">
        <f>+Assumptions!$C$19*Assumptions!$D$19</f>
        <v>7.0701552000000008E-3</v>
      </c>
      <c r="I8" s="69">
        <f>+Assumptions!$C$19*Assumptions!$D$19</f>
        <v>7.0701552000000008E-3</v>
      </c>
      <c r="J8" s="69">
        <f>+Assumptions!$C$19*Assumptions!$D$19</f>
        <v>7.0701552000000008E-3</v>
      </c>
      <c r="K8" s="69">
        <f>+Assumptions!$C$19*Assumptions!$D$19</f>
        <v>7.0701552000000008E-3</v>
      </c>
      <c r="L8" s="69">
        <f>+Assumptions!$C$19*Assumptions!$D$19</f>
        <v>7.0701552000000008E-3</v>
      </c>
      <c r="M8" s="69">
        <f>+Assumptions!$C$19*Assumptions!$D$19</f>
        <v>7.0701552000000008E-3</v>
      </c>
      <c r="N8" s="69">
        <f>+Assumptions!$C$19*Assumptions!$D$19</f>
        <v>7.0701552000000008E-3</v>
      </c>
      <c r="O8" s="69">
        <f>+Assumptions!$C$19*Assumptions!$D$19</f>
        <v>7.0701552000000008E-3</v>
      </c>
      <c r="P8" s="69">
        <f>+Assumptions!$C$19*Assumptions!$D$19</f>
        <v>7.0701552000000008E-3</v>
      </c>
      <c r="Q8" s="69">
        <f>+Assumptions!$C$19*Assumptions!$D$19</f>
        <v>7.0701552000000008E-3</v>
      </c>
      <c r="R8" s="69">
        <f>+Assumptions!$C$19*Assumptions!$D$19</f>
        <v>7.0701552000000008E-3</v>
      </c>
      <c r="S8" s="69">
        <f>+Assumptions!$C$19*Assumptions!$D$19</f>
        <v>7.0701552000000008E-3</v>
      </c>
      <c r="T8" s="69">
        <f>+Assumptions!$C$19*Assumptions!$D$19</f>
        <v>7.0701552000000008E-3</v>
      </c>
      <c r="U8" s="69">
        <f>+Assumptions!$C$19*Assumptions!$D$19</f>
        <v>7.0701552000000008E-3</v>
      </c>
      <c r="V8" s="69">
        <f>+Assumptions!$C$19*Assumptions!$D$19</f>
        <v>7.0701552000000008E-3</v>
      </c>
      <c r="W8" s="69">
        <f>+Assumptions!$C$19*Assumptions!$D$19</f>
        <v>7.0701552000000008E-3</v>
      </c>
      <c r="X8" s="69">
        <f>+Assumptions!$C$19*Assumptions!$D$19</f>
        <v>7.0701552000000008E-3</v>
      </c>
      <c r="Y8" s="69">
        <f>+Assumptions!$C$19*Assumptions!$D$19</f>
        <v>7.0701552000000008E-3</v>
      </c>
      <c r="Z8" s="69">
        <f>+Assumptions!$C$19*Assumptions!$D$19</f>
        <v>7.0701552000000008E-3</v>
      </c>
      <c r="AA8" s="69">
        <f>+Assumptions!$C$19*Assumptions!$D$19</f>
        <v>7.0701552000000008E-3</v>
      </c>
      <c r="AB8" s="69">
        <f>+Assumptions!$C$19*Assumptions!$D$19</f>
        <v>7.0701552000000008E-3</v>
      </c>
      <c r="AC8" s="69">
        <f>+Assumptions!$C$19*Assumptions!$D$19</f>
        <v>7.0701552000000008E-3</v>
      </c>
      <c r="AD8" s="69">
        <f>+Assumptions!$C$19*Assumptions!$D$19</f>
        <v>7.0701552000000008E-3</v>
      </c>
      <c r="AE8" s="69">
        <f>+Assumptions!$C$19*Assumptions!$D$19</f>
        <v>7.0701552000000008E-3</v>
      </c>
      <c r="AF8" s="69">
        <f>+Assumptions!$C$19*Assumptions!$D$19</f>
        <v>7.0701552000000008E-3</v>
      </c>
      <c r="AG8" s="69">
        <f>+Assumptions!$C$19*Assumptions!$D$19</f>
        <v>7.0701552000000008E-3</v>
      </c>
      <c r="AH8" s="69">
        <f>+Assumptions!$C$19*Assumptions!$D$19</f>
        <v>7.0701552000000008E-3</v>
      </c>
      <c r="AI8" s="69">
        <f>+Assumptions!$C$19*Assumptions!$D$19</f>
        <v>7.0701552000000008E-3</v>
      </c>
      <c r="AJ8" s="69">
        <f>+Assumptions!$C$19*Assumptions!$D$19</f>
        <v>7.0701552000000008E-3</v>
      </c>
      <c r="AK8" s="69">
        <f>+Assumptions!$C$19*Assumptions!$D$19</f>
        <v>7.0701552000000008E-3</v>
      </c>
      <c r="AL8" s="69">
        <f>+Assumptions!$C$19*Assumptions!$D$19</f>
        <v>7.0701552000000008E-3</v>
      </c>
      <c r="AM8" s="69">
        <f>+Assumptions!$C$19*Assumptions!$D$19</f>
        <v>7.0701552000000008E-3</v>
      </c>
      <c r="AN8" s="69">
        <f>+Assumptions!$C$19*Assumptions!$D$19</f>
        <v>7.0701552000000008E-3</v>
      </c>
      <c r="AO8" s="69">
        <f>+Assumptions!$C$19*Assumptions!$D$19</f>
        <v>7.0701552000000008E-3</v>
      </c>
      <c r="AP8" s="69">
        <f>+Assumptions!$C$19*Assumptions!$D$19</f>
        <v>7.0701552000000008E-3</v>
      </c>
      <c r="AQ8" s="69">
        <f>+Assumptions!$C$19*Assumptions!$D$19</f>
        <v>7.0701552000000008E-3</v>
      </c>
      <c r="AR8" s="69">
        <f>+Assumptions!$C$19*Assumptions!$D$19</f>
        <v>7.0701552000000008E-3</v>
      </c>
      <c r="AS8" s="69">
        <f>+Assumptions!$C$19*Assumptions!$D$19</f>
        <v>7.0701552000000008E-3</v>
      </c>
      <c r="AT8" s="69">
        <f>+Assumptions!$C$19*Assumptions!$D$19</f>
        <v>7.0701552000000008E-3</v>
      </c>
      <c r="AU8" s="69">
        <f>+Assumptions!$C$19*Assumptions!$D$19</f>
        <v>7.0701552000000008E-3</v>
      </c>
      <c r="AV8" s="69">
        <f>+Assumptions!$C$19*Assumptions!$D$19</f>
        <v>7.0701552000000008E-3</v>
      </c>
      <c r="AW8" s="69">
        <f>+Assumptions!$C$19*Assumptions!$D$19</f>
        <v>7.0701552000000008E-3</v>
      </c>
      <c r="AX8" s="69">
        <f>+Assumptions!$C$19*Assumptions!$D$19</f>
        <v>7.0701552000000008E-3</v>
      </c>
      <c r="AY8" s="69">
        <f>+Assumptions!$C$19*Assumptions!$D$19</f>
        <v>7.0701552000000008E-3</v>
      </c>
      <c r="AZ8" s="69">
        <f>+Assumptions!$C$19*Assumptions!$D$19</f>
        <v>7.0701552000000008E-3</v>
      </c>
      <c r="BA8" s="69">
        <f>+Assumptions!$C$19*Assumptions!$D$19</f>
        <v>7.0701552000000008E-3</v>
      </c>
      <c r="BB8" s="69">
        <f>+Assumptions!$C$19*Assumptions!$D$19</f>
        <v>7.0701552000000008E-3</v>
      </c>
      <c r="BC8" s="69">
        <f>+Assumptions!$C$19*Assumptions!$D$19</f>
        <v>7.0701552000000008E-3</v>
      </c>
      <c r="BD8" s="69">
        <f>+Assumptions!$C$19*Assumptions!$D$19</f>
        <v>7.0701552000000008E-3</v>
      </c>
      <c r="BE8" s="69">
        <f>+Assumptions!$C$19*Assumptions!$D$19</f>
        <v>7.0701552000000008E-3</v>
      </c>
      <c r="BF8" s="69">
        <f>+Assumptions!$C$19*Assumptions!$D$19</f>
        <v>7.0701552000000008E-3</v>
      </c>
      <c r="BG8" s="69">
        <f>+Assumptions!$C$19*Assumptions!$D$19</f>
        <v>7.0701552000000008E-3</v>
      </c>
      <c r="BH8" s="69">
        <f>+Assumptions!$C$19*Assumptions!$D$19</f>
        <v>7.0701552000000008E-3</v>
      </c>
      <c r="BI8" s="69">
        <f>+Assumptions!$C$19*Assumptions!$D$19</f>
        <v>7.0701552000000008E-3</v>
      </c>
      <c r="BJ8" s="69">
        <f>+Assumptions!$C$19*Assumptions!$D$19</f>
        <v>7.0701552000000008E-3</v>
      </c>
      <c r="BK8" s="69">
        <f>+Assumptions!$C$19*Assumptions!$D$19</f>
        <v>7.0701552000000008E-3</v>
      </c>
      <c r="BL8" s="69">
        <f>+Assumptions!$C$19*Assumptions!$D$19</f>
        <v>7.0701552000000008E-3</v>
      </c>
      <c r="BM8" s="69">
        <f>+Assumptions!$C$19*Assumptions!$D$19</f>
        <v>7.0701552000000008E-3</v>
      </c>
      <c r="BN8" s="69">
        <f>+Assumptions!$C$19*Assumptions!$D$19</f>
        <v>7.0701552000000008E-3</v>
      </c>
      <c r="BO8" s="69">
        <f>+Assumptions!$C$19*Assumptions!$D$19</f>
        <v>7.0701552000000008E-3</v>
      </c>
      <c r="BP8" s="69">
        <f>+Assumptions!$C$19*Assumptions!$D$19</f>
        <v>7.0701552000000008E-3</v>
      </c>
      <c r="BQ8" s="69">
        <f>+Assumptions!$C$19*Assumptions!$D$19</f>
        <v>7.0701552000000008E-3</v>
      </c>
      <c r="BR8" s="69">
        <f>+Assumptions!$C$19*Assumptions!$D$19</f>
        <v>7.0701552000000008E-3</v>
      </c>
      <c r="BS8" s="69">
        <f>+Assumptions!$C$19*Assumptions!$D$19</f>
        <v>7.0701552000000008E-3</v>
      </c>
      <c r="BT8" s="69">
        <f>+Assumptions!$C$19*Assumptions!$D$19</f>
        <v>7.0701552000000008E-3</v>
      </c>
      <c r="BU8" s="69">
        <f>+Assumptions!$C$19*Assumptions!$D$19</f>
        <v>7.0701552000000008E-3</v>
      </c>
      <c r="BV8" s="69">
        <f>+Assumptions!$C$19*Assumptions!$D$19</f>
        <v>7.0701552000000008E-3</v>
      </c>
      <c r="BW8" s="69">
        <f>+Assumptions!$C$19*Assumptions!$D$19</f>
        <v>7.0701552000000008E-3</v>
      </c>
      <c r="BX8" s="69">
        <f>+Assumptions!$C$19*Assumptions!$D$19</f>
        <v>7.0701552000000008E-3</v>
      </c>
      <c r="BY8" s="69">
        <f>+Assumptions!$C$19*Assumptions!$D$19</f>
        <v>7.0701552000000008E-3</v>
      </c>
      <c r="BZ8" s="69">
        <f>+Assumptions!$C$19*Assumptions!$D$19</f>
        <v>7.0701552000000008E-3</v>
      </c>
      <c r="CA8" s="69">
        <f>+Assumptions!$C$19*Assumptions!$D$19</f>
        <v>7.0701552000000008E-3</v>
      </c>
      <c r="CB8" s="69">
        <f>+Assumptions!$C$19*Assumptions!$D$19</f>
        <v>7.0701552000000008E-3</v>
      </c>
      <c r="CC8" s="69">
        <f>+Assumptions!$C$19*Assumptions!$D$19</f>
        <v>7.0701552000000008E-3</v>
      </c>
      <c r="CD8" s="69">
        <f>+Assumptions!$C$19*Assumptions!$D$19</f>
        <v>7.0701552000000008E-3</v>
      </c>
      <c r="CE8" s="69">
        <f>+Assumptions!$C$19*Assumptions!$D$19</f>
        <v>7.0701552000000008E-3</v>
      </c>
      <c r="CF8" s="69">
        <f>+Assumptions!$C$19*Assumptions!$D$19</f>
        <v>7.0701552000000008E-3</v>
      </c>
      <c r="CG8" s="69">
        <f>+Assumptions!$C$19*Assumptions!$D$19</f>
        <v>7.0701552000000008E-3</v>
      </c>
      <c r="CH8" s="69">
        <f>+Assumptions!$C$19*Assumptions!$D$19</f>
        <v>7.0701552000000008E-3</v>
      </c>
      <c r="CI8" s="69">
        <f>+Assumptions!$C$19*Assumptions!$D$19</f>
        <v>7.0701552000000008E-3</v>
      </c>
      <c r="CJ8" s="69">
        <f>+Assumptions!$C$19*Assumptions!$D$19</f>
        <v>7.0701552000000008E-3</v>
      </c>
      <c r="CK8" s="69">
        <f>+Assumptions!$C$19*Assumptions!$D$19</f>
        <v>7.0701552000000008E-3</v>
      </c>
      <c r="CL8" s="69">
        <f>+Assumptions!$C$19*Assumptions!$D$19</f>
        <v>7.0701552000000008E-3</v>
      </c>
      <c r="CM8" s="69">
        <f>+Assumptions!$C$19*Assumptions!$D$19</f>
        <v>7.0701552000000008E-3</v>
      </c>
      <c r="CN8" s="69">
        <f>+Assumptions!$C$19*Assumptions!$D$19</f>
        <v>7.0701552000000008E-3</v>
      </c>
      <c r="CO8" s="69">
        <f>+Assumptions!$C$19*Assumptions!$D$19</f>
        <v>7.0701552000000008E-3</v>
      </c>
      <c r="CP8" s="69">
        <f>+Assumptions!$C$19*Assumptions!$D$19</f>
        <v>7.0701552000000008E-3</v>
      </c>
      <c r="CQ8" s="69">
        <f>+Assumptions!$C$19*Assumptions!$D$19</f>
        <v>7.0701552000000008E-3</v>
      </c>
      <c r="CR8" s="69">
        <f>+Assumptions!$C$19*Assumptions!$D$19</f>
        <v>7.0701552000000008E-3</v>
      </c>
      <c r="CS8" s="69">
        <f>+Assumptions!$C$19*Assumptions!$D$19</f>
        <v>7.0701552000000008E-3</v>
      </c>
      <c r="CT8" s="69">
        <f>+Assumptions!$C$19*Assumptions!$D$19</f>
        <v>7.0701552000000008E-3</v>
      </c>
      <c r="CU8" s="69">
        <f>+Assumptions!$C$19*Assumptions!$D$19</f>
        <v>7.0701552000000008E-3</v>
      </c>
      <c r="CV8" s="69">
        <f>+Assumptions!$C$19*Assumptions!$D$19</f>
        <v>7.0701552000000008E-3</v>
      </c>
      <c r="CW8" s="69">
        <f>+Assumptions!$C$19*Assumptions!$D$19</f>
        <v>7.0701552000000008E-3</v>
      </c>
      <c r="CX8" s="69">
        <f>+Assumptions!$C$19*Assumptions!$D$19</f>
        <v>7.0701552000000008E-3</v>
      </c>
      <c r="CY8" s="69">
        <f>+Assumptions!$C$19*Assumptions!$D$19</f>
        <v>7.0701552000000008E-3</v>
      </c>
      <c r="CZ8" s="69">
        <f>+Assumptions!$C$19*Assumptions!$D$19</f>
        <v>7.0701552000000008E-3</v>
      </c>
      <c r="DA8" s="69">
        <f>+Assumptions!$C$19*Assumptions!$D$19</f>
        <v>7.0701552000000008E-3</v>
      </c>
      <c r="DB8" s="69">
        <f>+Assumptions!$C$19*Assumptions!$D$19</f>
        <v>7.0701552000000008E-3</v>
      </c>
      <c r="DC8" s="69">
        <f>+Assumptions!$C$19*Assumptions!$D$19</f>
        <v>7.0701552000000008E-3</v>
      </c>
      <c r="DD8" s="69">
        <f>+Assumptions!$C$19*Assumptions!$D$19</f>
        <v>7.0701552000000008E-3</v>
      </c>
      <c r="DE8" s="69">
        <f>+Assumptions!$C$19*Assumptions!$D$19</f>
        <v>7.0701552000000008E-3</v>
      </c>
      <c r="DF8" s="69">
        <f>+Assumptions!$C$19*Assumptions!$D$19</f>
        <v>7.0701552000000008E-3</v>
      </c>
      <c r="DG8" s="69">
        <f>+Assumptions!$C$19*Assumptions!$D$19</f>
        <v>7.0701552000000008E-3</v>
      </c>
      <c r="DH8" s="69">
        <f>+Assumptions!$C$19*Assumptions!$D$19</f>
        <v>7.0701552000000008E-3</v>
      </c>
      <c r="DI8" s="69">
        <f>+Assumptions!$C$19*Assumptions!$D$19</f>
        <v>7.0701552000000008E-3</v>
      </c>
      <c r="DJ8" s="69">
        <f>+Assumptions!$C$19*Assumptions!$D$19</f>
        <v>7.0701552000000008E-3</v>
      </c>
      <c r="DK8" s="69">
        <f>+Assumptions!$C$19*Assumptions!$D$19</f>
        <v>7.0701552000000008E-3</v>
      </c>
      <c r="DL8" s="69">
        <f>+Assumptions!$C$19*Assumptions!$D$19</f>
        <v>7.0701552000000008E-3</v>
      </c>
      <c r="DM8" s="69">
        <f>+Assumptions!$C$19*Assumptions!$D$19</f>
        <v>7.0701552000000008E-3</v>
      </c>
      <c r="DN8" s="69">
        <f>+Assumptions!$C$19*Assumptions!$D$19</f>
        <v>7.0701552000000008E-3</v>
      </c>
      <c r="DO8" s="69">
        <f>+Assumptions!$C$19*Assumptions!$D$19</f>
        <v>7.0701552000000008E-3</v>
      </c>
      <c r="DP8" s="69">
        <f>+Assumptions!$C$19*Assumptions!$D$19</f>
        <v>7.0701552000000008E-3</v>
      </c>
      <c r="DQ8" s="69">
        <f>+Assumptions!$C$19*Assumptions!$D$19</f>
        <v>7.0701552000000008E-3</v>
      </c>
      <c r="DR8" s="69">
        <f>+Assumptions!$C$19*Assumptions!$D$19</f>
        <v>7.0701552000000008E-3</v>
      </c>
      <c r="DS8" s="69">
        <f>+Assumptions!$C$19*Assumptions!$D$19</f>
        <v>7.0701552000000008E-3</v>
      </c>
      <c r="DT8" s="69">
        <f>+Assumptions!$C$19*Assumptions!$D$19</f>
        <v>7.0701552000000008E-3</v>
      </c>
      <c r="DU8" s="69">
        <f>+Assumptions!$C$19*Assumptions!$D$19</f>
        <v>7.0701552000000008E-3</v>
      </c>
      <c r="DV8" s="69">
        <f>+Assumptions!$C$19*Assumptions!$D$19</f>
        <v>7.0701552000000008E-3</v>
      </c>
      <c r="DW8" s="69">
        <f>+Assumptions!$C$19*Assumptions!$D$19</f>
        <v>7.0701552000000008E-3</v>
      </c>
    </row>
    <row r="9" spans="2:127" x14ac:dyDescent="0.3">
      <c r="B9" s="53" t="s">
        <v>293</v>
      </c>
      <c r="C9" s="69">
        <f>IF(C6="no",C7,C7*0.5+C8*0.5)</f>
        <v>1.6999999999999999E-3</v>
      </c>
      <c r="D9" s="69">
        <f t="shared" ref="D9:BO9" si="2">IF(D6="no",D7,D7*0.5+D8*0.5)</f>
        <v>1.6999999999999999E-3</v>
      </c>
      <c r="E9" s="69">
        <f t="shared" si="2"/>
        <v>1.6999999999999999E-3</v>
      </c>
      <c r="F9" s="69">
        <f t="shared" si="2"/>
        <v>4.3850776000000005E-3</v>
      </c>
      <c r="G9" s="69">
        <f t="shared" si="2"/>
        <v>4.3850776000000005E-3</v>
      </c>
      <c r="H9" s="69">
        <f t="shared" si="2"/>
        <v>4.3850776000000005E-3</v>
      </c>
      <c r="I9" s="69">
        <f t="shared" si="2"/>
        <v>4.3850776000000005E-3</v>
      </c>
      <c r="J9" s="69">
        <f t="shared" si="2"/>
        <v>4.3850776000000005E-3</v>
      </c>
      <c r="K9" s="69">
        <f t="shared" si="2"/>
        <v>4.3850776000000005E-3</v>
      </c>
      <c r="L9" s="69">
        <f t="shared" si="2"/>
        <v>4.3850776000000005E-3</v>
      </c>
      <c r="M9" s="69">
        <f t="shared" si="2"/>
        <v>4.3850776000000005E-3</v>
      </c>
      <c r="N9" s="69">
        <f t="shared" si="2"/>
        <v>4.3850776000000005E-3</v>
      </c>
      <c r="O9" s="69">
        <f t="shared" si="2"/>
        <v>4.3850776000000005E-3</v>
      </c>
      <c r="P9" s="69">
        <f t="shared" si="2"/>
        <v>4.3850776000000005E-3</v>
      </c>
      <c r="Q9" s="69">
        <f t="shared" si="2"/>
        <v>4.3850776000000005E-3</v>
      </c>
      <c r="R9" s="69">
        <f t="shared" si="2"/>
        <v>4.3850776000000005E-3</v>
      </c>
      <c r="S9" s="69">
        <f t="shared" si="2"/>
        <v>4.3850776000000005E-3</v>
      </c>
      <c r="T9" s="69">
        <f t="shared" si="2"/>
        <v>4.3850776000000005E-3</v>
      </c>
      <c r="U9" s="69">
        <f t="shared" si="2"/>
        <v>4.3850776000000005E-3</v>
      </c>
      <c r="V9" s="69">
        <f t="shared" si="2"/>
        <v>4.3850776000000005E-3</v>
      </c>
      <c r="W9" s="69">
        <f t="shared" si="2"/>
        <v>4.3850776000000005E-3</v>
      </c>
      <c r="X9" s="69">
        <f t="shared" si="2"/>
        <v>4.3850776000000005E-3</v>
      </c>
      <c r="Y9" s="69">
        <f t="shared" si="2"/>
        <v>4.3850776000000005E-3</v>
      </c>
      <c r="Z9" s="69">
        <f t="shared" si="2"/>
        <v>4.3850776000000005E-3</v>
      </c>
      <c r="AA9" s="69">
        <f t="shared" si="2"/>
        <v>4.3850776000000005E-3</v>
      </c>
      <c r="AB9" s="69">
        <f t="shared" si="2"/>
        <v>4.3850776000000005E-3</v>
      </c>
      <c r="AC9" s="69">
        <f t="shared" si="2"/>
        <v>4.3850776000000005E-3</v>
      </c>
      <c r="AD9" s="69">
        <f t="shared" si="2"/>
        <v>4.3850776000000005E-3</v>
      </c>
      <c r="AE9" s="69">
        <f t="shared" si="2"/>
        <v>4.3850776000000005E-3</v>
      </c>
      <c r="AF9" s="69">
        <f t="shared" si="2"/>
        <v>4.3850776000000005E-3</v>
      </c>
      <c r="AG9" s="69">
        <f t="shared" si="2"/>
        <v>4.3850776000000005E-3</v>
      </c>
      <c r="AH9" s="69">
        <f t="shared" si="2"/>
        <v>4.3850776000000005E-3</v>
      </c>
      <c r="AI9" s="69">
        <f t="shared" si="2"/>
        <v>4.3850776000000005E-3</v>
      </c>
      <c r="AJ9" s="69">
        <f t="shared" si="2"/>
        <v>4.3850776000000005E-3</v>
      </c>
      <c r="AK9" s="69">
        <f t="shared" si="2"/>
        <v>4.3850776000000005E-3</v>
      </c>
      <c r="AL9" s="69">
        <f t="shared" si="2"/>
        <v>4.3850776000000005E-3</v>
      </c>
      <c r="AM9" s="69">
        <f t="shared" si="2"/>
        <v>4.3850776000000005E-3</v>
      </c>
      <c r="AN9" s="69">
        <f t="shared" si="2"/>
        <v>4.3850776000000005E-3</v>
      </c>
      <c r="AO9" s="69">
        <f t="shared" si="2"/>
        <v>4.3850776000000005E-3</v>
      </c>
      <c r="AP9" s="69">
        <f t="shared" si="2"/>
        <v>4.3850776000000005E-3</v>
      </c>
      <c r="AQ9" s="69">
        <f t="shared" si="2"/>
        <v>4.3850776000000005E-3</v>
      </c>
      <c r="AR9" s="69">
        <f t="shared" si="2"/>
        <v>4.3850776000000005E-3</v>
      </c>
      <c r="AS9" s="69">
        <f t="shared" si="2"/>
        <v>4.3850776000000005E-3</v>
      </c>
      <c r="AT9" s="69">
        <f t="shared" si="2"/>
        <v>4.3850776000000005E-3</v>
      </c>
      <c r="AU9" s="69">
        <f t="shared" si="2"/>
        <v>4.3850776000000005E-3</v>
      </c>
      <c r="AV9" s="69">
        <f t="shared" si="2"/>
        <v>4.3850776000000005E-3</v>
      </c>
      <c r="AW9" s="69">
        <f t="shared" si="2"/>
        <v>4.3850776000000005E-3</v>
      </c>
      <c r="AX9" s="69">
        <f t="shared" si="2"/>
        <v>4.3850776000000005E-3</v>
      </c>
      <c r="AY9" s="69">
        <f t="shared" si="2"/>
        <v>4.3850776000000005E-3</v>
      </c>
      <c r="AZ9" s="69">
        <f t="shared" si="2"/>
        <v>4.3850776000000005E-3</v>
      </c>
      <c r="BA9" s="69">
        <f t="shared" si="2"/>
        <v>4.3850776000000005E-3</v>
      </c>
      <c r="BB9" s="69">
        <f t="shared" si="2"/>
        <v>4.3850776000000005E-3</v>
      </c>
      <c r="BC9" s="69">
        <f t="shared" si="2"/>
        <v>4.3850776000000005E-3</v>
      </c>
      <c r="BD9" s="69">
        <f t="shared" si="2"/>
        <v>4.3850776000000005E-3</v>
      </c>
      <c r="BE9" s="69">
        <f t="shared" si="2"/>
        <v>4.3850776000000005E-3</v>
      </c>
      <c r="BF9" s="69">
        <f t="shared" si="2"/>
        <v>4.3850776000000005E-3</v>
      </c>
      <c r="BG9" s="69">
        <f t="shared" si="2"/>
        <v>4.3850776000000005E-3</v>
      </c>
      <c r="BH9" s="69">
        <f t="shared" si="2"/>
        <v>4.3850776000000005E-3</v>
      </c>
      <c r="BI9" s="69">
        <f t="shared" si="2"/>
        <v>4.3850776000000005E-3</v>
      </c>
      <c r="BJ9" s="69">
        <f t="shared" si="2"/>
        <v>4.3850776000000005E-3</v>
      </c>
      <c r="BK9" s="69">
        <f t="shared" si="2"/>
        <v>4.3850776000000005E-3</v>
      </c>
      <c r="BL9" s="69">
        <f t="shared" si="2"/>
        <v>4.3850776000000005E-3</v>
      </c>
      <c r="BM9" s="69">
        <f t="shared" si="2"/>
        <v>4.3850776000000005E-3</v>
      </c>
      <c r="BN9" s="69">
        <f t="shared" si="2"/>
        <v>4.3850776000000005E-3</v>
      </c>
      <c r="BO9" s="69">
        <f t="shared" si="2"/>
        <v>4.3850776000000005E-3</v>
      </c>
      <c r="BP9" s="69">
        <f t="shared" ref="BP9:DW9" si="3">IF(BP6="no",BP7,BP7*0.5+BP8*0.5)</f>
        <v>4.3850776000000005E-3</v>
      </c>
      <c r="BQ9" s="69">
        <f t="shared" si="3"/>
        <v>4.3850776000000005E-3</v>
      </c>
      <c r="BR9" s="69">
        <f t="shared" si="3"/>
        <v>4.3850776000000005E-3</v>
      </c>
      <c r="BS9" s="69">
        <f t="shared" si="3"/>
        <v>4.3850776000000005E-3</v>
      </c>
      <c r="BT9" s="69">
        <f t="shared" si="3"/>
        <v>4.3850776000000005E-3</v>
      </c>
      <c r="BU9" s="69">
        <f t="shared" si="3"/>
        <v>4.3850776000000005E-3</v>
      </c>
      <c r="BV9" s="69">
        <f t="shared" si="3"/>
        <v>4.3850776000000005E-3</v>
      </c>
      <c r="BW9" s="69">
        <f t="shared" si="3"/>
        <v>4.3850776000000005E-3</v>
      </c>
      <c r="BX9" s="69">
        <f t="shared" si="3"/>
        <v>4.3850776000000005E-3</v>
      </c>
      <c r="BY9" s="69">
        <f t="shared" si="3"/>
        <v>4.3850776000000005E-3</v>
      </c>
      <c r="BZ9" s="69">
        <f t="shared" si="3"/>
        <v>4.3850776000000005E-3</v>
      </c>
      <c r="CA9" s="69">
        <f t="shared" si="3"/>
        <v>4.3850776000000005E-3</v>
      </c>
      <c r="CB9" s="69">
        <f t="shared" si="3"/>
        <v>4.3850776000000005E-3</v>
      </c>
      <c r="CC9" s="69">
        <f t="shared" si="3"/>
        <v>4.3850776000000005E-3</v>
      </c>
      <c r="CD9" s="69">
        <f t="shared" si="3"/>
        <v>4.3850776000000005E-3</v>
      </c>
      <c r="CE9" s="69">
        <f t="shared" si="3"/>
        <v>4.3850776000000005E-3</v>
      </c>
      <c r="CF9" s="69">
        <f t="shared" si="3"/>
        <v>4.3850776000000005E-3</v>
      </c>
      <c r="CG9" s="69">
        <f t="shared" si="3"/>
        <v>4.3850776000000005E-3</v>
      </c>
      <c r="CH9" s="69">
        <f t="shared" si="3"/>
        <v>4.3850776000000005E-3</v>
      </c>
      <c r="CI9" s="69">
        <f t="shared" si="3"/>
        <v>4.3850776000000005E-3</v>
      </c>
      <c r="CJ9" s="69">
        <f t="shared" si="3"/>
        <v>4.3850776000000005E-3</v>
      </c>
      <c r="CK9" s="69">
        <f t="shared" si="3"/>
        <v>4.3850776000000005E-3</v>
      </c>
      <c r="CL9" s="69">
        <f t="shared" si="3"/>
        <v>4.3850776000000005E-3</v>
      </c>
      <c r="CM9" s="69">
        <f t="shared" si="3"/>
        <v>4.3850776000000005E-3</v>
      </c>
      <c r="CN9" s="69">
        <f t="shared" si="3"/>
        <v>4.3850776000000005E-3</v>
      </c>
      <c r="CO9" s="69">
        <f t="shared" si="3"/>
        <v>4.3850776000000005E-3</v>
      </c>
      <c r="CP9" s="69">
        <f t="shared" si="3"/>
        <v>4.3850776000000005E-3</v>
      </c>
      <c r="CQ9" s="69">
        <f t="shared" si="3"/>
        <v>4.3850776000000005E-3</v>
      </c>
      <c r="CR9" s="69">
        <f t="shared" si="3"/>
        <v>4.3850776000000005E-3</v>
      </c>
      <c r="CS9" s="69">
        <f t="shared" si="3"/>
        <v>4.3850776000000005E-3</v>
      </c>
      <c r="CT9" s="69">
        <f t="shared" si="3"/>
        <v>4.3850776000000005E-3</v>
      </c>
      <c r="CU9" s="69">
        <f t="shared" si="3"/>
        <v>4.3850776000000005E-3</v>
      </c>
      <c r="CV9" s="69">
        <f t="shared" si="3"/>
        <v>4.3850776000000005E-3</v>
      </c>
      <c r="CW9" s="69">
        <f t="shared" si="3"/>
        <v>4.3850776000000005E-3</v>
      </c>
      <c r="CX9" s="69">
        <f t="shared" si="3"/>
        <v>4.3850776000000005E-3</v>
      </c>
      <c r="CY9" s="69">
        <f t="shared" si="3"/>
        <v>4.3850776000000005E-3</v>
      </c>
      <c r="CZ9" s="69">
        <f t="shared" si="3"/>
        <v>4.3850776000000005E-3</v>
      </c>
      <c r="DA9" s="69">
        <f t="shared" si="3"/>
        <v>4.3850776000000005E-3</v>
      </c>
      <c r="DB9" s="69">
        <f t="shared" si="3"/>
        <v>4.3850776000000005E-3</v>
      </c>
      <c r="DC9" s="69">
        <f t="shared" si="3"/>
        <v>4.3850776000000005E-3</v>
      </c>
      <c r="DD9" s="69">
        <f t="shared" si="3"/>
        <v>4.3850776000000005E-3</v>
      </c>
      <c r="DE9" s="69">
        <f t="shared" si="3"/>
        <v>4.3850776000000005E-3</v>
      </c>
      <c r="DF9" s="69">
        <f t="shared" si="3"/>
        <v>4.3850776000000005E-3</v>
      </c>
      <c r="DG9" s="69">
        <f t="shared" si="3"/>
        <v>4.3850776000000005E-3</v>
      </c>
      <c r="DH9" s="69">
        <f t="shared" si="3"/>
        <v>4.3850776000000005E-3</v>
      </c>
      <c r="DI9" s="69">
        <f t="shared" si="3"/>
        <v>4.3850776000000005E-3</v>
      </c>
      <c r="DJ9" s="69">
        <f t="shared" si="3"/>
        <v>4.3850776000000005E-3</v>
      </c>
      <c r="DK9" s="69">
        <f t="shared" si="3"/>
        <v>4.3850776000000005E-3</v>
      </c>
      <c r="DL9" s="69">
        <f t="shared" si="3"/>
        <v>4.3850776000000005E-3</v>
      </c>
      <c r="DM9" s="69">
        <f t="shared" si="3"/>
        <v>4.3850776000000005E-3</v>
      </c>
      <c r="DN9" s="69">
        <f t="shared" si="3"/>
        <v>4.3850776000000005E-3</v>
      </c>
      <c r="DO9" s="69">
        <f t="shared" si="3"/>
        <v>4.3850776000000005E-3</v>
      </c>
      <c r="DP9" s="69">
        <f t="shared" si="3"/>
        <v>4.3850776000000005E-3</v>
      </c>
      <c r="DQ9" s="69">
        <f t="shared" si="3"/>
        <v>4.3850776000000005E-3</v>
      </c>
      <c r="DR9" s="69">
        <f t="shared" si="3"/>
        <v>4.3850776000000005E-3</v>
      </c>
      <c r="DS9" s="69">
        <f t="shared" si="3"/>
        <v>4.3850776000000005E-3</v>
      </c>
      <c r="DT9" s="69">
        <f t="shared" si="3"/>
        <v>4.3850776000000005E-3</v>
      </c>
      <c r="DU9" s="69">
        <f t="shared" si="3"/>
        <v>4.3850776000000005E-3</v>
      </c>
      <c r="DV9" s="69">
        <f t="shared" si="3"/>
        <v>4.3850776000000005E-3</v>
      </c>
      <c r="DW9" s="69">
        <f t="shared" si="3"/>
        <v>4.3850776000000005E-3</v>
      </c>
    </row>
    <row r="10" spans="2:127" x14ac:dyDescent="0.3">
      <c r="B10" s="53" t="s">
        <v>173</v>
      </c>
      <c r="C10" s="119">
        <f>+Assumptions!$C$7/12</f>
        <v>27.083333333333332</v>
      </c>
      <c r="D10" s="119">
        <f>+Assumptions!$C$7/12</f>
        <v>27.083333333333332</v>
      </c>
      <c r="E10" s="119">
        <f>+Assumptions!$C$7/12</f>
        <v>27.083333333333332</v>
      </c>
      <c r="F10" s="119">
        <f>+Assumptions!$C$7/12</f>
        <v>27.083333333333332</v>
      </c>
      <c r="G10" s="119">
        <f>+Assumptions!$C$7/12</f>
        <v>27.083333333333332</v>
      </c>
      <c r="H10" s="119">
        <f>+Assumptions!$C$7/12</f>
        <v>27.083333333333332</v>
      </c>
      <c r="I10" s="119">
        <f>+Assumptions!$C$7/12</f>
        <v>27.083333333333332</v>
      </c>
      <c r="J10" s="119">
        <f>+Assumptions!$C$7/12</f>
        <v>27.083333333333332</v>
      </c>
      <c r="K10" s="119">
        <f>+Assumptions!$C$7/12</f>
        <v>27.083333333333332</v>
      </c>
      <c r="L10" s="119">
        <f>+Assumptions!$C$7/12</f>
        <v>27.083333333333332</v>
      </c>
      <c r="M10" s="119">
        <f>+Assumptions!$C$7/12</f>
        <v>27.083333333333332</v>
      </c>
      <c r="N10" s="119">
        <f>+Assumptions!$C$7/12</f>
        <v>27.083333333333332</v>
      </c>
      <c r="O10" s="119">
        <f>+Assumptions!$C$7/12</f>
        <v>27.083333333333332</v>
      </c>
      <c r="P10" s="119">
        <f>+Assumptions!$C$7/12</f>
        <v>27.083333333333332</v>
      </c>
      <c r="Q10" s="119">
        <f>+Assumptions!$C$7/12</f>
        <v>27.083333333333332</v>
      </c>
      <c r="R10" s="119">
        <f>+Assumptions!$C$7/12</f>
        <v>27.083333333333332</v>
      </c>
      <c r="S10" s="119">
        <f>+Assumptions!$C$7/12</f>
        <v>27.083333333333332</v>
      </c>
      <c r="T10" s="119">
        <f>+Assumptions!$C$7/12</f>
        <v>27.083333333333332</v>
      </c>
      <c r="U10" s="119">
        <f>+Assumptions!$C$7/12</f>
        <v>27.083333333333332</v>
      </c>
      <c r="V10" s="119">
        <f>+Assumptions!$C$7/12</f>
        <v>27.083333333333332</v>
      </c>
      <c r="W10" s="119">
        <f>+Assumptions!$C$7/12</f>
        <v>27.083333333333332</v>
      </c>
      <c r="X10" s="119">
        <f>+Assumptions!$C$7/12</f>
        <v>27.083333333333332</v>
      </c>
      <c r="Y10" s="119">
        <f>+Assumptions!$C$7/12</f>
        <v>27.083333333333332</v>
      </c>
      <c r="Z10" s="119">
        <f>+Assumptions!$C$7/12</f>
        <v>27.083333333333332</v>
      </c>
      <c r="AA10" s="119">
        <f>+Assumptions!$C$7/12</f>
        <v>27.083333333333332</v>
      </c>
      <c r="AB10" s="119">
        <f>+Assumptions!$C$7/12</f>
        <v>27.083333333333332</v>
      </c>
      <c r="AC10" s="119">
        <f>+Assumptions!$C$7/12</f>
        <v>27.083333333333332</v>
      </c>
      <c r="AD10" s="119">
        <f>+Assumptions!$C$7/12</f>
        <v>27.083333333333332</v>
      </c>
      <c r="AE10" s="119">
        <f>+Assumptions!$C$7/12</f>
        <v>27.083333333333332</v>
      </c>
      <c r="AF10" s="119">
        <f>+Assumptions!$C$7/12</f>
        <v>27.083333333333332</v>
      </c>
      <c r="AG10" s="119">
        <f>+Assumptions!$C$7/12</f>
        <v>27.083333333333332</v>
      </c>
      <c r="AH10" s="119">
        <f>+Assumptions!$C$7/12</f>
        <v>27.083333333333332</v>
      </c>
      <c r="AI10" s="119">
        <f>+Assumptions!$C$7/12</f>
        <v>27.083333333333332</v>
      </c>
      <c r="AJ10" s="119">
        <f>+Assumptions!$C$7/12</f>
        <v>27.083333333333332</v>
      </c>
      <c r="AK10" s="119">
        <f>+Assumptions!$C$7/12</f>
        <v>27.083333333333332</v>
      </c>
      <c r="AL10" s="119">
        <f>+Assumptions!$C$7/12</f>
        <v>27.083333333333332</v>
      </c>
      <c r="AM10" s="119">
        <f>+Assumptions!$C$7/12</f>
        <v>27.083333333333332</v>
      </c>
      <c r="AN10" s="119">
        <f>+Assumptions!$C$7/12</f>
        <v>27.083333333333332</v>
      </c>
      <c r="AO10" s="119">
        <f>+Assumptions!$C$7/12</f>
        <v>27.083333333333332</v>
      </c>
      <c r="AP10" s="119">
        <f>+Assumptions!$C$7/12</f>
        <v>27.083333333333332</v>
      </c>
      <c r="AQ10" s="119">
        <f>+Assumptions!$C$7/12</f>
        <v>27.083333333333332</v>
      </c>
      <c r="AR10" s="119">
        <f>+Assumptions!$C$7/12</f>
        <v>27.083333333333332</v>
      </c>
      <c r="AS10" s="119">
        <f>+Assumptions!$C$7/12</f>
        <v>27.083333333333332</v>
      </c>
      <c r="AT10" s="119">
        <f>+Assumptions!$C$7/12</f>
        <v>27.083333333333332</v>
      </c>
      <c r="AU10" s="119">
        <f>+Assumptions!$C$7/12</f>
        <v>27.083333333333332</v>
      </c>
      <c r="AV10" s="119">
        <f>+Assumptions!$C$7/12</f>
        <v>27.083333333333332</v>
      </c>
      <c r="AW10" s="119">
        <f>+Assumptions!$C$7/12</f>
        <v>27.083333333333332</v>
      </c>
      <c r="AX10" s="119">
        <f>+Assumptions!$C$7/12</f>
        <v>27.083333333333332</v>
      </c>
      <c r="AY10" s="119">
        <f>+Assumptions!$C$7/12</f>
        <v>27.083333333333332</v>
      </c>
      <c r="AZ10" s="119">
        <f>+Assumptions!$C$7/12</f>
        <v>27.083333333333332</v>
      </c>
      <c r="BA10" s="119">
        <f>+Assumptions!$C$7/12</f>
        <v>27.083333333333332</v>
      </c>
      <c r="BB10" s="119">
        <f>+Assumptions!$C$7/12</f>
        <v>27.083333333333332</v>
      </c>
      <c r="BC10" s="119">
        <f>+Assumptions!$C$7/12</f>
        <v>27.083333333333332</v>
      </c>
      <c r="BD10" s="119">
        <f>+Assumptions!$C$7/12</f>
        <v>27.083333333333332</v>
      </c>
      <c r="BE10" s="119">
        <f>+Assumptions!$C$7/12</f>
        <v>27.083333333333332</v>
      </c>
      <c r="BF10" s="119">
        <f>+Assumptions!$C$7/12</f>
        <v>27.083333333333332</v>
      </c>
      <c r="BG10" s="119">
        <f>+Assumptions!$C$7/12</f>
        <v>27.083333333333332</v>
      </c>
      <c r="BH10" s="119">
        <f>+Assumptions!$C$7/12</f>
        <v>27.083333333333332</v>
      </c>
      <c r="BI10" s="119">
        <f>+Assumptions!$C$7/12</f>
        <v>27.083333333333332</v>
      </c>
      <c r="BJ10" s="119">
        <f>+Assumptions!$C$7/12</f>
        <v>27.083333333333332</v>
      </c>
      <c r="BK10" s="119">
        <f>+Assumptions!$C$7/12</f>
        <v>27.083333333333332</v>
      </c>
      <c r="BL10" s="119">
        <f>+Assumptions!$C$7/12</f>
        <v>27.083333333333332</v>
      </c>
      <c r="BM10" s="119">
        <f>+Assumptions!$C$7/12</f>
        <v>27.083333333333332</v>
      </c>
      <c r="BN10" s="119">
        <f>+Assumptions!$C$7/12</f>
        <v>27.083333333333332</v>
      </c>
      <c r="BO10" s="119">
        <f>+Assumptions!$C$7/12</f>
        <v>27.083333333333332</v>
      </c>
      <c r="BP10" s="119">
        <f>+Assumptions!$C$7/12</f>
        <v>27.083333333333332</v>
      </c>
      <c r="BQ10" s="119">
        <f>+Assumptions!$C$7/12</f>
        <v>27.083333333333332</v>
      </c>
      <c r="BR10" s="119">
        <f>+Assumptions!$C$7/12</f>
        <v>27.083333333333332</v>
      </c>
      <c r="BS10" s="119">
        <f>+Assumptions!$C$7/12</f>
        <v>27.083333333333332</v>
      </c>
      <c r="BT10" s="119">
        <f>+Assumptions!$C$7/12</f>
        <v>27.083333333333332</v>
      </c>
      <c r="BU10" s="119">
        <f>+Assumptions!$C$7/12</f>
        <v>27.083333333333332</v>
      </c>
      <c r="BV10" s="119">
        <f>+Assumptions!$C$7/12</f>
        <v>27.083333333333332</v>
      </c>
      <c r="BW10" s="119">
        <f>+Assumptions!$C$7/12</f>
        <v>27.083333333333332</v>
      </c>
      <c r="BX10" s="119">
        <f>+Assumptions!$C$7/12</f>
        <v>27.083333333333332</v>
      </c>
      <c r="BY10" s="119">
        <f>+Assumptions!$C$7/12</f>
        <v>27.083333333333332</v>
      </c>
      <c r="BZ10" s="119">
        <f>+Assumptions!$C$7/12</f>
        <v>27.083333333333332</v>
      </c>
      <c r="CA10" s="119">
        <f>+Assumptions!$C$7/12</f>
        <v>27.083333333333332</v>
      </c>
      <c r="CB10" s="119">
        <f>+Assumptions!$C$7/12</f>
        <v>27.083333333333332</v>
      </c>
      <c r="CC10" s="119">
        <f>+Assumptions!$C$7/12</f>
        <v>27.083333333333332</v>
      </c>
      <c r="CD10" s="119">
        <f>+Assumptions!$C$7/12</f>
        <v>27.083333333333332</v>
      </c>
      <c r="CE10" s="119">
        <f>+Assumptions!$C$7/12</f>
        <v>27.083333333333332</v>
      </c>
      <c r="CF10" s="119">
        <f>+Assumptions!$C$7/12</f>
        <v>27.083333333333332</v>
      </c>
      <c r="CG10" s="119">
        <f>+Assumptions!$C$7/12</f>
        <v>27.083333333333332</v>
      </c>
      <c r="CH10" s="119">
        <f>+Assumptions!$C$7/12</f>
        <v>27.083333333333332</v>
      </c>
      <c r="CI10" s="119">
        <f>+Assumptions!$C$7/12</f>
        <v>27.083333333333332</v>
      </c>
      <c r="CJ10" s="119">
        <f>+Assumptions!$C$7/12</f>
        <v>27.083333333333332</v>
      </c>
      <c r="CK10" s="119">
        <f>+Assumptions!$C$7/12</f>
        <v>27.083333333333332</v>
      </c>
      <c r="CL10" s="119">
        <f>+Assumptions!$C$7/12</f>
        <v>27.083333333333332</v>
      </c>
      <c r="CM10" s="119">
        <f>+Assumptions!$C$7/12</f>
        <v>27.083333333333332</v>
      </c>
      <c r="CN10" s="119">
        <f>+Assumptions!$C$7/12</f>
        <v>27.083333333333332</v>
      </c>
      <c r="CO10" s="119">
        <f>+Assumptions!$C$7/12</f>
        <v>27.083333333333332</v>
      </c>
      <c r="CP10" s="119">
        <f>+Assumptions!$C$7/12</f>
        <v>27.083333333333332</v>
      </c>
      <c r="CQ10" s="119">
        <f>+Assumptions!$C$7/12</f>
        <v>27.083333333333332</v>
      </c>
      <c r="CR10" s="119">
        <f>+Assumptions!$C$7/12</f>
        <v>27.083333333333332</v>
      </c>
      <c r="CS10" s="119">
        <f>+Assumptions!$C$7/12</f>
        <v>27.083333333333332</v>
      </c>
      <c r="CT10" s="119">
        <f>+Assumptions!$C$7/12</f>
        <v>27.083333333333332</v>
      </c>
      <c r="CU10" s="119">
        <f>+Assumptions!$C$7/12</f>
        <v>27.083333333333332</v>
      </c>
      <c r="CV10" s="119">
        <f>+Assumptions!$C$7/12</f>
        <v>27.083333333333332</v>
      </c>
      <c r="CW10" s="119">
        <f>+Assumptions!$C$7/12</f>
        <v>27.083333333333332</v>
      </c>
      <c r="CX10" s="119">
        <f>+Assumptions!$C$7/12</f>
        <v>27.083333333333332</v>
      </c>
      <c r="CY10" s="119">
        <f>+Assumptions!$C$7/12</f>
        <v>27.083333333333332</v>
      </c>
      <c r="CZ10" s="119">
        <f>+Assumptions!$C$7/12</f>
        <v>27.083333333333332</v>
      </c>
      <c r="DA10" s="119">
        <f>+Assumptions!$C$7/12</f>
        <v>27.083333333333332</v>
      </c>
      <c r="DB10" s="119">
        <f>+Assumptions!$C$7/12</f>
        <v>27.083333333333332</v>
      </c>
      <c r="DC10" s="119">
        <f>+Assumptions!$C$7/12</f>
        <v>27.083333333333332</v>
      </c>
      <c r="DD10" s="119">
        <f>+Assumptions!$C$7/12</f>
        <v>27.083333333333332</v>
      </c>
      <c r="DE10" s="119">
        <f>+Assumptions!$C$7/12</f>
        <v>27.083333333333332</v>
      </c>
      <c r="DF10" s="119">
        <f>+Assumptions!$C$7/12</f>
        <v>27.083333333333332</v>
      </c>
      <c r="DG10" s="119">
        <f>+Assumptions!$C$7/12</f>
        <v>27.083333333333332</v>
      </c>
      <c r="DH10" s="119">
        <f>+Assumptions!$C$7/12</f>
        <v>27.083333333333332</v>
      </c>
      <c r="DI10" s="119">
        <f>+Assumptions!$C$7/12</f>
        <v>27.083333333333332</v>
      </c>
      <c r="DJ10" s="119">
        <f>+Assumptions!$C$7/12</f>
        <v>27.083333333333332</v>
      </c>
      <c r="DK10" s="119">
        <f>+Assumptions!$C$7/12</f>
        <v>27.083333333333332</v>
      </c>
      <c r="DL10" s="119">
        <f>+Assumptions!$C$7/12</f>
        <v>27.083333333333332</v>
      </c>
      <c r="DM10" s="119">
        <f>+Assumptions!$C$7/12</f>
        <v>27.083333333333332</v>
      </c>
      <c r="DN10" s="119">
        <f>+Assumptions!$C$7/12</f>
        <v>27.083333333333332</v>
      </c>
      <c r="DO10" s="119">
        <f>+Assumptions!$C$7/12</f>
        <v>27.083333333333332</v>
      </c>
      <c r="DP10" s="119">
        <f>+Assumptions!$C$7/12</f>
        <v>27.083333333333332</v>
      </c>
      <c r="DQ10" s="119">
        <f>+Assumptions!$C$7/12</f>
        <v>27.083333333333332</v>
      </c>
      <c r="DR10" s="119">
        <f>+Assumptions!$C$7/12</f>
        <v>27.083333333333332</v>
      </c>
      <c r="DS10" s="119">
        <f>+Assumptions!$C$7/12</f>
        <v>27.083333333333332</v>
      </c>
      <c r="DT10" s="119">
        <f>+Assumptions!$C$7/12</f>
        <v>27.083333333333332</v>
      </c>
      <c r="DU10" s="119">
        <f>+Assumptions!$C$7/12</f>
        <v>27.083333333333332</v>
      </c>
      <c r="DV10" s="119">
        <f>+Assumptions!$C$7/12</f>
        <v>27.083333333333332</v>
      </c>
      <c r="DW10" s="119">
        <f>+Assumptions!$C$7/12</f>
        <v>27.083333333333332</v>
      </c>
    </row>
    <row r="11" spans="2:127" x14ac:dyDescent="0.3">
      <c r="B11" s="53" t="s">
        <v>183</v>
      </c>
      <c r="C11" s="53">
        <f>+C5</f>
        <v>40</v>
      </c>
      <c r="D11" s="53">
        <f t="shared" ref="D11:BO11" si="4">+D5</f>
        <v>40</v>
      </c>
      <c r="E11" s="53">
        <f t="shared" si="4"/>
        <v>40</v>
      </c>
      <c r="F11" s="53">
        <f t="shared" si="4"/>
        <v>40</v>
      </c>
      <c r="G11" s="53">
        <f t="shared" si="4"/>
        <v>250</v>
      </c>
      <c r="H11" s="53">
        <f t="shared" si="4"/>
        <v>250</v>
      </c>
      <c r="I11" s="53">
        <f t="shared" si="4"/>
        <v>250</v>
      </c>
      <c r="J11" s="53">
        <f t="shared" si="4"/>
        <v>250</v>
      </c>
      <c r="K11" s="53">
        <f t="shared" si="4"/>
        <v>250</v>
      </c>
      <c r="L11" s="53">
        <f t="shared" si="4"/>
        <v>500</v>
      </c>
      <c r="M11" s="53">
        <f t="shared" si="4"/>
        <v>500</v>
      </c>
      <c r="N11" s="53">
        <f t="shared" si="4"/>
        <v>500</v>
      </c>
      <c r="O11" s="53">
        <f t="shared" si="4"/>
        <v>500</v>
      </c>
      <c r="P11" s="53">
        <f t="shared" si="4"/>
        <v>500</v>
      </c>
      <c r="Q11" s="53">
        <f t="shared" si="4"/>
        <v>500</v>
      </c>
      <c r="R11" s="53">
        <f t="shared" si="4"/>
        <v>500</v>
      </c>
      <c r="S11" s="53">
        <f t="shared" si="4"/>
        <v>500</v>
      </c>
      <c r="T11" s="53">
        <f t="shared" si="4"/>
        <v>500</v>
      </c>
      <c r="U11" s="53">
        <f t="shared" si="4"/>
        <v>500</v>
      </c>
      <c r="V11" s="53">
        <f t="shared" si="4"/>
        <v>500</v>
      </c>
      <c r="W11" s="53">
        <f t="shared" si="4"/>
        <v>500</v>
      </c>
      <c r="X11" s="53">
        <f t="shared" si="4"/>
        <v>500</v>
      </c>
      <c r="Y11" s="53">
        <f t="shared" si="4"/>
        <v>500</v>
      </c>
      <c r="Z11" s="53">
        <f t="shared" si="4"/>
        <v>500</v>
      </c>
      <c r="AA11" s="53">
        <f t="shared" si="4"/>
        <v>500</v>
      </c>
      <c r="AB11" s="53">
        <f t="shared" si="4"/>
        <v>500</v>
      </c>
      <c r="AC11" s="53">
        <f t="shared" si="4"/>
        <v>500</v>
      </c>
      <c r="AD11" s="53">
        <f t="shared" si="4"/>
        <v>500</v>
      </c>
      <c r="AE11" s="53">
        <f t="shared" si="4"/>
        <v>500</v>
      </c>
      <c r="AF11" s="53">
        <f t="shared" si="4"/>
        <v>500</v>
      </c>
      <c r="AG11" s="53">
        <f t="shared" si="4"/>
        <v>500</v>
      </c>
      <c r="AH11" s="53">
        <f t="shared" si="4"/>
        <v>500</v>
      </c>
      <c r="AI11" s="53">
        <f t="shared" si="4"/>
        <v>500</v>
      </c>
      <c r="AJ11" s="53">
        <f t="shared" si="4"/>
        <v>500</v>
      </c>
      <c r="AK11" s="53">
        <f t="shared" si="4"/>
        <v>500</v>
      </c>
      <c r="AL11" s="53">
        <f t="shared" si="4"/>
        <v>500</v>
      </c>
      <c r="AM11" s="53">
        <f t="shared" si="4"/>
        <v>500</v>
      </c>
      <c r="AN11" s="53">
        <f t="shared" si="4"/>
        <v>500</v>
      </c>
      <c r="AO11" s="53">
        <f t="shared" si="4"/>
        <v>500</v>
      </c>
      <c r="AP11" s="53">
        <f t="shared" si="4"/>
        <v>500</v>
      </c>
      <c r="AQ11" s="53">
        <f t="shared" si="4"/>
        <v>500</v>
      </c>
      <c r="AR11" s="53">
        <f t="shared" si="4"/>
        <v>500</v>
      </c>
      <c r="AS11" s="53">
        <f t="shared" si="4"/>
        <v>500</v>
      </c>
      <c r="AT11" s="53">
        <f t="shared" si="4"/>
        <v>500</v>
      </c>
      <c r="AU11" s="53">
        <f t="shared" si="4"/>
        <v>500</v>
      </c>
      <c r="AV11" s="53">
        <f t="shared" si="4"/>
        <v>500</v>
      </c>
      <c r="AW11" s="53">
        <f t="shared" si="4"/>
        <v>500</v>
      </c>
      <c r="AX11" s="53">
        <f t="shared" si="4"/>
        <v>500</v>
      </c>
      <c r="AY11" s="53">
        <f t="shared" si="4"/>
        <v>500</v>
      </c>
      <c r="AZ11" s="53">
        <f t="shared" si="4"/>
        <v>500</v>
      </c>
      <c r="BA11" s="53">
        <f t="shared" si="4"/>
        <v>500</v>
      </c>
      <c r="BB11" s="53">
        <f t="shared" si="4"/>
        <v>500</v>
      </c>
      <c r="BC11" s="53">
        <f t="shared" si="4"/>
        <v>500</v>
      </c>
      <c r="BD11" s="53">
        <f t="shared" si="4"/>
        <v>500</v>
      </c>
      <c r="BE11" s="53">
        <f t="shared" si="4"/>
        <v>500</v>
      </c>
      <c r="BF11" s="53">
        <f t="shared" si="4"/>
        <v>500</v>
      </c>
      <c r="BG11" s="53">
        <f t="shared" si="4"/>
        <v>500</v>
      </c>
      <c r="BH11" s="53">
        <f t="shared" si="4"/>
        <v>500</v>
      </c>
      <c r="BI11" s="53">
        <f t="shared" si="4"/>
        <v>500</v>
      </c>
      <c r="BJ11" s="53">
        <f t="shared" si="4"/>
        <v>500</v>
      </c>
      <c r="BK11" s="53">
        <f t="shared" si="4"/>
        <v>500</v>
      </c>
      <c r="BL11" s="53">
        <f t="shared" si="4"/>
        <v>500</v>
      </c>
      <c r="BM11" s="53">
        <f t="shared" si="4"/>
        <v>500</v>
      </c>
      <c r="BN11" s="53">
        <f t="shared" si="4"/>
        <v>500</v>
      </c>
      <c r="BO11" s="53">
        <f t="shared" si="4"/>
        <v>500</v>
      </c>
      <c r="BP11" s="53">
        <f t="shared" ref="BP11:DW11" si="5">+BP5</f>
        <v>500</v>
      </c>
      <c r="BQ11" s="53">
        <f t="shared" si="5"/>
        <v>500</v>
      </c>
      <c r="BR11" s="53">
        <f t="shared" si="5"/>
        <v>500</v>
      </c>
      <c r="BS11" s="53">
        <f t="shared" si="5"/>
        <v>500</v>
      </c>
      <c r="BT11" s="53">
        <f t="shared" si="5"/>
        <v>500</v>
      </c>
      <c r="BU11" s="53">
        <f t="shared" si="5"/>
        <v>500</v>
      </c>
      <c r="BV11" s="53">
        <f t="shared" si="5"/>
        <v>500</v>
      </c>
      <c r="BW11" s="53">
        <f t="shared" si="5"/>
        <v>500</v>
      </c>
      <c r="BX11" s="53">
        <f t="shared" si="5"/>
        <v>500</v>
      </c>
      <c r="BY11" s="53">
        <f t="shared" si="5"/>
        <v>500</v>
      </c>
      <c r="BZ11" s="53">
        <f t="shared" si="5"/>
        <v>500</v>
      </c>
      <c r="CA11" s="53">
        <f t="shared" si="5"/>
        <v>500</v>
      </c>
      <c r="CB11" s="53">
        <f t="shared" si="5"/>
        <v>500</v>
      </c>
      <c r="CC11" s="53">
        <f t="shared" si="5"/>
        <v>500</v>
      </c>
      <c r="CD11" s="53">
        <f t="shared" si="5"/>
        <v>500</v>
      </c>
      <c r="CE11" s="53">
        <f t="shared" si="5"/>
        <v>500</v>
      </c>
      <c r="CF11" s="53">
        <f t="shared" si="5"/>
        <v>500</v>
      </c>
      <c r="CG11" s="53">
        <f t="shared" si="5"/>
        <v>500</v>
      </c>
      <c r="CH11" s="53">
        <f t="shared" si="5"/>
        <v>500</v>
      </c>
      <c r="CI11" s="53">
        <f t="shared" si="5"/>
        <v>500</v>
      </c>
      <c r="CJ11" s="53">
        <f t="shared" si="5"/>
        <v>500</v>
      </c>
      <c r="CK11" s="53">
        <f t="shared" si="5"/>
        <v>500</v>
      </c>
      <c r="CL11" s="53">
        <f t="shared" si="5"/>
        <v>500</v>
      </c>
      <c r="CM11" s="53">
        <f t="shared" si="5"/>
        <v>500</v>
      </c>
      <c r="CN11" s="53">
        <f t="shared" si="5"/>
        <v>500</v>
      </c>
      <c r="CO11" s="53">
        <f t="shared" si="5"/>
        <v>500</v>
      </c>
      <c r="CP11" s="53">
        <f t="shared" si="5"/>
        <v>500</v>
      </c>
      <c r="CQ11" s="53">
        <f t="shared" si="5"/>
        <v>500</v>
      </c>
      <c r="CR11" s="53">
        <f t="shared" si="5"/>
        <v>500</v>
      </c>
      <c r="CS11" s="53">
        <f t="shared" si="5"/>
        <v>500</v>
      </c>
      <c r="CT11" s="53">
        <f t="shared" si="5"/>
        <v>500</v>
      </c>
      <c r="CU11" s="53">
        <f t="shared" si="5"/>
        <v>500</v>
      </c>
      <c r="CV11" s="53">
        <f t="shared" si="5"/>
        <v>500</v>
      </c>
      <c r="CW11" s="53">
        <f t="shared" si="5"/>
        <v>500</v>
      </c>
      <c r="CX11" s="53">
        <f t="shared" si="5"/>
        <v>500</v>
      </c>
      <c r="CY11" s="53">
        <f t="shared" si="5"/>
        <v>500</v>
      </c>
      <c r="CZ11" s="53">
        <f t="shared" si="5"/>
        <v>500</v>
      </c>
      <c r="DA11" s="53">
        <f t="shared" si="5"/>
        <v>500</v>
      </c>
      <c r="DB11" s="53">
        <f t="shared" si="5"/>
        <v>500</v>
      </c>
      <c r="DC11" s="53">
        <f t="shared" si="5"/>
        <v>500</v>
      </c>
      <c r="DD11" s="53">
        <f t="shared" si="5"/>
        <v>500</v>
      </c>
      <c r="DE11" s="53">
        <f t="shared" si="5"/>
        <v>500</v>
      </c>
      <c r="DF11" s="53">
        <f t="shared" si="5"/>
        <v>500</v>
      </c>
      <c r="DG11" s="53">
        <f t="shared" si="5"/>
        <v>500</v>
      </c>
      <c r="DH11" s="53">
        <f t="shared" si="5"/>
        <v>500</v>
      </c>
      <c r="DI11" s="53">
        <f t="shared" si="5"/>
        <v>500</v>
      </c>
      <c r="DJ11" s="53">
        <f t="shared" si="5"/>
        <v>500</v>
      </c>
      <c r="DK11" s="53">
        <f t="shared" si="5"/>
        <v>500</v>
      </c>
      <c r="DL11" s="53">
        <f t="shared" si="5"/>
        <v>500</v>
      </c>
      <c r="DM11" s="53">
        <f t="shared" si="5"/>
        <v>500</v>
      </c>
      <c r="DN11" s="53">
        <f t="shared" si="5"/>
        <v>500</v>
      </c>
      <c r="DO11" s="53">
        <f t="shared" si="5"/>
        <v>500</v>
      </c>
      <c r="DP11" s="53">
        <f t="shared" si="5"/>
        <v>500</v>
      </c>
      <c r="DQ11" s="53">
        <f t="shared" si="5"/>
        <v>500</v>
      </c>
      <c r="DR11" s="53">
        <f t="shared" si="5"/>
        <v>500</v>
      </c>
      <c r="DS11" s="53">
        <f t="shared" si="5"/>
        <v>500</v>
      </c>
      <c r="DT11" s="53">
        <f t="shared" si="5"/>
        <v>500</v>
      </c>
      <c r="DU11" s="53">
        <f t="shared" si="5"/>
        <v>500</v>
      </c>
      <c r="DV11" s="53">
        <f t="shared" si="5"/>
        <v>500</v>
      </c>
      <c r="DW11" s="53">
        <f t="shared" si="5"/>
        <v>500</v>
      </c>
    </row>
    <row r="12" spans="2:127" x14ac:dyDescent="0.3">
      <c r="B12" s="53" t="s">
        <v>184</v>
      </c>
      <c r="C12" s="57">
        <f>+C10*C5</f>
        <v>1083.3333333333333</v>
      </c>
      <c r="D12" s="57">
        <f t="shared" ref="D12:BO12" si="6">+D10*D5</f>
        <v>1083.3333333333333</v>
      </c>
      <c r="E12" s="57">
        <f t="shared" si="6"/>
        <v>1083.3333333333333</v>
      </c>
      <c r="F12" s="57">
        <f t="shared" si="6"/>
        <v>1083.3333333333333</v>
      </c>
      <c r="G12" s="57">
        <f t="shared" si="6"/>
        <v>6770.833333333333</v>
      </c>
      <c r="H12" s="57">
        <f t="shared" si="6"/>
        <v>6770.833333333333</v>
      </c>
      <c r="I12" s="57">
        <f t="shared" si="6"/>
        <v>6770.833333333333</v>
      </c>
      <c r="J12" s="57">
        <f t="shared" si="6"/>
        <v>6770.833333333333</v>
      </c>
      <c r="K12" s="57">
        <f t="shared" si="6"/>
        <v>6770.833333333333</v>
      </c>
      <c r="L12" s="57">
        <f t="shared" si="6"/>
        <v>13541.666666666666</v>
      </c>
      <c r="M12" s="57">
        <f t="shared" si="6"/>
        <v>13541.666666666666</v>
      </c>
      <c r="N12" s="57">
        <f t="shared" si="6"/>
        <v>13541.666666666666</v>
      </c>
      <c r="O12" s="57">
        <f t="shared" si="6"/>
        <v>13541.666666666666</v>
      </c>
      <c r="P12" s="57">
        <f t="shared" si="6"/>
        <v>13541.666666666666</v>
      </c>
      <c r="Q12" s="57">
        <f t="shared" si="6"/>
        <v>13541.666666666666</v>
      </c>
      <c r="R12" s="57">
        <f t="shared" si="6"/>
        <v>13541.666666666666</v>
      </c>
      <c r="S12" s="57">
        <f t="shared" si="6"/>
        <v>13541.666666666666</v>
      </c>
      <c r="T12" s="57">
        <f t="shared" si="6"/>
        <v>13541.666666666666</v>
      </c>
      <c r="U12" s="57">
        <f t="shared" si="6"/>
        <v>13541.666666666666</v>
      </c>
      <c r="V12" s="57">
        <f t="shared" si="6"/>
        <v>13541.666666666666</v>
      </c>
      <c r="W12" s="57">
        <f t="shared" si="6"/>
        <v>13541.666666666666</v>
      </c>
      <c r="X12" s="57">
        <f t="shared" si="6"/>
        <v>13541.666666666666</v>
      </c>
      <c r="Y12" s="57">
        <f t="shared" si="6"/>
        <v>13541.666666666666</v>
      </c>
      <c r="Z12" s="57">
        <f t="shared" si="6"/>
        <v>13541.666666666666</v>
      </c>
      <c r="AA12" s="57">
        <f t="shared" si="6"/>
        <v>13541.666666666666</v>
      </c>
      <c r="AB12" s="57">
        <f t="shared" si="6"/>
        <v>13541.666666666666</v>
      </c>
      <c r="AC12" s="57">
        <f t="shared" si="6"/>
        <v>13541.666666666666</v>
      </c>
      <c r="AD12" s="57">
        <f t="shared" si="6"/>
        <v>13541.666666666666</v>
      </c>
      <c r="AE12" s="57">
        <f t="shared" si="6"/>
        <v>13541.666666666666</v>
      </c>
      <c r="AF12" s="57">
        <f t="shared" si="6"/>
        <v>13541.666666666666</v>
      </c>
      <c r="AG12" s="57">
        <f t="shared" si="6"/>
        <v>13541.666666666666</v>
      </c>
      <c r="AH12" s="57">
        <f t="shared" si="6"/>
        <v>13541.666666666666</v>
      </c>
      <c r="AI12" s="57">
        <f t="shared" si="6"/>
        <v>13541.666666666666</v>
      </c>
      <c r="AJ12" s="57">
        <f t="shared" si="6"/>
        <v>13541.666666666666</v>
      </c>
      <c r="AK12" s="57">
        <f t="shared" si="6"/>
        <v>13541.666666666666</v>
      </c>
      <c r="AL12" s="57">
        <f t="shared" si="6"/>
        <v>13541.666666666666</v>
      </c>
      <c r="AM12" s="57">
        <f t="shared" si="6"/>
        <v>13541.666666666666</v>
      </c>
      <c r="AN12" s="57">
        <f t="shared" si="6"/>
        <v>13541.666666666666</v>
      </c>
      <c r="AO12" s="57">
        <f t="shared" si="6"/>
        <v>13541.666666666666</v>
      </c>
      <c r="AP12" s="57">
        <f t="shared" si="6"/>
        <v>13541.666666666666</v>
      </c>
      <c r="AQ12" s="57">
        <f t="shared" si="6"/>
        <v>13541.666666666666</v>
      </c>
      <c r="AR12" s="57">
        <f t="shared" si="6"/>
        <v>13541.666666666666</v>
      </c>
      <c r="AS12" s="57">
        <f t="shared" si="6"/>
        <v>13541.666666666666</v>
      </c>
      <c r="AT12" s="57">
        <f t="shared" si="6"/>
        <v>13541.666666666666</v>
      </c>
      <c r="AU12" s="57">
        <f t="shared" si="6"/>
        <v>13541.666666666666</v>
      </c>
      <c r="AV12" s="57">
        <f t="shared" si="6"/>
        <v>13541.666666666666</v>
      </c>
      <c r="AW12" s="57">
        <f t="shared" si="6"/>
        <v>13541.666666666666</v>
      </c>
      <c r="AX12" s="57">
        <f t="shared" si="6"/>
        <v>13541.666666666666</v>
      </c>
      <c r="AY12" s="57">
        <f t="shared" si="6"/>
        <v>13541.666666666666</v>
      </c>
      <c r="AZ12" s="57">
        <f t="shared" si="6"/>
        <v>13541.666666666666</v>
      </c>
      <c r="BA12" s="57">
        <f t="shared" si="6"/>
        <v>13541.666666666666</v>
      </c>
      <c r="BB12" s="57">
        <f t="shared" si="6"/>
        <v>13541.666666666666</v>
      </c>
      <c r="BC12" s="57">
        <f t="shared" si="6"/>
        <v>13541.666666666666</v>
      </c>
      <c r="BD12" s="57">
        <f t="shared" si="6"/>
        <v>13541.666666666666</v>
      </c>
      <c r="BE12" s="57">
        <f t="shared" si="6"/>
        <v>13541.666666666666</v>
      </c>
      <c r="BF12" s="57">
        <f t="shared" si="6"/>
        <v>13541.666666666666</v>
      </c>
      <c r="BG12" s="57">
        <f t="shared" si="6"/>
        <v>13541.666666666666</v>
      </c>
      <c r="BH12" s="57">
        <f t="shared" si="6"/>
        <v>13541.666666666666</v>
      </c>
      <c r="BI12" s="57">
        <f t="shared" si="6"/>
        <v>13541.666666666666</v>
      </c>
      <c r="BJ12" s="57">
        <f t="shared" si="6"/>
        <v>13541.666666666666</v>
      </c>
      <c r="BK12" s="57">
        <f t="shared" si="6"/>
        <v>13541.666666666666</v>
      </c>
      <c r="BL12" s="57">
        <f t="shared" si="6"/>
        <v>13541.666666666666</v>
      </c>
      <c r="BM12" s="57">
        <f t="shared" si="6"/>
        <v>13541.666666666666</v>
      </c>
      <c r="BN12" s="57">
        <f t="shared" si="6"/>
        <v>13541.666666666666</v>
      </c>
      <c r="BO12" s="57">
        <f t="shared" si="6"/>
        <v>13541.666666666666</v>
      </c>
      <c r="BP12" s="57">
        <f t="shared" ref="BP12:DW12" si="7">+BP10*BP5</f>
        <v>13541.666666666666</v>
      </c>
      <c r="BQ12" s="57">
        <f t="shared" si="7"/>
        <v>13541.666666666666</v>
      </c>
      <c r="BR12" s="57">
        <f t="shared" si="7"/>
        <v>13541.666666666666</v>
      </c>
      <c r="BS12" s="57">
        <f t="shared" si="7"/>
        <v>13541.666666666666</v>
      </c>
      <c r="BT12" s="57">
        <f t="shared" si="7"/>
        <v>13541.666666666666</v>
      </c>
      <c r="BU12" s="57">
        <f t="shared" si="7"/>
        <v>13541.666666666666</v>
      </c>
      <c r="BV12" s="57">
        <f t="shared" si="7"/>
        <v>13541.666666666666</v>
      </c>
      <c r="BW12" s="57">
        <f t="shared" si="7"/>
        <v>13541.666666666666</v>
      </c>
      <c r="BX12" s="57">
        <f t="shared" si="7"/>
        <v>13541.666666666666</v>
      </c>
      <c r="BY12" s="57">
        <f t="shared" si="7"/>
        <v>13541.666666666666</v>
      </c>
      <c r="BZ12" s="57">
        <f t="shared" si="7"/>
        <v>13541.666666666666</v>
      </c>
      <c r="CA12" s="57">
        <f t="shared" si="7"/>
        <v>13541.666666666666</v>
      </c>
      <c r="CB12" s="57">
        <f t="shared" si="7"/>
        <v>13541.666666666666</v>
      </c>
      <c r="CC12" s="57">
        <f t="shared" si="7"/>
        <v>13541.666666666666</v>
      </c>
      <c r="CD12" s="57">
        <f t="shared" si="7"/>
        <v>13541.666666666666</v>
      </c>
      <c r="CE12" s="57">
        <f t="shared" si="7"/>
        <v>13541.666666666666</v>
      </c>
      <c r="CF12" s="57">
        <f t="shared" si="7"/>
        <v>13541.666666666666</v>
      </c>
      <c r="CG12" s="57">
        <f t="shared" si="7"/>
        <v>13541.666666666666</v>
      </c>
      <c r="CH12" s="57">
        <f t="shared" si="7"/>
        <v>13541.666666666666</v>
      </c>
      <c r="CI12" s="57">
        <f t="shared" si="7"/>
        <v>13541.666666666666</v>
      </c>
      <c r="CJ12" s="57">
        <f t="shared" si="7"/>
        <v>13541.666666666666</v>
      </c>
      <c r="CK12" s="57">
        <f t="shared" si="7"/>
        <v>13541.666666666666</v>
      </c>
      <c r="CL12" s="57">
        <f t="shared" si="7"/>
        <v>13541.666666666666</v>
      </c>
      <c r="CM12" s="57">
        <f t="shared" si="7"/>
        <v>13541.666666666666</v>
      </c>
      <c r="CN12" s="57">
        <f t="shared" si="7"/>
        <v>13541.666666666666</v>
      </c>
      <c r="CO12" s="57">
        <f t="shared" si="7"/>
        <v>13541.666666666666</v>
      </c>
      <c r="CP12" s="57">
        <f t="shared" si="7"/>
        <v>13541.666666666666</v>
      </c>
      <c r="CQ12" s="57">
        <f t="shared" si="7"/>
        <v>13541.666666666666</v>
      </c>
      <c r="CR12" s="57">
        <f t="shared" si="7"/>
        <v>13541.666666666666</v>
      </c>
      <c r="CS12" s="57">
        <f t="shared" si="7"/>
        <v>13541.666666666666</v>
      </c>
      <c r="CT12" s="57">
        <f t="shared" si="7"/>
        <v>13541.666666666666</v>
      </c>
      <c r="CU12" s="57">
        <f t="shared" si="7"/>
        <v>13541.666666666666</v>
      </c>
      <c r="CV12" s="57">
        <f t="shared" si="7"/>
        <v>13541.666666666666</v>
      </c>
      <c r="CW12" s="57">
        <f t="shared" si="7"/>
        <v>13541.666666666666</v>
      </c>
      <c r="CX12" s="57">
        <f t="shared" si="7"/>
        <v>13541.666666666666</v>
      </c>
      <c r="CY12" s="57">
        <f t="shared" si="7"/>
        <v>13541.666666666666</v>
      </c>
      <c r="CZ12" s="57">
        <f t="shared" si="7"/>
        <v>13541.666666666666</v>
      </c>
      <c r="DA12" s="57">
        <f t="shared" si="7"/>
        <v>13541.666666666666</v>
      </c>
      <c r="DB12" s="57">
        <f t="shared" si="7"/>
        <v>13541.666666666666</v>
      </c>
      <c r="DC12" s="57">
        <f t="shared" si="7"/>
        <v>13541.666666666666</v>
      </c>
      <c r="DD12" s="57">
        <f t="shared" si="7"/>
        <v>13541.666666666666</v>
      </c>
      <c r="DE12" s="57">
        <f t="shared" si="7"/>
        <v>13541.666666666666</v>
      </c>
      <c r="DF12" s="57">
        <f t="shared" si="7"/>
        <v>13541.666666666666</v>
      </c>
      <c r="DG12" s="57">
        <f t="shared" si="7"/>
        <v>13541.666666666666</v>
      </c>
      <c r="DH12" s="57">
        <f t="shared" si="7"/>
        <v>13541.666666666666</v>
      </c>
      <c r="DI12" s="57">
        <f t="shared" si="7"/>
        <v>13541.666666666666</v>
      </c>
      <c r="DJ12" s="57">
        <f t="shared" si="7"/>
        <v>13541.666666666666</v>
      </c>
      <c r="DK12" s="57">
        <f t="shared" si="7"/>
        <v>13541.666666666666</v>
      </c>
      <c r="DL12" s="57">
        <f t="shared" si="7"/>
        <v>13541.666666666666</v>
      </c>
      <c r="DM12" s="57">
        <f t="shared" si="7"/>
        <v>13541.666666666666</v>
      </c>
      <c r="DN12" s="57">
        <f t="shared" si="7"/>
        <v>13541.666666666666</v>
      </c>
      <c r="DO12" s="57">
        <f t="shared" si="7"/>
        <v>13541.666666666666</v>
      </c>
      <c r="DP12" s="57">
        <f t="shared" si="7"/>
        <v>13541.666666666666</v>
      </c>
      <c r="DQ12" s="57">
        <f t="shared" si="7"/>
        <v>13541.666666666666</v>
      </c>
      <c r="DR12" s="57">
        <f t="shared" si="7"/>
        <v>13541.666666666666</v>
      </c>
      <c r="DS12" s="57">
        <f t="shared" si="7"/>
        <v>13541.666666666666</v>
      </c>
      <c r="DT12" s="57">
        <f t="shared" si="7"/>
        <v>13541.666666666666</v>
      </c>
      <c r="DU12" s="57">
        <f t="shared" si="7"/>
        <v>13541.666666666666</v>
      </c>
      <c r="DV12" s="57">
        <f t="shared" si="7"/>
        <v>13541.666666666666</v>
      </c>
      <c r="DW12" s="57">
        <f t="shared" si="7"/>
        <v>13541.666666666666</v>
      </c>
    </row>
    <row r="13" spans="2:127" x14ac:dyDescent="0.3">
      <c r="B13" s="53" t="s">
        <v>185</v>
      </c>
      <c r="C13" s="53">
        <f>+C12*Assumptions!$C$52</f>
        <v>982.8</v>
      </c>
      <c r="D13" s="53">
        <f>+D12*Assumptions!$C$52</f>
        <v>982.8</v>
      </c>
      <c r="E13" s="53">
        <f>+E12*Assumptions!$C$52</f>
        <v>982.8</v>
      </c>
      <c r="F13" s="53">
        <f>+F12*Assumptions!$C$52</f>
        <v>982.8</v>
      </c>
      <c r="G13" s="53">
        <f>+G12*Assumptions!$C$52</f>
        <v>6142.5</v>
      </c>
      <c r="H13" s="53">
        <f>+H12*Assumptions!$C$52</f>
        <v>6142.5</v>
      </c>
      <c r="I13" s="53">
        <f>+I12*Assumptions!$C$52</f>
        <v>6142.5</v>
      </c>
      <c r="J13" s="53">
        <f>+J12*Assumptions!$C$52</f>
        <v>6142.5</v>
      </c>
      <c r="K13" s="53">
        <f>+K12*Assumptions!$C$52</f>
        <v>6142.5</v>
      </c>
      <c r="L13" s="53">
        <f>+L12*Assumptions!$C$52</f>
        <v>12285</v>
      </c>
      <c r="M13" s="53">
        <f>+M12*Assumptions!$C$52</f>
        <v>12285</v>
      </c>
      <c r="N13" s="53">
        <f>+N12*Assumptions!$C$52</f>
        <v>12285</v>
      </c>
      <c r="O13" s="53">
        <f>+O12*Assumptions!$C$52</f>
        <v>12285</v>
      </c>
      <c r="P13" s="53">
        <f>+P12*Assumptions!$C$52</f>
        <v>12285</v>
      </c>
      <c r="Q13" s="53">
        <f>+Q12*Assumptions!$C$52</f>
        <v>12285</v>
      </c>
      <c r="R13" s="53">
        <f>+R12*Assumptions!$C$52</f>
        <v>12285</v>
      </c>
      <c r="S13" s="53">
        <f>+S12*Assumptions!$C$52</f>
        <v>12285</v>
      </c>
      <c r="T13" s="53">
        <f>+T12*Assumptions!$C$52</f>
        <v>12285</v>
      </c>
      <c r="U13" s="53">
        <f>+U12*Assumptions!$C$52</f>
        <v>12285</v>
      </c>
      <c r="V13" s="53">
        <f>+V12*Assumptions!$C$52</f>
        <v>12285</v>
      </c>
      <c r="W13" s="53">
        <f>+W12*Assumptions!$C$52</f>
        <v>12285</v>
      </c>
      <c r="X13" s="53">
        <f>+X12*Assumptions!$C$52</f>
        <v>12285</v>
      </c>
      <c r="Y13" s="53">
        <f>+Y12*Assumptions!$C$52</f>
        <v>12285</v>
      </c>
      <c r="Z13" s="53">
        <f>+Z12*Assumptions!$C$52</f>
        <v>12285</v>
      </c>
      <c r="AA13" s="53">
        <f>+AA12*Assumptions!$C$52</f>
        <v>12285</v>
      </c>
      <c r="AB13" s="53">
        <f>+AB12*Assumptions!$C$52</f>
        <v>12285</v>
      </c>
      <c r="AC13" s="53">
        <f>+AC12*Assumptions!$C$52</f>
        <v>12285</v>
      </c>
      <c r="AD13" s="53">
        <f>+AD12*Assumptions!$C$52</f>
        <v>12285</v>
      </c>
      <c r="AE13" s="53">
        <f>+AE12*Assumptions!$C$52</f>
        <v>12285</v>
      </c>
      <c r="AF13" s="53">
        <f>+AF12*Assumptions!$C$52</f>
        <v>12285</v>
      </c>
      <c r="AG13" s="53">
        <f>+AG12*Assumptions!$C$52</f>
        <v>12285</v>
      </c>
      <c r="AH13" s="53">
        <f>+AH12*Assumptions!$C$52</f>
        <v>12285</v>
      </c>
      <c r="AI13" s="53">
        <f>+AI12*Assumptions!$C$52</f>
        <v>12285</v>
      </c>
      <c r="AJ13" s="53">
        <f>+AJ12*Assumptions!$C$52</f>
        <v>12285</v>
      </c>
      <c r="AK13" s="53">
        <f>+AK12*Assumptions!$C$52</f>
        <v>12285</v>
      </c>
      <c r="AL13" s="53">
        <f>+AL12*Assumptions!$C$52</f>
        <v>12285</v>
      </c>
      <c r="AM13" s="53">
        <f>+AM12*Assumptions!$C$52</f>
        <v>12285</v>
      </c>
      <c r="AN13" s="53">
        <f>+AN12*Assumptions!$C$52</f>
        <v>12285</v>
      </c>
      <c r="AO13" s="53">
        <f>+AO12*Assumptions!$C$52</f>
        <v>12285</v>
      </c>
      <c r="AP13" s="53">
        <f>+AP12*Assumptions!$C$52</f>
        <v>12285</v>
      </c>
      <c r="AQ13" s="53">
        <f>+AQ12*Assumptions!$C$52</f>
        <v>12285</v>
      </c>
      <c r="AR13" s="53">
        <f>+AR12*Assumptions!$C$52</f>
        <v>12285</v>
      </c>
      <c r="AS13" s="53">
        <f>+AS12*Assumptions!$C$52</f>
        <v>12285</v>
      </c>
      <c r="AT13" s="53">
        <f>+AT12*Assumptions!$C$52</f>
        <v>12285</v>
      </c>
      <c r="AU13" s="53">
        <f>+AU12*Assumptions!$C$52</f>
        <v>12285</v>
      </c>
      <c r="AV13" s="53">
        <f>+AV12*Assumptions!$C$52</f>
        <v>12285</v>
      </c>
      <c r="AW13" s="53">
        <f>+AW12*Assumptions!$C$52</f>
        <v>12285</v>
      </c>
      <c r="AX13" s="53">
        <f>+AX12*Assumptions!$C$52</f>
        <v>12285</v>
      </c>
      <c r="AY13" s="53">
        <f>+AY12*Assumptions!$C$52</f>
        <v>12285</v>
      </c>
      <c r="AZ13" s="53">
        <f>+AZ12*Assumptions!$C$52</f>
        <v>12285</v>
      </c>
      <c r="BA13" s="53">
        <f>+BA12*Assumptions!$C$52</f>
        <v>12285</v>
      </c>
      <c r="BB13" s="53">
        <f>+BB12*Assumptions!$C$52</f>
        <v>12285</v>
      </c>
      <c r="BC13" s="53">
        <f>+BC12*Assumptions!$C$52</f>
        <v>12285</v>
      </c>
      <c r="BD13" s="53">
        <f>+BD12*Assumptions!$C$52</f>
        <v>12285</v>
      </c>
      <c r="BE13" s="53">
        <f>+BE12*Assumptions!$C$52</f>
        <v>12285</v>
      </c>
      <c r="BF13" s="53">
        <f>+BF12*Assumptions!$C$52</f>
        <v>12285</v>
      </c>
      <c r="BG13" s="53">
        <f>+BG12*Assumptions!$C$52</f>
        <v>12285</v>
      </c>
      <c r="BH13" s="53">
        <f>+BH12*Assumptions!$C$52</f>
        <v>12285</v>
      </c>
      <c r="BI13" s="53">
        <f>+BI12*Assumptions!$C$52</f>
        <v>12285</v>
      </c>
      <c r="BJ13" s="53">
        <f>+BJ12*Assumptions!$C$52</f>
        <v>12285</v>
      </c>
      <c r="BK13" s="53">
        <f>+BK12*Assumptions!$C$52</f>
        <v>12285</v>
      </c>
      <c r="BL13" s="53">
        <f>+BL12*Assumptions!$C$52</f>
        <v>12285</v>
      </c>
      <c r="BM13" s="53">
        <f>+BM12*Assumptions!$C$52</f>
        <v>12285</v>
      </c>
      <c r="BN13" s="53">
        <f>+BN12*Assumptions!$C$52</f>
        <v>12285</v>
      </c>
      <c r="BO13" s="53">
        <f>+BO12*Assumptions!$C$52</f>
        <v>12285</v>
      </c>
      <c r="BP13" s="53">
        <f>+BP12*Assumptions!$C$52</f>
        <v>12285</v>
      </c>
      <c r="BQ13" s="53">
        <f>+BQ12*Assumptions!$C$52</f>
        <v>12285</v>
      </c>
      <c r="BR13" s="53">
        <f>+BR12*Assumptions!$C$52</f>
        <v>12285</v>
      </c>
      <c r="BS13" s="53">
        <f>+BS12*Assumptions!$C$52</f>
        <v>12285</v>
      </c>
      <c r="BT13" s="53">
        <f>+BT12*Assumptions!$C$52</f>
        <v>12285</v>
      </c>
      <c r="BU13" s="53">
        <f>+BU12*Assumptions!$C$52</f>
        <v>12285</v>
      </c>
      <c r="BV13" s="53">
        <f>+BV12*Assumptions!$C$52</f>
        <v>12285</v>
      </c>
      <c r="BW13" s="53">
        <f>+BW12*Assumptions!$C$52</f>
        <v>12285</v>
      </c>
      <c r="BX13" s="53">
        <f>+BX12*Assumptions!$C$52</f>
        <v>12285</v>
      </c>
      <c r="BY13" s="53">
        <f>+BY12*Assumptions!$C$52</f>
        <v>12285</v>
      </c>
      <c r="BZ13" s="53">
        <f>+BZ12*Assumptions!$C$52</f>
        <v>12285</v>
      </c>
      <c r="CA13" s="53">
        <f>+CA12*Assumptions!$C$52</f>
        <v>12285</v>
      </c>
      <c r="CB13" s="53">
        <f>+CB12*Assumptions!$C$52</f>
        <v>12285</v>
      </c>
      <c r="CC13" s="53">
        <f>+CC12*Assumptions!$C$52</f>
        <v>12285</v>
      </c>
      <c r="CD13" s="53">
        <f>+CD12*Assumptions!$C$52</f>
        <v>12285</v>
      </c>
      <c r="CE13" s="53">
        <f>+CE12*Assumptions!$C$52</f>
        <v>12285</v>
      </c>
      <c r="CF13" s="53">
        <f>+CF12*Assumptions!$C$52</f>
        <v>12285</v>
      </c>
      <c r="CG13" s="53">
        <f>+CG12*Assumptions!$C$52</f>
        <v>12285</v>
      </c>
      <c r="CH13" s="53">
        <f>+CH12*Assumptions!$C$52</f>
        <v>12285</v>
      </c>
      <c r="CI13" s="53">
        <f>+CI12*Assumptions!$C$52</f>
        <v>12285</v>
      </c>
      <c r="CJ13" s="53">
        <f>+CJ12*Assumptions!$C$52</f>
        <v>12285</v>
      </c>
      <c r="CK13" s="53">
        <f>+CK12*Assumptions!$C$52</f>
        <v>12285</v>
      </c>
      <c r="CL13" s="53">
        <f>+CL12*Assumptions!$C$52</f>
        <v>12285</v>
      </c>
      <c r="CM13" s="53">
        <f>+CM12*Assumptions!$C$52</f>
        <v>12285</v>
      </c>
      <c r="CN13" s="53">
        <f>+CN12*Assumptions!$C$52</f>
        <v>12285</v>
      </c>
      <c r="CO13" s="53">
        <f>+CO12*Assumptions!$C$52</f>
        <v>12285</v>
      </c>
      <c r="CP13" s="53">
        <f>+CP12*Assumptions!$C$52</f>
        <v>12285</v>
      </c>
      <c r="CQ13" s="53">
        <f>+CQ12*Assumptions!$C$52</f>
        <v>12285</v>
      </c>
      <c r="CR13" s="53">
        <f>+CR12*Assumptions!$C$52</f>
        <v>12285</v>
      </c>
      <c r="CS13" s="53">
        <f>+CS12*Assumptions!$C$52</f>
        <v>12285</v>
      </c>
      <c r="CT13" s="53">
        <f>+CT12*Assumptions!$C$52</f>
        <v>12285</v>
      </c>
      <c r="CU13" s="53">
        <f>+CU12*Assumptions!$C$52</f>
        <v>12285</v>
      </c>
      <c r="CV13" s="53">
        <f>+CV12*Assumptions!$C$52</f>
        <v>12285</v>
      </c>
      <c r="CW13" s="53">
        <f>+CW12*Assumptions!$C$52</f>
        <v>12285</v>
      </c>
      <c r="CX13" s="53">
        <f>+CX12*Assumptions!$C$52</f>
        <v>12285</v>
      </c>
      <c r="CY13" s="53">
        <f>+CY12*Assumptions!$C$52</f>
        <v>12285</v>
      </c>
      <c r="CZ13" s="53">
        <f>+CZ12*Assumptions!$C$52</f>
        <v>12285</v>
      </c>
      <c r="DA13" s="53">
        <f>+DA12*Assumptions!$C$52</f>
        <v>12285</v>
      </c>
      <c r="DB13" s="53">
        <f>+DB12*Assumptions!$C$52</f>
        <v>12285</v>
      </c>
      <c r="DC13" s="53">
        <f>+DC12*Assumptions!$C$52</f>
        <v>12285</v>
      </c>
      <c r="DD13" s="53">
        <f>+DD12*Assumptions!$C$52</f>
        <v>12285</v>
      </c>
      <c r="DE13" s="53">
        <f>+DE12*Assumptions!$C$52</f>
        <v>12285</v>
      </c>
      <c r="DF13" s="53">
        <f>+DF12*Assumptions!$C$52</f>
        <v>12285</v>
      </c>
      <c r="DG13" s="53">
        <f>+DG12*Assumptions!$C$52</f>
        <v>12285</v>
      </c>
      <c r="DH13" s="53">
        <f>+DH12*Assumptions!$C$52</f>
        <v>12285</v>
      </c>
      <c r="DI13" s="53">
        <f>+DI12*Assumptions!$C$52</f>
        <v>12285</v>
      </c>
      <c r="DJ13" s="53">
        <f>+DJ12*Assumptions!$C$52</f>
        <v>12285</v>
      </c>
      <c r="DK13" s="53">
        <f>+DK12*Assumptions!$C$52</f>
        <v>12285</v>
      </c>
      <c r="DL13" s="53">
        <f>+DL12*Assumptions!$C$52</f>
        <v>12285</v>
      </c>
      <c r="DM13" s="53">
        <f>+DM12*Assumptions!$C$52</f>
        <v>12285</v>
      </c>
      <c r="DN13" s="53">
        <f>+DN12*Assumptions!$C$52</f>
        <v>12285</v>
      </c>
      <c r="DO13" s="53">
        <f>+DO12*Assumptions!$C$52</f>
        <v>12285</v>
      </c>
      <c r="DP13" s="53">
        <f>+DP12*Assumptions!$C$52</f>
        <v>12285</v>
      </c>
      <c r="DQ13" s="53">
        <f>+DQ12*Assumptions!$C$52</f>
        <v>12285</v>
      </c>
      <c r="DR13" s="53">
        <f>+DR12*Assumptions!$C$52</f>
        <v>12285</v>
      </c>
      <c r="DS13" s="53">
        <f>+DS12*Assumptions!$C$52</f>
        <v>12285</v>
      </c>
      <c r="DT13" s="53">
        <f>+DT12*Assumptions!$C$52</f>
        <v>12285</v>
      </c>
      <c r="DU13" s="53">
        <f>+DU12*Assumptions!$C$52</f>
        <v>12285</v>
      </c>
      <c r="DV13" s="53">
        <f>+DV12*Assumptions!$C$52</f>
        <v>12285</v>
      </c>
      <c r="DW13" s="53">
        <f>+DW12*Assumptions!$C$52</f>
        <v>12285</v>
      </c>
    </row>
    <row r="14" spans="2:127" x14ac:dyDescent="0.3">
      <c r="B14" s="53" t="s">
        <v>295</v>
      </c>
      <c r="C14" s="56">
        <f>+C13*C9</f>
        <v>1.6707599999999998</v>
      </c>
      <c r="D14" s="56">
        <f t="shared" ref="D14:BO14" si="8">+D13*D9</f>
        <v>1.6707599999999998</v>
      </c>
      <c r="E14" s="56">
        <f t="shared" si="8"/>
        <v>1.6707599999999998</v>
      </c>
      <c r="F14" s="56">
        <f t="shared" si="8"/>
        <v>4.3096542652799998</v>
      </c>
      <c r="G14" s="56">
        <f t="shared" si="8"/>
        <v>26.935339158000001</v>
      </c>
      <c r="H14" s="56">
        <f t="shared" si="8"/>
        <v>26.935339158000001</v>
      </c>
      <c r="I14" s="56">
        <f t="shared" si="8"/>
        <v>26.935339158000001</v>
      </c>
      <c r="J14" s="56">
        <f t="shared" si="8"/>
        <v>26.935339158000001</v>
      </c>
      <c r="K14" s="56">
        <f t="shared" si="8"/>
        <v>26.935339158000001</v>
      </c>
      <c r="L14" s="56">
        <f t="shared" si="8"/>
        <v>53.870678316000003</v>
      </c>
      <c r="M14" s="56">
        <f t="shared" si="8"/>
        <v>53.870678316000003</v>
      </c>
      <c r="N14" s="56">
        <f t="shared" si="8"/>
        <v>53.870678316000003</v>
      </c>
      <c r="O14" s="56">
        <f t="shared" si="8"/>
        <v>53.870678316000003</v>
      </c>
      <c r="P14" s="56">
        <f t="shared" si="8"/>
        <v>53.870678316000003</v>
      </c>
      <c r="Q14" s="56">
        <f t="shared" si="8"/>
        <v>53.870678316000003</v>
      </c>
      <c r="R14" s="56">
        <f t="shared" si="8"/>
        <v>53.870678316000003</v>
      </c>
      <c r="S14" s="56">
        <f t="shared" si="8"/>
        <v>53.870678316000003</v>
      </c>
      <c r="T14" s="56">
        <f t="shared" si="8"/>
        <v>53.870678316000003</v>
      </c>
      <c r="U14" s="56">
        <f t="shared" si="8"/>
        <v>53.870678316000003</v>
      </c>
      <c r="V14" s="56">
        <f t="shared" si="8"/>
        <v>53.870678316000003</v>
      </c>
      <c r="W14" s="56">
        <f t="shared" si="8"/>
        <v>53.870678316000003</v>
      </c>
      <c r="X14" s="56">
        <f t="shared" si="8"/>
        <v>53.870678316000003</v>
      </c>
      <c r="Y14" s="56">
        <f t="shared" si="8"/>
        <v>53.870678316000003</v>
      </c>
      <c r="Z14" s="56">
        <f t="shared" si="8"/>
        <v>53.870678316000003</v>
      </c>
      <c r="AA14" s="56">
        <f t="shared" si="8"/>
        <v>53.870678316000003</v>
      </c>
      <c r="AB14" s="56">
        <f t="shared" si="8"/>
        <v>53.870678316000003</v>
      </c>
      <c r="AC14" s="56">
        <f t="shared" si="8"/>
        <v>53.870678316000003</v>
      </c>
      <c r="AD14" s="56">
        <f t="shared" si="8"/>
        <v>53.870678316000003</v>
      </c>
      <c r="AE14" s="56">
        <f t="shared" si="8"/>
        <v>53.870678316000003</v>
      </c>
      <c r="AF14" s="56">
        <f t="shared" si="8"/>
        <v>53.870678316000003</v>
      </c>
      <c r="AG14" s="56">
        <f t="shared" si="8"/>
        <v>53.870678316000003</v>
      </c>
      <c r="AH14" s="56">
        <f t="shared" si="8"/>
        <v>53.870678316000003</v>
      </c>
      <c r="AI14" s="56">
        <f t="shared" si="8"/>
        <v>53.870678316000003</v>
      </c>
      <c r="AJ14" s="56">
        <f t="shared" si="8"/>
        <v>53.870678316000003</v>
      </c>
      <c r="AK14" s="56">
        <f t="shared" si="8"/>
        <v>53.870678316000003</v>
      </c>
      <c r="AL14" s="56">
        <f t="shared" si="8"/>
        <v>53.870678316000003</v>
      </c>
      <c r="AM14" s="56">
        <f t="shared" si="8"/>
        <v>53.870678316000003</v>
      </c>
      <c r="AN14" s="56">
        <f t="shared" si="8"/>
        <v>53.870678316000003</v>
      </c>
      <c r="AO14" s="56">
        <f t="shared" si="8"/>
        <v>53.870678316000003</v>
      </c>
      <c r="AP14" s="56">
        <f t="shared" si="8"/>
        <v>53.870678316000003</v>
      </c>
      <c r="AQ14" s="56">
        <f t="shared" si="8"/>
        <v>53.870678316000003</v>
      </c>
      <c r="AR14" s="56">
        <f t="shared" si="8"/>
        <v>53.870678316000003</v>
      </c>
      <c r="AS14" s="56">
        <f t="shared" si="8"/>
        <v>53.870678316000003</v>
      </c>
      <c r="AT14" s="56">
        <f t="shared" si="8"/>
        <v>53.870678316000003</v>
      </c>
      <c r="AU14" s="56">
        <f t="shared" si="8"/>
        <v>53.870678316000003</v>
      </c>
      <c r="AV14" s="56">
        <f t="shared" si="8"/>
        <v>53.870678316000003</v>
      </c>
      <c r="AW14" s="56">
        <f t="shared" si="8"/>
        <v>53.870678316000003</v>
      </c>
      <c r="AX14" s="56">
        <f t="shared" si="8"/>
        <v>53.870678316000003</v>
      </c>
      <c r="AY14" s="56">
        <f t="shared" si="8"/>
        <v>53.870678316000003</v>
      </c>
      <c r="AZ14" s="56">
        <f t="shared" si="8"/>
        <v>53.870678316000003</v>
      </c>
      <c r="BA14" s="56">
        <f t="shared" si="8"/>
        <v>53.870678316000003</v>
      </c>
      <c r="BB14" s="56">
        <f t="shared" si="8"/>
        <v>53.870678316000003</v>
      </c>
      <c r="BC14" s="56">
        <f t="shared" si="8"/>
        <v>53.870678316000003</v>
      </c>
      <c r="BD14" s="56">
        <f t="shared" si="8"/>
        <v>53.870678316000003</v>
      </c>
      <c r="BE14" s="56">
        <f t="shared" si="8"/>
        <v>53.870678316000003</v>
      </c>
      <c r="BF14" s="56">
        <f t="shared" si="8"/>
        <v>53.870678316000003</v>
      </c>
      <c r="BG14" s="56">
        <f t="shared" si="8"/>
        <v>53.870678316000003</v>
      </c>
      <c r="BH14" s="56">
        <f t="shared" si="8"/>
        <v>53.870678316000003</v>
      </c>
      <c r="BI14" s="56">
        <f t="shared" si="8"/>
        <v>53.870678316000003</v>
      </c>
      <c r="BJ14" s="56">
        <f t="shared" si="8"/>
        <v>53.870678316000003</v>
      </c>
      <c r="BK14" s="56">
        <f t="shared" si="8"/>
        <v>53.870678316000003</v>
      </c>
      <c r="BL14" s="56">
        <f t="shared" si="8"/>
        <v>53.870678316000003</v>
      </c>
      <c r="BM14" s="56">
        <f t="shared" si="8"/>
        <v>53.870678316000003</v>
      </c>
      <c r="BN14" s="56">
        <f t="shared" si="8"/>
        <v>53.870678316000003</v>
      </c>
      <c r="BO14" s="56">
        <f t="shared" si="8"/>
        <v>53.870678316000003</v>
      </c>
      <c r="BP14" s="56">
        <f t="shared" ref="BP14:DW14" si="9">+BP13*BP9</f>
        <v>53.870678316000003</v>
      </c>
      <c r="BQ14" s="56">
        <f t="shared" si="9"/>
        <v>53.870678316000003</v>
      </c>
      <c r="BR14" s="56">
        <f t="shared" si="9"/>
        <v>53.870678316000003</v>
      </c>
      <c r="BS14" s="56">
        <f t="shared" si="9"/>
        <v>53.870678316000003</v>
      </c>
      <c r="BT14" s="56">
        <f t="shared" si="9"/>
        <v>53.870678316000003</v>
      </c>
      <c r="BU14" s="56">
        <f t="shared" si="9"/>
        <v>53.870678316000003</v>
      </c>
      <c r="BV14" s="56">
        <f t="shared" si="9"/>
        <v>53.870678316000003</v>
      </c>
      <c r="BW14" s="56">
        <f t="shared" si="9"/>
        <v>53.870678316000003</v>
      </c>
      <c r="BX14" s="56">
        <f t="shared" si="9"/>
        <v>53.870678316000003</v>
      </c>
      <c r="BY14" s="56">
        <f t="shared" si="9"/>
        <v>53.870678316000003</v>
      </c>
      <c r="BZ14" s="56">
        <f t="shared" si="9"/>
        <v>53.870678316000003</v>
      </c>
      <c r="CA14" s="56">
        <f t="shared" si="9"/>
        <v>53.870678316000003</v>
      </c>
      <c r="CB14" s="56">
        <f t="shared" si="9"/>
        <v>53.870678316000003</v>
      </c>
      <c r="CC14" s="56">
        <f t="shared" si="9"/>
        <v>53.870678316000003</v>
      </c>
      <c r="CD14" s="56">
        <f t="shared" si="9"/>
        <v>53.870678316000003</v>
      </c>
      <c r="CE14" s="56">
        <f t="shared" si="9"/>
        <v>53.870678316000003</v>
      </c>
      <c r="CF14" s="56">
        <f t="shared" si="9"/>
        <v>53.870678316000003</v>
      </c>
      <c r="CG14" s="56">
        <f t="shared" si="9"/>
        <v>53.870678316000003</v>
      </c>
      <c r="CH14" s="56">
        <f t="shared" si="9"/>
        <v>53.870678316000003</v>
      </c>
      <c r="CI14" s="56">
        <f t="shared" si="9"/>
        <v>53.870678316000003</v>
      </c>
      <c r="CJ14" s="56">
        <f t="shared" si="9"/>
        <v>53.870678316000003</v>
      </c>
      <c r="CK14" s="56">
        <f t="shared" si="9"/>
        <v>53.870678316000003</v>
      </c>
      <c r="CL14" s="56">
        <f t="shared" si="9"/>
        <v>53.870678316000003</v>
      </c>
      <c r="CM14" s="56">
        <f t="shared" si="9"/>
        <v>53.870678316000003</v>
      </c>
      <c r="CN14" s="56">
        <f t="shared" si="9"/>
        <v>53.870678316000003</v>
      </c>
      <c r="CO14" s="56">
        <f t="shared" si="9"/>
        <v>53.870678316000003</v>
      </c>
      <c r="CP14" s="56">
        <f t="shared" si="9"/>
        <v>53.870678316000003</v>
      </c>
      <c r="CQ14" s="56">
        <f t="shared" si="9"/>
        <v>53.870678316000003</v>
      </c>
      <c r="CR14" s="56">
        <f t="shared" si="9"/>
        <v>53.870678316000003</v>
      </c>
      <c r="CS14" s="56">
        <f t="shared" si="9"/>
        <v>53.870678316000003</v>
      </c>
      <c r="CT14" s="56">
        <f t="shared" si="9"/>
        <v>53.870678316000003</v>
      </c>
      <c r="CU14" s="56">
        <f t="shared" si="9"/>
        <v>53.870678316000003</v>
      </c>
      <c r="CV14" s="56">
        <f t="shared" si="9"/>
        <v>53.870678316000003</v>
      </c>
      <c r="CW14" s="56">
        <f t="shared" si="9"/>
        <v>53.870678316000003</v>
      </c>
      <c r="CX14" s="56">
        <f t="shared" si="9"/>
        <v>53.870678316000003</v>
      </c>
      <c r="CY14" s="56">
        <f t="shared" si="9"/>
        <v>53.870678316000003</v>
      </c>
      <c r="CZ14" s="56">
        <f t="shared" si="9"/>
        <v>53.870678316000003</v>
      </c>
      <c r="DA14" s="56">
        <f t="shared" si="9"/>
        <v>53.870678316000003</v>
      </c>
      <c r="DB14" s="56">
        <f t="shared" si="9"/>
        <v>53.870678316000003</v>
      </c>
      <c r="DC14" s="56">
        <f t="shared" si="9"/>
        <v>53.870678316000003</v>
      </c>
      <c r="DD14" s="56">
        <f t="shared" si="9"/>
        <v>53.870678316000003</v>
      </c>
      <c r="DE14" s="56">
        <f t="shared" si="9"/>
        <v>53.870678316000003</v>
      </c>
      <c r="DF14" s="56">
        <f t="shared" si="9"/>
        <v>53.870678316000003</v>
      </c>
      <c r="DG14" s="56">
        <f t="shared" si="9"/>
        <v>53.870678316000003</v>
      </c>
      <c r="DH14" s="56">
        <f t="shared" si="9"/>
        <v>53.870678316000003</v>
      </c>
      <c r="DI14" s="56">
        <f t="shared" si="9"/>
        <v>53.870678316000003</v>
      </c>
      <c r="DJ14" s="56">
        <f t="shared" si="9"/>
        <v>53.870678316000003</v>
      </c>
      <c r="DK14" s="56">
        <f t="shared" si="9"/>
        <v>53.870678316000003</v>
      </c>
      <c r="DL14" s="56">
        <f t="shared" si="9"/>
        <v>53.870678316000003</v>
      </c>
      <c r="DM14" s="56">
        <f t="shared" si="9"/>
        <v>53.870678316000003</v>
      </c>
      <c r="DN14" s="56">
        <f t="shared" si="9"/>
        <v>53.870678316000003</v>
      </c>
      <c r="DO14" s="56">
        <f t="shared" si="9"/>
        <v>53.870678316000003</v>
      </c>
      <c r="DP14" s="56">
        <f t="shared" si="9"/>
        <v>53.870678316000003</v>
      </c>
      <c r="DQ14" s="56">
        <f t="shared" si="9"/>
        <v>53.870678316000003</v>
      </c>
      <c r="DR14" s="56">
        <f t="shared" si="9"/>
        <v>53.870678316000003</v>
      </c>
      <c r="DS14" s="56">
        <f t="shared" si="9"/>
        <v>53.870678316000003</v>
      </c>
      <c r="DT14" s="56">
        <f t="shared" si="9"/>
        <v>53.870678316000003</v>
      </c>
      <c r="DU14" s="56">
        <f t="shared" si="9"/>
        <v>53.870678316000003</v>
      </c>
      <c r="DV14" s="56">
        <f t="shared" si="9"/>
        <v>53.870678316000003</v>
      </c>
      <c r="DW14" s="56">
        <f t="shared" si="9"/>
        <v>53.870678316000003</v>
      </c>
    </row>
    <row r="15" spans="2:127" x14ac:dyDescent="0.3">
      <c r="B15" s="53" t="s">
        <v>186</v>
      </c>
      <c r="C15" s="56">
        <f>+C14*1000*Assumptions!$C$54</f>
        <v>2106.8283599999995</v>
      </c>
      <c r="D15" s="56">
        <f>+D14*1000*Assumptions!$C$54</f>
        <v>2106.8283599999995</v>
      </c>
      <c r="E15" s="56">
        <f>+E14*1000*Assumptions!$C$54</f>
        <v>2106.8283599999995</v>
      </c>
      <c r="F15" s="56">
        <f>+F14*1000*Assumptions!$C$54</f>
        <v>5434.4740285180796</v>
      </c>
      <c r="G15" s="56">
        <f>+G14*1000*Assumptions!$C$54</f>
        <v>33965.462678238</v>
      </c>
      <c r="H15" s="56">
        <f>+H14*1000*Assumptions!$C$54</f>
        <v>33965.462678238</v>
      </c>
      <c r="I15" s="56">
        <f>+I14*1000*Assumptions!$C$54</f>
        <v>33965.462678238</v>
      </c>
      <c r="J15" s="56">
        <f>+J14*1000*Assumptions!$C$54</f>
        <v>33965.462678238</v>
      </c>
      <c r="K15" s="56">
        <f>+K14*1000*Assumptions!$C$54</f>
        <v>33965.462678238</v>
      </c>
      <c r="L15" s="56">
        <f>+L14*1000*Assumptions!$C$54</f>
        <v>67930.925356476</v>
      </c>
      <c r="M15" s="56">
        <f>+M14*1000*Assumptions!$C$54</f>
        <v>67930.925356476</v>
      </c>
      <c r="N15" s="56">
        <f>+N14*1000*Assumptions!$C$54</f>
        <v>67930.925356476</v>
      </c>
      <c r="O15" s="56">
        <f>+O14*1000*Assumptions!$C$54</f>
        <v>67930.925356476</v>
      </c>
      <c r="P15" s="56">
        <f>+P14*1000*Assumptions!$C$54</f>
        <v>67930.925356476</v>
      </c>
      <c r="Q15" s="56">
        <f>+Q14*1000*Assumptions!$C$54</f>
        <v>67930.925356476</v>
      </c>
      <c r="R15" s="56">
        <f>+R14*1000*Assumptions!$C$54</f>
        <v>67930.925356476</v>
      </c>
      <c r="S15" s="56">
        <f>+S14*1000*Assumptions!$C$54</f>
        <v>67930.925356476</v>
      </c>
      <c r="T15" s="56">
        <f>+T14*1000*Assumptions!$C$54</f>
        <v>67930.925356476</v>
      </c>
      <c r="U15" s="56">
        <f>+U14*1000*Assumptions!$C$54</f>
        <v>67930.925356476</v>
      </c>
      <c r="V15" s="56">
        <f>+V14*1000*Assumptions!$C$54</f>
        <v>67930.925356476</v>
      </c>
      <c r="W15" s="56">
        <f>+W14*1000*Assumptions!$C$54</f>
        <v>67930.925356476</v>
      </c>
      <c r="X15" s="56">
        <f>+X14*1000*Assumptions!$C$54</f>
        <v>67930.925356476</v>
      </c>
      <c r="Y15" s="56">
        <f>+Y14*1000*Assumptions!$C$54</f>
        <v>67930.925356476</v>
      </c>
      <c r="Z15" s="56">
        <f>+Z14*1000*Assumptions!$C$54</f>
        <v>67930.925356476</v>
      </c>
      <c r="AA15" s="56">
        <f>+AA14*1000*Assumptions!$C$54</f>
        <v>67930.925356476</v>
      </c>
      <c r="AB15" s="56">
        <f>+AB14*1000*Assumptions!$C$54</f>
        <v>67930.925356476</v>
      </c>
      <c r="AC15" s="56">
        <f>+AC14*1000*Assumptions!$C$54</f>
        <v>67930.925356476</v>
      </c>
      <c r="AD15" s="56">
        <f>+AD14*1000*Assumptions!$C$54</f>
        <v>67930.925356476</v>
      </c>
      <c r="AE15" s="56">
        <f>+AE14*1000*Assumptions!$C$54</f>
        <v>67930.925356476</v>
      </c>
      <c r="AF15" s="56">
        <f>+AF14*1000*Assumptions!$C$54</f>
        <v>67930.925356476</v>
      </c>
      <c r="AG15" s="56">
        <f>+AG14*1000*Assumptions!$C$54</f>
        <v>67930.925356476</v>
      </c>
      <c r="AH15" s="56">
        <f>+AH14*1000*Assumptions!$C$54</f>
        <v>67930.925356476</v>
      </c>
      <c r="AI15" s="56">
        <f>+AI14*1000*Assumptions!$C$54</f>
        <v>67930.925356476</v>
      </c>
      <c r="AJ15" s="56">
        <f>+AJ14*1000*Assumptions!$C$54</f>
        <v>67930.925356476</v>
      </c>
      <c r="AK15" s="56">
        <f>+AK14*1000*Assumptions!$C$54</f>
        <v>67930.925356476</v>
      </c>
      <c r="AL15" s="56">
        <f>+AL14*1000*Assumptions!$C$54</f>
        <v>67930.925356476</v>
      </c>
      <c r="AM15" s="56">
        <f>+AM14*1000*Assumptions!$C$54</f>
        <v>67930.925356476</v>
      </c>
      <c r="AN15" s="56">
        <f>+AN14*1000*Assumptions!$C$54</f>
        <v>67930.925356476</v>
      </c>
      <c r="AO15" s="56">
        <f>+AO14*1000*Assumptions!$C$54</f>
        <v>67930.925356476</v>
      </c>
      <c r="AP15" s="56">
        <f>+AP14*1000*Assumptions!$C$54</f>
        <v>67930.925356476</v>
      </c>
      <c r="AQ15" s="56">
        <f>+AQ14*1000*Assumptions!$C$54</f>
        <v>67930.925356476</v>
      </c>
      <c r="AR15" s="56">
        <f>+AR14*1000*Assumptions!$C$54</f>
        <v>67930.925356476</v>
      </c>
      <c r="AS15" s="56">
        <f>+AS14*1000*Assumptions!$C$54</f>
        <v>67930.925356476</v>
      </c>
      <c r="AT15" s="56">
        <f>+AT14*1000*Assumptions!$C$54</f>
        <v>67930.925356476</v>
      </c>
      <c r="AU15" s="56">
        <f>+AU14*1000*Assumptions!$C$54</f>
        <v>67930.925356476</v>
      </c>
      <c r="AV15" s="56">
        <f>+AV14*1000*Assumptions!$C$54</f>
        <v>67930.925356476</v>
      </c>
      <c r="AW15" s="56">
        <f>+AW14*1000*Assumptions!$C$54</f>
        <v>67930.925356476</v>
      </c>
      <c r="AX15" s="56">
        <f>+AX14*1000*Assumptions!$C$54</f>
        <v>67930.925356476</v>
      </c>
      <c r="AY15" s="56">
        <f>+AY14*1000*Assumptions!$C$54</f>
        <v>67930.925356476</v>
      </c>
      <c r="AZ15" s="56">
        <f>+AZ14*1000*Assumptions!$C$54</f>
        <v>67930.925356476</v>
      </c>
      <c r="BA15" s="56">
        <f>+BA14*1000*Assumptions!$C$54</f>
        <v>67930.925356476</v>
      </c>
      <c r="BB15" s="56">
        <f>+BB14*1000*Assumptions!$C$54</f>
        <v>67930.925356476</v>
      </c>
      <c r="BC15" s="56">
        <f>+BC14*1000*Assumptions!$C$54</f>
        <v>67930.925356476</v>
      </c>
      <c r="BD15" s="56">
        <f>+BD14*1000*Assumptions!$C$54</f>
        <v>67930.925356476</v>
      </c>
      <c r="BE15" s="56">
        <f>+BE14*1000*Assumptions!$C$54</f>
        <v>67930.925356476</v>
      </c>
      <c r="BF15" s="56">
        <f>+BF14*1000*Assumptions!$C$54</f>
        <v>67930.925356476</v>
      </c>
      <c r="BG15" s="56">
        <f>+BG14*1000*Assumptions!$C$54</f>
        <v>67930.925356476</v>
      </c>
      <c r="BH15" s="56">
        <f>+BH14*1000*Assumptions!$C$54</f>
        <v>67930.925356476</v>
      </c>
      <c r="BI15" s="56">
        <f>+BI14*1000*Assumptions!$C$54</f>
        <v>67930.925356476</v>
      </c>
      <c r="BJ15" s="56">
        <f>+BJ14*1000*Assumptions!$C$54</f>
        <v>67930.925356476</v>
      </c>
      <c r="BK15" s="56">
        <f>+BK14*1000*Assumptions!$C$54</f>
        <v>67930.925356476</v>
      </c>
      <c r="BL15" s="56">
        <f>+BL14*1000*Assumptions!$C$54</f>
        <v>67930.925356476</v>
      </c>
      <c r="BM15" s="56">
        <f>+BM14*1000*Assumptions!$C$54</f>
        <v>67930.925356476</v>
      </c>
      <c r="BN15" s="56">
        <f>+BN14*1000*Assumptions!$C$54</f>
        <v>67930.925356476</v>
      </c>
      <c r="BO15" s="56">
        <f>+BO14*1000*Assumptions!$C$54</f>
        <v>67930.925356476</v>
      </c>
      <c r="BP15" s="56">
        <f>+BP14*1000*Assumptions!$C$54</f>
        <v>67930.925356476</v>
      </c>
      <c r="BQ15" s="56">
        <f>+BQ14*1000*Assumptions!$C$54</f>
        <v>67930.925356476</v>
      </c>
      <c r="BR15" s="56">
        <f>+BR14*1000*Assumptions!$C$54</f>
        <v>67930.925356476</v>
      </c>
      <c r="BS15" s="56">
        <f>+BS14*1000*Assumptions!$C$54</f>
        <v>67930.925356476</v>
      </c>
      <c r="BT15" s="56">
        <f>+BT14*1000*Assumptions!$C$54</f>
        <v>67930.925356476</v>
      </c>
      <c r="BU15" s="56">
        <f>+BU14*1000*Assumptions!$C$54</f>
        <v>67930.925356476</v>
      </c>
      <c r="BV15" s="56">
        <f>+BV14*1000*Assumptions!$C$54</f>
        <v>67930.925356476</v>
      </c>
      <c r="BW15" s="56">
        <f>+BW14*1000*Assumptions!$C$54</f>
        <v>67930.925356476</v>
      </c>
      <c r="BX15" s="56">
        <f>+BX14*1000*Assumptions!$C$54</f>
        <v>67930.925356476</v>
      </c>
      <c r="BY15" s="56">
        <f>+BY14*1000*Assumptions!$C$54</f>
        <v>67930.925356476</v>
      </c>
      <c r="BZ15" s="56">
        <f>+BZ14*1000*Assumptions!$C$54</f>
        <v>67930.925356476</v>
      </c>
      <c r="CA15" s="56">
        <f>+CA14*1000*Assumptions!$C$54</f>
        <v>67930.925356476</v>
      </c>
      <c r="CB15" s="56">
        <f>+CB14*1000*Assumptions!$C$54</f>
        <v>67930.925356476</v>
      </c>
      <c r="CC15" s="56">
        <f>+CC14*1000*Assumptions!$C$54</f>
        <v>67930.925356476</v>
      </c>
      <c r="CD15" s="56">
        <f>+CD14*1000*Assumptions!$C$54</f>
        <v>67930.925356476</v>
      </c>
      <c r="CE15" s="56">
        <f>+CE14*1000*Assumptions!$C$54</f>
        <v>67930.925356476</v>
      </c>
      <c r="CF15" s="56">
        <f>+CF14*1000*Assumptions!$C$54</f>
        <v>67930.925356476</v>
      </c>
      <c r="CG15" s="56">
        <f>+CG14*1000*Assumptions!$C$54</f>
        <v>67930.925356476</v>
      </c>
      <c r="CH15" s="56">
        <f>+CH14*1000*Assumptions!$C$54</f>
        <v>67930.925356476</v>
      </c>
      <c r="CI15" s="56">
        <f>+CI14*1000*Assumptions!$C$54</f>
        <v>67930.925356476</v>
      </c>
      <c r="CJ15" s="56">
        <f>+CJ14*1000*Assumptions!$C$54</f>
        <v>67930.925356476</v>
      </c>
      <c r="CK15" s="56">
        <f>+CK14*1000*Assumptions!$C$54</f>
        <v>67930.925356476</v>
      </c>
      <c r="CL15" s="56">
        <f>+CL14*1000*Assumptions!$C$54</f>
        <v>67930.925356476</v>
      </c>
      <c r="CM15" s="56">
        <f>+CM14*1000*Assumptions!$C$54</f>
        <v>67930.925356476</v>
      </c>
      <c r="CN15" s="56">
        <f>+CN14*1000*Assumptions!$C$54</f>
        <v>67930.925356476</v>
      </c>
      <c r="CO15" s="56">
        <f>+CO14*1000*Assumptions!$C$54</f>
        <v>67930.925356476</v>
      </c>
      <c r="CP15" s="56">
        <f>+CP14*1000*Assumptions!$C$54</f>
        <v>67930.925356476</v>
      </c>
      <c r="CQ15" s="56">
        <f>+CQ14*1000*Assumptions!$C$54</f>
        <v>67930.925356476</v>
      </c>
      <c r="CR15" s="56">
        <f>+CR14*1000*Assumptions!$C$54</f>
        <v>67930.925356476</v>
      </c>
      <c r="CS15" s="56">
        <f>+CS14*1000*Assumptions!$C$54</f>
        <v>67930.925356476</v>
      </c>
      <c r="CT15" s="56">
        <f>+CT14*1000*Assumptions!$C$54</f>
        <v>67930.925356476</v>
      </c>
      <c r="CU15" s="56">
        <f>+CU14*1000*Assumptions!$C$54</f>
        <v>67930.925356476</v>
      </c>
      <c r="CV15" s="56">
        <f>+CV14*1000*Assumptions!$C$54</f>
        <v>67930.925356476</v>
      </c>
      <c r="CW15" s="56">
        <f>+CW14*1000*Assumptions!$C$54</f>
        <v>67930.925356476</v>
      </c>
      <c r="CX15" s="56">
        <f>+CX14*1000*Assumptions!$C$54</f>
        <v>67930.925356476</v>
      </c>
      <c r="CY15" s="56">
        <f>+CY14*1000*Assumptions!$C$54</f>
        <v>67930.925356476</v>
      </c>
      <c r="CZ15" s="56">
        <f>+CZ14*1000*Assumptions!$C$54</f>
        <v>67930.925356476</v>
      </c>
      <c r="DA15" s="56">
        <f>+DA14*1000*Assumptions!$C$54</f>
        <v>67930.925356476</v>
      </c>
      <c r="DB15" s="56">
        <f>+DB14*1000*Assumptions!$C$54</f>
        <v>67930.925356476</v>
      </c>
      <c r="DC15" s="56">
        <f>+DC14*1000*Assumptions!$C$54</f>
        <v>67930.925356476</v>
      </c>
      <c r="DD15" s="56">
        <f>+DD14*1000*Assumptions!$C$54</f>
        <v>67930.925356476</v>
      </c>
      <c r="DE15" s="56">
        <f>+DE14*1000*Assumptions!$C$54</f>
        <v>67930.925356476</v>
      </c>
      <c r="DF15" s="56">
        <f>+DF14*1000*Assumptions!$C$54</f>
        <v>67930.925356476</v>
      </c>
      <c r="DG15" s="56">
        <f>+DG14*1000*Assumptions!$C$54</f>
        <v>67930.925356476</v>
      </c>
      <c r="DH15" s="56">
        <f>+DH14*1000*Assumptions!$C$54</f>
        <v>67930.925356476</v>
      </c>
      <c r="DI15" s="56">
        <f>+DI14*1000*Assumptions!$C$54</f>
        <v>67930.925356476</v>
      </c>
      <c r="DJ15" s="56">
        <f>+DJ14*1000*Assumptions!$C$54</f>
        <v>67930.925356476</v>
      </c>
      <c r="DK15" s="56">
        <f>+DK14*1000*Assumptions!$C$54</f>
        <v>67930.925356476</v>
      </c>
      <c r="DL15" s="56">
        <f>+DL14*1000*Assumptions!$C$54</f>
        <v>67930.925356476</v>
      </c>
      <c r="DM15" s="56">
        <f>+DM14*1000*Assumptions!$C$54</f>
        <v>67930.925356476</v>
      </c>
      <c r="DN15" s="56">
        <f>+DN14*1000*Assumptions!$C$54</f>
        <v>67930.925356476</v>
      </c>
      <c r="DO15" s="56">
        <f>+DO14*1000*Assumptions!$C$54</f>
        <v>67930.925356476</v>
      </c>
      <c r="DP15" s="56">
        <f>+DP14*1000*Assumptions!$C$54</f>
        <v>67930.925356476</v>
      </c>
      <c r="DQ15" s="56">
        <f>+DQ14*1000*Assumptions!$C$54</f>
        <v>67930.925356476</v>
      </c>
      <c r="DR15" s="56">
        <f>+DR14*1000*Assumptions!$C$54</f>
        <v>67930.925356476</v>
      </c>
      <c r="DS15" s="56">
        <f>+DS14*1000*Assumptions!$C$54</f>
        <v>67930.925356476</v>
      </c>
      <c r="DT15" s="56">
        <f>+DT14*1000*Assumptions!$C$54</f>
        <v>67930.925356476</v>
      </c>
      <c r="DU15" s="56">
        <f>+DU14*1000*Assumptions!$C$54</f>
        <v>67930.925356476</v>
      </c>
      <c r="DV15" s="56">
        <f>+DV14*1000*Assumptions!$C$54</f>
        <v>67930.925356476</v>
      </c>
      <c r="DW15" s="56">
        <f>+DW14*1000*Assumptions!$C$54</f>
        <v>67930.925356476</v>
      </c>
    </row>
    <row r="16" spans="2:127" x14ac:dyDescent="0.3">
      <c r="B16" s="53" t="s">
        <v>187</v>
      </c>
      <c r="C16" s="56">
        <f>+C15/Assumptions!$C$53</f>
        <v>210.68283599999995</v>
      </c>
      <c r="D16" s="56">
        <f>+D15/Assumptions!$C$53</f>
        <v>210.68283599999995</v>
      </c>
      <c r="E16" s="56">
        <f>+E15/Assumptions!$C$53</f>
        <v>210.68283599999995</v>
      </c>
      <c r="F16" s="56">
        <f>+F15/Assumptions!$C$53</f>
        <v>543.44740285180796</v>
      </c>
      <c r="G16" s="56">
        <f>+G15/Assumptions!$C$53</f>
        <v>3396.5462678238</v>
      </c>
      <c r="H16" s="56">
        <f>+H15/Assumptions!$C$53</f>
        <v>3396.5462678238</v>
      </c>
      <c r="I16" s="56">
        <f>+I15/Assumptions!$C$53</f>
        <v>3396.5462678238</v>
      </c>
      <c r="J16" s="56">
        <f>+J15/Assumptions!$C$53</f>
        <v>3396.5462678238</v>
      </c>
      <c r="K16" s="56">
        <f>+K15/Assumptions!$C$53</f>
        <v>3396.5462678238</v>
      </c>
      <c r="L16" s="56">
        <f>+L15/Assumptions!$C$53</f>
        <v>6793.0925356476</v>
      </c>
      <c r="M16" s="56">
        <f>+M15/Assumptions!$C$53</f>
        <v>6793.0925356476</v>
      </c>
      <c r="N16" s="56">
        <f>+N15/Assumptions!$C$53</f>
        <v>6793.0925356476</v>
      </c>
      <c r="O16" s="56">
        <f>+O15/Assumptions!$C$53</f>
        <v>6793.0925356476</v>
      </c>
      <c r="P16" s="56">
        <f>+P15/Assumptions!$C$53</f>
        <v>6793.0925356476</v>
      </c>
      <c r="Q16" s="56">
        <f>+Q15/Assumptions!$C$53</f>
        <v>6793.0925356476</v>
      </c>
      <c r="R16" s="56">
        <f>+R15/Assumptions!$C$53</f>
        <v>6793.0925356476</v>
      </c>
      <c r="S16" s="56">
        <f>+S15/Assumptions!$C$53</f>
        <v>6793.0925356476</v>
      </c>
      <c r="T16" s="56">
        <f>+T15/Assumptions!$C$53</f>
        <v>6793.0925356476</v>
      </c>
      <c r="U16" s="56">
        <f>+U15/Assumptions!$C$53</f>
        <v>6793.0925356476</v>
      </c>
      <c r="V16" s="56">
        <f>+V15/Assumptions!$C$53</f>
        <v>6793.0925356476</v>
      </c>
      <c r="W16" s="56">
        <f>+W15/Assumptions!$C$53</f>
        <v>6793.0925356476</v>
      </c>
      <c r="X16" s="56">
        <f>+X15/Assumptions!$C$53</f>
        <v>6793.0925356476</v>
      </c>
      <c r="Y16" s="56">
        <f>+Y15/Assumptions!$C$53</f>
        <v>6793.0925356476</v>
      </c>
      <c r="Z16" s="56">
        <f>+Z15/Assumptions!$C$53</f>
        <v>6793.0925356476</v>
      </c>
      <c r="AA16" s="56">
        <f>+AA15/Assumptions!$C$53</f>
        <v>6793.0925356476</v>
      </c>
      <c r="AB16" s="56">
        <f>+AB15/Assumptions!$C$53</f>
        <v>6793.0925356476</v>
      </c>
      <c r="AC16" s="56">
        <f>+AC15/Assumptions!$C$53</f>
        <v>6793.0925356476</v>
      </c>
      <c r="AD16" s="56">
        <f>+AD15/Assumptions!$C$53</f>
        <v>6793.0925356476</v>
      </c>
      <c r="AE16" s="56">
        <f>+AE15/Assumptions!$C$53</f>
        <v>6793.0925356476</v>
      </c>
      <c r="AF16" s="56">
        <f>+AF15/Assumptions!$C$53</f>
        <v>6793.0925356476</v>
      </c>
      <c r="AG16" s="56">
        <f>+AG15/Assumptions!$C$53</f>
        <v>6793.0925356476</v>
      </c>
      <c r="AH16" s="56">
        <f>+AH15/Assumptions!$C$53</f>
        <v>6793.0925356476</v>
      </c>
      <c r="AI16" s="56">
        <f>+AI15/Assumptions!$C$53</f>
        <v>6793.0925356476</v>
      </c>
      <c r="AJ16" s="56">
        <f>+AJ15/Assumptions!$C$53</f>
        <v>6793.0925356476</v>
      </c>
      <c r="AK16" s="56">
        <f>+AK15/Assumptions!$C$53</f>
        <v>6793.0925356476</v>
      </c>
      <c r="AL16" s="56">
        <f>+AL15/Assumptions!$C$53</f>
        <v>6793.0925356476</v>
      </c>
      <c r="AM16" s="56">
        <f>+AM15/Assumptions!$C$53</f>
        <v>6793.0925356476</v>
      </c>
      <c r="AN16" s="56">
        <f>+AN15/Assumptions!$C$53</f>
        <v>6793.0925356476</v>
      </c>
      <c r="AO16" s="56">
        <f>+AO15/Assumptions!$C$53</f>
        <v>6793.0925356476</v>
      </c>
      <c r="AP16" s="56">
        <f>+AP15/Assumptions!$C$53</f>
        <v>6793.0925356476</v>
      </c>
      <c r="AQ16" s="56">
        <f>+AQ15/Assumptions!$C$53</f>
        <v>6793.0925356476</v>
      </c>
      <c r="AR16" s="56">
        <f>+AR15/Assumptions!$C$53</f>
        <v>6793.0925356476</v>
      </c>
      <c r="AS16" s="56">
        <f>+AS15/Assumptions!$C$53</f>
        <v>6793.0925356476</v>
      </c>
      <c r="AT16" s="56">
        <f>+AT15/Assumptions!$C$53</f>
        <v>6793.0925356476</v>
      </c>
      <c r="AU16" s="56">
        <f>+AU15/Assumptions!$C$53</f>
        <v>6793.0925356476</v>
      </c>
      <c r="AV16" s="56">
        <f>+AV15/Assumptions!$C$53</f>
        <v>6793.0925356476</v>
      </c>
      <c r="AW16" s="56">
        <f>+AW15/Assumptions!$C$53</f>
        <v>6793.0925356476</v>
      </c>
      <c r="AX16" s="56">
        <f>+AX15/Assumptions!$C$53</f>
        <v>6793.0925356476</v>
      </c>
      <c r="AY16" s="56">
        <f>+AY15/Assumptions!$C$53</f>
        <v>6793.0925356476</v>
      </c>
      <c r="AZ16" s="56">
        <f>+AZ15/Assumptions!$C$53</f>
        <v>6793.0925356476</v>
      </c>
      <c r="BA16" s="56">
        <f>+BA15/Assumptions!$C$53</f>
        <v>6793.0925356476</v>
      </c>
      <c r="BB16" s="56">
        <f>+BB15/Assumptions!$C$53</f>
        <v>6793.0925356476</v>
      </c>
      <c r="BC16" s="56">
        <f>+BC15/Assumptions!$C$53</f>
        <v>6793.0925356476</v>
      </c>
      <c r="BD16" s="56">
        <f>+BD15/Assumptions!$C$53</f>
        <v>6793.0925356476</v>
      </c>
      <c r="BE16" s="56">
        <f>+BE15/Assumptions!$C$53</f>
        <v>6793.0925356476</v>
      </c>
      <c r="BF16" s="56">
        <f>+BF15/Assumptions!$C$53</f>
        <v>6793.0925356476</v>
      </c>
      <c r="BG16" s="56">
        <f>+BG15/Assumptions!$C$53</f>
        <v>6793.0925356476</v>
      </c>
      <c r="BH16" s="56">
        <f>+BH15/Assumptions!$C$53</f>
        <v>6793.0925356476</v>
      </c>
      <c r="BI16" s="56">
        <f>+BI15/Assumptions!$C$53</f>
        <v>6793.0925356476</v>
      </c>
      <c r="BJ16" s="56">
        <f>+BJ15/Assumptions!$C$53</f>
        <v>6793.0925356476</v>
      </c>
      <c r="BK16" s="56">
        <f>+BK15/Assumptions!$C$53</f>
        <v>6793.0925356476</v>
      </c>
      <c r="BL16" s="56">
        <f>+BL15/Assumptions!$C$53</f>
        <v>6793.0925356476</v>
      </c>
      <c r="BM16" s="56">
        <f>+BM15/Assumptions!$C$53</f>
        <v>6793.0925356476</v>
      </c>
      <c r="BN16" s="56">
        <f>+BN15/Assumptions!$C$53</f>
        <v>6793.0925356476</v>
      </c>
      <c r="BO16" s="56">
        <f>+BO15/Assumptions!$C$53</f>
        <v>6793.0925356476</v>
      </c>
      <c r="BP16" s="56">
        <f>+BP15/Assumptions!$C$53</f>
        <v>6793.0925356476</v>
      </c>
      <c r="BQ16" s="56">
        <f>+BQ15/Assumptions!$C$53</f>
        <v>6793.0925356476</v>
      </c>
      <c r="BR16" s="56">
        <f>+BR15/Assumptions!$C$53</f>
        <v>6793.0925356476</v>
      </c>
      <c r="BS16" s="56">
        <f>+BS15/Assumptions!$C$53</f>
        <v>6793.0925356476</v>
      </c>
      <c r="BT16" s="56">
        <f>+BT15/Assumptions!$C$53</f>
        <v>6793.0925356476</v>
      </c>
      <c r="BU16" s="56">
        <f>+BU15/Assumptions!$C$53</f>
        <v>6793.0925356476</v>
      </c>
      <c r="BV16" s="56">
        <f>+BV15/Assumptions!$C$53</f>
        <v>6793.0925356476</v>
      </c>
      <c r="BW16" s="56">
        <f>+BW15/Assumptions!$C$53</f>
        <v>6793.0925356476</v>
      </c>
      <c r="BX16" s="56">
        <f>+BX15/Assumptions!$C$53</f>
        <v>6793.0925356476</v>
      </c>
      <c r="BY16" s="56">
        <f>+BY15/Assumptions!$C$53</f>
        <v>6793.0925356476</v>
      </c>
      <c r="BZ16" s="56">
        <f>+BZ15/Assumptions!$C$53</f>
        <v>6793.0925356476</v>
      </c>
      <c r="CA16" s="56">
        <f>+CA15/Assumptions!$C$53</f>
        <v>6793.0925356476</v>
      </c>
      <c r="CB16" s="56">
        <f>+CB15/Assumptions!$C$53</f>
        <v>6793.0925356476</v>
      </c>
      <c r="CC16" s="56">
        <f>+CC15/Assumptions!$C$53</f>
        <v>6793.0925356476</v>
      </c>
      <c r="CD16" s="56">
        <f>+CD15/Assumptions!$C$53</f>
        <v>6793.0925356476</v>
      </c>
      <c r="CE16" s="56">
        <f>+CE15/Assumptions!$C$53</f>
        <v>6793.0925356476</v>
      </c>
      <c r="CF16" s="56">
        <f>+CF15/Assumptions!$C$53</f>
        <v>6793.0925356476</v>
      </c>
      <c r="CG16" s="56">
        <f>+CG15/Assumptions!$C$53</f>
        <v>6793.0925356476</v>
      </c>
      <c r="CH16" s="56">
        <f>+CH15/Assumptions!$C$53</f>
        <v>6793.0925356476</v>
      </c>
      <c r="CI16" s="56">
        <f>+CI15/Assumptions!$C$53</f>
        <v>6793.0925356476</v>
      </c>
      <c r="CJ16" s="56">
        <f>+CJ15/Assumptions!$C$53</f>
        <v>6793.0925356476</v>
      </c>
      <c r="CK16" s="56">
        <f>+CK15/Assumptions!$C$53</f>
        <v>6793.0925356476</v>
      </c>
      <c r="CL16" s="56">
        <f>+CL15/Assumptions!$C$53</f>
        <v>6793.0925356476</v>
      </c>
      <c r="CM16" s="56">
        <f>+CM15/Assumptions!$C$53</f>
        <v>6793.0925356476</v>
      </c>
      <c r="CN16" s="56">
        <f>+CN15/Assumptions!$C$53</f>
        <v>6793.0925356476</v>
      </c>
      <c r="CO16" s="56">
        <f>+CO15/Assumptions!$C$53</f>
        <v>6793.0925356476</v>
      </c>
      <c r="CP16" s="56">
        <f>+CP15/Assumptions!$C$53</f>
        <v>6793.0925356476</v>
      </c>
      <c r="CQ16" s="56">
        <f>+CQ15/Assumptions!$C$53</f>
        <v>6793.0925356476</v>
      </c>
      <c r="CR16" s="56">
        <f>+CR15/Assumptions!$C$53</f>
        <v>6793.0925356476</v>
      </c>
      <c r="CS16" s="56">
        <f>+CS15/Assumptions!$C$53</f>
        <v>6793.0925356476</v>
      </c>
      <c r="CT16" s="56">
        <f>+CT15/Assumptions!$C$53</f>
        <v>6793.0925356476</v>
      </c>
      <c r="CU16" s="56">
        <f>+CU15/Assumptions!$C$53</f>
        <v>6793.0925356476</v>
      </c>
      <c r="CV16" s="56">
        <f>+CV15/Assumptions!$C$53</f>
        <v>6793.0925356476</v>
      </c>
      <c r="CW16" s="56">
        <f>+CW15/Assumptions!$C$53</f>
        <v>6793.0925356476</v>
      </c>
      <c r="CX16" s="56">
        <f>+CX15/Assumptions!$C$53</f>
        <v>6793.0925356476</v>
      </c>
      <c r="CY16" s="56">
        <f>+CY15/Assumptions!$C$53</f>
        <v>6793.0925356476</v>
      </c>
      <c r="CZ16" s="56">
        <f>+CZ15/Assumptions!$C$53</f>
        <v>6793.0925356476</v>
      </c>
      <c r="DA16" s="56">
        <f>+DA15/Assumptions!$C$53</f>
        <v>6793.0925356476</v>
      </c>
      <c r="DB16" s="56">
        <f>+DB15/Assumptions!$C$53</f>
        <v>6793.0925356476</v>
      </c>
      <c r="DC16" s="56">
        <f>+DC15/Assumptions!$C$53</f>
        <v>6793.0925356476</v>
      </c>
      <c r="DD16" s="56">
        <f>+DD15/Assumptions!$C$53</f>
        <v>6793.0925356476</v>
      </c>
      <c r="DE16" s="56">
        <f>+DE15/Assumptions!$C$53</f>
        <v>6793.0925356476</v>
      </c>
      <c r="DF16" s="56">
        <f>+DF15/Assumptions!$C$53</f>
        <v>6793.0925356476</v>
      </c>
      <c r="DG16" s="56">
        <f>+DG15/Assumptions!$C$53</f>
        <v>6793.0925356476</v>
      </c>
      <c r="DH16" s="56">
        <f>+DH15/Assumptions!$C$53</f>
        <v>6793.0925356476</v>
      </c>
      <c r="DI16" s="56">
        <f>+DI15/Assumptions!$C$53</f>
        <v>6793.0925356476</v>
      </c>
      <c r="DJ16" s="56">
        <f>+DJ15/Assumptions!$C$53</f>
        <v>6793.0925356476</v>
      </c>
      <c r="DK16" s="56">
        <f>+DK15/Assumptions!$C$53</f>
        <v>6793.0925356476</v>
      </c>
      <c r="DL16" s="56">
        <f>+DL15/Assumptions!$C$53</f>
        <v>6793.0925356476</v>
      </c>
      <c r="DM16" s="56">
        <f>+DM15/Assumptions!$C$53</f>
        <v>6793.0925356476</v>
      </c>
      <c r="DN16" s="56">
        <f>+DN15/Assumptions!$C$53</f>
        <v>6793.0925356476</v>
      </c>
      <c r="DO16" s="56">
        <f>+DO15/Assumptions!$C$53</f>
        <v>6793.0925356476</v>
      </c>
      <c r="DP16" s="56">
        <f>+DP15/Assumptions!$C$53</f>
        <v>6793.0925356476</v>
      </c>
      <c r="DQ16" s="56">
        <f>+DQ15/Assumptions!$C$53</f>
        <v>6793.0925356476</v>
      </c>
      <c r="DR16" s="56">
        <f>+DR15/Assumptions!$C$53</f>
        <v>6793.0925356476</v>
      </c>
      <c r="DS16" s="56">
        <f>+DS15/Assumptions!$C$53</f>
        <v>6793.0925356476</v>
      </c>
      <c r="DT16" s="56">
        <f>+DT15/Assumptions!$C$53</f>
        <v>6793.0925356476</v>
      </c>
      <c r="DU16" s="56">
        <f>+DU15/Assumptions!$C$53</f>
        <v>6793.0925356476</v>
      </c>
      <c r="DV16" s="56">
        <f>+DV15/Assumptions!$C$53</f>
        <v>6793.0925356476</v>
      </c>
      <c r="DW16" s="56">
        <f>+DW15/Assumptions!$C$53</f>
        <v>6793.0925356476</v>
      </c>
    </row>
    <row r="17" spans="2:127" x14ac:dyDescent="0.3">
      <c r="B17" s="53" t="s">
        <v>188</v>
      </c>
      <c r="C17" s="120">
        <f>+C$16*Assumptions!$C36*Assumptions!$C$39</f>
        <v>436534.8361919999</v>
      </c>
      <c r="D17" s="120">
        <f>+D$16*Assumptions!$C36*Assumptions!$C$39</f>
        <v>436534.8361919999</v>
      </c>
      <c r="E17" s="120">
        <f>+E$16*Assumptions!$C36*Assumptions!$C$39</f>
        <v>436534.8361919999</v>
      </c>
      <c r="F17" s="120">
        <f>+F$16*Assumptions!$C36*Assumptions!$C$39</f>
        <v>1126023.0187089462</v>
      </c>
      <c r="G17" s="120">
        <f>+G$16*Assumptions!$C36*Assumptions!$C$39</f>
        <v>7037643.8669309132</v>
      </c>
      <c r="H17" s="120">
        <f>+H$16*Assumptions!$C36*Assumptions!$C$39</f>
        <v>7037643.8669309132</v>
      </c>
      <c r="I17" s="120">
        <f>+I$16*Assumptions!$C36*Assumptions!$C$39</f>
        <v>7037643.8669309132</v>
      </c>
      <c r="J17" s="120">
        <f>+J$16*Assumptions!$C36*Assumptions!$C$39</f>
        <v>7037643.8669309132</v>
      </c>
      <c r="K17" s="120">
        <f>+K$16*Assumptions!$C36*Assumptions!$C$39</f>
        <v>7037643.8669309132</v>
      </c>
      <c r="L17" s="120">
        <f>+L$16*Assumptions!$C36*Assumptions!$C$39</f>
        <v>14075287.733861826</v>
      </c>
      <c r="M17" s="120">
        <f>+M$16*Assumptions!$C36*Assumptions!$C$39</f>
        <v>14075287.733861826</v>
      </c>
      <c r="N17" s="120">
        <f>+N$16*Assumptions!$C36*Assumptions!$C$39</f>
        <v>14075287.733861826</v>
      </c>
      <c r="O17" s="120">
        <f>+O$16*Assumptions!$C36*Assumptions!$C$39</f>
        <v>14075287.733861826</v>
      </c>
      <c r="P17" s="120">
        <f>+P$16*Assumptions!$C36*Assumptions!$C$39</f>
        <v>14075287.733861826</v>
      </c>
      <c r="Q17" s="120">
        <f>+Q$16*Assumptions!$C36*Assumptions!$C$39</f>
        <v>14075287.733861826</v>
      </c>
      <c r="R17" s="120">
        <f>+R$16*Assumptions!$C36*Assumptions!$C$39</f>
        <v>14075287.733861826</v>
      </c>
      <c r="S17" s="120">
        <f>+S$16*Assumptions!$C36*Assumptions!$C$39</f>
        <v>14075287.733861826</v>
      </c>
      <c r="T17" s="120">
        <f>+T$16*Assumptions!$C36*Assumptions!$C$39</f>
        <v>14075287.733861826</v>
      </c>
      <c r="U17" s="120">
        <f>+U$16*Assumptions!$C36*Assumptions!$C$39</f>
        <v>14075287.733861826</v>
      </c>
      <c r="V17" s="120">
        <f>+V$16*Assumptions!$C36*Assumptions!$C$39</f>
        <v>14075287.733861826</v>
      </c>
      <c r="W17" s="120">
        <f>+W$16*Assumptions!$C36*Assumptions!$C$39</f>
        <v>14075287.733861826</v>
      </c>
      <c r="X17" s="120">
        <f>+X$16*Assumptions!$C36*Assumptions!$C$39</f>
        <v>14075287.733861826</v>
      </c>
      <c r="Y17" s="120">
        <f>+Y$16*Assumptions!$C36*Assumptions!$C$39</f>
        <v>14075287.733861826</v>
      </c>
      <c r="Z17" s="120">
        <f>+Z$16*Assumptions!$C36*Assumptions!$C$39</f>
        <v>14075287.733861826</v>
      </c>
      <c r="AA17" s="120">
        <f>+AA$16*Assumptions!$C36*Assumptions!$C$39</f>
        <v>14075287.733861826</v>
      </c>
      <c r="AB17" s="120">
        <f>+AB$16*Assumptions!$C36*Assumptions!$C$39</f>
        <v>14075287.733861826</v>
      </c>
      <c r="AC17" s="120">
        <f>+AC$16*Assumptions!$C36*Assumptions!$C$39</f>
        <v>14075287.733861826</v>
      </c>
      <c r="AD17" s="120">
        <f>+AD$16*Assumptions!$C36*Assumptions!$C$39</f>
        <v>14075287.733861826</v>
      </c>
      <c r="AE17" s="120">
        <f>+AE$16*Assumptions!$C36*Assumptions!$C$39</f>
        <v>14075287.733861826</v>
      </c>
      <c r="AF17" s="120">
        <f>+AF$16*Assumptions!$C36*Assumptions!$C$39</f>
        <v>14075287.733861826</v>
      </c>
      <c r="AG17" s="120">
        <f>+AG$16*Assumptions!$C36*Assumptions!$C$39</f>
        <v>14075287.733861826</v>
      </c>
      <c r="AH17" s="120">
        <f>+AH$16*Assumptions!$C36*Assumptions!$C$39</f>
        <v>14075287.733861826</v>
      </c>
      <c r="AI17" s="120">
        <f>+AI$16*Assumptions!$C36*Assumptions!$C$39</f>
        <v>14075287.733861826</v>
      </c>
      <c r="AJ17" s="120">
        <f>+AJ$16*Assumptions!$C36*Assumptions!$C$39</f>
        <v>14075287.733861826</v>
      </c>
      <c r="AK17" s="120">
        <f>+AK$16*Assumptions!$C36*Assumptions!$C$39</f>
        <v>14075287.733861826</v>
      </c>
      <c r="AL17" s="120">
        <f>+AL$16*Assumptions!$C36*Assumptions!$C$39</f>
        <v>14075287.733861826</v>
      </c>
      <c r="AM17" s="120">
        <f>+AM$16*Assumptions!$C36*Assumptions!$C$39</f>
        <v>14075287.733861826</v>
      </c>
      <c r="AN17" s="120">
        <f>+AN$16*Assumptions!$C36*Assumptions!$C$39</f>
        <v>14075287.733861826</v>
      </c>
      <c r="AO17" s="120">
        <f>+AO$16*Assumptions!$C36*Assumptions!$C$39</f>
        <v>14075287.733861826</v>
      </c>
      <c r="AP17" s="120">
        <f>+AP$16*Assumptions!$C36*Assumptions!$C$39</f>
        <v>14075287.733861826</v>
      </c>
      <c r="AQ17" s="120">
        <f>+AQ$16*Assumptions!$C36*Assumptions!$C$39</f>
        <v>14075287.733861826</v>
      </c>
      <c r="AR17" s="120">
        <f>+AR$16*Assumptions!$C36*Assumptions!$C$39</f>
        <v>14075287.733861826</v>
      </c>
      <c r="AS17" s="120">
        <f>+AS$16*Assumptions!$C36*Assumptions!$C$39</f>
        <v>14075287.733861826</v>
      </c>
      <c r="AT17" s="120">
        <f>+AT$16*Assumptions!$C36*Assumptions!$C$39</f>
        <v>14075287.733861826</v>
      </c>
      <c r="AU17" s="120">
        <f>+AU$16*Assumptions!$C36*Assumptions!$C$39</f>
        <v>14075287.733861826</v>
      </c>
      <c r="AV17" s="120">
        <f>+AV$16*Assumptions!$C36*Assumptions!$C$39</f>
        <v>14075287.733861826</v>
      </c>
      <c r="AW17" s="120">
        <f>+AW$16*Assumptions!$C36*Assumptions!$C$39</f>
        <v>14075287.733861826</v>
      </c>
      <c r="AX17" s="120">
        <f>+AX$16*Assumptions!$C36*Assumptions!$C$39</f>
        <v>14075287.733861826</v>
      </c>
      <c r="AY17" s="120">
        <f>+AY$16*Assumptions!$C36*Assumptions!$C$39</f>
        <v>14075287.733861826</v>
      </c>
      <c r="AZ17" s="120">
        <f>+AZ$16*Assumptions!$C36*Assumptions!$C$39</f>
        <v>14075287.733861826</v>
      </c>
      <c r="BA17" s="120">
        <f>+BA$16*Assumptions!$C36*Assumptions!$C$39</f>
        <v>14075287.733861826</v>
      </c>
      <c r="BB17" s="120">
        <f>+BB$16*Assumptions!$C36*Assumptions!$C$39</f>
        <v>14075287.733861826</v>
      </c>
      <c r="BC17" s="120">
        <f>+BC$16*Assumptions!$C36*Assumptions!$C$39</f>
        <v>14075287.733861826</v>
      </c>
      <c r="BD17" s="120">
        <f>+BD$16*Assumptions!$C36*Assumptions!$C$39</f>
        <v>14075287.733861826</v>
      </c>
      <c r="BE17" s="120">
        <f>+BE$16*Assumptions!$C36*Assumptions!$C$39</f>
        <v>14075287.733861826</v>
      </c>
      <c r="BF17" s="120">
        <f>+BF$16*Assumptions!$C36*Assumptions!$C$39</f>
        <v>14075287.733861826</v>
      </c>
      <c r="BG17" s="120">
        <f>+BG$16*Assumptions!$C36*Assumptions!$C$39</f>
        <v>14075287.733861826</v>
      </c>
      <c r="BH17" s="120">
        <f>+BH$16*Assumptions!$C36*Assumptions!$C$39</f>
        <v>14075287.733861826</v>
      </c>
      <c r="BI17" s="120">
        <f>+BI$16*Assumptions!$C36*Assumptions!$C$39</f>
        <v>14075287.733861826</v>
      </c>
      <c r="BJ17" s="120">
        <f>+BJ$16*Assumptions!$C36*Assumptions!$C$39</f>
        <v>14075287.733861826</v>
      </c>
      <c r="BK17" s="120">
        <f>+BK$16*Assumptions!$C36*Assumptions!$C$39</f>
        <v>14075287.733861826</v>
      </c>
      <c r="BL17" s="120">
        <f>+BL$16*Assumptions!$C36*Assumptions!$C$39</f>
        <v>14075287.733861826</v>
      </c>
      <c r="BM17" s="120">
        <f>+BM$16*Assumptions!$C36*Assumptions!$C$39</f>
        <v>14075287.733861826</v>
      </c>
      <c r="BN17" s="120">
        <f>+BN$16*Assumptions!$C36*Assumptions!$C$39</f>
        <v>14075287.733861826</v>
      </c>
      <c r="BO17" s="120">
        <f>+BO$16*Assumptions!$C36*Assumptions!$C$39</f>
        <v>14075287.733861826</v>
      </c>
      <c r="BP17" s="120">
        <f>+BP$16*Assumptions!$C36*Assumptions!$C$39</f>
        <v>14075287.733861826</v>
      </c>
      <c r="BQ17" s="120">
        <f>+BQ$16*Assumptions!$C36*Assumptions!$C$39</f>
        <v>14075287.733861826</v>
      </c>
      <c r="BR17" s="120">
        <f>+BR$16*Assumptions!$C36*Assumptions!$C$39</f>
        <v>14075287.733861826</v>
      </c>
      <c r="BS17" s="120">
        <f>+BS$16*Assumptions!$C36*Assumptions!$C$39</f>
        <v>14075287.733861826</v>
      </c>
      <c r="BT17" s="120">
        <f>+BT$16*Assumptions!$C36*Assumptions!$C$39</f>
        <v>14075287.733861826</v>
      </c>
      <c r="BU17" s="120">
        <f>+BU$16*Assumptions!$C36*Assumptions!$C$39</f>
        <v>14075287.733861826</v>
      </c>
      <c r="BV17" s="120">
        <f>+BV$16*Assumptions!$C36*Assumptions!$C$39</f>
        <v>14075287.733861826</v>
      </c>
      <c r="BW17" s="120">
        <f>+BW$16*Assumptions!$C36*Assumptions!$C$39</f>
        <v>14075287.733861826</v>
      </c>
      <c r="BX17" s="120">
        <f>+BX$16*Assumptions!$C36*Assumptions!$C$39</f>
        <v>14075287.733861826</v>
      </c>
      <c r="BY17" s="120">
        <f>+BY$16*Assumptions!$C36*Assumptions!$C$39</f>
        <v>14075287.733861826</v>
      </c>
      <c r="BZ17" s="120">
        <f>+BZ$16*Assumptions!$C36*Assumptions!$C$39</f>
        <v>14075287.733861826</v>
      </c>
      <c r="CA17" s="120">
        <f>+CA$16*Assumptions!$C36*Assumptions!$C$39</f>
        <v>14075287.733861826</v>
      </c>
      <c r="CB17" s="120">
        <f>+CB$16*Assumptions!$C36*Assumptions!$C$39</f>
        <v>14075287.733861826</v>
      </c>
      <c r="CC17" s="120">
        <f>+CC$16*Assumptions!$C36*Assumptions!$C$39</f>
        <v>14075287.733861826</v>
      </c>
      <c r="CD17" s="120">
        <f>+CD$16*Assumptions!$C36*Assumptions!$C$39</f>
        <v>14075287.733861826</v>
      </c>
      <c r="CE17" s="120">
        <f>+CE$16*Assumptions!$C36*Assumptions!$C$39</f>
        <v>14075287.733861826</v>
      </c>
      <c r="CF17" s="120">
        <f>+CF$16*Assumptions!$C36*Assumptions!$C$39</f>
        <v>14075287.733861826</v>
      </c>
      <c r="CG17" s="120">
        <f>+CG$16*Assumptions!$C36*Assumptions!$C$39</f>
        <v>14075287.733861826</v>
      </c>
      <c r="CH17" s="120">
        <f>+CH$16*Assumptions!$C36*Assumptions!$C$39</f>
        <v>14075287.733861826</v>
      </c>
      <c r="CI17" s="120">
        <f>+CI$16*Assumptions!$C36*Assumptions!$C$39</f>
        <v>14075287.733861826</v>
      </c>
      <c r="CJ17" s="120">
        <f>+CJ$16*Assumptions!$C36*Assumptions!$C$39</f>
        <v>14075287.733861826</v>
      </c>
      <c r="CK17" s="120">
        <f>+CK$16*Assumptions!$C36*Assumptions!$C$39</f>
        <v>14075287.733861826</v>
      </c>
      <c r="CL17" s="120">
        <f>+CL$16*Assumptions!$C36*Assumptions!$C$39</f>
        <v>14075287.733861826</v>
      </c>
      <c r="CM17" s="120">
        <f>+CM$16*Assumptions!$C36*Assumptions!$C$39</f>
        <v>14075287.733861826</v>
      </c>
      <c r="CN17" s="120">
        <f>+CN$16*Assumptions!$C36*Assumptions!$C$39</f>
        <v>14075287.733861826</v>
      </c>
      <c r="CO17" s="120">
        <f>+CO$16*Assumptions!$C36*Assumptions!$C$39</f>
        <v>14075287.733861826</v>
      </c>
      <c r="CP17" s="120">
        <f>+CP$16*Assumptions!$C36*Assumptions!$C$39</f>
        <v>14075287.733861826</v>
      </c>
      <c r="CQ17" s="120">
        <f>+CQ$16*Assumptions!$C36*Assumptions!$C$39</f>
        <v>14075287.733861826</v>
      </c>
      <c r="CR17" s="120">
        <f>+CR$16*Assumptions!$C36*Assumptions!$C$39</f>
        <v>14075287.733861826</v>
      </c>
      <c r="CS17" s="120">
        <f>+CS$16*Assumptions!$C36*Assumptions!$C$39</f>
        <v>14075287.733861826</v>
      </c>
      <c r="CT17" s="120">
        <f>+CT$16*Assumptions!$C36*Assumptions!$C$39</f>
        <v>14075287.733861826</v>
      </c>
      <c r="CU17" s="120">
        <f>+CU$16*Assumptions!$C36*Assumptions!$C$39</f>
        <v>14075287.733861826</v>
      </c>
      <c r="CV17" s="120">
        <f>+CV$16*Assumptions!$C36*Assumptions!$C$39</f>
        <v>14075287.733861826</v>
      </c>
      <c r="CW17" s="120">
        <f>+CW$16*Assumptions!$C36*Assumptions!$C$39</f>
        <v>14075287.733861826</v>
      </c>
      <c r="CX17" s="120">
        <f>+CX$16*Assumptions!$C36*Assumptions!$C$39</f>
        <v>14075287.733861826</v>
      </c>
      <c r="CY17" s="120">
        <f>+CY$16*Assumptions!$C36*Assumptions!$C$39</f>
        <v>14075287.733861826</v>
      </c>
      <c r="CZ17" s="120">
        <f>+CZ$16*Assumptions!$C36*Assumptions!$C$39</f>
        <v>14075287.733861826</v>
      </c>
      <c r="DA17" s="120">
        <f>+DA$16*Assumptions!$C36*Assumptions!$C$39</f>
        <v>14075287.733861826</v>
      </c>
      <c r="DB17" s="120">
        <f>+DB$16*Assumptions!$C36*Assumptions!$C$39</f>
        <v>14075287.733861826</v>
      </c>
      <c r="DC17" s="120">
        <f>+DC$16*Assumptions!$C36*Assumptions!$C$39</f>
        <v>14075287.733861826</v>
      </c>
      <c r="DD17" s="120">
        <f>+DD$16*Assumptions!$C36*Assumptions!$C$39</f>
        <v>14075287.733861826</v>
      </c>
      <c r="DE17" s="120">
        <f>+DE$16*Assumptions!$C36*Assumptions!$C$39</f>
        <v>14075287.733861826</v>
      </c>
      <c r="DF17" s="120">
        <f>+DF$16*Assumptions!$C36*Assumptions!$C$39</f>
        <v>14075287.733861826</v>
      </c>
      <c r="DG17" s="120">
        <f>+DG$16*Assumptions!$C36*Assumptions!$C$39</f>
        <v>14075287.733861826</v>
      </c>
      <c r="DH17" s="120">
        <f>+DH$16*Assumptions!$C36*Assumptions!$C$39</f>
        <v>14075287.733861826</v>
      </c>
      <c r="DI17" s="120">
        <f>+DI$16*Assumptions!$C36*Assumptions!$C$39</f>
        <v>14075287.733861826</v>
      </c>
      <c r="DJ17" s="120">
        <f>+DJ$16*Assumptions!$C36*Assumptions!$C$39</f>
        <v>14075287.733861826</v>
      </c>
      <c r="DK17" s="120">
        <f>+DK$16*Assumptions!$C36*Assumptions!$C$39</f>
        <v>14075287.733861826</v>
      </c>
      <c r="DL17" s="120">
        <f>+DL$16*Assumptions!$C36*Assumptions!$C$39</f>
        <v>14075287.733861826</v>
      </c>
      <c r="DM17" s="120">
        <f>+DM$16*Assumptions!$C36*Assumptions!$C$39</f>
        <v>14075287.733861826</v>
      </c>
      <c r="DN17" s="120">
        <f>+DN$16*Assumptions!$C36*Assumptions!$C$39</f>
        <v>14075287.733861826</v>
      </c>
      <c r="DO17" s="120">
        <f>+DO$16*Assumptions!$C36*Assumptions!$C$39</f>
        <v>14075287.733861826</v>
      </c>
      <c r="DP17" s="120">
        <f>+DP$16*Assumptions!$C36*Assumptions!$C$39</f>
        <v>14075287.733861826</v>
      </c>
      <c r="DQ17" s="120">
        <f>+DQ$16*Assumptions!$C36*Assumptions!$C$39</f>
        <v>14075287.733861826</v>
      </c>
      <c r="DR17" s="120">
        <f>+DR$16*Assumptions!$C36*Assumptions!$C$39</f>
        <v>14075287.733861826</v>
      </c>
      <c r="DS17" s="120">
        <f>+DS$16*Assumptions!$C36*Assumptions!$C$39</f>
        <v>14075287.733861826</v>
      </c>
      <c r="DT17" s="120">
        <f>+DT$16*Assumptions!$C36*Assumptions!$C$39</f>
        <v>14075287.733861826</v>
      </c>
      <c r="DU17" s="120">
        <f>+DU$16*Assumptions!$C36*Assumptions!$C$39</f>
        <v>14075287.733861826</v>
      </c>
      <c r="DV17" s="120">
        <f>+DV$16*Assumptions!$C36*Assumptions!$C$39</f>
        <v>14075287.733861826</v>
      </c>
      <c r="DW17" s="120">
        <f>+DW$16*Assumptions!$C36*Assumptions!$C$39</f>
        <v>14075287.733861826</v>
      </c>
    </row>
    <row r="18" spans="2:127" x14ac:dyDescent="0.3">
      <c r="B18" s="53" t="s">
        <v>189</v>
      </c>
      <c r="C18" s="120">
        <f>+C$16*Assumptions!$C37*Assumptions!$C$39</f>
        <v>473952.10786559992</v>
      </c>
      <c r="D18" s="120">
        <f>+D$16*Assumptions!$C37*Assumptions!$C$39</f>
        <v>473952.10786559992</v>
      </c>
      <c r="E18" s="120">
        <f>+E$16*Assumptions!$C37*Assumptions!$C$39</f>
        <v>473952.10786559992</v>
      </c>
      <c r="F18" s="120">
        <f>+F$16*Assumptions!$C37*Assumptions!$C$39</f>
        <v>1222539.2774554272</v>
      </c>
      <c r="G18" s="120">
        <f>+G$16*Assumptions!$C37*Assumptions!$C$39</f>
        <v>7640870.4840964209</v>
      </c>
      <c r="H18" s="120">
        <f>+H$16*Assumptions!$C37*Assumptions!$C$39</f>
        <v>7640870.4840964209</v>
      </c>
      <c r="I18" s="120">
        <f>+I$16*Assumptions!$C37*Assumptions!$C$39</f>
        <v>7640870.4840964209</v>
      </c>
      <c r="J18" s="120">
        <f>+J$16*Assumptions!$C37*Assumptions!$C$39</f>
        <v>7640870.4840964209</v>
      </c>
      <c r="K18" s="120">
        <f>+K$16*Assumptions!$C37*Assumptions!$C$39</f>
        <v>7640870.4840964209</v>
      </c>
      <c r="L18" s="120">
        <f>+L$16*Assumptions!$C37*Assumptions!$C$39</f>
        <v>15281740.968192842</v>
      </c>
      <c r="M18" s="120">
        <f>+M$16*Assumptions!$C37*Assumptions!$C$39</f>
        <v>15281740.968192842</v>
      </c>
      <c r="N18" s="120">
        <f>+N$16*Assumptions!$C37*Assumptions!$C$39</f>
        <v>15281740.968192842</v>
      </c>
      <c r="O18" s="120">
        <f>+O$16*Assumptions!$C37*Assumptions!$C$39</f>
        <v>15281740.968192842</v>
      </c>
      <c r="P18" s="120">
        <f>+P$16*Assumptions!$C37*Assumptions!$C$39</f>
        <v>15281740.968192842</v>
      </c>
      <c r="Q18" s="120">
        <f>+Q$16*Assumptions!$C37*Assumptions!$C$39</f>
        <v>15281740.968192842</v>
      </c>
      <c r="R18" s="120">
        <f>+R$16*Assumptions!$C37*Assumptions!$C$39</f>
        <v>15281740.968192842</v>
      </c>
      <c r="S18" s="120">
        <f>+S$16*Assumptions!$C37*Assumptions!$C$39</f>
        <v>15281740.968192842</v>
      </c>
      <c r="T18" s="120">
        <f>+T$16*Assumptions!$C37*Assumptions!$C$39</f>
        <v>15281740.968192842</v>
      </c>
      <c r="U18" s="120">
        <f>+U$16*Assumptions!$C37*Assumptions!$C$39</f>
        <v>15281740.968192842</v>
      </c>
      <c r="V18" s="120">
        <f>+V$16*Assumptions!$C37*Assumptions!$C$39</f>
        <v>15281740.968192842</v>
      </c>
      <c r="W18" s="120">
        <f>+W$16*Assumptions!$C37*Assumptions!$C$39</f>
        <v>15281740.968192842</v>
      </c>
      <c r="X18" s="120">
        <f>+X$16*Assumptions!$C37*Assumptions!$C$39</f>
        <v>15281740.968192842</v>
      </c>
      <c r="Y18" s="120">
        <f>+Y$16*Assumptions!$C37*Assumptions!$C$39</f>
        <v>15281740.968192842</v>
      </c>
      <c r="Z18" s="120">
        <f>+Z$16*Assumptions!$C37*Assumptions!$C$39</f>
        <v>15281740.968192842</v>
      </c>
      <c r="AA18" s="120">
        <f>+AA$16*Assumptions!$C37*Assumptions!$C$39</f>
        <v>15281740.968192842</v>
      </c>
      <c r="AB18" s="120">
        <f>+AB$16*Assumptions!$C37*Assumptions!$C$39</f>
        <v>15281740.968192842</v>
      </c>
      <c r="AC18" s="120">
        <f>+AC$16*Assumptions!$C37*Assumptions!$C$39</f>
        <v>15281740.968192842</v>
      </c>
      <c r="AD18" s="120">
        <f>+AD$16*Assumptions!$C37*Assumptions!$C$39</f>
        <v>15281740.968192842</v>
      </c>
      <c r="AE18" s="120">
        <f>+AE$16*Assumptions!$C37*Assumptions!$C$39</f>
        <v>15281740.968192842</v>
      </c>
      <c r="AF18" s="120">
        <f>+AF$16*Assumptions!$C37*Assumptions!$C$39</f>
        <v>15281740.968192842</v>
      </c>
      <c r="AG18" s="120">
        <f>+AG$16*Assumptions!$C37*Assumptions!$C$39</f>
        <v>15281740.968192842</v>
      </c>
      <c r="AH18" s="120">
        <f>+AH$16*Assumptions!$C37*Assumptions!$C$39</f>
        <v>15281740.968192842</v>
      </c>
      <c r="AI18" s="120">
        <f>+AI$16*Assumptions!$C37*Assumptions!$C$39</f>
        <v>15281740.968192842</v>
      </c>
      <c r="AJ18" s="120">
        <f>+AJ$16*Assumptions!$C37*Assumptions!$C$39</f>
        <v>15281740.968192842</v>
      </c>
      <c r="AK18" s="120">
        <f>+AK$16*Assumptions!$C37*Assumptions!$C$39</f>
        <v>15281740.968192842</v>
      </c>
      <c r="AL18" s="120">
        <f>+AL$16*Assumptions!$C37*Assumptions!$C$39</f>
        <v>15281740.968192842</v>
      </c>
      <c r="AM18" s="120">
        <f>+AM$16*Assumptions!$C37*Assumptions!$C$39</f>
        <v>15281740.968192842</v>
      </c>
      <c r="AN18" s="120">
        <f>+AN$16*Assumptions!$C37*Assumptions!$C$39</f>
        <v>15281740.968192842</v>
      </c>
      <c r="AO18" s="120">
        <f>+AO$16*Assumptions!$C37*Assumptions!$C$39</f>
        <v>15281740.968192842</v>
      </c>
      <c r="AP18" s="120">
        <f>+AP$16*Assumptions!$C37*Assumptions!$C$39</f>
        <v>15281740.968192842</v>
      </c>
      <c r="AQ18" s="120">
        <f>+AQ$16*Assumptions!$C37*Assumptions!$C$39</f>
        <v>15281740.968192842</v>
      </c>
      <c r="AR18" s="120">
        <f>+AR$16*Assumptions!$C37*Assumptions!$C$39</f>
        <v>15281740.968192842</v>
      </c>
      <c r="AS18" s="120">
        <f>+AS$16*Assumptions!$C37*Assumptions!$C$39</f>
        <v>15281740.968192842</v>
      </c>
      <c r="AT18" s="120">
        <f>+AT$16*Assumptions!$C37*Assumptions!$C$39</f>
        <v>15281740.968192842</v>
      </c>
      <c r="AU18" s="120">
        <f>+AU$16*Assumptions!$C37*Assumptions!$C$39</f>
        <v>15281740.968192842</v>
      </c>
      <c r="AV18" s="120">
        <f>+AV$16*Assumptions!$C37*Assumptions!$C$39</f>
        <v>15281740.968192842</v>
      </c>
      <c r="AW18" s="120">
        <f>+AW$16*Assumptions!$C37*Assumptions!$C$39</f>
        <v>15281740.968192842</v>
      </c>
      <c r="AX18" s="120">
        <f>+AX$16*Assumptions!$C37*Assumptions!$C$39</f>
        <v>15281740.968192842</v>
      </c>
      <c r="AY18" s="120">
        <f>+AY$16*Assumptions!$C37*Assumptions!$C$39</f>
        <v>15281740.968192842</v>
      </c>
      <c r="AZ18" s="120">
        <f>+AZ$16*Assumptions!$C37*Assumptions!$C$39</f>
        <v>15281740.968192842</v>
      </c>
      <c r="BA18" s="120">
        <f>+BA$16*Assumptions!$C37*Assumptions!$C$39</f>
        <v>15281740.968192842</v>
      </c>
      <c r="BB18" s="120">
        <f>+BB$16*Assumptions!$C37*Assumptions!$C$39</f>
        <v>15281740.968192842</v>
      </c>
      <c r="BC18" s="120">
        <f>+BC$16*Assumptions!$C37*Assumptions!$C$39</f>
        <v>15281740.968192842</v>
      </c>
      <c r="BD18" s="120">
        <f>+BD$16*Assumptions!$C37*Assumptions!$C$39</f>
        <v>15281740.968192842</v>
      </c>
      <c r="BE18" s="120">
        <f>+BE$16*Assumptions!$C37*Assumptions!$C$39</f>
        <v>15281740.968192842</v>
      </c>
      <c r="BF18" s="120">
        <f>+BF$16*Assumptions!$C37*Assumptions!$C$39</f>
        <v>15281740.968192842</v>
      </c>
      <c r="BG18" s="120">
        <f>+BG$16*Assumptions!$C37*Assumptions!$C$39</f>
        <v>15281740.968192842</v>
      </c>
      <c r="BH18" s="120">
        <f>+BH$16*Assumptions!$C37*Assumptions!$C$39</f>
        <v>15281740.968192842</v>
      </c>
      <c r="BI18" s="120">
        <f>+BI$16*Assumptions!$C37*Assumptions!$C$39</f>
        <v>15281740.968192842</v>
      </c>
      <c r="BJ18" s="120">
        <f>+BJ$16*Assumptions!$C37*Assumptions!$C$39</f>
        <v>15281740.968192842</v>
      </c>
      <c r="BK18" s="120">
        <f>+BK$16*Assumptions!$C37*Assumptions!$C$39</f>
        <v>15281740.968192842</v>
      </c>
      <c r="BL18" s="120">
        <f>+BL$16*Assumptions!$C37*Assumptions!$C$39</f>
        <v>15281740.968192842</v>
      </c>
      <c r="BM18" s="120">
        <f>+BM$16*Assumptions!$C37*Assumptions!$C$39</f>
        <v>15281740.968192842</v>
      </c>
      <c r="BN18" s="120">
        <f>+BN$16*Assumptions!$C37*Assumptions!$C$39</f>
        <v>15281740.968192842</v>
      </c>
      <c r="BO18" s="120">
        <f>+BO$16*Assumptions!$C37*Assumptions!$C$39</f>
        <v>15281740.968192842</v>
      </c>
      <c r="BP18" s="120">
        <f>+BP$16*Assumptions!$C37*Assumptions!$C$39</f>
        <v>15281740.968192842</v>
      </c>
      <c r="BQ18" s="120">
        <f>+BQ$16*Assumptions!$C37*Assumptions!$C$39</f>
        <v>15281740.968192842</v>
      </c>
      <c r="BR18" s="120">
        <f>+BR$16*Assumptions!$C37*Assumptions!$C$39</f>
        <v>15281740.968192842</v>
      </c>
      <c r="BS18" s="120">
        <f>+BS$16*Assumptions!$C37*Assumptions!$C$39</f>
        <v>15281740.968192842</v>
      </c>
      <c r="BT18" s="120">
        <f>+BT$16*Assumptions!$C37*Assumptions!$C$39</f>
        <v>15281740.968192842</v>
      </c>
      <c r="BU18" s="120">
        <f>+BU$16*Assumptions!$C37*Assumptions!$C$39</f>
        <v>15281740.968192842</v>
      </c>
      <c r="BV18" s="120">
        <f>+BV$16*Assumptions!$C37*Assumptions!$C$39</f>
        <v>15281740.968192842</v>
      </c>
      <c r="BW18" s="120">
        <f>+BW$16*Assumptions!$C37*Assumptions!$C$39</f>
        <v>15281740.968192842</v>
      </c>
      <c r="BX18" s="120">
        <f>+BX$16*Assumptions!$C37*Assumptions!$C$39</f>
        <v>15281740.968192842</v>
      </c>
      <c r="BY18" s="120">
        <f>+BY$16*Assumptions!$C37*Assumptions!$C$39</f>
        <v>15281740.968192842</v>
      </c>
      <c r="BZ18" s="120">
        <f>+BZ$16*Assumptions!$C37*Assumptions!$C$39</f>
        <v>15281740.968192842</v>
      </c>
      <c r="CA18" s="120">
        <f>+CA$16*Assumptions!$C37*Assumptions!$C$39</f>
        <v>15281740.968192842</v>
      </c>
      <c r="CB18" s="120">
        <f>+CB$16*Assumptions!$C37*Assumptions!$C$39</f>
        <v>15281740.968192842</v>
      </c>
      <c r="CC18" s="120">
        <f>+CC$16*Assumptions!$C37*Assumptions!$C$39</f>
        <v>15281740.968192842</v>
      </c>
      <c r="CD18" s="120">
        <f>+CD$16*Assumptions!$C37*Assumptions!$C$39</f>
        <v>15281740.968192842</v>
      </c>
      <c r="CE18" s="120">
        <f>+CE$16*Assumptions!$C37*Assumptions!$C$39</f>
        <v>15281740.968192842</v>
      </c>
      <c r="CF18" s="120">
        <f>+CF$16*Assumptions!$C37*Assumptions!$C$39</f>
        <v>15281740.968192842</v>
      </c>
      <c r="CG18" s="120">
        <f>+CG$16*Assumptions!$C37*Assumptions!$C$39</f>
        <v>15281740.968192842</v>
      </c>
      <c r="CH18" s="120">
        <f>+CH$16*Assumptions!$C37*Assumptions!$C$39</f>
        <v>15281740.968192842</v>
      </c>
      <c r="CI18" s="120">
        <f>+CI$16*Assumptions!$C37*Assumptions!$C$39</f>
        <v>15281740.968192842</v>
      </c>
      <c r="CJ18" s="120">
        <f>+CJ$16*Assumptions!$C37*Assumptions!$C$39</f>
        <v>15281740.968192842</v>
      </c>
      <c r="CK18" s="120">
        <f>+CK$16*Assumptions!$C37*Assumptions!$C$39</f>
        <v>15281740.968192842</v>
      </c>
      <c r="CL18" s="120">
        <f>+CL$16*Assumptions!$C37*Assumptions!$C$39</f>
        <v>15281740.968192842</v>
      </c>
      <c r="CM18" s="120">
        <f>+CM$16*Assumptions!$C37*Assumptions!$C$39</f>
        <v>15281740.968192842</v>
      </c>
      <c r="CN18" s="120">
        <f>+CN$16*Assumptions!$C37*Assumptions!$C$39</f>
        <v>15281740.968192842</v>
      </c>
      <c r="CO18" s="120">
        <f>+CO$16*Assumptions!$C37*Assumptions!$C$39</f>
        <v>15281740.968192842</v>
      </c>
      <c r="CP18" s="120">
        <f>+CP$16*Assumptions!$C37*Assumptions!$C$39</f>
        <v>15281740.968192842</v>
      </c>
      <c r="CQ18" s="120">
        <f>+CQ$16*Assumptions!$C37*Assumptions!$C$39</f>
        <v>15281740.968192842</v>
      </c>
      <c r="CR18" s="120">
        <f>+CR$16*Assumptions!$C37*Assumptions!$C$39</f>
        <v>15281740.968192842</v>
      </c>
      <c r="CS18" s="120">
        <f>+CS$16*Assumptions!$C37*Assumptions!$C$39</f>
        <v>15281740.968192842</v>
      </c>
      <c r="CT18" s="120">
        <f>+CT$16*Assumptions!$C37*Assumptions!$C$39</f>
        <v>15281740.968192842</v>
      </c>
      <c r="CU18" s="120">
        <f>+CU$16*Assumptions!$C37*Assumptions!$C$39</f>
        <v>15281740.968192842</v>
      </c>
      <c r="CV18" s="120">
        <f>+CV$16*Assumptions!$C37*Assumptions!$C$39</f>
        <v>15281740.968192842</v>
      </c>
      <c r="CW18" s="120">
        <f>+CW$16*Assumptions!$C37*Assumptions!$C$39</f>
        <v>15281740.968192842</v>
      </c>
      <c r="CX18" s="120">
        <f>+CX$16*Assumptions!$C37*Assumptions!$C$39</f>
        <v>15281740.968192842</v>
      </c>
      <c r="CY18" s="120">
        <f>+CY$16*Assumptions!$C37*Assumptions!$C$39</f>
        <v>15281740.968192842</v>
      </c>
      <c r="CZ18" s="120">
        <f>+CZ$16*Assumptions!$C37*Assumptions!$C$39</f>
        <v>15281740.968192842</v>
      </c>
      <c r="DA18" s="120">
        <f>+DA$16*Assumptions!$C37*Assumptions!$C$39</f>
        <v>15281740.968192842</v>
      </c>
      <c r="DB18" s="120">
        <f>+DB$16*Assumptions!$C37*Assumptions!$C$39</f>
        <v>15281740.968192842</v>
      </c>
      <c r="DC18" s="120">
        <f>+DC$16*Assumptions!$C37*Assumptions!$C$39</f>
        <v>15281740.968192842</v>
      </c>
      <c r="DD18" s="120">
        <f>+DD$16*Assumptions!$C37*Assumptions!$C$39</f>
        <v>15281740.968192842</v>
      </c>
      <c r="DE18" s="120">
        <f>+DE$16*Assumptions!$C37*Assumptions!$C$39</f>
        <v>15281740.968192842</v>
      </c>
      <c r="DF18" s="120">
        <f>+DF$16*Assumptions!$C37*Assumptions!$C$39</f>
        <v>15281740.968192842</v>
      </c>
      <c r="DG18" s="120">
        <f>+DG$16*Assumptions!$C37*Assumptions!$C$39</f>
        <v>15281740.968192842</v>
      </c>
      <c r="DH18" s="120">
        <f>+DH$16*Assumptions!$C37*Assumptions!$C$39</f>
        <v>15281740.968192842</v>
      </c>
      <c r="DI18" s="120">
        <f>+DI$16*Assumptions!$C37*Assumptions!$C$39</f>
        <v>15281740.968192842</v>
      </c>
      <c r="DJ18" s="120">
        <f>+DJ$16*Assumptions!$C37*Assumptions!$C$39</f>
        <v>15281740.968192842</v>
      </c>
      <c r="DK18" s="120">
        <f>+DK$16*Assumptions!$C37*Assumptions!$C$39</f>
        <v>15281740.968192842</v>
      </c>
      <c r="DL18" s="120">
        <f>+DL$16*Assumptions!$C37*Assumptions!$C$39</f>
        <v>15281740.968192842</v>
      </c>
      <c r="DM18" s="120">
        <f>+DM$16*Assumptions!$C37*Assumptions!$C$39</f>
        <v>15281740.968192842</v>
      </c>
      <c r="DN18" s="120">
        <f>+DN$16*Assumptions!$C37*Assumptions!$C$39</f>
        <v>15281740.968192842</v>
      </c>
      <c r="DO18" s="120">
        <f>+DO$16*Assumptions!$C37*Assumptions!$C$39</f>
        <v>15281740.968192842</v>
      </c>
      <c r="DP18" s="120">
        <f>+DP$16*Assumptions!$C37*Assumptions!$C$39</f>
        <v>15281740.968192842</v>
      </c>
      <c r="DQ18" s="120">
        <f>+DQ$16*Assumptions!$C37*Assumptions!$C$39</f>
        <v>15281740.968192842</v>
      </c>
      <c r="DR18" s="120">
        <f>+DR$16*Assumptions!$C37*Assumptions!$C$39</f>
        <v>15281740.968192842</v>
      </c>
      <c r="DS18" s="120">
        <f>+DS$16*Assumptions!$C37*Assumptions!$C$39</f>
        <v>15281740.968192842</v>
      </c>
      <c r="DT18" s="120">
        <f>+DT$16*Assumptions!$C37*Assumptions!$C$39</f>
        <v>15281740.968192842</v>
      </c>
      <c r="DU18" s="120">
        <f>+DU$16*Assumptions!$C37*Assumptions!$C$39</f>
        <v>15281740.968192842</v>
      </c>
      <c r="DV18" s="120">
        <f>+DV$16*Assumptions!$C37*Assumptions!$C$39</f>
        <v>15281740.968192842</v>
      </c>
      <c r="DW18" s="120">
        <f>+DW$16*Assumptions!$C37*Assumptions!$C$39</f>
        <v>15281740.968192842</v>
      </c>
    </row>
    <row r="19" spans="2:127" x14ac:dyDescent="0.3">
      <c r="B19" s="53" t="s">
        <v>190</v>
      </c>
      <c r="C19" s="120">
        <f>+C$16*Assumptions!$C38*Assumptions!$C$39</f>
        <v>511369.37953919987</v>
      </c>
      <c r="D19" s="120">
        <f>+D$16*Assumptions!$C38*Assumptions!$C$39</f>
        <v>511369.37953919987</v>
      </c>
      <c r="E19" s="120">
        <f>+E$16*Assumptions!$C38*Assumptions!$C$39</f>
        <v>511369.37953919987</v>
      </c>
      <c r="F19" s="120">
        <f>+F$16*Assumptions!$C38*Assumptions!$C$39</f>
        <v>1319055.5362019083</v>
      </c>
      <c r="G19" s="120">
        <f>+G$16*Assumptions!$C38*Assumptions!$C$39</f>
        <v>8244097.1012619268</v>
      </c>
      <c r="H19" s="120">
        <f>+H$16*Assumptions!$C38*Assumptions!$C$39</f>
        <v>8244097.1012619268</v>
      </c>
      <c r="I19" s="120">
        <f>+I$16*Assumptions!$C38*Assumptions!$C$39</f>
        <v>8244097.1012619268</v>
      </c>
      <c r="J19" s="120">
        <f>+J$16*Assumptions!$C38*Assumptions!$C$39</f>
        <v>8244097.1012619268</v>
      </c>
      <c r="K19" s="120">
        <f>+K$16*Assumptions!$C38*Assumptions!$C$39</f>
        <v>8244097.1012619268</v>
      </c>
      <c r="L19" s="120">
        <f>+L$16*Assumptions!$C38*Assumptions!$C$39</f>
        <v>16488194.202523854</v>
      </c>
      <c r="M19" s="120">
        <f>+M$16*Assumptions!$C38*Assumptions!$C$39</f>
        <v>16488194.202523854</v>
      </c>
      <c r="N19" s="120">
        <f>+N$16*Assumptions!$C38*Assumptions!$C$39</f>
        <v>16488194.202523854</v>
      </c>
      <c r="O19" s="120">
        <f>+O$16*Assumptions!$C38*Assumptions!$C$39</f>
        <v>16488194.202523854</v>
      </c>
      <c r="P19" s="120">
        <f>+P$16*Assumptions!$C38*Assumptions!$C$39</f>
        <v>16488194.202523854</v>
      </c>
      <c r="Q19" s="120">
        <f>+Q$16*Assumptions!$C38*Assumptions!$C$39</f>
        <v>16488194.202523854</v>
      </c>
      <c r="R19" s="120">
        <f>+R$16*Assumptions!$C38*Assumptions!$C$39</f>
        <v>16488194.202523854</v>
      </c>
      <c r="S19" s="120">
        <f>+S$16*Assumptions!$C38*Assumptions!$C$39</f>
        <v>16488194.202523854</v>
      </c>
      <c r="T19" s="120">
        <f>+T$16*Assumptions!$C38*Assumptions!$C$39</f>
        <v>16488194.202523854</v>
      </c>
      <c r="U19" s="120">
        <f>+U$16*Assumptions!$C38*Assumptions!$C$39</f>
        <v>16488194.202523854</v>
      </c>
      <c r="V19" s="120">
        <f>+V$16*Assumptions!$C38*Assumptions!$C$39</f>
        <v>16488194.202523854</v>
      </c>
      <c r="W19" s="120">
        <f>+W$16*Assumptions!$C38*Assumptions!$C$39</f>
        <v>16488194.202523854</v>
      </c>
      <c r="X19" s="120">
        <f>+X$16*Assumptions!$C38*Assumptions!$C$39</f>
        <v>16488194.202523854</v>
      </c>
      <c r="Y19" s="120">
        <f>+Y$16*Assumptions!$C38*Assumptions!$C$39</f>
        <v>16488194.202523854</v>
      </c>
      <c r="Z19" s="120">
        <f>+Z$16*Assumptions!$C38*Assumptions!$C$39</f>
        <v>16488194.202523854</v>
      </c>
      <c r="AA19" s="120">
        <f>+AA$16*Assumptions!$C38*Assumptions!$C$39</f>
        <v>16488194.202523854</v>
      </c>
      <c r="AB19" s="120">
        <f>+AB$16*Assumptions!$C38*Assumptions!$C$39</f>
        <v>16488194.202523854</v>
      </c>
      <c r="AC19" s="120">
        <f>+AC$16*Assumptions!$C38*Assumptions!$C$39</f>
        <v>16488194.202523854</v>
      </c>
      <c r="AD19" s="120">
        <f>+AD$16*Assumptions!$C38*Assumptions!$C$39</f>
        <v>16488194.202523854</v>
      </c>
      <c r="AE19" s="120">
        <f>+AE$16*Assumptions!$C38*Assumptions!$C$39</f>
        <v>16488194.202523854</v>
      </c>
      <c r="AF19" s="120">
        <f>+AF$16*Assumptions!$C38*Assumptions!$C$39</f>
        <v>16488194.202523854</v>
      </c>
      <c r="AG19" s="120">
        <f>+AG$16*Assumptions!$C38*Assumptions!$C$39</f>
        <v>16488194.202523854</v>
      </c>
      <c r="AH19" s="120">
        <f>+AH$16*Assumptions!$C38*Assumptions!$C$39</f>
        <v>16488194.202523854</v>
      </c>
      <c r="AI19" s="120">
        <f>+AI$16*Assumptions!$C38*Assumptions!$C$39</f>
        <v>16488194.202523854</v>
      </c>
      <c r="AJ19" s="120">
        <f>+AJ$16*Assumptions!$C38*Assumptions!$C$39</f>
        <v>16488194.202523854</v>
      </c>
      <c r="AK19" s="120">
        <f>+AK$16*Assumptions!$C38*Assumptions!$C$39</f>
        <v>16488194.202523854</v>
      </c>
      <c r="AL19" s="120">
        <f>+AL$16*Assumptions!$C38*Assumptions!$C$39</f>
        <v>16488194.202523854</v>
      </c>
      <c r="AM19" s="120">
        <f>+AM$16*Assumptions!$C38*Assumptions!$C$39</f>
        <v>16488194.202523854</v>
      </c>
      <c r="AN19" s="120">
        <f>+AN$16*Assumptions!$C38*Assumptions!$C$39</f>
        <v>16488194.202523854</v>
      </c>
      <c r="AO19" s="120">
        <f>+AO$16*Assumptions!$C38*Assumptions!$C$39</f>
        <v>16488194.202523854</v>
      </c>
      <c r="AP19" s="120">
        <f>+AP$16*Assumptions!$C38*Assumptions!$C$39</f>
        <v>16488194.202523854</v>
      </c>
      <c r="AQ19" s="120">
        <f>+AQ$16*Assumptions!$C38*Assumptions!$C$39</f>
        <v>16488194.202523854</v>
      </c>
      <c r="AR19" s="120">
        <f>+AR$16*Assumptions!$C38*Assumptions!$C$39</f>
        <v>16488194.202523854</v>
      </c>
      <c r="AS19" s="120">
        <f>+AS$16*Assumptions!$C38*Assumptions!$C$39</f>
        <v>16488194.202523854</v>
      </c>
      <c r="AT19" s="120">
        <f>+AT$16*Assumptions!$C38*Assumptions!$C$39</f>
        <v>16488194.202523854</v>
      </c>
      <c r="AU19" s="120">
        <f>+AU$16*Assumptions!$C38*Assumptions!$C$39</f>
        <v>16488194.202523854</v>
      </c>
      <c r="AV19" s="120">
        <f>+AV$16*Assumptions!$C38*Assumptions!$C$39</f>
        <v>16488194.202523854</v>
      </c>
      <c r="AW19" s="120">
        <f>+AW$16*Assumptions!$C38*Assumptions!$C$39</f>
        <v>16488194.202523854</v>
      </c>
      <c r="AX19" s="120">
        <f>+AX$16*Assumptions!$C38*Assumptions!$C$39</f>
        <v>16488194.202523854</v>
      </c>
      <c r="AY19" s="120">
        <f>+AY$16*Assumptions!$C38*Assumptions!$C$39</f>
        <v>16488194.202523854</v>
      </c>
      <c r="AZ19" s="120">
        <f>+AZ$16*Assumptions!$C38*Assumptions!$C$39</f>
        <v>16488194.202523854</v>
      </c>
      <c r="BA19" s="120">
        <f>+BA$16*Assumptions!$C38*Assumptions!$C$39</f>
        <v>16488194.202523854</v>
      </c>
      <c r="BB19" s="120">
        <f>+BB$16*Assumptions!$C38*Assumptions!$C$39</f>
        <v>16488194.202523854</v>
      </c>
      <c r="BC19" s="120">
        <f>+BC$16*Assumptions!$C38*Assumptions!$C$39</f>
        <v>16488194.202523854</v>
      </c>
      <c r="BD19" s="120">
        <f>+BD$16*Assumptions!$C38*Assumptions!$C$39</f>
        <v>16488194.202523854</v>
      </c>
      <c r="BE19" s="120">
        <f>+BE$16*Assumptions!$C38*Assumptions!$C$39</f>
        <v>16488194.202523854</v>
      </c>
      <c r="BF19" s="120">
        <f>+BF$16*Assumptions!$C38*Assumptions!$C$39</f>
        <v>16488194.202523854</v>
      </c>
      <c r="BG19" s="120">
        <f>+BG$16*Assumptions!$C38*Assumptions!$C$39</f>
        <v>16488194.202523854</v>
      </c>
      <c r="BH19" s="120">
        <f>+BH$16*Assumptions!$C38*Assumptions!$C$39</f>
        <v>16488194.202523854</v>
      </c>
      <c r="BI19" s="120">
        <f>+BI$16*Assumptions!$C38*Assumptions!$C$39</f>
        <v>16488194.202523854</v>
      </c>
      <c r="BJ19" s="120">
        <f>+BJ$16*Assumptions!$C38*Assumptions!$C$39</f>
        <v>16488194.202523854</v>
      </c>
      <c r="BK19" s="120">
        <f>+BK$16*Assumptions!$C38*Assumptions!$C$39</f>
        <v>16488194.202523854</v>
      </c>
      <c r="BL19" s="120">
        <f>+BL$16*Assumptions!$C38*Assumptions!$C$39</f>
        <v>16488194.202523854</v>
      </c>
      <c r="BM19" s="120">
        <f>+BM$16*Assumptions!$C38*Assumptions!$C$39</f>
        <v>16488194.202523854</v>
      </c>
      <c r="BN19" s="120">
        <f>+BN$16*Assumptions!$C38*Assumptions!$C$39</f>
        <v>16488194.202523854</v>
      </c>
      <c r="BO19" s="120">
        <f>+BO$16*Assumptions!$C38*Assumptions!$C$39</f>
        <v>16488194.202523854</v>
      </c>
      <c r="BP19" s="120">
        <f>+BP$16*Assumptions!$C38*Assumptions!$C$39</f>
        <v>16488194.202523854</v>
      </c>
      <c r="BQ19" s="120">
        <f>+BQ$16*Assumptions!$C38*Assumptions!$C$39</f>
        <v>16488194.202523854</v>
      </c>
      <c r="BR19" s="120">
        <f>+BR$16*Assumptions!$C38*Assumptions!$C$39</f>
        <v>16488194.202523854</v>
      </c>
      <c r="BS19" s="120">
        <f>+BS$16*Assumptions!$C38*Assumptions!$C$39</f>
        <v>16488194.202523854</v>
      </c>
      <c r="BT19" s="120">
        <f>+BT$16*Assumptions!$C38*Assumptions!$C$39</f>
        <v>16488194.202523854</v>
      </c>
      <c r="BU19" s="120">
        <f>+BU$16*Assumptions!$C38*Assumptions!$C$39</f>
        <v>16488194.202523854</v>
      </c>
      <c r="BV19" s="120">
        <f>+BV$16*Assumptions!$C38*Assumptions!$C$39</f>
        <v>16488194.202523854</v>
      </c>
      <c r="BW19" s="120">
        <f>+BW$16*Assumptions!$C38*Assumptions!$C$39</f>
        <v>16488194.202523854</v>
      </c>
      <c r="BX19" s="120">
        <f>+BX$16*Assumptions!$C38*Assumptions!$C$39</f>
        <v>16488194.202523854</v>
      </c>
      <c r="BY19" s="120">
        <f>+BY$16*Assumptions!$C38*Assumptions!$C$39</f>
        <v>16488194.202523854</v>
      </c>
      <c r="BZ19" s="120">
        <f>+BZ$16*Assumptions!$C38*Assumptions!$C$39</f>
        <v>16488194.202523854</v>
      </c>
      <c r="CA19" s="120">
        <f>+CA$16*Assumptions!$C38*Assumptions!$C$39</f>
        <v>16488194.202523854</v>
      </c>
      <c r="CB19" s="120">
        <f>+CB$16*Assumptions!$C38*Assumptions!$C$39</f>
        <v>16488194.202523854</v>
      </c>
      <c r="CC19" s="120">
        <f>+CC$16*Assumptions!$C38*Assumptions!$C$39</f>
        <v>16488194.202523854</v>
      </c>
      <c r="CD19" s="120">
        <f>+CD$16*Assumptions!$C38*Assumptions!$C$39</f>
        <v>16488194.202523854</v>
      </c>
      <c r="CE19" s="120">
        <f>+CE$16*Assumptions!$C38*Assumptions!$C$39</f>
        <v>16488194.202523854</v>
      </c>
      <c r="CF19" s="120">
        <f>+CF$16*Assumptions!$C38*Assumptions!$C$39</f>
        <v>16488194.202523854</v>
      </c>
      <c r="CG19" s="120">
        <f>+CG$16*Assumptions!$C38*Assumptions!$C$39</f>
        <v>16488194.202523854</v>
      </c>
      <c r="CH19" s="120">
        <f>+CH$16*Assumptions!$C38*Assumptions!$C$39</f>
        <v>16488194.202523854</v>
      </c>
      <c r="CI19" s="120">
        <f>+CI$16*Assumptions!$C38*Assumptions!$C$39</f>
        <v>16488194.202523854</v>
      </c>
      <c r="CJ19" s="120">
        <f>+CJ$16*Assumptions!$C38*Assumptions!$C$39</f>
        <v>16488194.202523854</v>
      </c>
      <c r="CK19" s="120">
        <f>+CK$16*Assumptions!$C38*Assumptions!$C$39</f>
        <v>16488194.202523854</v>
      </c>
      <c r="CL19" s="120">
        <f>+CL$16*Assumptions!$C38*Assumptions!$C$39</f>
        <v>16488194.202523854</v>
      </c>
      <c r="CM19" s="120">
        <f>+CM$16*Assumptions!$C38*Assumptions!$C$39</f>
        <v>16488194.202523854</v>
      </c>
      <c r="CN19" s="120">
        <f>+CN$16*Assumptions!$C38*Assumptions!$C$39</f>
        <v>16488194.202523854</v>
      </c>
      <c r="CO19" s="120">
        <f>+CO$16*Assumptions!$C38*Assumptions!$C$39</f>
        <v>16488194.202523854</v>
      </c>
      <c r="CP19" s="120">
        <f>+CP$16*Assumptions!$C38*Assumptions!$C$39</f>
        <v>16488194.202523854</v>
      </c>
      <c r="CQ19" s="120">
        <f>+CQ$16*Assumptions!$C38*Assumptions!$C$39</f>
        <v>16488194.202523854</v>
      </c>
      <c r="CR19" s="120">
        <f>+CR$16*Assumptions!$C38*Assumptions!$C$39</f>
        <v>16488194.202523854</v>
      </c>
      <c r="CS19" s="120">
        <f>+CS$16*Assumptions!$C38*Assumptions!$C$39</f>
        <v>16488194.202523854</v>
      </c>
      <c r="CT19" s="120">
        <f>+CT$16*Assumptions!$C38*Assumptions!$C$39</f>
        <v>16488194.202523854</v>
      </c>
      <c r="CU19" s="120">
        <f>+CU$16*Assumptions!$C38*Assumptions!$C$39</f>
        <v>16488194.202523854</v>
      </c>
      <c r="CV19" s="120">
        <f>+CV$16*Assumptions!$C38*Assumptions!$C$39</f>
        <v>16488194.202523854</v>
      </c>
      <c r="CW19" s="120">
        <f>+CW$16*Assumptions!$C38*Assumptions!$C$39</f>
        <v>16488194.202523854</v>
      </c>
      <c r="CX19" s="120">
        <f>+CX$16*Assumptions!$C38*Assumptions!$C$39</f>
        <v>16488194.202523854</v>
      </c>
      <c r="CY19" s="120">
        <f>+CY$16*Assumptions!$C38*Assumptions!$C$39</f>
        <v>16488194.202523854</v>
      </c>
      <c r="CZ19" s="120">
        <f>+CZ$16*Assumptions!$C38*Assumptions!$C$39</f>
        <v>16488194.202523854</v>
      </c>
      <c r="DA19" s="120">
        <f>+DA$16*Assumptions!$C38*Assumptions!$C$39</f>
        <v>16488194.202523854</v>
      </c>
      <c r="DB19" s="120">
        <f>+DB$16*Assumptions!$C38*Assumptions!$C$39</f>
        <v>16488194.202523854</v>
      </c>
      <c r="DC19" s="120">
        <f>+DC$16*Assumptions!$C38*Assumptions!$C$39</f>
        <v>16488194.202523854</v>
      </c>
      <c r="DD19" s="120">
        <f>+DD$16*Assumptions!$C38*Assumptions!$C$39</f>
        <v>16488194.202523854</v>
      </c>
      <c r="DE19" s="120">
        <f>+DE$16*Assumptions!$C38*Assumptions!$C$39</f>
        <v>16488194.202523854</v>
      </c>
      <c r="DF19" s="120">
        <f>+DF$16*Assumptions!$C38*Assumptions!$C$39</f>
        <v>16488194.202523854</v>
      </c>
      <c r="DG19" s="120">
        <f>+DG$16*Assumptions!$C38*Assumptions!$C$39</f>
        <v>16488194.202523854</v>
      </c>
      <c r="DH19" s="120">
        <f>+DH$16*Assumptions!$C38*Assumptions!$C$39</f>
        <v>16488194.202523854</v>
      </c>
      <c r="DI19" s="120">
        <f>+DI$16*Assumptions!$C38*Assumptions!$C$39</f>
        <v>16488194.202523854</v>
      </c>
      <c r="DJ19" s="120">
        <f>+DJ$16*Assumptions!$C38*Assumptions!$C$39</f>
        <v>16488194.202523854</v>
      </c>
      <c r="DK19" s="120">
        <f>+DK$16*Assumptions!$C38*Assumptions!$C$39</f>
        <v>16488194.202523854</v>
      </c>
      <c r="DL19" s="120">
        <f>+DL$16*Assumptions!$C38*Assumptions!$C$39</f>
        <v>16488194.202523854</v>
      </c>
      <c r="DM19" s="120">
        <f>+DM$16*Assumptions!$C38*Assumptions!$C$39</f>
        <v>16488194.202523854</v>
      </c>
      <c r="DN19" s="120">
        <f>+DN$16*Assumptions!$C38*Assumptions!$C$39</f>
        <v>16488194.202523854</v>
      </c>
      <c r="DO19" s="120">
        <f>+DO$16*Assumptions!$C38*Assumptions!$C$39</f>
        <v>16488194.202523854</v>
      </c>
      <c r="DP19" s="120">
        <f>+DP$16*Assumptions!$C38*Assumptions!$C$39</f>
        <v>16488194.202523854</v>
      </c>
      <c r="DQ19" s="120">
        <f>+DQ$16*Assumptions!$C38*Assumptions!$C$39</f>
        <v>16488194.202523854</v>
      </c>
      <c r="DR19" s="120">
        <f>+DR$16*Assumptions!$C38*Assumptions!$C$39</f>
        <v>16488194.202523854</v>
      </c>
      <c r="DS19" s="120">
        <f>+DS$16*Assumptions!$C38*Assumptions!$C$39</f>
        <v>16488194.202523854</v>
      </c>
      <c r="DT19" s="120">
        <f>+DT$16*Assumptions!$C38*Assumptions!$C$39</f>
        <v>16488194.202523854</v>
      </c>
      <c r="DU19" s="120">
        <f>+DU$16*Assumptions!$C38*Assumptions!$C$39</f>
        <v>16488194.202523854</v>
      </c>
      <c r="DV19" s="120">
        <f>+DV$16*Assumptions!$C38*Assumptions!$C$39</f>
        <v>16488194.202523854</v>
      </c>
      <c r="DW19" s="120">
        <f>+DW$16*Assumptions!$C38*Assumptions!$C$39</f>
        <v>16488194.202523854</v>
      </c>
    </row>
    <row r="20" spans="2:127" x14ac:dyDescent="0.3">
      <c r="B20" s="53" t="s">
        <v>199</v>
      </c>
      <c r="C20" s="56">
        <f>+C15</f>
        <v>2106.8283599999995</v>
      </c>
      <c r="D20" s="56">
        <f>+D15+C20</f>
        <v>4213.656719999999</v>
      </c>
      <c r="E20" s="56">
        <f t="shared" ref="E20:BP20" si="10">+E15+D20</f>
        <v>6320.4850799999986</v>
      </c>
      <c r="F20" s="56">
        <f t="shared" si="10"/>
        <v>11754.959108518078</v>
      </c>
      <c r="G20" s="56">
        <f t="shared" si="10"/>
        <v>45720.42178675608</v>
      </c>
      <c r="H20" s="56">
        <f t="shared" si="10"/>
        <v>79685.884464994073</v>
      </c>
      <c r="I20" s="56">
        <f t="shared" si="10"/>
        <v>113651.34714323207</v>
      </c>
      <c r="J20" s="56">
        <f t="shared" si="10"/>
        <v>147616.80982147006</v>
      </c>
      <c r="K20" s="56">
        <f t="shared" si="10"/>
        <v>181582.27249970805</v>
      </c>
      <c r="L20" s="56">
        <f t="shared" si="10"/>
        <v>249513.19785618404</v>
      </c>
      <c r="M20" s="56">
        <f t="shared" si="10"/>
        <v>317444.12321266002</v>
      </c>
      <c r="N20" s="56">
        <f t="shared" si="10"/>
        <v>385375.04856913601</v>
      </c>
      <c r="O20" s="56">
        <f t="shared" si="10"/>
        <v>453305.97392561199</v>
      </c>
      <c r="P20" s="56">
        <f t="shared" si="10"/>
        <v>521236.89928208798</v>
      </c>
      <c r="Q20" s="56">
        <f t="shared" si="10"/>
        <v>589167.82463856402</v>
      </c>
      <c r="R20" s="56">
        <f t="shared" si="10"/>
        <v>657098.74999504001</v>
      </c>
      <c r="S20" s="56">
        <f t="shared" si="10"/>
        <v>725029.67535151599</v>
      </c>
      <c r="T20" s="56">
        <f t="shared" si="10"/>
        <v>792960.60070799198</v>
      </c>
      <c r="U20" s="56">
        <f t="shared" si="10"/>
        <v>860891.52606446797</v>
      </c>
      <c r="V20" s="56">
        <f t="shared" si="10"/>
        <v>928822.45142094395</v>
      </c>
      <c r="W20" s="56">
        <f t="shared" si="10"/>
        <v>996753.37677741994</v>
      </c>
      <c r="X20" s="56">
        <f t="shared" si="10"/>
        <v>1064684.3021338959</v>
      </c>
      <c r="Y20" s="56">
        <f t="shared" si="10"/>
        <v>1132615.227490372</v>
      </c>
      <c r="Z20" s="56">
        <f t="shared" si="10"/>
        <v>1200546.1528468481</v>
      </c>
      <c r="AA20" s="56">
        <f t="shared" si="10"/>
        <v>1268477.0782033242</v>
      </c>
      <c r="AB20" s="56">
        <f t="shared" si="10"/>
        <v>1336408.0035598003</v>
      </c>
      <c r="AC20" s="56">
        <f t="shared" si="10"/>
        <v>1404338.9289162764</v>
      </c>
      <c r="AD20" s="56">
        <f t="shared" si="10"/>
        <v>1472269.8542727525</v>
      </c>
      <c r="AE20" s="56">
        <f t="shared" si="10"/>
        <v>1540200.7796292286</v>
      </c>
      <c r="AF20" s="56">
        <f t="shared" si="10"/>
        <v>1608131.7049857047</v>
      </c>
      <c r="AG20" s="56">
        <f t="shared" si="10"/>
        <v>1676062.6303421808</v>
      </c>
      <c r="AH20" s="56">
        <f t="shared" si="10"/>
        <v>1743993.5556986569</v>
      </c>
      <c r="AI20" s="56">
        <f t="shared" si="10"/>
        <v>1811924.481055133</v>
      </c>
      <c r="AJ20" s="56">
        <f t="shared" si="10"/>
        <v>1879855.4064116091</v>
      </c>
      <c r="AK20" s="56">
        <f t="shared" si="10"/>
        <v>1947786.3317680852</v>
      </c>
      <c r="AL20" s="56">
        <f t="shared" si="10"/>
        <v>2015717.2571245614</v>
      </c>
      <c r="AM20" s="56">
        <f t="shared" si="10"/>
        <v>2083648.1824810375</v>
      </c>
      <c r="AN20" s="56">
        <f t="shared" si="10"/>
        <v>2151579.1078375136</v>
      </c>
      <c r="AO20" s="56">
        <f t="shared" si="10"/>
        <v>2219510.0331939897</v>
      </c>
      <c r="AP20" s="56">
        <f t="shared" si="10"/>
        <v>2287440.9585504658</v>
      </c>
      <c r="AQ20" s="56">
        <f t="shared" si="10"/>
        <v>2355371.8839069419</v>
      </c>
      <c r="AR20" s="56">
        <f t="shared" si="10"/>
        <v>2423302.809263418</v>
      </c>
      <c r="AS20" s="56">
        <f t="shared" si="10"/>
        <v>2491233.7346198941</v>
      </c>
      <c r="AT20" s="56">
        <f t="shared" si="10"/>
        <v>2559164.6599763702</v>
      </c>
      <c r="AU20" s="56">
        <f t="shared" si="10"/>
        <v>2627095.5853328463</v>
      </c>
      <c r="AV20" s="56">
        <f t="shared" si="10"/>
        <v>2695026.5106893224</v>
      </c>
      <c r="AW20" s="56">
        <f t="shared" si="10"/>
        <v>2762957.4360457985</v>
      </c>
      <c r="AX20" s="56">
        <f t="shared" si="10"/>
        <v>2830888.3614022746</v>
      </c>
      <c r="AY20" s="56">
        <f t="shared" si="10"/>
        <v>2898819.2867587507</v>
      </c>
      <c r="AZ20" s="56">
        <f t="shared" si="10"/>
        <v>2966750.2121152268</v>
      </c>
      <c r="BA20" s="56">
        <f t="shared" si="10"/>
        <v>3034681.1374717029</v>
      </c>
      <c r="BB20" s="56">
        <f t="shared" si="10"/>
        <v>3102612.062828179</v>
      </c>
      <c r="BC20" s="56">
        <f t="shared" si="10"/>
        <v>3170542.9881846551</v>
      </c>
      <c r="BD20" s="56">
        <f t="shared" si="10"/>
        <v>3238473.9135411312</v>
      </c>
      <c r="BE20" s="56">
        <f t="shared" si="10"/>
        <v>3306404.8388976073</v>
      </c>
      <c r="BF20" s="56">
        <f t="shared" si="10"/>
        <v>3374335.7642540834</v>
      </c>
      <c r="BG20" s="56">
        <f t="shared" si="10"/>
        <v>3442266.6896105595</v>
      </c>
      <c r="BH20" s="56">
        <f t="shared" si="10"/>
        <v>3510197.6149670356</v>
      </c>
      <c r="BI20" s="56">
        <f t="shared" si="10"/>
        <v>3578128.5403235117</v>
      </c>
      <c r="BJ20" s="56">
        <f t="shared" si="10"/>
        <v>3646059.4656799878</v>
      </c>
      <c r="BK20" s="56">
        <f t="shared" si="10"/>
        <v>3713990.3910364639</v>
      </c>
      <c r="BL20" s="56">
        <f t="shared" si="10"/>
        <v>3781921.31639294</v>
      </c>
      <c r="BM20" s="56">
        <f t="shared" si="10"/>
        <v>3849852.2417494161</v>
      </c>
      <c r="BN20" s="56">
        <f t="shared" si="10"/>
        <v>3917783.1671058922</v>
      </c>
      <c r="BO20" s="56">
        <f t="shared" si="10"/>
        <v>3985714.0924623683</v>
      </c>
      <c r="BP20" s="56">
        <f t="shared" si="10"/>
        <v>4053645.0178188444</v>
      </c>
      <c r="BQ20" s="56">
        <f t="shared" ref="BQ20:DW20" si="11">+BQ15+BP20</f>
        <v>4121575.9431753205</v>
      </c>
      <c r="BR20" s="56">
        <f t="shared" si="11"/>
        <v>4189506.8685317966</v>
      </c>
      <c r="BS20" s="56">
        <f t="shared" si="11"/>
        <v>4257437.7938882727</v>
      </c>
      <c r="BT20" s="56">
        <f t="shared" si="11"/>
        <v>4325368.7192447484</v>
      </c>
      <c r="BU20" s="56">
        <f t="shared" si="11"/>
        <v>4393299.644601224</v>
      </c>
      <c r="BV20" s="56">
        <f t="shared" si="11"/>
        <v>4461230.5699576996</v>
      </c>
      <c r="BW20" s="56">
        <f t="shared" si="11"/>
        <v>4529161.4953141753</v>
      </c>
      <c r="BX20" s="56">
        <f t="shared" si="11"/>
        <v>4597092.4206706509</v>
      </c>
      <c r="BY20" s="56">
        <f t="shared" si="11"/>
        <v>4665023.3460271265</v>
      </c>
      <c r="BZ20" s="56">
        <f t="shared" si="11"/>
        <v>4732954.2713836022</v>
      </c>
      <c r="CA20" s="56">
        <f t="shared" si="11"/>
        <v>4800885.1967400778</v>
      </c>
      <c r="CB20" s="56">
        <f t="shared" si="11"/>
        <v>4868816.1220965534</v>
      </c>
      <c r="CC20" s="56">
        <f t="shared" si="11"/>
        <v>4936747.0474530291</v>
      </c>
      <c r="CD20" s="56">
        <f t="shared" si="11"/>
        <v>5004677.9728095047</v>
      </c>
      <c r="CE20" s="56">
        <f t="shared" si="11"/>
        <v>5072608.8981659804</v>
      </c>
      <c r="CF20" s="56">
        <f t="shared" si="11"/>
        <v>5140539.823522456</v>
      </c>
      <c r="CG20" s="56">
        <f t="shared" si="11"/>
        <v>5208470.7488789316</v>
      </c>
      <c r="CH20" s="56">
        <f t="shared" si="11"/>
        <v>5276401.6742354073</v>
      </c>
      <c r="CI20" s="56">
        <f t="shared" si="11"/>
        <v>5344332.5995918829</v>
      </c>
      <c r="CJ20" s="56">
        <f t="shared" si="11"/>
        <v>5412263.5249483585</v>
      </c>
      <c r="CK20" s="56">
        <f t="shared" si="11"/>
        <v>5480194.4503048342</v>
      </c>
      <c r="CL20" s="56">
        <f t="shared" si="11"/>
        <v>5548125.3756613098</v>
      </c>
      <c r="CM20" s="56">
        <f t="shared" si="11"/>
        <v>5616056.3010177854</v>
      </c>
      <c r="CN20" s="56">
        <f t="shared" si="11"/>
        <v>5683987.2263742611</v>
      </c>
      <c r="CO20" s="56">
        <f t="shared" si="11"/>
        <v>5751918.1517307367</v>
      </c>
      <c r="CP20" s="56">
        <f t="shared" si="11"/>
        <v>5819849.0770872124</v>
      </c>
      <c r="CQ20" s="56">
        <f t="shared" si="11"/>
        <v>5887780.002443688</v>
      </c>
      <c r="CR20" s="56">
        <f t="shared" si="11"/>
        <v>5955710.9278001636</v>
      </c>
      <c r="CS20" s="56">
        <f t="shared" si="11"/>
        <v>6023641.8531566393</v>
      </c>
      <c r="CT20" s="56">
        <f t="shared" si="11"/>
        <v>6091572.7785131149</v>
      </c>
      <c r="CU20" s="56">
        <f t="shared" si="11"/>
        <v>6159503.7038695905</v>
      </c>
      <c r="CV20" s="56">
        <f t="shared" si="11"/>
        <v>6227434.6292260662</v>
      </c>
      <c r="CW20" s="56">
        <f t="shared" si="11"/>
        <v>6295365.5545825418</v>
      </c>
      <c r="CX20" s="56">
        <f t="shared" si="11"/>
        <v>6363296.4799390174</v>
      </c>
      <c r="CY20" s="56">
        <f t="shared" si="11"/>
        <v>6431227.4052954931</v>
      </c>
      <c r="CZ20" s="56">
        <f t="shared" si="11"/>
        <v>6499158.3306519687</v>
      </c>
      <c r="DA20" s="56">
        <f t="shared" si="11"/>
        <v>6567089.2560084444</v>
      </c>
      <c r="DB20" s="56">
        <f t="shared" si="11"/>
        <v>6635020.18136492</v>
      </c>
      <c r="DC20" s="56">
        <f t="shared" si="11"/>
        <v>6702951.1067213956</v>
      </c>
      <c r="DD20" s="56">
        <f t="shared" si="11"/>
        <v>6770882.0320778713</v>
      </c>
      <c r="DE20" s="56">
        <f t="shared" si="11"/>
        <v>6838812.9574343469</v>
      </c>
      <c r="DF20" s="56">
        <f t="shared" si="11"/>
        <v>6906743.8827908225</v>
      </c>
      <c r="DG20" s="56">
        <f t="shared" si="11"/>
        <v>6974674.8081472982</v>
      </c>
      <c r="DH20" s="56">
        <f t="shared" si="11"/>
        <v>7042605.7335037738</v>
      </c>
      <c r="DI20" s="56">
        <f t="shared" si="11"/>
        <v>7110536.6588602494</v>
      </c>
      <c r="DJ20" s="56">
        <f t="shared" si="11"/>
        <v>7178467.5842167251</v>
      </c>
      <c r="DK20" s="56">
        <f t="shared" si="11"/>
        <v>7246398.5095732007</v>
      </c>
      <c r="DL20" s="56">
        <f t="shared" si="11"/>
        <v>7314329.4349296764</v>
      </c>
      <c r="DM20" s="56">
        <f t="shared" si="11"/>
        <v>7382260.360286152</v>
      </c>
      <c r="DN20" s="56">
        <f t="shared" si="11"/>
        <v>7450191.2856426276</v>
      </c>
      <c r="DO20" s="56">
        <f t="shared" si="11"/>
        <v>7518122.2109991033</v>
      </c>
      <c r="DP20" s="56">
        <f t="shared" si="11"/>
        <v>7586053.1363555789</v>
      </c>
      <c r="DQ20" s="56">
        <f t="shared" si="11"/>
        <v>7653984.0617120545</v>
      </c>
      <c r="DR20" s="56">
        <f t="shared" si="11"/>
        <v>7721914.9870685302</v>
      </c>
      <c r="DS20" s="56">
        <f t="shared" si="11"/>
        <v>7789845.9124250058</v>
      </c>
      <c r="DT20" s="56">
        <f t="shared" si="11"/>
        <v>7857776.8377814814</v>
      </c>
      <c r="DU20" s="56">
        <f t="shared" si="11"/>
        <v>7925707.7631379571</v>
      </c>
      <c r="DV20" s="56">
        <f t="shared" si="11"/>
        <v>7993638.6884944327</v>
      </c>
      <c r="DW20" s="56">
        <f t="shared" si="11"/>
        <v>8061569.6138509084</v>
      </c>
    </row>
    <row r="21" spans="2:127" x14ac:dyDescent="0.3">
      <c r="B21" s="53" t="s">
        <v>195</v>
      </c>
      <c r="C21" s="53" t="str">
        <f>IF(SUM($C$15:C15)&lt;Assumptions!$C$49,"Yes","No")</f>
        <v>Yes</v>
      </c>
      <c r="D21" s="53" t="str">
        <f>IF(SUM($C$15:D15)&lt;Assumptions!$C$49,"Yes","No")</f>
        <v>Yes</v>
      </c>
      <c r="E21" s="53" t="str">
        <f>IF(SUM($C$15:E15)&lt;Assumptions!$C$49,"Yes","No")</f>
        <v>Yes</v>
      </c>
      <c r="F21" s="53" t="str">
        <f>IF(SUM($C$15:F15)&lt;Assumptions!$C$49,"Yes","No")</f>
        <v>Yes</v>
      </c>
      <c r="G21" s="53" t="str">
        <f>IF(SUM($C$15:G15)&lt;Assumptions!$C$49,"Yes","No")</f>
        <v>Yes</v>
      </c>
      <c r="H21" s="53" t="str">
        <f>IF(SUM($C$15:H15)&lt;Assumptions!$C$49,"Yes","No")</f>
        <v>No</v>
      </c>
      <c r="I21" s="53" t="str">
        <f>IF(SUM($C$15:I15)&lt;Assumptions!$C$49,"Yes","No")</f>
        <v>No</v>
      </c>
      <c r="J21" s="53" t="str">
        <f>IF(SUM($C$15:J15)&lt;Assumptions!$C$49,"Yes","No")</f>
        <v>No</v>
      </c>
      <c r="K21" s="53" t="str">
        <f>IF(SUM($C$15:K15)&lt;Assumptions!$C$49,"Yes","No")</f>
        <v>No</v>
      </c>
      <c r="L21" s="53" t="str">
        <f>IF(SUM($C$15:L15)&lt;Assumptions!$C$49,"Yes","No")</f>
        <v>No</v>
      </c>
      <c r="M21" s="53" t="str">
        <f>IF(SUM($C$15:M15)&lt;Assumptions!$C$49,"Yes","No")</f>
        <v>No</v>
      </c>
      <c r="N21" s="53" t="str">
        <f>IF(SUM($C$15:N15)&lt;Assumptions!$C$49,"Yes","No")</f>
        <v>No</v>
      </c>
      <c r="O21" s="53" t="str">
        <f>IF(SUM($C$15:O15)&lt;Assumptions!$C$49,"Yes","No")</f>
        <v>No</v>
      </c>
      <c r="P21" s="53" t="str">
        <f>IF(SUM($C$15:P15)&lt;Assumptions!$C$49,"Yes","No")</f>
        <v>No</v>
      </c>
      <c r="Q21" s="53" t="str">
        <f>IF(SUM($C$15:Q15)&lt;Assumptions!$C$49,"Yes","No")</f>
        <v>No</v>
      </c>
      <c r="R21" s="53" t="str">
        <f>IF(SUM($C$15:R15)&lt;Assumptions!$C$49,"Yes","No")</f>
        <v>No</v>
      </c>
      <c r="S21" s="53" t="str">
        <f>IF(SUM($C$15:S15)&lt;Assumptions!$C$49,"Yes","No")</f>
        <v>No</v>
      </c>
      <c r="T21" s="53" t="str">
        <f>IF(SUM($C$15:T15)&lt;Assumptions!$C$49,"Yes","No")</f>
        <v>No</v>
      </c>
      <c r="U21" s="53" t="str">
        <f>IF(SUM($C$15:U15)&lt;Assumptions!$C$49,"Yes","No")</f>
        <v>No</v>
      </c>
      <c r="V21" s="53" t="str">
        <f>IF(SUM($C$15:V15)&lt;Assumptions!$C$49,"Yes","No")</f>
        <v>No</v>
      </c>
      <c r="W21" s="53" t="str">
        <f>IF(SUM($C$15:W15)&lt;Assumptions!$C$49,"Yes","No")</f>
        <v>No</v>
      </c>
      <c r="X21" s="53" t="str">
        <f>IF(SUM($C$15:X15)&lt;Assumptions!$C$49,"Yes","No")</f>
        <v>No</v>
      </c>
      <c r="Y21" s="53" t="str">
        <f>IF(SUM($C$15:Y15)&lt;Assumptions!$C$49,"Yes","No")</f>
        <v>No</v>
      </c>
      <c r="Z21" s="53" t="str">
        <f>IF(SUM($C$15:Z15)&lt;Assumptions!$C$49,"Yes","No")</f>
        <v>No</v>
      </c>
      <c r="AA21" s="53" t="str">
        <f>IF(SUM($C$15:AA15)&lt;Assumptions!$C$49,"Yes","No")</f>
        <v>No</v>
      </c>
      <c r="AB21" s="53" t="str">
        <f>IF(SUM($C$15:AB15)&lt;Assumptions!$C$49,"Yes","No")</f>
        <v>No</v>
      </c>
      <c r="AC21" s="53" t="str">
        <f>IF(SUM($C$15:AC15)&lt;Assumptions!$C$49,"Yes","No")</f>
        <v>No</v>
      </c>
      <c r="AD21" s="53" t="str">
        <f>IF(SUM($C$15:AD15)&lt;Assumptions!$C$49,"Yes","No")</f>
        <v>No</v>
      </c>
      <c r="AE21" s="53" t="str">
        <f>IF(SUM($C$15:AE15)&lt;Assumptions!$C$49,"Yes","No")</f>
        <v>No</v>
      </c>
      <c r="AF21" s="53" t="str">
        <f>IF(SUM($C$15:AF15)&lt;Assumptions!$C$49,"Yes","No")</f>
        <v>No</v>
      </c>
      <c r="AG21" s="53" t="str">
        <f>IF(SUM($C$15:AG15)&lt;Assumptions!$C$49,"Yes","No")</f>
        <v>No</v>
      </c>
      <c r="AH21" s="53" t="str">
        <f>IF(SUM($C$15:AH15)&lt;Assumptions!$C$49,"Yes","No")</f>
        <v>No</v>
      </c>
      <c r="AI21" s="53" t="str">
        <f>IF(SUM($C$15:AI15)&lt;Assumptions!$C$49,"Yes","No")</f>
        <v>No</v>
      </c>
      <c r="AJ21" s="53" t="str">
        <f>IF(SUM($C$15:AJ15)&lt;Assumptions!$C$49,"Yes","No")</f>
        <v>No</v>
      </c>
      <c r="AK21" s="53" t="str">
        <f>IF(SUM($C$15:AK15)&lt;Assumptions!$C$49,"Yes","No")</f>
        <v>No</v>
      </c>
      <c r="AL21" s="53" t="str">
        <f>IF(SUM($C$15:AL15)&lt;Assumptions!$C$49,"Yes","No")</f>
        <v>No</v>
      </c>
      <c r="AM21" s="53" t="str">
        <f>IF(SUM($C$15:AM15)&lt;Assumptions!$C$49,"Yes","No")</f>
        <v>No</v>
      </c>
      <c r="AN21" s="53" t="str">
        <f>IF(SUM($C$15:AN15)&lt;Assumptions!$C$49,"Yes","No")</f>
        <v>No</v>
      </c>
      <c r="AO21" s="53" t="str">
        <f>IF(SUM($C$15:AO15)&lt;Assumptions!$C$49,"Yes","No")</f>
        <v>No</v>
      </c>
      <c r="AP21" s="53" t="str">
        <f>IF(SUM($C$15:AP15)&lt;Assumptions!$C$49,"Yes","No")</f>
        <v>No</v>
      </c>
      <c r="AQ21" s="53" t="str">
        <f>IF(SUM($C$15:AQ15)&lt;Assumptions!$C$49,"Yes","No")</f>
        <v>No</v>
      </c>
      <c r="AR21" s="53" t="str">
        <f>IF(SUM($C$15:AR15)&lt;Assumptions!$C$49,"Yes","No")</f>
        <v>No</v>
      </c>
      <c r="AS21" s="53" t="str">
        <f>IF(SUM($C$15:AS15)&lt;Assumptions!$C$49,"Yes","No")</f>
        <v>No</v>
      </c>
      <c r="AT21" s="53" t="str">
        <f>IF(SUM($C$15:AT15)&lt;Assumptions!$C$49,"Yes","No")</f>
        <v>No</v>
      </c>
      <c r="AU21" s="53" t="str">
        <f>IF(SUM($C$15:AU15)&lt;Assumptions!$C$49,"Yes","No")</f>
        <v>No</v>
      </c>
      <c r="AV21" s="53" t="str">
        <f>IF(SUM($C$15:AV15)&lt;Assumptions!$C$49,"Yes","No")</f>
        <v>No</v>
      </c>
      <c r="AW21" s="53" t="str">
        <f>IF(SUM($C$15:AW15)&lt;Assumptions!$C$49,"Yes","No")</f>
        <v>No</v>
      </c>
      <c r="AX21" s="53" t="str">
        <f>IF(SUM($C$15:AX15)&lt;Assumptions!$C$49,"Yes","No")</f>
        <v>No</v>
      </c>
      <c r="AY21" s="53" t="str">
        <f>IF(SUM($C$15:AY15)&lt;Assumptions!$C$49,"Yes","No")</f>
        <v>No</v>
      </c>
      <c r="AZ21" s="53" t="str">
        <f>IF(SUM($C$15:AZ15)&lt;Assumptions!$C$49,"Yes","No")</f>
        <v>No</v>
      </c>
      <c r="BA21" s="53" t="str">
        <f>IF(SUM($C$15:BA15)&lt;Assumptions!$C$49,"Yes","No")</f>
        <v>No</v>
      </c>
      <c r="BB21" s="53" t="str">
        <f>IF(SUM($C$15:BB15)&lt;Assumptions!$C$49,"Yes","No")</f>
        <v>No</v>
      </c>
      <c r="BC21" s="53" t="str">
        <f>IF(SUM($C$15:BC15)&lt;Assumptions!$C$49,"Yes","No")</f>
        <v>No</v>
      </c>
      <c r="BD21" s="53" t="str">
        <f>IF(SUM($C$15:BD15)&lt;Assumptions!$C$49,"Yes","No")</f>
        <v>No</v>
      </c>
      <c r="BE21" s="53" t="str">
        <f>IF(SUM($C$15:BE15)&lt;Assumptions!$C$49,"Yes","No")</f>
        <v>No</v>
      </c>
      <c r="BF21" s="53" t="str">
        <f>IF(SUM($C$15:BF15)&lt;Assumptions!$C$49,"Yes","No")</f>
        <v>No</v>
      </c>
      <c r="BG21" s="53" t="str">
        <f>IF(SUM($C$15:BG15)&lt;Assumptions!$C$49,"Yes","No")</f>
        <v>No</v>
      </c>
      <c r="BH21" s="53" t="str">
        <f>IF(SUM($C$15:BH15)&lt;Assumptions!$C$49,"Yes","No")</f>
        <v>No</v>
      </c>
      <c r="BI21" s="53" t="str">
        <f>IF(SUM($C$15:BI15)&lt;Assumptions!$C$49,"Yes","No")</f>
        <v>No</v>
      </c>
      <c r="BJ21" s="53" t="str">
        <f>IF(SUM($C$15:BJ15)&lt;Assumptions!$C$49,"Yes","No")</f>
        <v>No</v>
      </c>
      <c r="BK21" s="53" t="str">
        <f>IF(SUM($C$15:BK15)&lt;Assumptions!$C$49,"Yes","No")</f>
        <v>No</v>
      </c>
      <c r="BL21" s="53" t="str">
        <f>IF(SUM($C$15:BL15)&lt;Assumptions!$C$49,"Yes","No")</f>
        <v>No</v>
      </c>
      <c r="BM21" s="53" t="str">
        <f>IF(SUM($C$15:BM15)&lt;Assumptions!$C$49,"Yes","No")</f>
        <v>No</v>
      </c>
      <c r="BN21" s="53" t="str">
        <f>IF(SUM($C$15:BN15)&lt;Assumptions!$C$49,"Yes","No")</f>
        <v>No</v>
      </c>
      <c r="BO21" s="53" t="str">
        <f>IF(SUM($C$15:BO15)&lt;Assumptions!$C$49,"Yes","No")</f>
        <v>No</v>
      </c>
      <c r="BP21" s="53" t="str">
        <f>IF(SUM($C$15:BP15)&lt;Assumptions!$C$49,"Yes","No")</f>
        <v>No</v>
      </c>
      <c r="BQ21" s="53" t="str">
        <f>IF(SUM($C$15:BQ15)&lt;Assumptions!$C$49,"Yes","No")</f>
        <v>No</v>
      </c>
      <c r="BR21" s="53" t="str">
        <f>IF(SUM($C$15:BR15)&lt;Assumptions!$C$49,"Yes","No")</f>
        <v>No</v>
      </c>
      <c r="BS21" s="53" t="str">
        <f>IF(SUM($C$15:BS15)&lt;Assumptions!$C$49,"Yes","No")</f>
        <v>No</v>
      </c>
      <c r="BT21" s="53" t="str">
        <f>IF(SUM($C$15:BT15)&lt;Assumptions!$C$49,"Yes","No")</f>
        <v>No</v>
      </c>
      <c r="BU21" s="53" t="str">
        <f>IF(SUM($C$15:BU15)&lt;Assumptions!$C$49,"Yes","No")</f>
        <v>No</v>
      </c>
      <c r="BV21" s="53" t="str">
        <f>IF(SUM($C$15:BV15)&lt;Assumptions!$C$49,"Yes","No")</f>
        <v>No</v>
      </c>
      <c r="BW21" s="53" t="str">
        <f>IF(SUM($C$15:BW15)&lt;Assumptions!$C$49,"Yes","No")</f>
        <v>No</v>
      </c>
      <c r="BX21" s="53" t="str">
        <f>IF(SUM($C$15:BX15)&lt;Assumptions!$C$49,"Yes","No")</f>
        <v>No</v>
      </c>
      <c r="BY21" s="53" t="str">
        <f>IF(SUM($C$15:BY15)&lt;Assumptions!$C$49,"Yes","No")</f>
        <v>No</v>
      </c>
      <c r="BZ21" s="53" t="str">
        <f>IF(SUM($C$15:BZ15)&lt;Assumptions!$C$49,"Yes","No")</f>
        <v>No</v>
      </c>
      <c r="CA21" s="53" t="str">
        <f>IF(SUM($C$15:CA15)&lt;Assumptions!$C$49,"Yes","No")</f>
        <v>No</v>
      </c>
      <c r="CB21" s="53" t="str">
        <f>IF(SUM($C$15:CB15)&lt;Assumptions!$C$49,"Yes","No")</f>
        <v>No</v>
      </c>
      <c r="CC21" s="53" t="str">
        <f>IF(SUM($C$15:CC15)&lt;Assumptions!$C$49,"Yes","No")</f>
        <v>No</v>
      </c>
      <c r="CD21" s="53" t="str">
        <f>IF(SUM($C$15:CD15)&lt;Assumptions!$C$49,"Yes","No")</f>
        <v>No</v>
      </c>
      <c r="CE21" s="53" t="str">
        <f>IF(SUM($C$15:CE15)&lt;Assumptions!$C$49,"Yes","No")</f>
        <v>No</v>
      </c>
      <c r="CF21" s="53" t="str">
        <f>IF(SUM($C$15:CF15)&lt;Assumptions!$C$49,"Yes","No")</f>
        <v>No</v>
      </c>
      <c r="CG21" s="53" t="str">
        <f>IF(SUM($C$15:CG15)&lt;Assumptions!$C$49,"Yes","No")</f>
        <v>No</v>
      </c>
      <c r="CH21" s="53" t="str">
        <f>IF(SUM($C$15:CH15)&lt;Assumptions!$C$49,"Yes","No")</f>
        <v>No</v>
      </c>
      <c r="CI21" s="53" t="str">
        <f>IF(SUM($C$15:CI15)&lt;Assumptions!$C$49,"Yes","No")</f>
        <v>No</v>
      </c>
      <c r="CJ21" s="53" t="str">
        <f>IF(SUM($C$15:CJ15)&lt;Assumptions!$C$49,"Yes","No")</f>
        <v>No</v>
      </c>
      <c r="CK21" s="53" t="str">
        <f>IF(SUM($C$15:CK15)&lt;Assumptions!$C$49,"Yes","No")</f>
        <v>No</v>
      </c>
      <c r="CL21" s="53" t="str">
        <f>IF(SUM($C$15:CL15)&lt;Assumptions!$C$49,"Yes","No")</f>
        <v>No</v>
      </c>
      <c r="CM21" s="53" t="str">
        <f>IF(SUM($C$15:CM15)&lt;Assumptions!$C$49,"Yes","No")</f>
        <v>No</v>
      </c>
      <c r="CN21" s="53" t="str">
        <f>IF(SUM($C$15:CN15)&lt;Assumptions!$C$49,"Yes","No")</f>
        <v>No</v>
      </c>
      <c r="CO21" s="53" t="str">
        <f>IF(SUM($C$15:CO15)&lt;Assumptions!$C$49,"Yes","No")</f>
        <v>No</v>
      </c>
      <c r="CP21" s="53" t="str">
        <f>IF(SUM($C$15:CP15)&lt;Assumptions!$C$49,"Yes","No")</f>
        <v>No</v>
      </c>
      <c r="CQ21" s="53" t="str">
        <f>IF(SUM($C$15:CQ15)&lt;Assumptions!$C$49,"Yes","No")</f>
        <v>No</v>
      </c>
      <c r="CR21" s="53" t="str">
        <f>IF(SUM($C$15:CR15)&lt;Assumptions!$C$49,"Yes","No")</f>
        <v>No</v>
      </c>
      <c r="CS21" s="53" t="str">
        <f>IF(SUM($C$15:CS15)&lt;Assumptions!$C$49,"Yes","No")</f>
        <v>No</v>
      </c>
      <c r="CT21" s="53" t="str">
        <f>IF(SUM($C$15:CT15)&lt;Assumptions!$C$49,"Yes","No")</f>
        <v>No</v>
      </c>
      <c r="CU21" s="53" t="str">
        <f>IF(SUM($C$15:CU15)&lt;Assumptions!$C$49,"Yes","No")</f>
        <v>No</v>
      </c>
      <c r="CV21" s="53" t="str">
        <f>IF(SUM($C$15:CV15)&lt;Assumptions!$C$49,"Yes","No")</f>
        <v>No</v>
      </c>
      <c r="CW21" s="53" t="str">
        <f>IF(SUM($C$15:CW15)&lt;Assumptions!$C$49,"Yes","No")</f>
        <v>No</v>
      </c>
      <c r="CX21" s="53" t="str">
        <f>IF(SUM($C$15:CX15)&lt;Assumptions!$C$49,"Yes","No")</f>
        <v>No</v>
      </c>
      <c r="CY21" s="53" t="str">
        <f>IF(SUM($C$15:CY15)&lt;Assumptions!$C$49,"Yes","No")</f>
        <v>No</v>
      </c>
      <c r="CZ21" s="53" t="str">
        <f>IF(SUM($C$15:CZ15)&lt;Assumptions!$C$49,"Yes","No")</f>
        <v>No</v>
      </c>
      <c r="DA21" s="53" t="str">
        <f>IF(SUM($C$15:DA15)&lt;Assumptions!$C$49,"Yes","No")</f>
        <v>No</v>
      </c>
      <c r="DB21" s="53" t="str">
        <f>IF(SUM($C$15:DB15)&lt;Assumptions!$C$49,"Yes","No")</f>
        <v>No</v>
      </c>
      <c r="DC21" s="53" t="str">
        <f>IF(SUM($C$15:DC15)&lt;Assumptions!$C$49,"Yes","No")</f>
        <v>No</v>
      </c>
      <c r="DD21" s="53" t="str">
        <f>IF(SUM($C$15:DD15)&lt;Assumptions!$C$49,"Yes","No")</f>
        <v>No</v>
      </c>
      <c r="DE21" s="53" t="str">
        <f>IF(SUM($C$15:DE15)&lt;Assumptions!$C$49,"Yes","No")</f>
        <v>No</v>
      </c>
      <c r="DF21" s="53" t="str">
        <f>IF(SUM($C$15:DF15)&lt;Assumptions!$C$49,"Yes","No")</f>
        <v>No</v>
      </c>
      <c r="DG21" s="53" t="str">
        <f>IF(SUM($C$15:DG15)&lt;Assumptions!$C$49,"Yes","No")</f>
        <v>No</v>
      </c>
      <c r="DH21" s="53" t="str">
        <f>IF(SUM($C$15:DH15)&lt;Assumptions!$C$49,"Yes","No")</f>
        <v>No</v>
      </c>
      <c r="DI21" s="53" t="str">
        <f>IF(SUM($C$15:DI15)&lt;Assumptions!$C$49,"Yes","No")</f>
        <v>No</v>
      </c>
      <c r="DJ21" s="53" t="str">
        <f>IF(SUM($C$15:DJ15)&lt;Assumptions!$C$49,"Yes","No")</f>
        <v>No</v>
      </c>
      <c r="DK21" s="53" t="str">
        <f>IF(SUM($C$15:DK15)&lt;Assumptions!$C$49,"Yes","No")</f>
        <v>No</v>
      </c>
      <c r="DL21" s="53" t="str">
        <f>IF(SUM($C$15:DL15)&lt;Assumptions!$C$49,"Yes","No")</f>
        <v>No</v>
      </c>
      <c r="DM21" s="53" t="str">
        <f>IF(SUM($C$15:DM15)&lt;Assumptions!$C$49,"Yes","No")</f>
        <v>No</v>
      </c>
      <c r="DN21" s="53" t="str">
        <f>IF(SUM($C$15:DN15)&lt;Assumptions!$C$49,"Yes","No")</f>
        <v>No</v>
      </c>
      <c r="DO21" s="53" t="str">
        <f>IF(SUM($C$15:DO15)&lt;Assumptions!$C$49,"Yes","No")</f>
        <v>No</v>
      </c>
      <c r="DP21" s="53" t="str">
        <f>IF(SUM($C$15:DP15)&lt;Assumptions!$C$49,"Yes","No")</f>
        <v>No</v>
      </c>
      <c r="DQ21" s="53" t="str">
        <f>IF(SUM($C$15:DQ15)&lt;Assumptions!$C$49,"Yes","No")</f>
        <v>No</v>
      </c>
      <c r="DR21" s="53" t="str">
        <f>IF(SUM($C$15:DR15)&lt;Assumptions!$C$49,"Yes","No")</f>
        <v>No</v>
      </c>
      <c r="DS21" s="53" t="str">
        <f>IF(SUM($C$15:DS15)&lt;Assumptions!$C$49,"Yes","No")</f>
        <v>No</v>
      </c>
      <c r="DT21" s="53" t="str">
        <f>IF(SUM($C$15:DT15)&lt;Assumptions!$C$49,"Yes","No")</f>
        <v>No</v>
      </c>
      <c r="DU21" s="53" t="str">
        <f>IF(SUM($C$15:DU15)&lt;Assumptions!$C$49,"Yes","No")</f>
        <v>No</v>
      </c>
      <c r="DV21" s="53" t="str">
        <f>IF(SUM($C$15:DV15)&lt;Assumptions!$C$49,"Yes","No")</f>
        <v>No</v>
      </c>
      <c r="DW21" s="53" t="str">
        <f>IF(SUM($C$15:DW15)&lt;Assumptions!$C$49,"Yes","No")</f>
        <v>No</v>
      </c>
    </row>
    <row r="22" spans="2:127" x14ac:dyDescent="0.3">
      <c r="B22" s="53" t="s">
        <v>196</v>
      </c>
      <c r="C22" s="62">
        <f>IF(SUM($C20:C20)&lt;Assumptions!$C$49, Assumptions!$C$41, IF(SUM(B20:$C20)&lt;Assumptions!$C$49, (Assumptions!$C$49-SUM(B20:$C20))/C20*(Assumptions!$C$41), 0))</f>
        <v>9.4594594594594517E-2</v>
      </c>
      <c r="D22" s="62">
        <f>IF(SUM($C20:D20)&lt;Assumptions!$C$49, Assumptions!$C$41, IF(SUM(C20:$C20)&lt;Assumptions!$C$49, (Assumptions!$C$49-SUM(C20:$C20))/D20*(Assumptions!$C$41), 0))</f>
        <v>9.4594594594594517E-2</v>
      </c>
      <c r="E22" s="62">
        <f>IF(SUM($C20:E20)&lt;Assumptions!$C$49, Assumptions!$C$41, IF(SUM($C20:D20)&lt;Assumptions!$C$49, (Assumptions!$C$49-SUM($C20:D20))/E20*(Assumptions!$C$41), 0))</f>
        <v>9.4594594594594517E-2</v>
      </c>
      <c r="F22" s="62">
        <f>IF(SUM($C20:F20)&lt;Assumptions!$C$49, Assumptions!$C$41, IF(SUM($C20:E20)&lt;Assumptions!$C$49, (Assumptions!$C$49-SUM($C20:E20))/F20*(Assumptions!$C$41), 0))</f>
        <v>9.4594594594594517E-2</v>
      </c>
      <c r="G22" s="62">
        <f>IF(SUM($C20:G20)&lt;Assumptions!$C$49, Assumptions!$C$41, IF(SUM($C20:F20)&lt;Assumptions!$C$49, (Assumptions!$C$49-SUM($C20:F20))/G20*(Assumptions!$C$41), 0))</f>
        <v>6.1250201983163381E-2</v>
      </c>
      <c r="H22" s="62">
        <f>IF(SUM($C20:H20)&lt;Assumptions!$C$49, Assumptions!$C$41, IF(SUM($C20:G20)&lt;Assumptions!$C$49, (Assumptions!$C$49-SUM($C20:G20))/H20*(Assumptions!$C$41), 0))</f>
        <v>0</v>
      </c>
      <c r="I22" s="62">
        <f>IF(SUM($C20:I20)&lt;Assumptions!$C$49, Assumptions!$C$41, IF(SUM($C20:H20)&lt;Assumptions!$C$49, (Assumptions!$C$49-SUM($C20:H20))/I20*(Assumptions!$C$41), 0))</f>
        <v>0</v>
      </c>
      <c r="J22" s="62">
        <f>IF(SUM($C20:J20)&lt;Assumptions!$C$49, Assumptions!$C$41, IF(SUM($C20:I20)&lt;Assumptions!$C$49, (Assumptions!$C$49-SUM($C20:I20))/J20*(Assumptions!$C$41), 0))</f>
        <v>0</v>
      </c>
      <c r="K22" s="62">
        <f>IF(SUM($C20:K20)&lt;Assumptions!$C$49, Assumptions!$C$41, IF(SUM($C20:J20)&lt;Assumptions!$C$49, (Assumptions!$C$49-SUM($C20:J20))/K20*(Assumptions!$C$41), 0))</f>
        <v>0</v>
      </c>
      <c r="L22" s="62">
        <f>IF(SUM($C20:L20)&lt;Assumptions!$C$49, Assumptions!$C$41, IF(SUM($C20:K20)&lt;Assumptions!$C$49, (Assumptions!$C$49-SUM($C20:K20))/L20*(Assumptions!$C$41), 0))</f>
        <v>0</v>
      </c>
      <c r="M22" s="62">
        <f>IF(SUM($C20:M20)&lt;Assumptions!$C$49, Assumptions!$C$41, IF(SUM($C20:L20)&lt;Assumptions!$C$49, (Assumptions!$C$49-SUM($C20:L20))/M20*(Assumptions!$C$41), 0))</f>
        <v>0</v>
      </c>
      <c r="N22" s="62">
        <f>IF(SUM($C20:N20)&lt;Assumptions!$C$49, Assumptions!$C$41, IF(SUM($C20:M20)&lt;Assumptions!$C$49, (Assumptions!$C$49-SUM($C20:M20))/N20*(Assumptions!$C$41), 0))</f>
        <v>0</v>
      </c>
      <c r="O22" s="62">
        <f>IF(SUM($C20:O20)&lt;Assumptions!$C$49, Assumptions!$C$41, IF(SUM($C20:N20)&lt;Assumptions!$C$49, (Assumptions!$C$49-SUM($C20:N20))/O20*(Assumptions!$C$41), 0))</f>
        <v>0</v>
      </c>
      <c r="P22" s="62">
        <f>IF(SUM($C20:P20)&lt;Assumptions!$C$49, Assumptions!$C$41, IF(SUM($C20:O20)&lt;Assumptions!$C$49, (Assumptions!$C$49-SUM($C20:O20))/P20*(Assumptions!$C$41), 0))</f>
        <v>0</v>
      </c>
      <c r="Q22" s="62">
        <f>IF(SUM($C20:Q20)&lt;Assumptions!$C$49, Assumptions!$C$41, IF(SUM($C20:P20)&lt;Assumptions!$C$49, (Assumptions!$C$49-SUM($C20:P20))/Q20*(Assumptions!$C$41), 0))</f>
        <v>0</v>
      </c>
      <c r="R22" s="62">
        <f>IF(SUM($C20:R20)&lt;Assumptions!$C$49, Assumptions!$C$41, IF(SUM($C20:Q20)&lt;Assumptions!$C$49, (Assumptions!$C$49-SUM($C20:Q20))/R20*(Assumptions!$C$41), 0))</f>
        <v>0</v>
      </c>
      <c r="S22" s="62">
        <f>IF(SUM($C20:S20)&lt;Assumptions!$C$49, Assumptions!$C$41, IF(SUM($C20:R20)&lt;Assumptions!$C$49, (Assumptions!$C$49-SUM($C20:R20))/S20*(Assumptions!$C$41), 0))</f>
        <v>0</v>
      </c>
      <c r="T22" s="62">
        <f>IF(SUM($C20:T20)&lt;Assumptions!$C$49, Assumptions!$C$41, IF(SUM($C20:S20)&lt;Assumptions!$C$49, (Assumptions!$C$49-SUM($C20:S20))/T20*(Assumptions!$C$41), 0))</f>
        <v>0</v>
      </c>
      <c r="U22" s="62">
        <f>IF(SUM($C20:U20)&lt;Assumptions!$C$49, Assumptions!$C$41, IF(SUM($C20:T20)&lt;Assumptions!$C$49, (Assumptions!$C$49-SUM($C20:T20))/U20*(Assumptions!$C$41), 0))</f>
        <v>0</v>
      </c>
      <c r="V22" s="62">
        <f>IF(SUM($C20:V20)&lt;Assumptions!$C$49, Assumptions!$C$41, IF(SUM($C20:U20)&lt;Assumptions!$C$49, (Assumptions!$C$49-SUM($C20:U20))/V20*(Assumptions!$C$41), 0))</f>
        <v>0</v>
      </c>
      <c r="W22" s="62">
        <f>IF(SUM($C20:W20)&lt;Assumptions!$C$49, Assumptions!$C$41, IF(SUM($C20:V20)&lt;Assumptions!$C$49, (Assumptions!$C$49-SUM($C20:V20))/W20*(Assumptions!$C$41), 0))</f>
        <v>0</v>
      </c>
      <c r="X22" s="62">
        <f>IF(SUM($C20:X20)&lt;Assumptions!$C$49, Assumptions!$C$41, IF(SUM($C20:W20)&lt;Assumptions!$C$49, (Assumptions!$C$49-SUM($C20:W20))/X20*(Assumptions!$C$41), 0))</f>
        <v>0</v>
      </c>
      <c r="Y22" s="62">
        <f>IF(SUM($C20:Y20)&lt;Assumptions!$C$49, Assumptions!$C$41, IF(SUM($C20:X20)&lt;Assumptions!$C$49, (Assumptions!$C$49-SUM($C20:X20))/Y20*(Assumptions!$C$41), 0))</f>
        <v>0</v>
      </c>
      <c r="Z22" s="62">
        <f>IF(SUM($C20:Z20)&lt;Assumptions!$C$49, Assumptions!$C$41, IF(SUM($C20:Y20)&lt;Assumptions!$C$49, (Assumptions!$C$49-SUM($C20:Y20))/Z20*(Assumptions!$C$41), 0))</f>
        <v>0</v>
      </c>
      <c r="AA22" s="62">
        <f>IF(SUM($C20:AA20)&lt;Assumptions!$C$49, Assumptions!$C$41, IF(SUM($C20:Z20)&lt;Assumptions!$C$49, (Assumptions!$C$49-SUM($C20:Z20))/AA20*(Assumptions!$C$41), 0))</f>
        <v>0</v>
      </c>
      <c r="AB22" s="62">
        <f>IF(SUM($C20:AB20)&lt;Assumptions!$C$49, Assumptions!$C$41, IF(SUM($C20:AA20)&lt;Assumptions!$C$49, (Assumptions!$C$49-SUM($C20:AA20))/AB20*(Assumptions!$C$41), 0))</f>
        <v>0</v>
      </c>
      <c r="AC22" s="62">
        <f>IF(SUM($C20:AC20)&lt;Assumptions!$C$49, Assumptions!$C$41, IF(SUM($C20:AB20)&lt;Assumptions!$C$49, (Assumptions!$C$49-SUM($C20:AB20))/AC20*(Assumptions!$C$41), 0))</f>
        <v>0</v>
      </c>
      <c r="AD22" s="62">
        <f>IF(SUM($C20:AD20)&lt;Assumptions!$C$49, Assumptions!$C$41, IF(SUM($C20:AC20)&lt;Assumptions!$C$49, (Assumptions!$C$49-SUM($C20:AC20))/AD20*(Assumptions!$C$41), 0))</f>
        <v>0</v>
      </c>
      <c r="AE22" s="62">
        <f>IF(SUM($C20:AE20)&lt;Assumptions!$C$49, Assumptions!$C$41, IF(SUM($C20:AD20)&lt;Assumptions!$C$49, (Assumptions!$C$49-SUM($C20:AD20))/AE20*(Assumptions!$C$41), 0))</f>
        <v>0</v>
      </c>
      <c r="AF22" s="62">
        <f>IF(SUM($C20:AF20)&lt;Assumptions!$C$49, Assumptions!$C$41, IF(SUM($C20:AE20)&lt;Assumptions!$C$49, (Assumptions!$C$49-SUM($C20:AE20))/AF20*(Assumptions!$C$41), 0))</f>
        <v>0</v>
      </c>
      <c r="AG22" s="62">
        <f>IF(SUM($C20:AG20)&lt;Assumptions!$C$49, Assumptions!$C$41, IF(SUM($C20:AF20)&lt;Assumptions!$C$49, (Assumptions!$C$49-SUM($C20:AF20))/AG20*(Assumptions!$C$41), 0))</f>
        <v>0</v>
      </c>
      <c r="AH22" s="62">
        <f>IF(SUM($C20:AH20)&lt;Assumptions!$C$49, Assumptions!$C$41, IF(SUM($C20:AG20)&lt;Assumptions!$C$49, (Assumptions!$C$49-SUM($C20:AG20))/AH20*(Assumptions!$C$41), 0))</f>
        <v>0</v>
      </c>
      <c r="AI22" s="62">
        <f>IF(SUM($C20:AI20)&lt;Assumptions!$C$49, Assumptions!$C$41, IF(SUM($C20:AH20)&lt;Assumptions!$C$49, (Assumptions!$C$49-SUM($C20:AH20))/AI20*(Assumptions!$C$41), 0))</f>
        <v>0</v>
      </c>
      <c r="AJ22" s="62">
        <f>IF(SUM($C20:AJ20)&lt;Assumptions!$C$49, Assumptions!$C$41, IF(SUM($C20:AI20)&lt;Assumptions!$C$49, (Assumptions!$C$49-SUM($C20:AI20))/AJ20*(Assumptions!$C$41), 0))</f>
        <v>0</v>
      </c>
      <c r="AK22" s="62">
        <f>IF(SUM($C20:AK20)&lt;Assumptions!$C$49, Assumptions!$C$41, IF(SUM($C20:AJ20)&lt;Assumptions!$C$49, (Assumptions!$C$49-SUM($C20:AJ20))/AK20*(Assumptions!$C$41), 0))</f>
        <v>0</v>
      </c>
      <c r="AL22" s="62">
        <f>IF(SUM($C20:AL20)&lt;Assumptions!$C$49, Assumptions!$C$41, IF(SUM($C20:AK20)&lt;Assumptions!$C$49, (Assumptions!$C$49-SUM($C20:AK20))/AL20*(Assumptions!$C$41), 0))</f>
        <v>0</v>
      </c>
      <c r="AM22" s="62">
        <f>IF(SUM($C20:AM20)&lt;Assumptions!$C$49, Assumptions!$C$41, IF(SUM($C20:AL20)&lt;Assumptions!$C$49, (Assumptions!$C$49-SUM($C20:AL20))/AM20*(Assumptions!$C$41), 0))</f>
        <v>0</v>
      </c>
      <c r="AN22" s="62">
        <f>IF(SUM($C20:AN20)&lt;Assumptions!$C$49, Assumptions!$C$41, IF(SUM($C20:AM20)&lt;Assumptions!$C$49, (Assumptions!$C$49-SUM($C20:AM20))/AN20*(Assumptions!$C$41), 0))</f>
        <v>0</v>
      </c>
      <c r="AO22" s="62">
        <f>IF(SUM($C20:AO20)&lt;Assumptions!$C$49, Assumptions!$C$41, IF(SUM($C20:AN20)&lt;Assumptions!$C$49, (Assumptions!$C$49-SUM($C20:AN20))/AO20*(Assumptions!$C$41), 0))</f>
        <v>0</v>
      </c>
      <c r="AP22" s="62">
        <f>IF(SUM($C20:AP20)&lt;Assumptions!$C$49, Assumptions!$C$41, IF(SUM($C20:AO20)&lt;Assumptions!$C$49, (Assumptions!$C$49-SUM($C20:AO20))/AP20*(Assumptions!$C$41), 0))</f>
        <v>0</v>
      </c>
      <c r="AQ22" s="62">
        <f>IF(SUM($C20:AQ20)&lt;Assumptions!$C$49, Assumptions!$C$41, IF(SUM($C20:AP20)&lt;Assumptions!$C$49, (Assumptions!$C$49-SUM($C20:AP20))/AQ20*(Assumptions!$C$41), 0))</f>
        <v>0</v>
      </c>
      <c r="AR22" s="62">
        <f>IF(SUM($C20:AR20)&lt;Assumptions!$C$49, Assumptions!$C$41, IF(SUM($C20:AQ20)&lt;Assumptions!$C$49, (Assumptions!$C$49-SUM($C20:AQ20))/AR20*(Assumptions!$C$41), 0))</f>
        <v>0</v>
      </c>
      <c r="AS22" s="62">
        <f>IF(SUM($C20:AS20)&lt;Assumptions!$C$49, Assumptions!$C$41, IF(SUM($C20:AR20)&lt;Assumptions!$C$49, (Assumptions!$C$49-SUM($C20:AR20))/AS20*(Assumptions!$C$41), 0))</f>
        <v>0</v>
      </c>
      <c r="AT22" s="62">
        <f>IF(SUM($C20:AT20)&lt;Assumptions!$C$49, Assumptions!$C$41, IF(SUM($C20:AS20)&lt;Assumptions!$C$49, (Assumptions!$C$49-SUM($C20:AS20))/AT20*(Assumptions!$C$41), 0))</f>
        <v>0</v>
      </c>
      <c r="AU22" s="62">
        <f>IF(SUM($C20:AU20)&lt;Assumptions!$C$49, Assumptions!$C$41, IF(SUM($C20:AT20)&lt;Assumptions!$C$49, (Assumptions!$C$49-SUM($C20:AT20))/AU20*(Assumptions!$C$41), 0))</f>
        <v>0</v>
      </c>
      <c r="AV22" s="62">
        <f>IF(SUM($C20:AV20)&lt;Assumptions!$C$49, Assumptions!$C$41, IF(SUM($C20:AU20)&lt;Assumptions!$C$49, (Assumptions!$C$49-SUM($C20:AU20))/AV20*(Assumptions!$C$41), 0))</f>
        <v>0</v>
      </c>
      <c r="AW22" s="62">
        <f>IF(SUM($C20:AW20)&lt;Assumptions!$C$49, Assumptions!$C$41, IF(SUM($C20:AV20)&lt;Assumptions!$C$49, (Assumptions!$C$49-SUM($C20:AV20))/AW20*(Assumptions!$C$41), 0))</f>
        <v>0</v>
      </c>
      <c r="AX22" s="62">
        <f>IF(SUM($C20:AX20)&lt;Assumptions!$C$49, Assumptions!$C$41, IF(SUM($C20:AW20)&lt;Assumptions!$C$49, (Assumptions!$C$49-SUM($C20:AW20))/AX20*(Assumptions!$C$41), 0))</f>
        <v>0</v>
      </c>
      <c r="AY22" s="62">
        <f>IF(SUM($C20:AY20)&lt;Assumptions!$C$49, Assumptions!$C$41, IF(SUM($C20:AX20)&lt;Assumptions!$C$49, (Assumptions!$C$49-SUM($C20:AX20))/AY20*(Assumptions!$C$41), 0))</f>
        <v>0</v>
      </c>
      <c r="AZ22" s="62">
        <f>IF(SUM($C20:AZ20)&lt;Assumptions!$C$49, Assumptions!$C$41, IF(SUM($C20:AY20)&lt;Assumptions!$C$49, (Assumptions!$C$49-SUM($C20:AY20))/AZ20*(Assumptions!$C$41), 0))</f>
        <v>0</v>
      </c>
      <c r="BA22" s="62">
        <f>IF(SUM($C20:BA20)&lt;Assumptions!$C$49, Assumptions!$C$41, IF(SUM($C20:AZ20)&lt;Assumptions!$C$49, (Assumptions!$C$49-SUM($C20:AZ20))/BA20*(Assumptions!$C$41), 0))</f>
        <v>0</v>
      </c>
      <c r="BB22" s="62">
        <f>IF(SUM($C20:BB20)&lt;Assumptions!$C$49, Assumptions!$C$41, IF(SUM($C20:BA20)&lt;Assumptions!$C$49, (Assumptions!$C$49-SUM($C20:BA20))/BB20*(Assumptions!$C$41), 0))</f>
        <v>0</v>
      </c>
      <c r="BC22" s="62">
        <f>IF(SUM($C20:BC20)&lt;Assumptions!$C$49, Assumptions!$C$41, IF(SUM($C20:BB20)&lt;Assumptions!$C$49, (Assumptions!$C$49-SUM($C20:BB20))/BC20*(Assumptions!$C$41), 0))</f>
        <v>0</v>
      </c>
      <c r="BD22" s="62">
        <f>IF(SUM($C20:BD20)&lt;Assumptions!$C$49, Assumptions!$C$41, IF(SUM($C20:BC20)&lt;Assumptions!$C$49, (Assumptions!$C$49-SUM($C20:BC20))/BD20*(Assumptions!$C$41), 0))</f>
        <v>0</v>
      </c>
      <c r="BE22" s="62">
        <f>IF(SUM($C20:BE20)&lt;Assumptions!$C$49, Assumptions!$C$41, IF(SUM($C20:BD20)&lt;Assumptions!$C$49, (Assumptions!$C$49-SUM($C20:BD20))/BE20*(Assumptions!$C$41), 0))</f>
        <v>0</v>
      </c>
      <c r="BF22" s="62">
        <f>IF(SUM($C20:BF20)&lt;Assumptions!$C$49, Assumptions!$C$41, IF(SUM($C20:BE20)&lt;Assumptions!$C$49, (Assumptions!$C$49-SUM($C20:BE20))/BF20*(Assumptions!$C$41), 0))</f>
        <v>0</v>
      </c>
      <c r="BG22" s="62">
        <f>IF(SUM($C20:BG20)&lt;Assumptions!$C$49, Assumptions!$C$41, IF(SUM($C20:BF20)&lt;Assumptions!$C$49, (Assumptions!$C$49-SUM($C20:BF20))/BG20*(Assumptions!$C$41), 0))</f>
        <v>0</v>
      </c>
      <c r="BH22" s="62">
        <f>IF(SUM($C20:BH20)&lt;Assumptions!$C$49, Assumptions!$C$41, IF(SUM($C20:BG20)&lt;Assumptions!$C$49, (Assumptions!$C$49-SUM($C20:BG20))/BH20*(Assumptions!$C$41), 0))</f>
        <v>0</v>
      </c>
      <c r="BI22" s="62">
        <f>IF(SUM($C20:BI20)&lt;Assumptions!$C$49, Assumptions!$C$41, IF(SUM($C20:BH20)&lt;Assumptions!$C$49, (Assumptions!$C$49-SUM($C20:BH20))/BI20*(Assumptions!$C$41), 0))</f>
        <v>0</v>
      </c>
      <c r="BJ22" s="62">
        <f>IF(SUM($C20:BJ20)&lt;Assumptions!$C$49, Assumptions!$C$41, IF(SUM($C20:BI20)&lt;Assumptions!$C$49, (Assumptions!$C$49-SUM($C20:BI20))/BJ20*(Assumptions!$C$41), 0))</f>
        <v>0</v>
      </c>
      <c r="BK22" s="62">
        <f>IF(SUM($C20:BK20)&lt;Assumptions!$C$49, Assumptions!$C$41, IF(SUM($C20:BJ20)&lt;Assumptions!$C$49, (Assumptions!$C$49-SUM($C20:BJ20))/BK20*(Assumptions!$C$41), 0))</f>
        <v>0</v>
      </c>
      <c r="BL22" s="62">
        <f>IF(SUM($C20:BL20)&lt;Assumptions!$C$49, Assumptions!$C$41, IF(SUM($C20:BK20)&lt;Assumptions!$C$49, (Assumptions!$C$49-SUM($C20:BK20))/BL20*(Assumptions!$C$41), 0))</f>
        <v>0</v>
      </c>
      <c r="BM22" s="62">
        <f>IF(SUM($C20:BM20)&lt;Assumptions!$C$49, Assumptions!$C$41, IF(SUM($C20:BL20)&lt;Assumptions!$C$49, (Assumptions!$C$49-SUM($C20:BL20))/BM20*(Assumptions!$C$41), 0))</f>
        <v>0</v>
      </c>
      <c r="BN22" s="62">
        <f>IF(SUM($C20:BN20)&lt;Assumptions!$C$49, Assumptions!$C$41, IF(SUM($C20:BM20)&lt;Assumptions!$C$49, (Assumptions!$C$49-SUM($C20:BM20))/BN20*(Assumptions!$C$41), 0))</f>
        <v>0</v>
      </c>
      <c r="BO22" s="62">
        <f>IF(SUM($C20:BO20)&lt;Assumptions!$C$49, Assumptions!$C$41, IF(SUM($C20:BN20)&lt;Assumptions!$C$49, (Assumptions!$C$49-SUM($C20:BN20))/BO20*(Assumptions!$C$41), 0))</f>
        <v>0</v>
      </c>
      <c r="BP22" s="62">
        <f>IF(SUM($C20:BP20)&lt;Assumptions!$C$49, Assumptions!$C$41, IF(SUM($C20:BO20)&lt;Assumptions!$C$49, (Assumptions!$C$49-SUM($C20:BO20))/BP20*(Assumptions!$C$41), 0))</f>
        <v>0</v>
      </c>
      <c r="BQ22" s="62">
        <f>IF(SUM($C20:BQ20)&lt;Assumptions!$C$49, Assumptions!$C$41, IF(SUM($C20:BP20)&lt;Assumptions!$C$49, (Assumptions!$C$49-SUM($C20:BP20))/BQ20*(Assumptions!$C$41), 0))</f>
        <v>0</v>
      </c>
      <c r="BR22" s="62">
        <f>IF(SUM($C20:BR20)&lt;Assumptions!$C$49, Assumptions!$C$41, IF(SUM($C20:BQ20)&lt;Assumptions!$C$49, (Assumptions!$C$49-SUM($C20:BQ20))/BR20*(Assumptions!$C$41), 0))</f>
        <v>0</v>
      </c>
      <c r="BS22" s="62">
        <f>IF(SUM($C20:BS20)&lt;Assumptions!$C$49, Assumptions!$C$41, IF(SUM($C20:BR20)&lt;Assumptions!$C$49, (Assumptions!$C$49-SUM($C20:BR20))/BS20*(Assumptions!$C$41), 0))</f>
        <v>0</v>
      </c>
      <c r="BT22" s="62">
        <f>IF(SUM($C20:BT20)&lt;Assumptions!$C$49, Assumptions!$C$41, IF(SUM($C20:BS20)&lt;Assumptions!$C$49, (Assumptions!$C$49-SUM($C20:BS20))/BT20*(Assumptions!$C$41), 0))</f>
        <v>0</v>
      </c>
      <c r="BU22" s="62">
        <f>IF(SUM($C20:BU20)&lt;Assumptions!$C$49, Assumptions!$C$41, IF(SUM($C20:BT20)&lt;Assumptions!$C$49, (Assumptions!$C$49-SUM($C20:BT20))/BU20*(Assumptions!$C$41), 0))</f>
        <v>0</v>
      </c>
      <c r="BV22" s="62">
        <f>IF(SUM($C20:BV20)&lt;Assumptions!$C$49, Assumptions!$C$41, IF(SUM($C20:BU20)&lt;Assumptions!$C$49, (Assumptions!$C$49-SUM($C20:BU20))/BV20*(Assumptions!$C$41), 0))</f>
        <v>0</v>
      </c>
      <c r="BW22" s="62">
        <f>IF(SUM($C20:BW20)&lt;Assumptions!$C$49, Assumptions!$C$41, IF(SUM($C20:BV20)&lt;Assumptions!$C$49, (Assumptions!$C$49-SUM($C20:BV20))/BW20*(Assumptions!$C$41), 0))</f>
        <v>0</v>
      </c>
      <c r="BX22" s="62">
        <f>IF(SUM($C20:BX20)&lt;Assumptions!$C$49, Assumptions!$C$41, IF(SUM($C20:BW20)&lt;Assumptions!$C$49, (Assumptions!$C$49-SUM($C20:BW20))/BX20*(Assumptions!$C$41), 0))</f>
        <v>0</v>
      </c>
      <c r="BY22" s="62">
        <f>IF(SUM($C20:BY20)&lt;Assumptions!$C$49, Assumptions!$C$41, IF(SUM($C20:BX20)&lt;Assumptions!$C$49, (Assumptions!$C$49-SUM($C20:BX20))/BY20*(Assumptions!$C$41), 0))</f>
        <v>0</v>
      </c>
      <c r="BZ22" s="62">
        <f>IF(SUM($C20:BZ20)&lt;Assumptions!$C$49, Assumptions!$C$41, IF(SUM($C20:BY20)&lt;Assumptions!$C$49, (Assumptions!$C$49-SUM($C20:BY20))/BZ20*(Assumptions!$C$41), 0))</f>
        <v>0</v>
      </c>
      <c r="CA22" s="62">
        <f>IF(SUM($C20:CA20)&lt;Assumptions!$C$49, Assumptions!$C$41, IF(SUM($C20:BZ20)&lt;Assumptions!$C$49, (Assumptions!$C$49-SUM($C20:BZ20))/CA20*(Assumptions!$C$41), 0))</f>
        <v>0</v>
      </c>
      <c r="CB22" s="62">
        <f>IF(SUM($C20:CB20)&lt;Assumptions!$C$49, Assumptions!$C$41, IF(SUM($C20:CA20)&lt;Assumptions!$C$49, (Assumptions!$C$49-SUM($C20:CA20))/CB20*(Assumptions!$C$41), 0))</f>
        <v>0</v>
      </c>
      <c r="CC22" s="62">
        <f>IF(SUM($C20:CC20)&lt;Assumptions!$C$49, Assumptions!$C$41, IF(SUM($C20:CB20)&lt;Assumptions!$C$49, (Assumptions!$C$49-SUM($C20:CB20))/CC20*(Assumptions!$C$41), 0))</f>
        <v>0</v>
      </c>
      <c r="CD22" s="62">
        <f>IF(SUM($C20:CD20)&lt;Assumptions!$C$49, Assumptions!$C$41, IF(SUM($C20:CC20)&lt;Assumptions!$C$49, (Assumptions!$C$49-SUM($C20:CC20))/CD20*(Assumptions!$C$41), 0))</f>
        <v>0</v>
      </c>
      <c r="CE22" s="62">
        <f>IF(SUM($C20:CE20)&lt;Assumptions!$C$49, Assumptions!$C$41, IF(SUM($C20:CD20)&lt;Assumptions!$C$49, (Assumptions!$C$49-SUM($C20:CD20))/CE20*(Assumptions!$C$41), 0))</f>
        <v>0</v>
      </c>
      <c r="CF22" s="62">
        <f>IF(SUM($C20:CF20)&lt;Assumptions!$C$49, Assumptions!$C$41, IF(SUM($C20:CE20)&lt;Assumptions!$C$49, (Assumptions!$C$49-SUM($C20:CE20))/CF20*(Assumptions!$C$41), 0))</f>
        <v>0</v>
      </c>
      <c r="CG22" s="62">
        <f>IF(SUM($C20:CG20)&lt;Assumptions!$C$49, Assumptions!$C$41, IF(SUM($C20:CF20)&lt;Assumptions!$C$49, (Assumptions!$C$49-SUM($C20:CF20))/CG20*(Assumptions!$C$41), 0))</f>
        <v>0</v>
      </c>
      <c r="CH22" s="62">
        <f>IF(SUM($C20:CH20)&lt;Assumptions!$C$49, Assumptions!$C$41, IF(SUM($C20:CG20)&lt;Assumptions!$C$49, (Assumptions!$C$49-SUM($C20:CG20))/CH20*(Assumptions!$C$41), 0))</f>
        <v>0</v>
      </c>
      <c r="CI22" s="62">
        <f>IF(SUM($C20:CI20)&lt;Assumptions!$C$49, Assumptions!$C$41, IF(SUM($C20:CH20)&lt;Assumptions!$C$49, (Assumptions!$C$49-SUM($C20:CH20))/CI20*(Assumptions!$C$41), 0))</f>
        <v>0</v>
      </c>
      <c r="CJ22" s="62">
        <f>IF(SUM($C20:CJ20)&lt;Assumptions!$C$49, Assumptions!$C$41, IF(SUM($C20:CI20)&lt;Assumptions!$C$49, (Assumptions!$C$49-SUM($C20:CI20))/CJ20*(Assumptions!$C$41), 0))</f>
        <v>0</v>
      </c>
      <c r="CK22" s="62">
        <f>IF(SUM($C20:CK20)&lt;Assumptions!$C$49, Assumptions!$C$41, IF(SUM($C20:CJ20)&lt;Assumptions!$C$49, (Assumptions!$C$49-SUM($C20:CJ20))/CK20*(Assumptions!$C$41), 0))</f>
        <v>0</v>
      </c>
      <c r="CL22" s="62">
        <f>IF(SUM($C20:CL20)&lt;Assumptions!$C$49, Assumptions!$C$41, IF(SUM($C20:CK20)&lt;Assumptions!$C$49, (Assumptions!$C$49-SUM($C20:CK20))/CL20*(Assumptions!$C$41), 0))</f>
        <v>0</v>
      </c>
      <c r="CM22" s="62">
        <f>IF(SUM($C20:CM20)&lt;Assumptions!$C$49, Assumptions!$C$41, IF(SUM($C20:CL20)&lt;Assumptions!$C$49, (Assumptions!$C$49-SUM($C20:CL20))/CM20*(Assumptions!$C$41), 0))</f>
        <v>0</v>
      </c>
      <c r="CN22" s="62">
        <f>IF(SUM($C20:CN20)&lt;Assumptions!$C$49, Assumptions!$C$41, IF(SUM($C20:CM20)&lt;Assumptions!$C$49, (Assumptions!$C$49-SUM($C20:CM20))/CN20*(Assumptions!$C$41), 0))</f>
        <v>0</v>
      </c>
      <c r="CO22" s="62">
        <f>IF(SUM($C20:CO20)&lt;Assumptions!$C$49, Assumptions!$C$41, IF(SUM($C20:CN20)&lt;Assumptions!$C$49, (Assumptions!$C$49-SUM($C20:CN20))/CO20*(Assumptions!$C$41), 0))</f>
        <v>0</v>
      </c>
      <c r="CP22" s="62">
        <f>IF(SUM($C20:CP20)&lt;Assumptions!$C$49, Assumptions!$C$41, IF(SUM($C20:CO20)&lt;Assumptions!$C$49, (Assumptions!$C$49-SUM($C20:CO20))/CP20*(Assumptions!$C$41), 0))</f>
        <v>0</v>
      </c>
      <c r="CQ22" s="62">
        <f>IF(SUM($C20:CQ20)&lt;Assumptions!$C$49, Assumptions!$C$41, IF(SUM($C20:CP20)&lt;Assumptions!$C$49, (Assumptions!$C$49-SUM($C20:CP20))/CQ20*(Assumptions!$C$41), 0))</f>
        <v>0</v>
      </c>
      <c r="CR22" s="62">
        <f>IF(SUM($C20:CR20)&lt;Assumptions!$C$49, Assumptions!$C$41, IF(SUM($C20:CQ20)&lt;Assumptions!$C$49, (Assumptions!$C$49-SUM($C20:CQ20))/CR20*(Assumptions!$C$41), 0))</f>
        <v>0</v>
      </c>
      <c r="CS22" s="62">
        <f>IF(SUM($C20:CS20)&lt;Assumptions!$C$49, Assumptions!$C$41, IF(SUM($C20:CR20)&lt;Assumptions!$C$49, (Assumptions!$C$49-SUM($C20:CR20))/CS20*(Assumptions!$C$41), 0))</f>
        <v>0</v>
      </c>
      <c r="CT22" s="62">
        <f>IF(SUM($C20:CT20)&lt;Assumptions!$C$49, Assumptions!$C$41, IF(SUM($C20:CS20)&lt;Assumptions!$C$49, (Assumptions!$C$49-SUM($C20:CS20))/CT20*(Assumptions!$C$41), 0))</f>
        <v>0</v>
      </c>
      <c r="CU22" s="62">
        <f>IF(SUM($C20:CU20)&lt;Assumptions!$C$49, Assumptions!$C$41, IF(SUM($C20:CT20)&lt;Assumptions!$C$49, (Assumptions!$C$49-SUM($C20:CT20))/CU20*(Assumptions!$C$41), 0))</f>
        <v>0</v>
      </c>
      <c r="CV22" s="62">
        <f>IF(SUM($C20:CV20)&lt;Assumptions!$C$49, Assumptions!$C$41, IF(SUM($C20:CU20)&lt;Assumptions!$C$49, (Assumptions!$C$49-SUM($C20:CU20))/CV20*(Assumptions!$C$41), 0))</f>
        <v>0</v>
      </c>
      <c r="CW22" s="62">
        <f>IF(SUM($C20:CW20)&lt;Assumptions!$C$49, Assumptions!$C$41, IF(SUM($C20:CV20)&lt;Assumptions!$C$49, (Assumptions!$C$49-SUM($C20:CV20))/CW20*(Assumptions!$C$41), 0))</f>
        <v>0</v>
      </c>
      <c r="CX22" s="62">
        <f>IF(SUM($C20:CX20)&lt;Assumptions!$C$49, Assumptions!$C$41, IF(SUM($C20:CW20)&lt;Assumptions!$C$49, (Assumptions!$C$49-SUM($C20:CW20))/CX20*(Assumptions!$C$41), 0))</f>
        <v>0</v>
      </c>
      <c r="CY22" s="62">
        <f>IF(SUM($C20:CY20)&lt;Assumptions!$C$49, Assumptions!$C$41, IF(SUM($C20:CX20)&lt;Assumptions!$C$49, (Assumptions!$C$49-SUM($C20:CX20))/CY20*(Assumptions!$C$41), 0))</f>
        <v>0</v>
      </c>
      <c r="CZ22" s="62">
        <f>IF(SUM($C20:CZ20)&lt;Assumptions!$C$49, Assumptions!$C$41, IF(SUM($C20:CY20)&lt;Assumptions!$C$49, (Assumptions!$C$49-SUM($C20:CY20))/CZ20*(Assumptions!$C$41), 0))</f>
        <v>0</v>
      </c>
      <c r="DA22" s="62">
        <f>IF(SUM($C20:DA20)&lt;Assumptions!$C$49, Assumptions!$C$41, IF(SUM($C20:CZ20)&lt;Assumptions!$C$49, (Assumptions!$C$49-SUM($C20:CZ20))/DA20*(Assumptions!$C$41), 0))</f>
        <v>0</v>
      </c>
      <c r="DB22" s="62">
        <f>IF(SUM($C20:DB20)&lt;Assumptions!$C$49, Assumptions!$C$41, IF(SUM($C20:DA20)&lt;Assumptions!$C$49, (Assumptions!$C$49-SUM($C20:DA20))/DB20*(Assumptions!$C$41), 0))</f>
        <v>0</v>
      </c>
      <c r="DC22" s="62">
        <f>IF(SUM($C20:DC20)&lt;Assumptions!$C$49, Assumptions!$C$41, IF(SUM($C20:DB20)&lt;Assumptions!$C$49, (Assumptions!$C$49-SUM($C20:DB20))/DC20*(Assumptions!$C$41), 0))</f>
        <v>0</v>
      </c>
      <c r="DD22" s="62">
        <f>IF(SUM($C20:DD20)&lt;Assumptions!$C$49, Assumptions!$C$41, IF(SUM($C20:DC20)&lt;Assumptions!$C$49, (Assumptions!$C$49-SUM($C20:DC20))/DD20*(Assumptions!$C$41), 0))</f>
        <v>0</v>
      </c>
      <c r="DE22" s="62">
        <f>IF(SUM($C20:DE20)&lt;Assumptions!$C$49, Assumptions!$C$41, IF(SUM($C20:DD20)&lt;Assumptions!$C$49, (Assumptions!$C$49-SUM($C20:DD20))/DE20*(Assumptions!$C$41), 0))</f>
        <v>0</v>
      </c>
      <c r="DF22" s="62">
        <f>IF(SUM($C20:DF20)&lt;Assumptions!$C$49, Assumptions!$C$41, IF(SUM($C20:DE20)&lt;Assumptions!$C$49, (Assumptions!$C$49-SUM($C20:DE20))/DF20*(Assumptions!$C$41), 0))</f>
        <v>0</v>
      </c>
      <c r="DG22" s="62">
        <f>IF(SUM($C20:DG20)&lt;Assumptions!$C$49, Assumptions!$C$41, IF(SUM($C20:DF20)&lt;Assumptions!$C$49, (Assumptions!$C$49-SUM($C20:DF20))/DG20*(Assumptions!$C$41), 0))</f>
        <v>0</v>
      </c>
      <c r="DH22" s="62">
        <f>IF(SUM($C20:DH20)&lt;Assumptions!$C$49, Assumptions!$C$41, IF(SUM($C20:DG20)&lt;Assumptions!$C$49, (Assumptions!$C$49-SUM($C20:DG20))/DH20*(Assumptions!$C$41), 0))</f>
        <v>0</v>
      </c>
      <c r="DI22" s="62">
        <f>IF(SUM($C20:DI20)&lt;Assumptions!$C$49, Assumptions!$C$41, IF(SUM($C20:DH20)&lt;Assumptions!$C$49, (Assumptions!$C$49-SUM($C20:DH20))/DI20*(Assumptions!$C$41), 0))</f>
        <v>0</v>
      </c>
      <c r="DJ22" s="62">
        <f>IF(SUM($C20:DJ20)&lt;Assumptions!$C$49, Assumptions!$C$41, IF(SUM($C20:DI20)&lt;Assumptions!$C$49, (Assumptions!$C$49-SUM($C20:DI20))/DJ20*(Assumptions!$C$41), 0))</f>
        <v>0</v>
      </c>
      <c r="DK22" s="62">
        <f>IF(SUM($C20:DK20)&lt;Assumptions!$C$49, Assumptions!$C$41, IF(SUM($C20:DJ20)&lt;Assumptions!$C$49, (Assumptions!$C$49-SUM($C20:DJ20))/DK20*(Assumptions!$C$41), 0))</f>
        <v>0</v>
      </c>
      <c r="DL22" s="62">
        <f>IF(SUM($C20:DL20)&lt;Assumptions!$C$49, Assumptions!$C$41, IF(SUM($C20:DK20)&lt;Assumptions!$C$49, (Assumptions!$C$49-SUM($C20:DK20))/DL20*(Assumptions!$C$41), 0))</f>
        <v>0</v>
      </c>
      <c r="DM22" s="62">
        <f>IF(SUM($C20:DM20)&lt;Assumptions!$C$49, Assumptions!$C$41, IF(SUM($C20:DL20)&lt;Assumptions!$C$49, (Assumptions!$C$49-SUM($C20:DL20))/DM20*(Assumptions!$C$41), 0))</f>
        <v>0</v>
      </c>
      <c r="DN22" s="62">
        <f>IF(SUM($C20:DN20)&lt;Assumptions!$C$49, Assumptions!$C$41, IF(SUM($C20:DM20)&lt;Assumptions!$C$49, (Assumptions!$C$49-SUM($C20:DM20))/DN20*(Assumptions!$C$41), 0))</f>
        <v>0</v>
      </c>
      <c r="DO22" s="62">
        <f>IF(SUM($C20:DO20)&lt;Assumptions!$C$49, Assumptions!$C$41, IF(SUM($C20:DN20)&lt;Assumptions!$C$49, (Assumptions!$C$49-SUM($C20:DN20))/DO20*(Assumptions!$C$41), 0))</f>
        <v>0</v>
      </c>
      <c r="DP22" s="62">
        <f>IF(SUM($C20:DP20)&lt;Assumptions!$C$49, Assumptions!$C$41, IF(SUM($C20:DO20)&lt;Assumptions!$C$49, (Assumptions!$C$49-SUM($C20:DO20))/DP20*(Assumptions!$C$41), 0))</f>
        <v>0</v>
      </c>
      <c r="DQ22" s="62">
        <f>IF(SUM($C20:DQ20)&lt;Assumptions!$C$49, Assumptions!$C$41, IF(SUM($C20:DP20)&lt;Assumptions!$C$49, (Assumptions!$C$49-SUM($C20:DP20))/DQ20*(Assumptions!$C$41), 0))</f>
        <v>0</v>
      </c>
      <c r="DR22" s="62">
        <f>IF(SUM($C20:DR20)&lt;Assumptions!$C$49, Assumptions!$C$41, IF(SUM($C20:DQ20)&lt;Assumptions!$C$49, (Assumptions!$C$49-SUM($C20:DQ20))/DR20*(Assumptions!$C$41), 0))</f>
        <v>0</v>
      </c>
      <c r="DS22" s="62">
        <f>IF(SUM($C20:DS20)&lt;Assumptions!$C$49, Assumptions!$C$41, IF(SUM($C20:DR20)&lt;Assumptions!$C$49, (Assumptions!$C$49-SUM($C20:DR20))/DS20*(Assumptions!$C$41), 0))</f>
        <v>0</v>
      </c>
      <c r="DT22" s="62">
        <f>IF(SUM($C20:DT20)&lt;Assumptions!$C$49, Assumptions!$C$41, IF(SUM($C20:DS20)&lt;Assumptions!$C$49, (Assumptions!$C$49-SUM($C20:DS20))/DT20*(Assumptions!$C$41), 0))</f>
        <v>0</v>
      </c>
      <c r="DU22" s="62">
        <f>IF(SUM($C20:DU20)&lt;Assumptions!$C$49, Assumptions!$C$41, IF(SUM($C20:DT20)&lt;Assumptions!$C$49, (Assumptions!$C$49-SUM($C20:DT20))/DU20*(Assumptions!$C$41), 0))</f>
        <v>0</v>
      </c>
      <c r="DV22" s="62">
        <f>IF(SUM($C20:DV20)&lt;Assumptions!$C$49, Assumptions!$C$41, IF(SUM($C20:DU20)&lt;Assumptions!$C$49, (Assumptions!$C$49-SUM($C20:DU20))/DV20*(Assumptions!$C$41), 0))</f>
        <v>0</v>
      </c>
      <c r="DW22" s="62">
        <f>IF(SUM($C20:DW20)&lt;Assumptions!$C$49, Assumptions!$C$41, IF(SUM($C20:DV20)&lt;Assumptions!$C$49, (Assumptions!$C$49-SUM($C20:DV20))/DW20*(Assumptions!$C$41), 0))</f>
        <v>0</v>
      </c>
    </row>
    <row r="23" spans="2:127" x14ac:dyDescent="0.3">
      <c r="C23" s="121"/>
    </row>
    <row r="24" spans="2:127" x14ac:dyDescent="0.3">
      <c r="B24" s="65" t="s">
        <v>198</v>
      </c>
    </row>
    <row r="25" spans="2:127" x14ac:dyDescent="0.3">
      <c r="B25" s="123" t="s">
        <v>18</v>
      </c>
      <c r="C25" s="124">
        <f>EOMONTH(Assumptions!C4,Assumptions!C6)+1</f>
        <v>46327</v>
      </c>
      <c r="D25" s="124">
        <f>EOMONTH(C25,1)</f>
        <v>46387</v>
      </c>
      <c r="E25" s="124">
        <f t="shared" ref="E25:F25" si="12">EOMONTH(D25,1)</f>
        <v>46418</v>
      </c>
      <c r="F25" s="124">
        <f t="shared" si="12"/>
        <v>46446</v>
      </c>
      <c r="G25" s="124">
        <f t="shared" ref="G25:BR25" si="13">EOMONTH(F25,1)</f>
        <v>46477</v>
      </c>
      <c r="H25" s="124">
        <f t="shared" si="13"/>
        <v>46507</v>
      </c>
      <c r="I25" s="124">
        <f t="shared" si="13"/>
        <v>46538</v>
      </c>
      <c r="J25" s="124">
        <f t="shared" si="13"/>
        <v>46568</v>
      </c>
      <c r="K25" s="124">
        <f t="shared" si="13"/>
        <v>46599</v>
      </c>
      <c r="L25" s="124">
        <f t="shared" si="13"/>
        <v>46630</v>
      </c>
      <c r="M25" s="124">
        <f t="shared" si="13"/>
        <v>46660</v>
      </c>
      <c r="N25" s="124">
        <f t="shared" si="13"/>
        <v>46691</v>
      </c>
      <c r="O25" s="124">
        <f t="shared" si="13"/>
        <v>46721</v>
      </c>
      <c r="P25" s="124">
        <f t="shared" si="13"/>
        <v>46752</v>
      </c>
      <c r="Q25" s="124">
        <f t="shared" si="13"/>
        <v>46783</v>
      </c>
      <c r="R25" s="124">
        <f t="shared" si="13"/>
        <v>46812</v>
      </c>
      <c r="S25" s="124">
        <f t="shared" si="13"/>
        <v>46843</v>
      </c>
      <c r="T25" s="124">
        <f t="shared" si="13"/>
        <v>46873</v>
      </c>
      <c r="U25" s="124">
        <f t="shared" si="13"/>
        <v>46904</v>
      </c>
      <c r="V25" s="124">
        <f t="shared" si="13"/>
        <v>46934</v>
      </c>
      <c r="W25" s="124">
        <f t="shared" si="13"/>
        <v>46965</v>
      </c>
      <c r="X25" s="124">
        <f t="shared" si="13"/>
        <v>46996</v>
      </c>
      <c r="Y25" s="124">
        <f t="shared" si="13"/>
        <v>47026</v>
      </c>
      <c r="Z25" s="124">
        <f t="shared" si="13"/>
        <v>47057</v>
      </c>
      <c r="AA25" s="124">
        <f t="shared" si="13"/>
        <v>47087</v>
      </c>
      <c r="AB25" s="124">
        <f t="shared" si="13"/>
        <v>47118</v>
      </c>
      <c r="AC25" s="124">
        <f t="shared" si="13"/>
        <v>47149</v>
      </c>
      <c r="AD25" s="124">
        <f t="shared" si="13"/>
        <v>47177</v>
      </c>
      <c r="AE25" s="124">
        <f t="shared" si="13"/>
        <v>47208</v>
      </c>
      <c r="AF25" s="124">
        <f t="shared" si="13"/>
        <v>47238</v>
      </c>
      <c r="AG25" s="124">
        <f t="shared" si="13"/>
        <v>47269</v>
      </c>
      <c r="AH25" s="124">
        <f t="shared" si="13"/>
        <v>47299</v>
      </c>
      <c r="AI25" s="124">
        <f t="shared" si="13"/>
        <v>47330</v>
      </c>
      <c r="AJ25" s="124">
        <f t="shared" si="13"/>
        <v>47361</v>
      </c>
      <c r="AK25" s="124">
        <f t="shared" si="13"/>
        <v>47391</v>
      </c>
      <c r="AL25" s="124">
        <f t="shared" si="13"/>
        <v>47422</v>
      </c>
      <c r="AM25" s="124">
        <f t="shared" si="13"/>
        <v>47452</v>
      </c>
      <c r="AN25" s="124">
        <f t="shared" si="13"/>
        <v>47483</v>
      </c>
      <c r="AO25" s="124">
        <f t="shared" si="13"/>
        <v>47514</v>
      </c>
      <c r="AP25" s="124">
        <f t="shared" si="13"/>
        <v>47542</v>
      </c>
      <c r="AQ25" s="124">
        <f t="shared" si="13"/>
        <v>47573</v>
      </c>
      <c r="AR25" s="124">
        <f t="shared" si="13"/>
        <v>47603</v>
      </c>
      <c r="AS25" s="124">
        <f t="shared" si="13"/>
        <v>47634</v>
      </c>
      <c r="AT25" s="124">
        <f t="shared" si="13"/>
        <v>47664</v>
      </c>
      <c r="AU25" s="124">
        <f t="shared" si="13"/>
        <v>47695</v>
      </c>
      <c r="AV25" s="124">
        <f t="shared" si="13"/>
        <v>47726</v>
      </c>
      <c r="AW25" s="124">
        <f t="shared" si="13"/>
        <v>47756</v>
      </c>
      <c r="AX25" s="124">
        <f t="shared" si="13"/>
        <v>47787</v>
      </c>
      <c r="AY25" s="124">
        <f t="shared" si="13"/>
        <v>47817</v>
      </c>
      <c r="AZ25" s="124">
        <f t="shared" si="13"/>
        <v>47848</v>
      </c>
      <c r="BA25" s="124">
        <f t="shared" si="13"/>
        <v>47879</v>
      </c>
      <c r="BB25" s="124">
        <f t="shared" si="13"/>
        <v>47907</v>
      </c>
      <c r="BC25" s="124">
        <f t="shared" si="13"/>
        <v>47938</v>
      </c>
      <c r="BD25" s="124">
        <f t="shared" si="13"/>
        <v>47968</v>
      </c>
      <c r="BE25" s="124">
        <f t="shared" si="13"/>
        <v>47999</v>
      </c>
      <c r="BF25" s="124">
        <f t="shared" si="13"/>
        <v>48029</v>
      </c>
      <c r="BG25" s="124">
        <f t="shared" si="13"/>
        <v>48060</v>
      </c>
      <c r="BH25" s="124">
        <f t="shared" si="13"/>
        <v>48091</v>
      </c>
      <c r="BI25" s="124">
        <f t="shared" si="13"/>
        <v>48121</v>
      </c>
      <c r="BJ25" s="124">
        <f t="shared" si="13"/>
        <v>48152</v>
      </c>
      <c r="BK25" s="124">
        <f t="shared" si="13"/>
        <v>48182</v>
      </c>
      <c r="BL25" s="124">
        <f t="shared" si="13"/>
        <v>48213</v>
      </c>
      <c r="BM25" s="124">
        <f t="shared" si="13"/>
        <v>48244</v>
      </c>
      <c r="BN25" s="124">
        <f t="shared" si="13"/>
        <v>48273</v>
      </c>
      <c r="BO25" s="124">
        <f t="shared" si="13"/>
        <v>48304</v>
      </c>
      <c r="BP25" s="124">
        <f t="shared" si="13"/>
        <v>48334</v>
      </c>
      <c r="BQ25" s="124">
        <f t="shared" si="13"/>
        <v>48365</v>
      </c>
      <c r="BR25" s="124">
        <f t="shared" si="13"/>
        <v>48395</v>
      </c>
      <c r="BS25" s="124">
        <f t="shared" ref="BS25:DW25" si="14">EOMONTH(BR25,1)</f>
        <v>48426</v>
      </c>
      <c r="BT25" s="124">
        <f t="shared" si="14"/>
        <v>48457</v>
      </c>
      <c r="BU25" s="124">
        <f t="shared" si="14"/>
        <v>48487</v>
      </c>
      <c r="BV25" s="124">
        <f t="shared" si="14"/>
        <v>48518</v>
      </c>
      <c r="BW25" s="124">
        <f t="shared" si="14"/>
        <v>48548</v>
      </c>
      <c r="BX25" s="124">
        <f t="shared" si="14"/>
        <v>48579</v>
      </c>
      <c r="BY25" s="124">
        <f t="shared" si="14"/>
        <v>48610</v>
      </c>
      <c r="BZ25" s="124">
        <f t="shared" si="14"/>
        <v>48638</v>
      </c>
      <c r="CA25" s="124">
        <f t="shared" si="14"/>
        <v>48669</v>
      </c>
      <c r="CB25" s="124">
        <f t="shared" si="14"/>
        <v>48699</v>
      </c>
      <c r="CC25" s="124">
        <f t="shared" si="14"/>
        <v>48730</v>
      </c>
      <c r="CD25" s="124">
        <f t="shared" si="14"/>
        <v>48760</v>
      </c>
      <c r="CE25" s="124">
        <f t="shared" si="14"/>
        <v>48791</v>
      </c>
      <c r="CF25" s="124">
        <f t="shared" si="14"/>
        <v>48822</v>
      </c>
      <c r="CG25" s="124">
        <f t="shared" si="14"/>
        <v>48852</v>
      </c>
      <c r="CH25" s="124">
        <f t="shared" si="14"/>
        <v>48883</v>
      </c>
      <c r="CI25" s="124">
        <f t="shared" si="14"/>
        <v>48913</v>
      </c>
      <c r="CJ25" s="124">
        <f t="shared" si="14"/>
        <v>48944</v>
      </c>
      <c r="CK25" s="124">
        <f t="shared" si="14"/>
        <v>48975</v>
      </c>
      <c r="CL25" s="124">
        <f t="shared" si="14"/>
        <v>49003</v>
      </c>
      <c r="CM25" s="124">
        <f t="shared" si="14"/>
        <v>49034</v>
      </c>
      <c r="CN25" s="124">
        <f t="shared" si="14"/>
        <v>49064</v>
      </c>
      <c r="CO25" s="124">
        <f t="shared" si="14"/>
        <v>49095</v>
      </c>
      <c r="CP25" s="124">
        <f t="shared" si="14"/>
        <v>49125</v>
      </c>
      <c r="CQ25" s="124">
        <f t="shared" si="14"/>
        <v>49156</v>
      </c>
      <c r="CR25" s="124">
        <f t="shared" si="14"/>
        <v>49187</v>
      </c>
      <c r="CS25" s="124">
        <f t="shared" si="14"/>
        <v>49217</v>
      </c>
      <c r="CT25" s="124">
        <f t="shared" si="14"/>
        <v>49248</v>
      </c>
      <c r="CU25" s="124">
        <f t="shared" si="14"/>
        <v>49278</v>
      </c>
      <c r="CV25" s="124">
        <f t="shared" si="14"/>
        <v>49309</v>
      </c>
      <c r="CW25" s="124">
        <f t="shared" si="14"/>
        <v>49340</v>
      </c>
      <c r="CX25" s="124">
        <f t="shared" si="14"/>
        <v>49368</v>
      </c>
      <c r="CY25" s="124">
        <f t="shared" si="14"/>
        <v>49399</v>
      </c>
      <c r="CZ25" s="124">
        <f t="shared" si="14"/>
        <v>49429</v>
      </c>
      <c r="DA25" s="124">
        <f t="shared" si="14"/>
        <v>49460</v>
      </c>
      <c r="DB25" s="124">
        <f t="shared" si="14"/>
        <v>49490</v>
      </c>
      <c r="DC25" s="124">
        <f t="shared" si="14"/>
        <v>49521</v>
      </c>
      <c r="DD25" s="124">
        <f t="shared" si="14"/>
        <v>49552</v>
      </c>
      <c r="DE25" s="124">
        <f t="shared" si="14"/>
        <v>49582</v>
      </c>
      <c r="DF25" s="124">
        <f t="shared" si="14"/>
        <v>49613</v>
      </c>
      <c r="DG25" s="124">
        <f t="shared" si="14"/>
        <v>49643</v>
      </c>
      <c r="DH25" s="124">
        <f t="shared" si="14"/>
        <v>49674</v>
      </c>
      <c r="DI25" s="124">
        <f t="shared" si="14"/>
        <v>49705</v>
      </c>
      <c r="DJ25" s="124">
        <f t="shared" si="14"/>
        <v>49734</v>
      </c>
      <c r="DK25" s="124">
        <f t="shared" si="14"/>
        <v>49765</v>
      </c>
      <c r="DL25" s="124">
        <f t="shared" si="14"/>
        <v>49795</v>
      </c>
      <c r="DM25" s="124">
        <f t="shared" si="14"/>
        <v>49826</v>
      </c>
      <c r="DN25" s="124">
        <f t="shared" si="14"/>
        <v>49856</v>
      </c>
      <c r="DO25" s="124">
        <f t="shared" si="14"/>
        <v>49887</v>
      </c>
      <c r="DP25" s="124">
        <f t="shared" si="14"/>
        <v>49918</v>
      </c>
      <c r="DQ25" s="124">
        <f t="shared" si="14"/>
        <v>49948</v>
      </c>
      <c r="DR25" s="124">
        <f t="shared" si="14"/>
        <v>49979</v>
      </c>
      <c r="DS25" s="124">
        <f t="shared" si="14"/>
        <v>50009</v>
      </c>
      <c r="DT25" s="124">
        <f t="shared" si="14"/>
        <v>50040</v>
      </c>
      <c r="DU25" s="124">
        <f t="shared" si="14"/>
        <v>50071</v>
      </c>
      <c r="DV25" s="124">
        <f t="shared" si="14"/>
        <v>50099</v>
      </c>
      <c r="DW25" s="124">
        <f t="shared" si="14"/>
        <v>50130</v>
      </c>
    </row>
    <row r="26" spans="2:127" x14ac:dyDescent="0.3">
      <c r="B26" s="53" t="s">
        <v>200</v>
      </c>
      <c r="C26" s="120">
        <f>+C18*(1-C22)</f>
        <v>429118.80036479997</v>
      </c>
      <c r="D26" s="120">
        <f t="shared" ref="D26:BO26" si="15">+D18*(1-D22)</f>
        <v>429118.80036479997</v>
      </c>
      <c r="E26" s="120">
        <f t="shared" si="15"/>
        <v>429118.80036479997</v>
      </c>
      <c r="F26" s="120">
        <f t="shared" si="15"/>
        <v>1106893.6701285625</v>
      </c>
      <c r="G26" s="120">
        <f t="shared" si="15"/>
        <v>7172865.6236183243</v>
      </c>
      <c r="H26" s="120">
        <f t="shared" si="15"/>
        <v>7640870.4840964209</v>
      </c>
      <c r="I26" s="120">
        <f t="shared" si="15"/>
        <v>7640870.4840964209</v>
      </c>
      <c r="J26" s="120">
        <f t="shared" si="15"/>
        <v>7640870.4840964209</v>
      </c>
      <c r="K26" s="120">
        <f t="shared" si="15"/>
        <v>7640870.4840964209</v>
      </c>
      <c r="L26" s="120">
        <f t="shared" si="15"/>
        <v>15281740.968192842</v>
      </c>
      <c r="M26" s="120">
        <f t="shared" si="15"/>
        <v>15281740.968192842</v>
      </c>
      <c r="N26" s="120">
        <f t="shared" si="15"/>
        <v>15281740.968192842</v>
      </c>
      <c r="O26" s="120">
        <f t="shared" si="15"/>
        <v>15281740.968192842</v>
      </c>
      <c r="P26" s="120">
        <f t="shared" si="15"/>
        <v>15281740.968192842</v>
      </c>
      <c r="Q26" s="120">
        <f t="shared" si="15"/>
        <v>15281740.968192842</v>
      </c>
      <c r="R26" s="120">
        <f t="shared" si="15"/>
        <v>15281740.968192842</v>
      </c>
      <c r="S26" s="120">
        <f t="shared" si="15"/>
        <v>15281740.968192842</v>
      </c>
      <c r="T26" s="120">
        <f t="shared" si="15"/>
        <v>15281740.968192842</v>
      </c>
      <c r="U26" s="120">
        <f t="shared" si="15"/>
        <v>15281740.968192842</v>
      </c>
      <c r="V26" s="120">
        <f t="shared" si="15"/>
        <v>15281740.968192842</v>
      </c>
      <c r="W26" s="120">
        <f t="shared" si="15"/>
        <v>15281740.968192842</v>
      </c>
      <c r="X26" s="120">
        <f t="shared" si="15"/>
        <v>15281740.968192842</v>
      </c>
      <c r="Y26" s="120">
        <f t="shared" si="15"/>
        <v>15281740.968192842</v>
      </c>
      <c r="Z26" s="120">
        <f t="shared" si="15"/>
        <v>15281740.968192842</v>
      </c>
      <c r="AA26" s="120">
        <f t="shared" si="15"/>
        <v>15281740.968192842</v>
      </c>
      <c r="AB26" s="120">
        <f t="shared" si="15"/>
        <v>15281740.968192842</v>
      </c>
      <c r="AC26" s="120">
        <f t="shared" si="15"/>
        <v>15281740.968192842</v>
      </c>
      <c r="AD26" s="120">
        <f t="shared" si="15"/>
        <v>15281740.968192842</v>
      </c>
      <c r="AE26" s="120">
        <f t="shared" si="15"/>
        <v>15281740.968192842</v>
      </c>
      <c r="AF26" s="120">
        <f t="shared" si="15"/>
        <v>15281740.968192842</v>
      </c>
      <c r="AG26" s="120">
        <f t="shared" si="15"/>
        <v>15281740.968192842</v>
      </c>
      <c r="AH26" s="120">
        <f t="shared" si="15"/>
        <v>15281740.968192842</v>
      </c>
      <c r="AI26" s="120">
        <f t="shared" si="15"/>
        <v>15281740.968192842</v>
      </c>
      <c r="AJ26" s="120">
        <f t="shared" si="15"/>
        <v>15281740.968192842</v>
      </c>
      <c r="AK26" s="120">
        <f t="shared" si="15"/>
        <v>15281740.968192842</v>
      </c>
      <c r="AL26" s="120">
        <f t="shared" si="15"/>
        <v>15281740.968192842</v>
      </c>
      <c r="AM26" s="120">
        <f t="shared" si="15"/>
        <v>15281740.968192842</v>
      </c>
      <c r="AN26" s="120">
        <f t="shared" si="15"/>
        <v>15281740.968192842</v>
      </c>
      <c r="AO26" s="120">
        <f t="shared" si="15"/>
        <v>15281740.968192842</v>
      </c>
      <c r="AP26" s="120">
        <f t="shared" si="15"/>
        <v>15281740.968192842</v>
      </c>
      <c r="AQ26" s="120">
        <f t="shared" si="15"/>
        <v>15281740.968192842</v>
      </c>
      <c r="AR26" s="120">
        <f t="shared" si="15"/>
        <v>15281740.968192842</v>
      </c>
      <c r="AS26" s="120">
        <f t="shared" si="15"/>
        <v>15281740.968192842</v>
      </c>
      <c r="AT26" s="120">
        <f t="shared" si="15"/>
        <v>15281740.968192842</v>
      </c>
      <c r="AU26" s="120">
        <f t="shared" si="15"/>
        <v>15281740.968192842</v>
      </c>
      <c r="AV26" s="120">
        <f t="shared" si="15"/>
        <v>15281740.968192842</v>
      </c>
      <c r="AW26" s="120">
        <f t="shared" si="15"/>
        <v>15281740.968192842</v>
      </c>
      <c r="AX26" s="120">
        <f t="shared" si="15"/>
        <v>15281740.968192842</v>
      </c>
      <c r="AY26" s="120">
        <f t="shared" si="15"/>
        <v>15281740.968192842</v>
      </c>
      <c r="AZ26" s="120">
        <f t="shared" si="15"/>
        <v>15281740.968192842</v>
      </c>
      <c r="BA26" s="120">
        <f t="shared" si="15"/>
        <v>15281740.968192842</v>
      </c>
      <c r="BB26" s="120">
        <f t="shared" si="15"/>
        <v>15281740.968192842</v>
      </c>
      <c r="BC26" s="120">
        <f t="shared" si="15"/>
        <v>15281740.968192842</v>
      </c>
      <c r="BD26" s="120">
        <f t="shared" si="15"/>
        <v>15281740.968192842</v>
      </c>
      <c r="BE26" s="120">
        <f t="shared" si="15"/>
        <v>15281740.968192842</v>
      </c>
      <c r="BF26" s="120">
        <f t="shared" si="15"/>
        <v>15281740.968192842</v>
      </c>
      <c r="BG26" s="120">
        <f t="shared" si="15"/>
        <v>15281740.968192842</v>
      </c>
      <c r="BH26" s="120">
        <f t="shared" si="15"/>
        <v>15281740.968192842</v>
      </c>
      <c r="BI26" s="120">
        <f t="shared" si="15"/>
        <v>15281740.968192842</v>
      </c>
      <c r="BJ26" s="120">
        <f t="shared" si="15"/>
        <v>15281740.968192842</v>
      </c>
      <c r="BK26" s="120">
        <f t="shared" si="15"/>
        <v>15281740.968192842</v>
      </c>
      <c r="BL26" s="120">
        <f t="shared" si="15"/>
        <v>15281740.968192842</v>
      </c>
      <c r="BM26" s="120">
        <f t="shared" si="15"/>
        <v>15281740.968192842</v>
      </c>
      <c r="BN26" s="120">
        <f t="shared" si="15"/>
        <v>15281740.968192842</v>
      </c>
      <c r="BO26" s="120">
        <f t="shared" si="15"/>
        <v>15281740.968192842</v>
      </c>
      <c r="BP26" s="120">
        <f t="shared" ref="BP26:DW26" si="16">+BP18*(1-BP22)</f>
        <v>15281740.968192842</v>
      </c>
      <c r="BQ26" s="120">
        <f t="shared" si="16"/>
        <v>15281740.968192842</v>
      </c>
      <c r="BR26" s="120">
        <f t="shared" si="16"/>
        <v>15281740.968192842</v>
      </c>
      <c r="BS26" s="120">
        <f t="shared" si="16"/>
        <v>15281740.968192842</v>
      </c>
      <c r="BT26" s="120">
        <f t="shared" si="16"/>
        <v>15281740.968192842</v>
      </c>
      <c r="BU26" s="120">
        <f t="shared" si="16"/>
        <v>15281740.968192842</v>
      </c>
      <c r="BV26" s="120">
        <f t="shared" si="16"/>
        <v>15281740.968192842</v>
      </c>
      <c r="BW26" s="120">
        <f t="shared" si="16"/>
        <v>15281740.968192842</v>
      </c>
      <c r="BX26" s="120">
        <f t="shared" si="16"/>
        <v>15281740.968192842</v>
      </c>
      <c r="BY26" s="120">
        <f t="shared" si="16"/>
        <v>15281740.968192842</v>
      </c>
      <c r="BZ26" s="120">
        <f t="shared" si="16"/>
        <v>15281740.968192842</v>
      </c>
      <c r="CA26" s="120">
        <f t="shared" si="16"/>
        <v>15281740.968192842</v>
      </c>
      <c r="CB26" s="120">
        <f t="shared" si="16"/>
        <v>15281740.968192842</v>
      </c>
      <c r="CC26" s="120">
        <f t="shared" si="16"/>
        <v>15281740.968192842</v>
      </c>
      <c r="CD26" s="120">
        <f t="shared" si="16"/>
        <v>15281740.968192842</v>
      </c>
      <c r="CE26" s="120">
        <f t="shared" si="16"/>
        <v>15281740.968192842</v>
      </c>
      <c r="CF26" s="120">
        <f t="shared" si="16"/>
        <v>15281740.968192842</v>
      </c>
      <c r="CG26" s="120">
        <f t="shared" si="16"/>
        <v>15281740.968192842</v>
      </c>
      <c r="CH26" s="120">
        <f t="shared" si="16"/>
        <v>15281740.968192842</v>
      </c>
      <c r="CI26" s="120">
        <f t="shared" si="16"/>
        <v>15281740.968192842</v>
      </c>
      <c r="CJ26" s="120">
        <f t="shared" si="16"/>
        <v>15281740.968192842</v>
      </c>
      <c r="CK26" s="120">
        <f t="shared" si="16"/>
        <v>15281740.968192842</v>
      </c>
      <c r="CL26" s="120">
        <f t="shared" si="16"/>
        <v>15281740.968192842</v>
      </c>
      <c r="CM26" s="120">
        <f t="shared" si="16"/>
        <v>15281740.968192842</v>
      </c>
      <c r="CN26" s="120">
        <f t="shared" si="16"/>
        <v>15281740.968192842</v>
      </c>
      <c r="CO26" s="120">
        <f t="shared" si="16"/>
        <v>15281740.968192842</v>
      </c>
      <c r="CP26" s="120">
        <f t="shared" si="16"/>
        <v>15281740.968192842</v>
      </c>
      <c r="CQ26" s="120">
        <f t="shared" si="16"/>
        <v>15281740.968192842</v>
      </c>
      <c r="CR26" s="120">
        <f t="shared" si="16"/>
        <v>15281740.968192842</v>
      </c>
      <c r="CS26" s="120">
        <f t="shared" si="16"/>
        <v>15281740.968192842</v>
      </c>
      <c r="CT26" s="120">
        <f t="shared" si="16"/>
        <v>15281740.968192842</v>
      </c>
      <c r="CU26" s="120">
        <f t="shared" si="16"/>
        <v>15281740.968192842</v>
      </c>
      <c r="CV26" s="120">
        <f t="shared" si="16"/>
        <v>15281740.968192842</v>
      </c>
      <c r="CW26" s="120">
        <f t="shared" si="16"/>
        <v>15281740.968192842</v>
      </c>
      <c r="CX26" s="120">
        <f t="shared" si="16"/>
        <v>15281740.968192842</v>
      </c>
      <c r="CY26" s="120">
        <f t="shared" si="16"/>
        <v>15281740.968192842</v>
      </c>
      <c r="CZ26" s="120">
        <f t="shared" si="16"/>
        <v>15281740.968192842</v>
      </c>
      <c r="DA26" s="120">
        <f t="shared" si="16"/>
        <v>15281740.968192842</v>
      </c>
      <c r="DB26" s="120">
        <f t="shared" si="16"/>
        <v>15281740.968192842</v>
      </c>
      <c r="DC26" s="120">
        <f t="shared" si="16"/>
        <v>15281740.968192842</v>
      </c>
      <c r="DD26" s="120">
        <f t="shared" si="16"/>
        <v>15281740.968192842</v>
      </c>
      <c r="DE26" s="120">
        <f t="shared" si="16"/>
        <v>15281740.968192842</v>
      </c>
      <c r="DF26" s="120">
        <f t="shared" si="16"/>
        <v>15281740.968192842</v>
      </c>
      <c r="DG26" s="120">
        <f t="shared" si="16"/>
        <v>15281740.968192842</v>
      </c>
      <c r="DH26" s="120">
        <f t="shared" si="16"/>
        <v>15281740.968192842</v>
      </c>
      <c r="DI26" s="120">
        <f t="shared" si="16"/>
        <v>15281740.968192842</v>
      </c>
      <c r="DJ26" s="120">
        <f t="shared" si="16"/>
        <v>15281740.968192842</v>
      </c>
      <c r="DK26" s="120">
        <f t="shared" si="16"/>
        <v>15281740.968192842</v>
      </c>
      <c r="DL26" s="120">
        <f t="shared" si="16"/>
        <v>15281740.968192842</v>
      </c>
      <c r="DM26" s="120">
        <f t="shared" si="16"/>
        <v>15281740.968192842</v>
      </c>
      <c r="DN26" s="120">
        <f t="shared" si="16"/>
        <v>15281740.968192842</v>
      </c>
      <c r="DO26" s="120">
        <f t="shared" si="16"/>
        <v>15281740.968192842</v>
      </c>
      <c r="DP26" s="120">
        <f t="shared" si="16"/>
        <v>15281740.968192842</v>
      </c>
      <c r="DQ26" s="120">
        <f t="shared" si="16"/>
        <v>15281740.968192842</v>
      </c>
      <c r="DR26" s="120">
        <f t="shared" si="16"/>
        <v>15281740.968192842</v>
      </c>
      <c r="DS26" s="120">
        <f t="shared" si="16"/>
        <v>15281740.968192842</v>
      </c>
      <c r="DT26" s="120">
        <f t="shared" si="16"/>
        <v>15281740.968192842</v>
      </c>
      <c r="DU26" s="120">
        <f t="shared" si="16"/>
        <v>15281740.968192842</v>
      </c>
      <c r="DV26" s="120">
        <f t="shared" si="16"/>
        <v>15281740.968192842</v>
      </c>
      <c r="DW26" s="120">
        <f t="shared" si="16"/>
        <v>15281740.968192842</v>
      </c>
    </row>
    <row r="29" spans="2:127" x14ac:dyDescent="0.3">
      <c r="I29" s="1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10 Year Pro Forma</vt:lpstr>
      <vt:lpstr>Assumptions</vt:lpstr>
      <vt:lpstr>Commodity Prices</vt:lpstr>
      <vt:lpstr>Mining Cost Assumptions</vt:lpstr>
      <vt:lpstr>Combined CAPEX</vt:lpstr>
      <vt:lpstr>WS - CAPEX</vt:lpstr>
      <vt:lpstr>Darwin - CAPEX</vt:lpstr>
      <vt:lpstr>Depreciation</vt:lpstr>
      <vt:lpstr>Tungsten Model</vt:lpstr>
      <vt:lpstr>Metals Model</vt:lpstr>
      <vt:lpstr>CM Model</vt:lpstr>
      <vt:lpstr>Mining Costs</vt:lpstr>
      <vt:lpstr>Zinc Agra</vt:lpstr>
      <vt:lpstr>Debt Model</vt:lpstr>
      <vt:lpstr>Oxide Ag Per Ton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McLellan</dc:creator>
  <cp:lastModifiedBy>Ross</cp:lastModifiedBy>
  <dcterms:created xsi:type="dcterms:W3CDTF">2025-12-02T14:21:39Z</dcterms:created>
  <dcterms:modified xsi:type="dcterms:W3CDTF">2026-05-29T12:37:52Z</dcterms:modified>
</cp:coreProperties>
</file>