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rce\Dropbox\Mike Purcer Coaching\Coaching Presentations\2025 Using Kinovea\"/>
    </mc:Choice>
  </mc:AlternateContent>
  <xr:revisionPtr revIDLastSave="0" documentId="13_ncr:1_{0E64ECA3-525F-4AB7-8E1B-84941756011A}" xr6:coauthVersionLast="47" xr6:coauthVersionMax="47" xr10:uidLastSave="{00000000-0000-0000-0000-000000000000}"/>
  <bookViews>
    <workbookView xWindow="-103" yWindow="-103" windowWidth="16663" windowHeight="9772" activeTab="1" xr2:uid="{00000000-000D-0000-FFFF-FFFF00000000}"/>
  </bookViews>
  <sheets>
    <sheet name="Boat Length" sheetId="5" r:id="rId1"/>
    <sheet name="Dist to Speed" sheetId="6" r:id="rId2"/>
    <sheet name="Inputs" sheetId="8" r:id="rId3"/>
    <sheet name="CurveSheet" sheetId="7" r:id="rId4"/>
  </sheets>
  <definedNames>
    <definedName name="_xlnm.Print_Area" localSheetId="3">CurveSheet!$B$1:$O$63</definedName>
    <definedName name="speed">#REF!</definedName>
    <definedName name="SpeedTable">#REF!</definedName>
    <definedName name="table2">#REF!</definedName>
    <definedName name="Timecode">#REF!</definedName>
    <definedName name="volum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0" i="7" l="1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1" i="7"/>
  <c r="D550" i="7"/>
  <c r="D549" i="7"/>
  <c r="D548" i="7"/>
  <c r="D547" i="7"/>
  <c r="D546" i="7"/>
  <c r="D545" i="7"/>
  <c r="D544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Z139" i="7" l="1"/>
  <c r="AA139" i="7"/>
  <c r="AB139" i="7"/>
  <c r="AC139" i="7"/>
  <c r="AD139" i="7"/>
  <c r="AE139" i="7"/>
  <c r="Z140" i="7"/>
  <c r="AA140" i="7"/>
  <c r="AB140" i="7"/>
  <c r="AC140" i="7"/>
  <c r="AD140" i="7"/>
  <c r="AE140" i="7"/>
  <c r="Z141" i="7"/>
  <c r="AA141" i="7"/>
  <c r="AB141" i="7"/>
  <c r="AC141" i="7"/>
  <c r="AD141" i="7"/>
  <c r="AE141" i="7"/>
  <c r="Z136" i="7"/>
  <c r="AA136" i="7"/>
  <c r="AB136" i="7"/>
  <c r="AC136" i="7"/>
  <c r="AD136" i="7"/>
  <c r="AE136" i="7"/>
  <c r="Z137" i="7"/>
  <c r="AA137" i="7"/>
  <c r="AB137" i="7"/>
  <c r="AC137" i="7"/>
  <c r="AD137" i="7"/>
  <c r="AE137" i="7"/>
  <c r="Z138" i="7"/>
  <c r="AA138" i="7"/>
  <c r="AB138" i="7"/>
  <c r="AC138" i="7"/>
  <c r="AD138" i="7"/>
  <c r="AE138" i="7"/>
  <c r="Z123" i="7"/>
  <c r="AA123" i="7"/>
  <c r="AB123" i="7"/>
  <c r="AC123" i="7"/>
  <c r="AD123" i="7"/>
  <c r="AE123" i="7"/>
  <c r="Z124" i="7"/>
  <c r="AA124" i="7"/>
  <c r="AB124" i="7"/>
  <c r="AC124" i="7"/>
  <c r="AD124" i="7"/>
  <c r="AE124" i="7"/>
  <c r="Z125" i="7"/>
  <c r="AA125" i="7"/>
  <c r="AB125" i="7"/>
  <c r="AC125" i="7"/>
  <c r="AD125" i="7"/>
  <c r="AE125" i="7"/>
  <c r="Z126" i="7"/>
  <c r="AA126" i="7"/>
  <c r="AB126" i="7"/>
  <c r="AC126" i="7"/>
  <c r="AD126" i="7"/>
  <c r="AE126" i="7"/>
  <c r="Z127" i="7"/>
  <c r="AA127" i="7"/>
  <c r="AB127" i="7"/>
  <c r="AC127" i="7"/>
  <c r="AD127" i="7"/>
  <c r="AE127" i="7"/>
  <c r="Z128" i="7"/>
  <c r="AA128" i="7"/>
  <c r="AB128" i="7"/>
  <c r="AC128" i="7"/>
  <c r="AD128" i="7"/>
  <c r="AE128" i="7"/>
  <c r="Z129" i="7"/>
  <c r="AA129" i="7"/>
  <c r="AB129" i="7"/>
  <c r="AC129" i="7"/>
  <c r="AD129" i="7"/>
  <c r="AE129" i="7"/>
  <c r="Z130" i="7"/>
  <c r="AA130" i="7"/>
  <c r="AB130" i="7"/>
  <c r="AC130" i="7"/>
  <c r="AD130" i="7"/>
  <c r="AE130" i="7"/>
  <c r="Z131" i="7"/>
  <c r="AA131" i="7"/>
  <c r="AB131" i="7"/>
  <c r="AC131" i="7"/>
  <c r="AD131" i="7"/>
  <c r="AE131" i="7"/>
  <c r="Z132" i="7"/>
  <c r="AA132" i="7"/>
  <c r="AB132" i="7"/>
  <c r="AC132" i="7"/>
  <c r="AD132" i="7"/>
  <c r="AE132" i="7"/>
  <c r="Z133" i="7"/>
  <c r="AA133" i="7"/>
  <c r="AB133" i="7"/>
  <c r="AC133" i="7"/>
  <c r="AD133" i="7"/>
  <c r="AE133" i="7"/>
  <c r="Z134" i="7"/>
  <c r="AA134" i="7"/>
  <c r="AB134" i="7"/>
  <c r="AC134" i="7"/>
  <c r="AD134" i="7"/>
  <c r="AE134" i="7"/>
  <c r="Z135" i="7"/>
  <c r="AA135" i="7"/>
  <c r="AB135" i="7"/>
  <c r="AC135" i="7"/>
  <c r="AD135" i="7"/>
  <c r="AE135" i="7"/>
  <c r="Z106" i="7"/>
  <c r="AA106" i="7"/>
  <c r="AB106" i="7"/>
  <c r="AC106" i="7"/>
  <c r="AD106" i="7"/>
  <c r="AE106" i="7"/>
  <c r="Z107" i="7"/>
  <c r="AA107" i="7"/>
  <c r="AB107" i="7"/>
  <c r="AC107" i="7"/>
  <c r="AD107" i="7"/>
  <c r="AE107" i="7"/>
  <c r="Z108" i="7"/>
  <c r="AA108" i="7"/>
  <c r="AB108" i="7"/>
  <c r="AC108" i="7"/>
  <c r="AD108" i="7"/>
  <c r="AE108" i="7"/>
  <c r="Z109" i="7"/>
  <c r="AA109" i="7"/>
  <c r="AB109" i="7"/>
  <c r="AC109" i="7"/>
  <c r="AD109" i="7"/>
  <c r="AE109" i="7"/>
  <c r="Z110" i="7"/>
  <c r="AA110" i="7"/>
  <c r="AB110" i="7"/>
  <c r="AC110" i="7"/>
  <c r="AD110" i="7"/>
  <c r="AE110" i="7"/>
  <c r="Z111" i="7"/>
  <c r="AA111" i="7"/>
  <c r="AB111" i="7"/>
  <c r="AC111" i="7"/>
  <c r="AD111" i="7"/>
  <c r="AE111" i="7"/>
  <c r="Z112" i="7"/>
  <c r="AA112" i="7"/>
  <c r="AB112" i="7"/>
  <c r="AC112" i="7"/>
  <c r="AD112" i="7"/>
  <c r="AE112" i="7"/>
  <c r="Z113" i="7"/>
  <c r="AA113" i="7"/>
  <c r="AB113" i="7"/>
  <c r="AC113" i="7"/>
  <c r="AD113" i="7"/>
  <c r="AE113" i="7"/>
  <c r="Z114" i="7"/>
  <c r="AA114" i="7"/>
  <c r="AB114" i="7"/>
  <c r="AC114" i="7"/>
  <c r="AD114" i="7"/>
  <c r="AE114" i="7"/>
  <c r="Z115" i="7"/>
  <c r="AA115" i="7"/>
  <c r="AB115" i="7"/>
  <c r="AC115" i="7"/>
  <c r="AD115" i="7"/>
  <c r="AE115" i="7"/>
  <c r="Z116" i="7"/>
  <c r="AA116" i="7"/>
  <c r="AB116" i="7"/>
  <c r="AC116" i="7"/>
  <c r="AD116" i="7"/>
  <c r="AE116" i="7"/>
  <c r="Z117" i="7"/>
  <c r="AA117" i="7"/>
  <c r="AB117" i="7"/>
  <c r="AC117" i="7"/>
  <c r="AD117" i="7"/>
  <c r="AE117" i="7"/>
  <c r="Z118" i="7"/>
  <c r="AA118" i="7"/>
  <c r="AB118" i="7"/>
  <c r="AC118" i="7"/>
  <c r="AD118" i="7"/>
  <c r="AE118" i="7"/>
  <c r="Z119" i="7"/>
  <c r="AA119" i="7"/>
  <c r="AB119" i="7"/>
  <c r="AC119" i="7"/>
  <c r="AD119" i="7"/>
  <c r="AE119" i="7"/>
  <c r="Z120" i="7"/>
  <c r="AA120" i="7"/>
  <c r="AB120" i="7"/>
  <c r="AC120" i="7"/>
  <c r="AD120" i="7"/>
  <c r="AE120" i="7"/>
  <c r="Z121" i="7"/>
  <c r="AA121" i="7"/>
  <c r="AB121" i="7"/>
  <c r="AC121" i="7"/>
  <c r="AD121" i="7"/>
  <c r="AE121" i="7"/>
  <c r="Z122" i="7"/>
  <c r="AA122" i="7"/>
  <c r="AB122" i="7"/>
  <c r="AC122" i="7"/>
  <c r="AD122" i="7"/>
  <c r="AE122" i="7"/>
  <c r="Z97" i="7"/>
  <c r="AA97" i="7"/>
  <c r="AB97" i="7"/>
  <c r="AC97" i="7"/>
  <c r="AD97" i="7"/>
  <c r="AE97" i="7"/>
  <c r="Z98" i="7"/>
  <c r="AA98" i="7"/>
  <c r="AB98" i="7"/>
  <c r="AC98" i="7"/>
  <c r="AD98" i="7"/>
  <c r="AE98" i="7"/>
  <c r="Z99" i="7"/>
  <c r="AA99" i="7"/>
  <c r="AB99" i="7"/>
  <c r="AC99" i="7"/>
  <c r="AD99" i="7"/>
  <c r="AE99" i="7"/>
  <c r="Z100" i="7"/>
  <c r="AA100" i="7"/>
  <c r="AB100" i="7"/>
  <c r="AC100" i="7"/>
  <c r="AD100" i="7"/>
  <c r="AE100" i="7"/>
  <c r="Z101" i="7"/>
  <c r="AA101" i="7"/>
  <c r="AB101" i="7"/>
  <c r="AC101" i="7"/>
  <c r="AD101" i="7"/>
  <c r="AE101" i="7"/>
  <c r="Z102" i="7"/>
  <c r="AA102" i="7"/>
  <c r="AB102" i="7"/>
  <c r="AC102" i="7"/>
  <c r="AD102" i="7"/>
  <c r="AE102" i="7"/>
  <c r="Z103" i="7"/>
  <c r="AA103" i="7"/>
  <c r="AB103" i="7"/>
  <c r="AC103" i="7"/>
  <c r="AD103" i="7"/>
  <c r="AE103" i="7"/>
  <c r="Z104" i="7"/>
  <c r="AA104" i="7"/>
  <c r="AB104" i="7"/>
  <c r="AC104" i="7"/>
  <c r="AD104" i="7"/>
  <c r="AE104" i="7"/>
  <c r="Z105" i="7"/>
  <c r="AA105" i="7"/>
  <c r="AB105" i="7"/>
  <c r="AC105" i="7"/>
  <c r="AD105" i="7"/>
  <c r="AE105" i="7"/>
  <c r="F136" i="7"/>
  <c r="F135" i="7"/>
  <c r="F134" i="7"/>
  <c r="F133" i="7"/>
  <c r="F132" i="7"/>
  <c r="F131" i="7"/>
  <c r="F130" i="7"/>
  <c r="E28" i="7"/>
  <c r="K136" i="7"/>
  <c r="K135" i="7"/>
  <c r="K133" i="7"/>
  <c r="K132" i="7"/>
  <c r="K131" i="7"/>
  <c r="K130" i="7"/>
  <c r="K129" i="7"/>
  <c r="V72" i="7" l="1"/>
  <c r="S72" i="7" s="1"/>
  <c r="V65" i="7"/>
  <c r="S65" i="7" s="1"/>
  <c r="AE96" i="7" l="1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" i="7"/>
  <c r="AE3" i="7"/>
  <c r="AE2" i="7"/>
  <c r="V181" i="6"/>
  <c r="V180" i="6"/>
  <c r="V179" i="6"/>
  <c r="V178" i="6"/>
  <c r="V177" i="6"/>
  <c r="V176" i="6"/>
  <c r="V175" i="6"/>
  <c r="V174" i="6"/>
  <c r="V173" i="6"/>
  <c r="V172" i="6"/>
  <c r="V171" i="6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Z3" i="7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Z2" i="7"/>
  <c r="T65" i="7" l="1"/>
  <c r="U65" i="7"/>
  <c r="U72" i="7"/>
  <c r="T72" i="7"/>
  <c r="F5" i="6"/>
  <c r="E5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E20" i="6" s="1"/>
  <c r="F33" i="7"/>
  <c r="F32" i="7"/>
  <c r="F31" i="7"/>
  <c r="C39" i="7"/>
  <c r="C38" i="7"/>
  <c r="C36" i="7"/>
  <c r="C35" i="7"/>
  <c r="C34" i="7"/>
  <c r="C33" i="7"/>
  <c r="C32" i="7"/>
  <c r="D28" i="7"/>
  <c r="B27" i="7"/>
  <c r="L26" i="7"/>
  <c r="K26" i="7"/>
  <c r="H26" i="7"/>
  <c r="E26" i="7"/>
  <c r="D26" i="7"/>
  <c r="H25" i="7"/>
  <c r="D25" i="7"/>
  <c r="L24" i="7"/>
  <c r="H24" i="7"/>
  <c r="C24" i="7"/>
  <c r="H29" i="8"/>
  <c r="G35" i="7" l="1"/>
  <c r="F138" i="7"/>
  <c r="Q20" i="6"/>
  <c r="V20" i="6"/>
  <c r="E18" i="6"/>
  <c r="E19" i="6"/>
  <c r="E13" i="6"/>
  <c r="E11" i="6"/>
  <c r="E14" i="6"/>
  <c r="E10" i="6"/>
  <c r="E15" i="6"/>
  <c r="E8" i="6"/>
  <c r="E9" i="6"/>
  <c r="E12" i="6"/>
  <c r="E16" i="6"/>
  <c r="E7" i="6"/>
  <c r="E17" i="6"/>
  <c r="E6" i="6"/>
  <c r="AC4" i="7"/>
  <c r="AB4" i="7"/>
  <c r="AA4" i="7"/>
  <c r="AA5" i="7"/>
  <c r="AB5" i="7"/>
  <c r="AC5" i="7"/>
  <c r="AD5" i="7"/>
  <c r="AA6" i="7"/>
  <c r="AB6" i="7"/>
  <c r="AC6" i="7"/>
  <c r="AD6" i="7"/>
  <c r="AA7" i="7"/>
  <c r="AB7" i="7"/>
  <c r="AC7" i="7"/>
  <c r="AD7" i="7"/>
  <c r="AA8" i="7"/>
  <c r="AB8" i="7"/>
  <c r="AC8" i="7"/>
  <c r="AD8" i="7"/>
  <c r="AA9" i="7"/>
  <c r="AB9" i="7"/>
  <c r="AC9" i="7"/>
  <c r="AD9" i="7"/>
  <c r="AA10" i="7"/>
  <c r="AB10" i="7"/>
  <c r="AC10" i="7"/>
  <c r="AD10" i="7"/>
  <c r="AA11" i="7"/>
  <c r="AB11" i="7"/>
  <c r="AC11" i="7"/>
  <c r="AD11" i="7"/>
  <c r="AA12" i="7"/>
  <c r="AB12" i="7"/>
  <c r="AC12" i="7"/>
  <c r="AD12" i="7"/>
  <c r="AA13" i="7"/>
  <c r="AB13" i="7"/>
  <c r="AC13" i="7"/>
  <c r="AD13" i="7"/>
  <c r="AA14" i="7"/>
  <c r="AB14" i="7"/>
  <c r="AC14" i="7"/>
  <c r="AD14" i="7"/>
  <c r="AA15" i="7"/>
  <c r="AB15" i="7"/>
  <c r="AC15" i="7"/>
  <c r="AD15" i="7"/>
  <c r="AA16" i="7"/>
  <c r="AB16" i="7"/>
  <c r="AC16" i="7"/>
  <c r="AD16" i="7"/>
  <c r="AA17" i="7"/>
  <c r="AB17" i="7"/>
  <c r="AC17" i="7"/>
  <c r="AD17" i="7"/>
  <c r="AA18" i="7"/>
  <c r="AB18" i="7"/>
  <c r="AC18" i="7"/>
  <c r="AD18" i="7"/>
  <c r="AA19" i="7"/>
  <c r="AB19" i="7"/>
  <c r="AC19" i="7"/>
  <c r="AD19" i="7"/>
  <c r="AA20" i="7"/>
  <c r="AB20" i="7"/>
  <c r="AC20" i="7"/>
  <c r="AD20" i="7"/>
  <c r="AA21" i="7"/>
  <c r="AB21" i="7"/>
  <c r="AC21" i="7"/>
  <c r="AD21" i="7"/>
  <c r="AA22" i="7"/>
  <c r="AB22" i="7"/>
  <c r="AC22" i="7"/>
  <c r="AD22" i="7"/>
  <c r="AA23" i="7"/>
  <c r="AB23" i="7"/>
  <c r="AC23" i="7"/>
  <c r="AD23" i="7"/>
  <c r="AA24" i="7"/>
  <c r="AB24" i="7"/>
  <c r="AC24" i="7"/>
  <c r="AD24" i="7"/>
  <c r="AA25" i="7"/>
  <c r="AB25" i="7"/>
  <c r="AC25" i="7"/>
  <c r="AD25" i="7"/>
  <c r="AA26" i="7"/>
  <c r="AB26" i="7"/>
  <c r="AC26" i="7"/>
  <c r="AD26" i="7"/>
  <c r="AA27" i="7"/>
  <c r="AB27" i="7"/>
  <c r="AC27" i="7"/>
  <c r="AD27" i="7"/>
  <c r="AA28" i="7"/>
  <c r="AB28" i="7"/>
  <c r="AC28" i="7"/>
  <c r="AD28" i="7"/>
  <c r="AA29" i="7"/>
  <c r="AB29" i="7"/>
  <c r="AC29" i="7"/>
  <c r="AD29" i="7"/>
  <c r="AA30" i="7"/>
  <c r="AB30" i="7"/>
  <c r="AC30" i="7"/>
  <c r="AD30" i="7"/>
  <c r="AA31" i="7"/>
  <c r="AB31" i="7"/>
  <c r="AC31" i="7"/>
  <c r="AD31" i="7"/>
  <c r="AA32" i="7"/>
  <c r="AB32" i="7"/>
  <c r="AC32" i="7"/>
  <c r="AD32" i="7"/>
  <c r="AA33" i="7"/>
  <c r="AB33" i="7"/>
  <c r="AC33" i="7"/>
  <c r="AD33" i="7"/>
  <c r="AA34" i="7"/>
  <c r="AB34" i="7"/>
  <c r="AC34" i="7"/>
  <c r="AD34" i="7"/>
  <c r="AA35" i="7"/>
  <c r="AB35" i="7"/>
  <c r="AC35" i="7"/>
  <c r="AD35" i="7"/>
  <c r="AA36" i="7"/>
  <c r="AB36" i="7"/>
  <c r="AC36" i="7"/>
  <c r="AD36" i="7"/>
  <c r="AA37" i="7"/>
  <c r="AB37" i="7"/>
  <c r="AC37" i="7"/>
  <c r="AD37" i="7"/>
  <c r="AA38" i="7"/>
  <c r="AB38" i="7"/>
  <c r="AC38" i="7"/>
  <c r="AD38" i="7"/>
  <c r="AA39" i="7"/>
  <c r="AB39" i="7"/>
  <c r="AC39" i="7"/>
  <c r="AD39" i="7"/>
  <c r="AA40" i="7"/>
  <c r="AB40" i="7"/>
  <c r="U66" i="7" s="1"/>
  <c r="AC40" i="7"/>
  <c r="V66" i="7" s="1"/>
  <c r="F213" i="7" s="1"/>
  <c r="AD40" i="7"/>
  <c r="AA41" i="7"/>
  <c r="AB41" i="7"/>
  <c r="AC41" i="7"/>
  <c r="AD41" i="7"/>
  <c r="AA42" i="7"/>
  <c r="AB42" i="7"/>
  <c r="AC42" i="7"/>
  <c r="AD42" i="7"/>
  <c r="AA43" i="7"/>
  <c r="AB43" i="7"/>
  <c r="AC43" i="7"/>
  <c r="AD43" i="7"/>
  <c r="AA44" i="7"/>
  <c r="AB44" i="7"/>
  <c r="AC44" i="7"/>
  <c r="AD44" i="7"/>
  <c r="AA45" i="7"/>
  <c r="AB45" i="7"/>
  <c r="AC45" i="7"/>
  <c r="AD45" i="7"/>
  <c r="AA46" i="7"/>
  <c r="AB46" i="7"/>
  <c r="AC46" i="7"/>
  <c r="AD46" i="7"/>
  <c r="AA47" i="7"/>
  <c r="AB47" i="7"/>
  <c r="AC47" i="7"/>
  <c r="AD47" i="7"/>
  <c r="AA48" i="7"/>
  <c r="AB48" i="7"/>
  <c r="AC48" i="7"/>
  <c r="AD48" i="7"/>
  <c r="AA49" i="7"/>
  <c r="AB49" i="7"/>
  <c r="AC49" i="7"/>
  <c r="AD49" i="7"/>
  <c r="AA50" i="7"/>
  <c r="AB50" i="7"/>
  <c r="AC50" i="7"/>
  <c r="AD50" i="7"/>
  <c r="AA51" i="7"/>
  <c r="AB51" i="7"/>
  <c r="AC51" i="7"/>
  <c r="AD51" i="7"/>
  <c r="AA52" i="7"/>
  <c r="AB52" i="7"/>
  <c r="AC52" i="7"/>
  <c r="AD52" i="7"/>
  <c r="AA53" i="7"/>
  <c r="AB53" i="7"/>
  <c r="AC53" i="7"/>
  <c r="AD53" i="7"/>
  <c r="AA54" i="7"/>
  <c r="AB54" i="7"/>
  <c r="AC54" i="7"/>
  <c r="AD54" i="7"/>
  <c r="AA55" i="7"/>
  <c r="AB55" i="7"/>
  <c r="AC55" i="7"/>
  <c r="AD55" i="7"/>
  <c r="AA56" i="7"/>
  <c r="AB56" i="7"/>
  <c r="AC56" i="7"/>
  <c r="AD56" i="7"/>
  <c r="AA57" i="7"/>
  <c r="AB57" i="7"/>
  <c r="AC57" i="7"/>
  <c r="AD57" i="7"/>
  <c r="AA58" i="7"/>
  <c r="AB58" i="7"/>
  <c r="AC58" i="7"/>
  <c r="AD58" i="7"/>
  <c r="AA59" i="7"/>
  <c r="AB59" i="7"/>
  <c r="AC59" i="7"/>
  <c r="AD59" i="7"/>
  <c r="AA60" i="7"/>
  <c r="AB60" i="7"/>
  <c r="AC60" i="7"/>
  <c r="AD60" i="7"/>
  <c r="AA61" i="7"/>
  <c r="AB61" i="7"/>
  <c r="AC61" i="7"/>
  <c r="AD61" i="7"/>
  <c r="AA62" i="7"/>
  <c r="AB62" i="7"/>
  <c r="AC62" i="7"/>
  <c r="AD62" i="7"/>
  <c r="AA63" i="7"/>
  <c r="AB63" i="7"/>
  <c r="AC63" i="7"/>
  <c r="AD63" i="7"/>
  <c r="AA64" i="7"/>
  <c r="AB64" i="7"/>
  <c r="AC64" i="7"/>
  <c r="AD64" i="7"/>
  <c r="AA65" i="7"/>
  <c r="AB65" i="7"/>
  <c r="AC65" i="7"/>
  <c r="AD65" i="7"/>
  <c r="AA66" i="7"/>
  <c r="AB66" i="7"/>
  <c r="AC66" i="7"/>
  <c r="AD66" i="7"/>
  <c r="AA67" i="7"/>
  <c r="AB67" i="7"/>
  <c r="AC67" i="7"/>
  <c r="AD67" i="7"/>
  <c r="AA68" i="7"/>
  <c r="AB68" i="7"/>
  <c r="AC68" i="7"/>
  <c r="AD68" i="7"/>
  <c r="AA69" i="7"/>
  <c r="AB69" i="7"/>
  <c r="AC69" i="7"/>
  <c r="AD69" i="7"/>
  <c r="AA70" i="7"/>
  <c r="AB70" i="7"/>
  <c r="AC70" i="7"/>
  <c r="AD70" i="7"/>
  <c r="AA71" i="7"/>
  <c r="AB71" i="7"/>
  <c r="AC71" i="7"/>
  <c r="AD71" i="7"/>
  <c r="AA72" i="7"/>
  <c r="AB72" i="7"/>
  <c r="AC72" i="7"/>
  <c r="AD72" i="7"/>
  <c r="AA73" i="7"/>
  <c r="AB73" i="7"/>
  <c r="AC73" i="7"/>
  <c r="AD73" i="7"/>
  <c r="AA74" i="7"/>
  <c r="AB74" i="7"/>
  <c r="AC74" i="7"/>
  <c r="AD74" i="7"/>
  <c r="AA75" i="7"/>
  <c r="AB75" i="7"/>
  <c r="AC75" i="7"/>
  <c r="AD75" i="7"/>
  <c r="AA76" i="7"/>
  <c r="AB76" i="7"/>
  <c r="AC76" i="7"/>
  <c r="AD76" i="7"/>
  <c r="AA77" i="7"/>
  <c r="AB77" i="7"/>
  <c r="AC77" i="7"/>
  <c r="AD77" i="7"/>
  <c r="AA78" i="7"/>
  <c r="AB78" i="7"/>
  <c r="AC78" i="7"/>
  <c r="AD78" i="7"/>
  <c r="AA79" i="7"/>
  <c r="AB79" i="7"/>
  <c r="AC79" i="7"/>
  <c r="AD79" i="7"/>
  <c r="AA80" i="7"/>
  <c r="AB80" i="7"/>
  <c r="AC80" i="7"/>
  <c r="AD80" i="7"/>
  <c r="AA81" i="7"/>
  <c r="AB81" i="7"/>
  <c r="AC81" i="7"/>
  <c r="AD81" i="7"/>
  <c r="AA82" i="7"/>
  <c r="AB82" i="7"/>
  <c r="AC82" i="7"/>
  <c r="AD82" i="7"/>
  <c r="AA83" i="7"/>
  <c r="AB83" i="7"/>
  <c r="AC83" i="7"/>
  <c r="AD83" i="7"/>
  <c r="AA84" i="7"/>
  <c r="AB84" i="7"/>
  <c r="AC84" i="7"/>
  <c r="AD84" i="7"/>
  <c r="AA85" i="7"/>
  <c r="AB85" i="7"/>
  <c r="AC85" i="7"/>
  <c r="AD85" i="7"/>
  <c r="AA86" i="7"/>
  <c r="AB86" i="7"/>
  <c r="AC86" i="7"/>
  <c r="AD86" i="7"/>
  <c r="AA87" i="7"/>
  <c r="AB87" i="7"/>
  <c r="AC87" i="7"/>
  <c r="AD87" i="7"/>
  <c r="AA88" i="7"/>
  <c r="AB88" i="7"/>
  <c r="AC88" i="7"/>
  <c r="AD88" i="7"/>
  <c r="AA89" i="7"/>
  <c r="AB89" i="7"/>
  <c r="AC89" i="7"/>
  <c r="AD89" i="7"/>
  <c r="AA90" i="7"/>
  <c r="AB90" i="7"/>
  <c r="AC90" i="7"/>
  <c r="AD90" i="7"/>
  <c r="AA91" i="7"/>
  <c r="AB91" i="7"/>
  <c r="AC91" i="7"/>
  <c r="AD91" i="7"/>
  <c r="AA92" i="7"/>
  <c r="AB92" i="7"/>
  <c r="AC92" i="7"/>
  <c r="AD92" i="7"/>
  <c r="AA93" i="7"/>
  <c r="AB93" i="7"/>
  <c r="AC93" i="7"/>
  <c r="AD93" i="7"/>
  <c r="AA94" i="7"/>
  <c r="AB94" i="7"/>
  <c r="AC94" i="7"/>
  <c r="AD94" i="7"/>
  <c r="AA95" i="7"/>
  <c r="AB95" i="7"/>
  <c r="AC95" i="7"/>
  <c r="AD95" i="7"/>
  <c r="AA96" i="7"/>
  <c r="AB96" i="7"/>
  <c r="AC96" i="7"/>
  <c r="AD96" i="7"/>
  <c r="G169" i="6"/>
  <c r="G170" i="6"/>
  <c r="F171" i="6"/>
  <c r="R171" i="6" s="1"/>
  <c r="G171" i="6"/>
  <c r="F172" i="6"/>
  <c r="R172" i="6" s="1"/>
  <c r="G172" i="6"/>
  <c r="F173" i="6"/>
  <c r="R173" i="6" s="1"/>
  <c r="G173" i="6"/>
  <c r="F174" i="6"/>
  <c r="G174" i="6"/>
  <c r="F175" i="6"/>
  <c r="R175" i="6" s="1"/>
  <c r="G175" i="6"/>
  <c r="F176" i="6"/>
  <c r="R176" i="6" s="1"/>
  <c r="G176" i="6"/>
  <c r="F177" i="6"/>
  <c r="R177" i="6" s="1"/>
  <c r="G177" i="6"/>
  <c r="F178" i="6"/>
  <c r="R178" i="6" s="1"/>
  <c r="G178" i="6"/>
  <c r="F179" i="6"/>
  <c r="R179" i="6" s="1"/>
  <c r="G179" i="6"/>
  <c r="F180" i="6"/>
  <c r="R180" i="6" s="1"/>
  <c r="G180" i="6"/>
  <c r="F181" i="6"/>
  <c r="R181" i="6" s="1"/>
  <c r="G181" i="6"/>
  <c r="F182" i="6"/>
  <c r="R182" i="6" s="1"/>
  <c r="G182" i="6"/>
  <c r="F183" i="6"/>
  <c r="G183" i="6"/>
  <c r="F184" i="6"/>
  <c r="R184" i="6" s="1"/>
  <c r="G184" i="6"/>
  <c r="F185" i="6"/>
  <c r="R185" i="6" s="1"/>
  <c r="G185" i="6"/>
  <c r="F186" i="6"/>
  <c r="G186" i="6"/>
  <c r="F187" i="6"/>
  <c r="R187" i="6" s="1"/>
  <c r="G187" i="6"/>
  <c r="F188" i="6"/>
  <c r="R188" i="6" s="1"/>
  <c r="G188" i="6"/>
  <c r="F189" i="6"/>
  <c r="R189" i="6" s="1"/>
  <c r="G189" i="6"/>
  <c r="F190" i="6"/>
  <c r="R190" i="6" s="1"/>
  <c r="G190" i="6"/>
  <c r="F191" i="6"/>
  <c r="G191" i="6"/>
  <c r="F192" i="6"/>
  <c r="R192" i="6" s="1"/>
  <c r="G192" i="6"/>
  <c r="F193" i="6"/>
  <c r="R193" i="6" s="1"/>
  <c r="G193" i="6"/>
  <c r="F194" i="6"/>
  <c r="R194" i="6" s="1"/>
  <c r="G194" i="6"/>
  <c r="F195" i="6"/>
  <c r="G195" i="6"/>
  <c r="F196" i="6"/>
  <c r="G196" i="6"/>
  <c r="F197" i="6"/>
  <c r="R197" i="6" s="1"/>
  <c r="G197" i="6"/>
  <c r="F198" i="6"/>
  <c r="G198" i="6"/>
  <c r="F199" i="6"/>
  <c r="R199" i="6" s="1"/>
  <c r="G199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AD305" i="7"/>
  <c r="AD304" i="7"/>
  <c r="AD303" i="7"/>
  <c r="AD302" i="7"/>
  <c r="AD301" i="7"/>
  <c r="AD300" i="7"/>
  <c r="AD299" i="7"/>
  <c r="AD298" i="7"/>
  <c r="AD297" i="7"/>
  <c r="AD296" i="7"/>
  <c r="BB201" i="7"/>
  <c r="BB200" i="7"/>
  <c r="BB197" i="7"/>
  <c r="BB196" i="7"/>
  <c r="AD4" i="7"/>
  <c r="AC3" i="7"/>
  <c r="AB3" i="7"/>
  <c r="AA3" i="7"/>
  <c r="AC2" i="7"/>
  <c r="AB2" i="7"/>
  <c r="AA2" i="7"/>
  <c r="S68" i="7"/>
  <c r="S66" i="7"/>
  <c r="J45" i="7"/>
  <c r="AL47" i="7"/>
  <c r="M37" i="7"/>
  <c r="S67" i="7"/>
  <c r="F137" i="7"/>
  <c r="M7" i="7"/>
  <c r="M25" i="7"/>
  <c r="AM17" i="7"/>
  <c r="AM13" i="7"/>
  <c r="AL13" i="7"/>
  <c r="AM11" i="7"/>
  <c r="AM7" i="7"/>
  <c r="AL7" i="7"/>
  <c r="AM5" i="7"/>
  <c r="AL5" i="7"/>
  <c r="Q17" i="6" l="1"/>
  <c r="V17" i="6"/>
  <c r="Q16" i="6"/>
  <c r="V16" i="6"/>
  <c r="V15" i="6"/>
  <c r="Q15" i="6"/>
  <c r="V14" i="6"/>
  <c r="Q14" i="6"/>
  <c r="V13" i="6"/>
  <c r="Q13" i="6"/>
  <c r="Q19" i="6"/>
  <c r="V19" i="6"/>
  <c r="Q18" i="6"/>
  <c r="V18" i="6"/>
  <c r="V67" i="7"/>
  <c r="U67" i="7"/>
  <c r="V68" i="7"/>
  <c r="F215" i="7" s="1"/>
  <c r="U68" i="7"/>
  <c r="T67" i="7"/>
  <c r="T66" i="7"/>
  <c r="T68" i="7"/>
  <c r="V69" i="7"/>
  <c r="AJ30" i="7"/>
  <c r="AJ6" i="7"/>
  <c r="AJ72" i="7"/>
  <c r="AJ24" i="7"/>
  <c r="AJ48" i="7"/>
  <c r="AJ108" i="7"/>
  <c r="H183" i="6"/>
  <c r="J185" i="6" s="1"/>
  <c r="K186" i="6" s="1"/>
  <c r="L188" i="6" s="1"/>
  <c r="M189" i="6" s="1"/>
  <c r="N190" i="6" s="1"/>
  <c r="O191" i="6" s="1"/>
  <c r="T191" i="6" s="1"/>
  <c r="H174" i="6"/>
  <c r="J176" i="6" s="1"/>
  <c r="K177" i="6" s="1"/>
  <c r="L179" i="6" s="1"/>
  <c r="M180" i="6" s="1"/>
  <c r="N181" i="6" s="1"/>
  <c r="O182" i="6" s="1"/>
  <c r="T182" i="6" s="1"/>
  <c r="H193" i="6"/>
  <c r="J195" i="6" s="1"/>
  <c r="K196" i="6" s="1"/>
  <c r="L198" i="6" s="1"/>
  <c r="M199" i="6" s="1"/>
  <c r="H178" i="6"/>
  <c r="J180" i="6" s="1"/>
  <c r="K181" i="6" s="1"/>
  <c r="L183" i="6" s="1"/>
  <c r="M184" i="6" s="1"/>
  <c r="N185" i="6" s="1"/>
  <c r="O186" i="6" s="1"/>
  <c r="T186" i="6" s="1"/>
  <c r="H176" i="6"/>
  <c r="J178" i="6" s="1"/>
  <c r="K179" i="6" s="1"/>
  <c r="L181" i="6" s="1"/>
  <c r="M182" i="6" s="1"/>
  <c r="N183" i="6" s="1"/>
  <c r="O184" i="6" s="1"/>
  <c r="T184" i="6" s="1"/>
  <c r="H198" i="6"/>
  <c r="H173" i="6"/>
  <c r="J175" i="6" s="1"/>
  <c r="K176" i="6" s="1"/>
  <c r="L178" i="6" s="1"/>
  <c r="M179" i="6" s="1"/>
  <c r="N180" i="6" s="1"/>
  <c r="O181" i="6" s="1"/>
  <c r="T181" i="6" s="1"/>
  <c r="R183" i="6"/>
  <c r="H188" i="6"/>
  <c r="J190" i="6" s="1"/>
  <c r="K191" i="6" s="1"/>
  <c r="L193" i="6" s="1"/>
  <c r="M194" i="6" s="1"/>
  <c r="N195" i="6" s="1"/>
  <c r="O196" i="6" s="1"/>
  <c r="T196" i="6" s="1"/>
  <c r="H187" i="6"/>
  <c r="J189" i="6" s="1"/>
  <c r="K190" i="6" s="1"/>
  <c r="L192" i="6" s="1"/>
  <c r="M193" i="6" s="1"/>
  <c r="N194" i="6" s="1"/>
  <c r="O195" i="6" s="1"/>
  <c r="T195" i="6" s="1"/>
  <c r="H199" i="6"/>
  <c r="H184" i="6"/>
  <c r="J186" i="6" s="1"/>
  <c r="K187" i="6" s="1"/>
  <c r="L189" i="6" s="1"/>
  <c r="M190" i="6" s="1"/>
  <c r="N191" i="6" s="1"/>
  <c r="O192" i="6" s="1"/>
  <c r="T192" i="6" s="1"/>
  <c r="H195" i="6"/>
  <c r="J197" i="6" s="1"/>
  <c r="K198" i="6" s="1"/>
  <c r="AJ73" i="7"/>
  <c r="AJ44" i="7"/>
  <c r="H190" i="6"/>
  <c r="J192" i="6" s="1"/>
  <c r="K193" i="6" s="1"/>
  <c r="L195" i="6" s="1"/>
  <c r="M196" i="6" s="1"/>
  <c r="N197" i="6" s="1"/>
  <c r="O198" i="6" s="1"/>
  <c r="T198" i="6" s="1"/>
  <c r="H181" i="6"/>
  <c r="J183" i="6" s="1"/>
  <c r="K184" i="6" s="1"/>
  <c r="L186" i="6" s="1"/>
  <c r="M187" i="6" s="1"/>
  <c r="N188" i="6" s="1"/>
  <c r="O189" i="6" s="1"/>
  <c r="T189" i="6" s="1"/>
  <c r="H182" i="6"/>
  <c r="J184" i="6" s="1"/>
  <c r="K185" i="6" s="1"/>
  <c r="L187" i="6" s="1"/>
  <c r="M188" i="6" s="1"/>
  <c r="N189" i="6" s="1"/>
  <c r="O190" i="6" s="1"/>
  <c r="T190" i="6" s="1"/>
  <c r="R198" i="6"/>
  <c r="H172" i="6"/>
  <c r="J174" i="6" s="1"/>
  <c r="K175" i="6" s="1"/>
  <c r="L177" i="6" s="1"/>
  <c r="M178" i="6" s="1"/>
  <c r="N179" i="6" s="1"/>
  <c r="O180" i="6" s="1"/>
  <c r="T180" i="6" s="1"/>
  <c r="H180" i="6"/>
  <c r="J182" i="6" s="1"/>
  <c r="K183" i="6" s="1"/>
  <c r="L185" i="6" s="1"/>
  <c r="M186" i="6" s="1"/>
  <c r="N187" i="6" s="1"/>
  <c r="O188" i="6" s="1"/>
  <c r="T188" i="6" s="1"/>
  <c r="H189" i="6"/>
  <c r="J191" i="6" s="1"/>
  <c r="K192" i="6" s="1"/>
  <c r="L194" i="6" s="1"/>
  <c r="M195" i="6" s="1"/>
  <c r="N196" i="6" s="1"/>
  <c r="O197" i="6" s="1"/>
  <c r="T197" i="6" s="1"/>
  <c r="H197" i="6"/>
  <c r="J199" i="6" s="1"/>
  <c r="H179" i="6"/>
  <c r="J181" i="6" s="1"/>
  <c r="K182" i="6" s="1"/>
  <c r="L184" i="6" s="1"/>
  <c r="M185" i="6" s="1"/>
  <c r="N186" i="6" s="1"/>
  <c r="O187" i="6" s="1"/>
  <c r="T187" i="6" s="1"/>
  <c r="H177" i="6"/>
  <c r="J179" i="6" s="1"/>
  <c r="K180" i="6" s="1"/>
  <c r="L182" i="6" s="1"/>
  <c r="M183" i="6" s="1"/>
  <c r="N184" i="6" s="1"/>
  <c r="O185" i="6" s="1"/>
  <c r="T185" i="6" s="1"/>
  <c r="R195" i="6"/>
  <c r="H194" i="6"/>
  <c r="J196" i="6" s="1"/>
  <c r="K197" i="6" s="1"/>
  <c r="L199" i="6" s="1"/>
  <c r="H186" i="6"/>
  <c r="J188" i="6" s="1"/>
  <c r="K189" i="6" s="1"/>
  <c r="L191" i="6" s="1"/>
  <c r="M192" i="6" s="1"/>
  <c r="N193" i="6" s="1"/>
  <c r="O194" i="6" s="1"/>
  <c r="T194" i="6" s="1"/>
  <c r="M13" i="7"/>
  <c r="AJ32" i="7"/>
  <c r="AJ85" i="7"/>
  <c r="AJ5" i="7"/>
  <c r="AJ61" i="7"/>
  <c r="H191" i="6"/>
  <c r="J193" i="6" s="1"/>
  <c r="K194" i="6" s="1"/>
  <c r="L196" i="6" s="1"/>
  <c r="M197" i="6" s="1"/>
  <c r="N198" i="6" s="1"/>
  <c r="O199" i="6" s="1"/>
  <c r="T199" i="6" s="1"/>
  <c r="H192" i="6"/>
  <c r="J194" i="6" s="1"/>
  <c r="K195" i="6" s="1"/>
  <c r="L197" i="6" s="1"/>
  <c r="M198" i="6" s="1"/>
  <c r="N199" i="6" s="1"/>
  <c r="R191" i="6"/>
  <c r="H196" i="6"/>
  <c r="J198" i="6" s="1"/>
  <c r="K199" i="6" s="1"/>
  <c r="R196" i="6"/>
  <c r="R186" i="6"/>
  <c r="H185" i="6"/>
  <c r="J187" i="6" s="1"/>
  <c r="K188" i="6" s="1"/>
  <c r="L190" i="6" s="1"/>
  <c r="M191" i="6" s="1"/>
  <c r="N192" i="6" s="1"/>
  <c r="O193" i="6" s="1"/>
  <c r="R174" i="6"/>
  <c r="H175" i="6"/>
  <c r="J177" i="6" s="1"/>
  <c r="K178" i="6" s="1"/>
  <c r="L180" i="6" s="1"/>
  <c r="M181" i="6" s="1"/>
  <c r="N182" i="6" s="1"/>
  <c r="O183" i="6" s="1"/>
  <c r="BB198" i="7"/>
  <c r="AJ50" i="7"/>
  <c r="AJ66" i="7"/>
  <c r="AJ106" i="7"/>
  <c r="AJ3" i="7"/>
  <c r="AJ4" i="7"/>
  <c r="AJ36" i="7"/>
  <c r="AJ99" i="7"/>
  <c r="AJ60" i="7"/>
  <c r="AJ91" i="7"/>
  <c r="AJ62" i="7"/>
  <c r="AJ67" i="7"/>
  <c r="AJ94" i="7"/>
  <c r="AJ98" i="7"/>
  <c r="AJ102" i="7"/>
  <c r="AJ103" i="7"/>
  <c r="AJ86" i="7"/>
  <c r="AJ79" i="7"/>
  <c r="AJ39" i="7"/>
  <c r="AJ63" i="7"/>
  <c r="AJ80" i="7"/>
  <c r="BB199" i="7"/>
  <c r="AJ31" i="7"/>
  <c r="AJ25" i="7"/>
  <c r="E29" i="7"/>
  <c r="G39" i="7"/>
  <c r="M61" i="7"/>
  <c r="L135" i="7"/>
  <c r="AL21" i="7"/>
  <c r="G38" i="7"/>
  <c r="D30" i="7"/>
  <c r="L130" i="7"/>
  <c r="F141" i="7"/>
  <c r="AM21" i="7"/>
  <c r="S71" i="7"/>
  <c r="AJ23" i="7"/>
  <c r="AJ100" i="7"/>
  <c r="AJ14" i="7"/>
  <c r="AJ19" i="7"/>
  <c r="AJ27" i="7"/>
  <c r="E30" i="7"/>
  <c r="D29" i="7" s="1"/>
  <c r="AJ15" i="7"/>
  <c r="AJ16" i="7"/>
  <c r="AJ26" i="7"/>
  <c r="AJ29" i="7"/>
  <c r="AJ20" i="7"/>
  <c r="AJ21" i="7"/>
  <c r="AJ47" i="7"/>
  <c r="AJ28" i="7"/>
  <c r="AJ93" i="7"/>
  <c r="AJ92" i="7"/>
  <c r="AJ13" i="7"/>
  <c r="AJ12" i="7"/>
  <c r="AJ74" i="7"/>
  <c r="AJ9" i="7"/>
  <c r="AJ17" i="7"/>
  <c r="AJ89" i="7"/>
  <c r="AJ97" i="7"/>
  <c r="AJ83" i="7"/>
  <c r="AJ84" i="7"/>
  <c r="AJ8" i="7"/>
  <c r="AJ56" i="7"/>
  <c r="S70" i="7"/>
  <c r="AL19" i="7"/>
  <c r="M55" i="7"/>
  <c r="AM19" i="7"/>
  <c r="AJ43" i="7"/>
  <c r="AJ69" i="7"/>
  <c r="AJ75" i="7"/>
  <c r="AJ105" i="7"/>
  <c r="AJ96" i="7"/>
  <c r="L133" i="7"/>
  <c r="L132" i="7"/>
  <c r="AL9" i="7"/>
  <c r="S63" i="7"/>
  <c r="V63" i="7" s="1"/>
  <c r="AL33" i="7"/>
  <c r="AJ40" i="7"/>
  <c r="AJ55" i="7"/>
  <c r="AM9" i="7"/>
  <c r="H29" i="7"/>
  <c r="I29" i="7"/>
  <c r="F147" i="7"/>
  <c r="M131" i="7"/>
  <c r="AJ65" i="7"/>
  <c r="AJ87" i="7"/>
  <c r="AJ88" i="7"/>
  <c r="AJ45" i="7"/>
  <c r="AJ53" i="7"/>
  <c r="AJ78" i="7"/>
  <c r="AJ104" i="7"/>
  <c r="AJ34" i="7"/>
  <c r="AJ58" i="7"/>
  <c r="AJ90" i="7"/>
  <c r="AJ7" i="7"/>
  <c r="AJ52" i="7"/>
  <c r="AJ107" i="7"/>
  <c r="AJ35" i="7"/>
  <c r="AJ70" i="7"/>
  <c r="AJ71" i="7"/>
  <c r="AJ22" i="7"/>
  <c r="AJ41" i="7"/>
  <c r="AJ95" i="7"/>
  <c r="AJ51" i="7"/>
  <c r="AJ10" i="7"/>
  <c r="AJ38" i="7"/>
  <c r="AJ82" i="7"/>
  <c r="M31" i="7"/>
  <c r="E54" i="7"/>
  <c r="AL15" i="7"/>
  <c r="AL38" i="7"/>
  <c r="AM15" i="7"/>
  <c r="AJ11" i="7"/>
  <c r="AJ46" i="7"/>
  <c r="AJ42" i="7"/>
  <c r="AJ59" i="7"/>
  <c r="AJ77" i="7"/>
  <c r="AJ64" i="7"/>
  <c r="AJ76" i="7"/>
  <c r="AJ68" i="7"/>
  <c r="F142" i="7"/>
  <c r="AL37" i="7"/>
  <c r="A35" i="7"/>
  <c r="AL11" i="7"/>
  <c r="S64" i="7"/>
  <c r="AJ37" i="7"/>
  <c r="AJ49" i="7"/>
  <c r="AJ81" i="7"/>
  <c r="AJ18" i="7"/>
  <c r="AJ33" i="7"/>
  <c r="AJ54" i="7"/>
  <c r="F170" i="7"/>
  <c r="AL17" i="7"/>
  <c r="AJ57" i="7"/>
  <c r="AJ101" i="7"/>
  <c r="S76" i="7" l="1"/>
  <c r="U193" i="6"/>
  <c r="U183" i="6"/>
  <c r="V70" i="7"/>
  <c r="F217" i="7" s="1"/>
  <c r="U70" i="7"/>
  <c r="F180" i="7" s="1"/>
  <c r="T70" i="7"/>
  <c r="F173" i="7" s="1"/>
  <c r="T63" i="7"/>
  <c r="F195" i="7" s="1"/>
  <c r="S69" i="7"/>
  <c r="AL49" i="7" s="1"/>
  <c r="F216" i="7"/>
  <c r="V71" i="7"/>
  <c r="F218" i="7" s="1"/>
  <c r="U71" i="7"/>
  <c r="S81" i="7" s="1"/>
  <c r="T71" i="7"/>
  <c r="BD196" i="7" s="1"/>
  <c r="F214" i="7"/>
  <c r="U63" i="7"/>
  <c r="U64" i="7"/>
  <c r="S74" i="7" s="1"/>
  <c r="AM27" i="7"/>
  <c r="V64" i="7"/>
  <c r="AH100" i="7"/>
  <c r="T64" i="7"/>
  <c r="AH94" i="7"/>
  <c r="AH96" i="7"/>
  <c r="AH95" i="7"/>
  <c r="AH98" i="7"/>
  <c r="AH99" i="7"/>
  <c r="AH101" i="7"/>
  <c r="AH92" i="7"/>
  <c r="AH97" i="7"/>
  <c r="AH102" i="7"/>
  <c r="AH10" i="7"/>
  <c r="AH11" i="7" s="1"/>
  <c r="AL42" i="7"/>
  <c r="AH103" i="7"/>
  <c r="AH93" i="7"/>
  <c r="AH91" i="7"/>
  <c r="AH104" i="7"/>
  <c r="U188" i="6"/>
  <c r="U182" i="6"/>
  <c r="U190" i="6"/>
  <c r="U198" i="6"/>
  <c r="U199" i="6"/>
  <c r="U189" i="6"/>
  <c r="U196" i="6"/>
  <c r="U197" i="6"/>
  <c r="T193" i="6"/>
  <c r="T183" i="6"/>
  <c r="U186" i="6"/>
  <c r="U187" i="6"/>
  <c r="U191" i="6"/>
  <c r="U192" i="6"/>
  <c r="R14" i="6"/>
  <c r="G37" i="7"/>
  <c r="AM38" i="7"/>
  <c r="E51" i="7"/>
  <c r="AM42" i="7"/>
  <c r="M133" i="7"/>
  <c r="F168" i="7"/>
  <c r="D35" i="7"/>
  <c r="F172" i="7"/>
  <c r="D36" i="7"/>
  <c r="E53" i="7"/>
  <c r="M134" i="7"/>
  <c r="F175" i="7"/>
  <c r="AM28" i="7"/>
  <c r="E56" i="7"/>
  <c r="M132" i="7"/>
  <c r="D34" i="7"/>
  <c r="F185" i="7"/>
  <c r="D37" i="7"/>
  <c r="M135" i="7"/>
  <c r="J29" i="7"/>
  <c r="K29" i="7" s="1"/>
  <c r="F202" i="7"/>
  <c r="F145" i="7"/>
  <c r="M129" i="7"/>
  <c r="D32" i="7"/>
  <c r="F179" i="7" l="1"/>
  <c r="BE198" i="7"/>
  <c r="AL30" i="7"/>
  <c r="AM30" i="7" s="1"/>
  <c r="D39" i="7"/>
  <c r="D38" i="7"/>
  <c r="F176" i="7"/>
  <c r="M136" i="7"/>
  <c r="F178" i="7"/>
  <c r="F199" i="7"/>
  <c r="BD200" i="7"/>
  <c r="E46" i="7"/>
  <c r="F143" i="7" s="1"/>
  <c r="BE200" i="7"/>
  <c r="F206" i="7"/>
  <c r="U83" i="7"/>
  <c r="U74" i="7"/>
  <c r="T74" i="7"/>
  <c r="F150" i="7"/>
  <c r="BD197" i="7"/>
  <c r="BE196" i="7"/>
  <c r="X74" i="7"/>
  <c r="F200" i="7"/>
  <c r="F201" i="7" s="1"/>
  <c r="AF10" i="7"/>
  <c r="AF11" i="7" s="1"/>
  <c r="AF12" i="7" s="1"/>
  <c r="U69" i="7"/>
  <c r="S77" i="7" s="1"/>
  <c r="AM37" i="7"/>
  <c r="AN31" i="7" s="1"/>
  <c r="T69" i="7"/>
  <c r="W72" i="7" s="1"/>
  <c r="BE199" i="7"/>
  <c r="S83" i="7"/>
  <c r="T83" i="7" s="1"/>
  <c r="F156" i="7"/>
  <c r="F148" i="7"/>
  <c r="AL27" i="7"/>
  <c r="F221" i="7"/>
  <c r="F174" i="7"/>
  <c r="BD199" i="7"/>
  <c r="E55" i="7"/>
  <c r="BD198" i="7"/>
  <c r="BE197" i="7"/>
  <c r="F222" i="7"/>
  <c r="F219" i="7"/>
  <c r="AL43" i="7"/>
  <c r="AN27" i="7"/>
  <c r="AL53" i="7"/>
  <c r="AM53" i="7" s="1"/>
  <c r="AL218" i="7"/>
  <c r="AM218" i="7" s="1"/>
  <c r="AL234" i="7"/>
  <c r="AM234" i="7" s="1"/>
  <c r="AL199" i="7"/>
  <c r="AM199" i="7" s="1"/>
  <c r="AL228" i="7"/>
  <c r="AM228" i="7" s="1"/>
  <c r="AL131" i="7"/>
  <c r="AM131" i="7" s="1"/>
  <c r="AL179" i="7"/>
  <c r="AM179" i="7" s="1"/>
  <c r="AL153" i="7"/>
  <c r="AM153" i="7" s="1"/>
  <c r="AL103" i="7"/>
  <c r="AM103" i="7" s="1"/>
  <c r="AL198" i="7"/>
  <c r="AM198" i="7" s="1"/>
  <c r="AL99" i="7"/>
  <c r="AM99" i="7" s="1"/>
  <c r="AL108" i="7"/>
  <c r="AM108" i="7" s="1"/>
  <c r="AL242" i="7"/>
  <c r="AM242" i="7" s="1"/>
  <c r="AL114" i="7"/>
  <c r="AM114" i="7" s="1"/>
  <c r="AL175" i="7"/>
  <c r="AM175" i="7" s="1"/>
  <c r="AL136" i="7"/>
  <c r="AM136" i="7" s="1"/>
  <c r="AL223" i="7"/>
  <c r="AM223" i="7" s="1"/>
  <c r="AL60" i="7"/>
  <c r="AM60" i="7" s="1"/>
  <c r="AL184" i="7"/>
  <c r="AM184" i="7" s="1"/>
  <c r="AL226" i="7"/>
  <c r="AM226" i="7" s="1"/>
  <c r="AL216" i="7"/>
  <c r="AM216" i="7" s="1"/>
  <c r="AL55" i="7"/>
  <c r="AM55" i="7" s="1"/>
  <c r="AL100" i="7"/>
  <c r="AM100" i="7" s="1"/>
  <c r="AL245" i="7"/>
  <c r="AM245" i="7" s="1"/>
  <c r="AL201" i="7"/>
  <c r="AM201" i="7" s="1"/>
  <c r="AL163" i="7"/>
  <c r="AM163" i="7" s="1"/>
  <c r="AL207" i="7"/>
  <c r="AM207" i="7" s="1"/>
  <c r="AL235" i="7"/>
  <c r="AM235" i="7" s="1"/>
  <c r="AL151" i="7"/>
  <c r="AM151" i="7" s="1"/>
  <c r="AL93" i="7"/>
  <c r="AM93" i="7" s="1"/>
  <c r="AL227" i="7"/>
  <c r="AM227" i="7" s="1"/>
  <c r="AL178" i="7"/>
  <c r="AM178" i="7" s="1"/>
  <c r="AL229" i="7"/>
  <c r="AM229" i="7" s="1"/>
  <c r="AL160" i="7"/>
  <c r="AM160" i="7" s="1"/>
  <c r="AL231" i="7"/>
  <c r="AM231" i="7" s="1"/>
  <c r="AL105" i="7"/>
  <c r="AM105" i="7" s="1"/>
  <c r="AL182" i="7"/>
  <c r="AM182" i="7" s="1"/>
  <c r="AL123" i="7"/>
  <c r="AM123" i="7" s="1"/>
  <c r="AL183" i="7"/>
  <c r="AM183" i="7" s="1"/>
  <c r="AL96" i="7"/>
  <c r="AM96" i="7" s="1"/>
  <c r="AL213" i="7"/>
  <c r="AM213" i="7" s="1"/>
  <c r="AL112" i="7"/>
  <c r="AM112" i="7" s="1"/>
  <c r="AL79" i="7"/>
  <c r="AM79" i="7" s="1"/>
  <c r="AL212" i="7"/>
  <c r="AM212" i="7" s="1"/>
  <c r="AL145" i="7"/>
  <c r="AM145" i="7" s="1"/>
  <c r="AL129" i="7"/>
  <c r="AM129" i="7" s="1"/>
  <c r="AL52" i="7"/>
  <c r="AM52" i="7" s="1"/>
  <c r="AL65" i="7"/>
  <c r="AM65" i="7" s="1"/>
  <c r="AL64" i="7"/>
  <c r="AM64" i="7" s="1"/>
  <c r="AL124" i="7"/>
  <c r="AM124" i="7" s="1"/>
  <c r="AL191" i="7"/>
  <c r="AM191" i="7" s="1"/>
  <c r="AL152" i="7"/>
  <c r="AM152" i="7" s="1"/>
  <c r="AL143" i="7"/>
  <c r="AM143" i="7" s="1"/>
  <c r="AL232" i="7"/>
  <c r="AM232" i="7" s="1"/>
  <c r="AL134" i="7"/>
  <c r="AM134" i="7" s="1"/>
  <c r="AL193" i="7"/>
  <c r="AM193" i="7" s="1"/>
  <c r="AL101" i="7"/>
  <c r="AM101" i="7" s="1"/>
  <c r="AL110" i="7"/>
  <c r="AM110" i="7" s="1"/>
  <c r="AL171" i="7"/>
  <c r="AM171" i="7" s="1"/>
  <c r="AL236" i="7"/>
  <c r="AM236" i="7" s="1"/>
  <c r="AL204" i="7"/>
  <c r="AM204" i="7" s="1"/>
  <c r="AL221" i="7"/>
  <c r="AM221" i="7" s="1"/>
  <c r="AL194" i="7"/>
  <c r="AM194" i="7" s="1"/>
  <c r="AL130" i="7"/>
  <c r="AM130" i="7" s="1"/>
  <c r="AL195" i="7"/>
  <c r="AM195" i="7" s="1"/>
  <c r="AL87" i="7"/>
  <c r="AM87" i="7" s="1"/>
  <c r="AL95" i="7"/>
  <c r="AM95" i="7" s="1"/>
  <c r="AL84" i="7"/>
  <c r="AM84" i="7" s="1"/>
  <c r="AL139" i="7"/>
  <c r="AM139" i="7" s="1"/>
  <c r="AL73" i="7"/>
  <c r="AM73" i="7" s="1"/>
  <c r="AL192" i="7"/>
  <c r="AM192" i="7" s="1"/>
  <c r="AL142" i="7"/>
  <c r="AM142" i="7" s="1"/>
  <c r="AL237" i="7"/>
  <c r="AM237" i="7" s="1"/>
  <c r="AL186" i="7"/>
  <c r="AM186" i="7" s="1"/>
  <c r="AL181" i="7"/>
  <c r="AM181" i="7" s="1"/>
  <c r="AL72" i="7"/>
  <c r="AM72" i="7" s="1"/>
  <c r="AL166" i="7"/>
  <c r="AM166" i="7" s="1"/>
  <c r="AL214" i="7"/>
  <c r="AM214" i="7" s="1"/>
  <c r="AL89" i="7"/>
  <c r="AM89" i="7" s="1"/>
  <c r="AL167" i="7"/>
  <c r="AM167" i="7" s="1"/>
  <c r="AL59" i="7"/>
  <c r="AM59" i="7" s="1"/>
  <c r="AL104" i="7"/>
  <c r="AM104" i="7" s="1"/>
  <c r="AL155" i="7"/>
  <c r="AM155" i="7" s="1"/>
  <c r="AL83" i="7"/>
  <c r="AM83" i="7" s="1"/>
  <c r="AL150" i="7"/>
  <c r="AM150" i="7" s="1"/>
  <c r="AL164" i="7"/>
  <c r="AM164" i="7" s="1"/>
  <c r="AL148" i="7"/>
  <c r="AM148" i="7" s="1"/>
  <c r="AL132" i="7"/>
  <c r="AM132" i="7" s="1"/>
  <c r="AL70" i="7"/>
  <c r="AM70" i="7" s="1"/>
  <c r="AL185" i="7"/>
  <c r="AM185" i="7" s="1"/>
  <c r="AL220" i="7"/>
  <c r="AM220" i="7" s="1"/>
  <c r="AL222" i="7"/>
  <c r="AM222" i="7" s="1"/>
  <c r="AL128" i="7"/>
  <c r="AM128" i="7" s="1"/>
  <c r="AL240" i="7"/>
  <c r="AM240" i="7" s="1"/>
  <c r="AL161" i="7"/>
  <c r="AM161" i="7" s="1"/>
  <c r="AL80" i="7"/>
  <c r="AM80" i="7" s="1"/>
  <c r="AL219" i="7"/>
  <c r="AM219" i="7" s="1"/>
  <c r="AL107" i="7"/>
  <c r="AM107" i="7" s="1"/>
  <c r="AL241" i="7"/>
  <c r="AM241" i="7" s="1"/>
  <c r="AL115" i="7"/>
  <c r="AM115" i="7" s="1"/>
  <c r="AL149" i="7"/>
  <c r="AM149" i="7" s="1"/>
  <c r="AL61" i="7"/>
  <c r="AM61" i="7" s="1"/>
  <c r="AL146" i="7"/>
  <c r="AM146" i="7" s="1"/>
  <c r="AL224" i="7"/>
  <c r="AM224" i="7" s="1"/>
  <c r="AL57" i="7"/>
  <c r="AM57" i="7" s="1"/>
  <c r="AL172" i="7"/>
  <c r="AM172" i="7" s="1"/>
  <c r="AL197" i="7"/>
  <c r="AM197" i="7" s="1"/>
  <c r="AL210" i="7"/>
  <c r="AM210" i="7" s="1"/>
  <c r="AL91" i="7"/>
  <c r="AM91" i="7" s="1"/>
  <c r="AL233" i="7"/>
  <c r="AM233" i="7" s="1"/>
  <c r="AL140" i="7"/>
  <c r="AM140" i="7" s="1"/>
  <c r="AL66" i="7"/>
  <c r="AM66" i="7" s="1"/>
  <c r="AL196" i="7"/>
  <c r="AM196" i="7" s="1"/>
  <c r="AL225" i="7"/>
  <c r="AM225" i="7" s="1"/>
  <c r="AL77" i="7"/>
  <c r="AM77" i="7" s="1"/>
  <c r="AL158" i="7"/>
  <c r="AM158" i="7" s="1"/>
  <c r="AL162" i="7"/>
  <c r="AM162" i="7" s="1"/>
  <c r="AL188" i="7"/>
  <c r="AM188" i="7" s="1"/>
  <c r="AL94" i="7"/>
  <c r="AM94" i="7" s="1"/>
  <c r="AL247" i="7"/>
  <c r="AM247" i="7" s="1"/>
  <c r="AL74" i="7"/>
  <c r="AM74" i="7" s="1"/>
  <c r="AL211" i="7"/>
  <c r="AM211" i="7" s="1"/>
  <c r="AL190" i="7"/>
  <c r="AM190" i="7" s="1"/>
  <c r="AL78" i="7"/>
  <c r="AM78" i="7" s="1"/>
  <c r="AL206" i="7"/>
  <c r="AM206" i="7" s="1"/>
  <c r="AL106" i="7"/>
  <c r="AM106" i="7" s="1"/>
  <c r="AL249" i="7"/>
  <c r="AM249" i="7" s="1"/>
  <c r="AL173" i="7"/>
  <c r="AM173" i="7" s="1"/>
  <c r="AL125" i="7"/>
  <c r="AM125" i="7" s="1"/>
  <c r="AL200" i="7"/>
  <c r="AM200" i="7" s="1"/>
  <c r="AL239" i="7"/>
  <c r="AM239" i="7" s="1"/>
  <c r="AL82" i="7"/>
  <c r="AM82" i="7" s="1"/>
  <c r="AL127" i="7"/>
  <c r="AM127" i="7" s="1"/>
  <c r="AL138" i="7"/>
  <c r="AM138" i="7" s="1"/>
  <c r="AL137" i="7"/>
  <c r="AM137" i="7" s="1"/>
  <c r="AL244" i="7"/>
  <c r="AM244" i="7" s="1"/>
  <c r="AL208" i="7"/>
  <c r="AM208" i="7" s="1"/>
  <c r="AL248" i="7"/>
  <c r="AM248" i="7" s="1"/>
  <c r="AL119" i="7"/>
  <c r="AM119" i="7" s="1"/>
  <c r="AL56" i="7"/>
  <c r="AM56" i="7" s="1"/>
  <c r="AL68" i="7"/>
  <c r="AM68" i="7" s="1"/>
  <c r="AL243" i="7"/>
  <c r="AM243" i="7" s="1"/>
  <c r="AL174" i="7"/>
  <c r="AM174" i="7" s="1"/>
  <c r="AL215" i="7"/>
  <c r="AM215" i="7" s="1"/>
  <c r="AL121" i="7"/>
  <c r="AM121" i="7" s="1"/>
  <c r="AL133" i="7"/>
  <c r="AM133" i="7" s="1"/>
  <c r="AL97" i="7"/>
  <c r="AM97" i="7" s="1"/>
  <c r="AL230" i="7"/>
  <c r="AM230" i="7" s="1"/>
  <c r="AL189" i="7"/>
  <c r="AM189" i="7" s="1"/>
  <c r="AL217" i="7"/>
  <c r="AM217" i="7" s="1"/>
  <c r="AL238" i="7"/>
  <c r="AM238" i="7" s="1"/>
  <c r="AL58" i="7"/>
  <c r="AM58" i="7" s="1"/>
  <c r="AL144" i="7"/>
  <c r="AM144" i="7" s="1"/>
  <c r="AL141" i="7"/>
  <c r="AM141" i="7" s="1"/>
  <c r="AL177" i="7"/>
  <c r="AM177" i="7" s="1"/>
  <c r="AL250" i="7"/>
  <c r="AM250" i="7" s="1"/>
  <c r="AL51" i="7"/>
  <c r="AM51" i="7" s="1"/>
  <c r="AL170" i="7"/>
  <c r="AM170" i="7" s="1"/>
  <c r="AL90" i="7"/>
  <c r="AM90" i="7" s="1"/>
  <c r="AL118" i="7"/>
  <c r="AM118" i="7" s="1"/>
  <c r="AL116" i="7"/>
  <c r="AM116" i="7" s="1"/>
  <c r="AL85" i="7"/>
  <c r="AM85" i="7" s="1"/>
  <c r="AL156" i="7"/>
  <c r="AM156" i="7" s="1"/>
  <c r="AL67" i="7"/>
  <c r="AM67" i="7" s="1"/>
  <c r="AL92" i="7"/>
  <c r="AM92" i="7" s="1"/>
  <c r="AL122" i="7"/>
  <c r="AM122" i="7" s="1"/>
  <c r="AL111" i="7"/>
  <c r="AM111" i="7" s="1"/>
  <c r="AL126" i="7"/>
  <c r="AM126" i="7" s="1"/>
  <c r="AL203" i="7"/>
  <c r="AM203" i="7" s="1"/>
  <c r="AL135" i="7"/>
  <c r="AM135" i="7" s="1"/>
  <c r="AL63" i="7"/>
  <c r="AM63" i="7" s="1"/>
  <c r="AL75" i="7"/>
  <c r="AM75" i="7" s="1"/>
  <c r="AL180" i="7"/>
  <c r="AM180" i="7" s="1"/>
  <c r="AL159" i="7"/>
  <c r="AM159" i="7" s="1"/>
  <c r="AL165" i="7"/>
  <c r="AM165" i="7" s="1"/>
  <c r="AL117" i="7"/>
  <c r="AM117" i="7" s="1"/>
  <c r="AL169" i="7"/>
  <c r="AM169" i="7" s="1"/>
  <c r="AL71" i="7"/>
  <c r="AM71" i="7" s="1"/>
  <c r="AL168" i="7"/>
  <c r="AM168" i="7" s="1"/>
  <c r="AL62" i="7"/>
  <c r="AM62" i="7" s="1"/>
  <c r="AL109" i="7"/>
  <c r="AM109" i="7" s="1"/>
  <c r="AL202" i="7"/>
  <c r="AM202" i="7" s="1"/>
  <c r="AL157" i="7"/>
  <c r="AM157" i="7" s="1"/>
  <c r="AL120" i="7"/>
  <c r="AM120" i="7" s="1"/>
  <c r="AL209" i="7"/>
  <c r="AM209" i="7" s="1"/>
  <c r="AL147" i="7"/>
  <c r="AM147" i="7" s="1"/>
  <c r="AL98" i="7"/>
  <c r="AM98" i="7" s="1"/>
  <c r="AL69" i="7"/>
  <c r="AM69" i="7" s="1"/>
  <c r="AL246" i="7"/>
  <c r="AM246" i="7" s="1"/>
  <c r="AL113" i="7"/>
  <c r="AM113" i="7" s="1"/>
  <c r="AL176" i="7"/>
  <c r="AM176" i="7" s="1"/>
  <c r="AL102" i="7"/>
  <c r="AM102" i="7" s="1"/>
  <c r="AL187" i="7"/>
  <c r="AM187" i="7" s="1"/>
  <c r="AL154" i="7"/>
  <c r="AM154" i="7" s="1"/>
  <c r="AL54" i="7"/>
  <c r="AM54" i="7" s="1"/>
  <c r="AL205" i="7"/>
  <c r="AM205" i="7" s="1"/>
  <c r="AL88" i="7"/>
  <c r="AM88" i="7" s="1"/>
  <c r="AL86" i="7"/>
  <c r="AM86" i="7" s="1"/>
  <c r="AL76" i="7"/>
  <c r="AM76" i="7" s="1"/>
  <c r="AL81" i="7"/>
  <c r="AM81" i="7" s="1"/>
  <c r="V74" i="7"/>
  <c r="E50" i="7" s="1"/>
  <c r="F159" i="7" s="1"/>
  <c r="F149" i="7"/>
  <c r="F212" i="7"/>
  <c r="F167" i="7"/>
  <c r="F169" i="7" s="1"/>
  <c r="F220" i="7"/>
  <c r="F157" i="7"/>
  <c r="F155" i="7"/>
  <c r="D33" i="7"/>
  <c r="G34" i="7"/>
  <c r="M130" i="7"/>
  <c r="F146" i="7"/>
  <c r="F140" i="7"/>
  <c r="F190" i="7"/>
  <c r="S82" i="7"/>
  <c r="S75" i="7"/>
  <c r="F164" i="7"/>
  <c r="AL29" i="7"/>
  <c r="AM29" i="7" s="1"/>
  <c r="F198" i="7"/>
  <c r="F192" i="7"/>
  <c r="F203" i="7"/>
  <c r="AM47" i="7"/>
  <c r="F204" i="7"/>
  <c r="F205" i="7"/>
  <c r="G36" i="7"/>
  <c r="F165" i="7"/>
  <c r="E60" i="7"/>
  <c r="I28" i="7"/>
  <c r="F209" i="7" s="1"/>
  <c r="G45" i="7"/>
  <c r="F207" i="7"/>
  <c r="F171" i="7"/>
  <c r="E52" i="7"/>
  <c r="F139" i="7"/>
  <c r="AM43" i="7"/>
  <c r="F196" i="7"/>
  <c r="F197" i="7" s="1"/>
  <c r="E49" i="7"/>
  <c r="F208" i="7"/>
  <c r="H28" i="7"/>
  <c r="H30" i="7" s="1"/>
  <c r="F166" i="7"/>
  <c r="AM33" i="7"/>
  <c r="F158" i="7"/>
  <c r="U185" i="6"/>
  <c r="U184" i="6"/>
  <c r="U194" i="6"/>
  <c r="U195" i="6"/>
  <c r="R15" i="6"/>
  <c r="AI11" i="7"/>
  <c r="AH12" i="7"/>
  <c r="AL26" i="7" l="1"/>
  <c r="AM26" i="7"/>
  <c r="F191" i="7"/>
  <c r="S79" i="7"/>
  <c r="S78" i="7"/>
  <c r="E47" i="7"/>
  <c r="F144" i="7" s="1"/>
  <c r="V83" i="7"/>
  <c r="S80" i="7"/>
  <c r="AG12" i="7"/>
  <c r="I30" i="7"/>
  <c r="AM24" i="7"/>
  <c r="AF13" i="7"/>
  <c r="AG13" i="7" s="1"/>
  <c r="AG11" i="7"/>
  <c r="AL24" i="7"/>
  <c r="F224" i="7" s="1"/>
  <c r="AN28" i="7"/>
  <c r="AN32" i="7"/>
  <c r="AN39" i="7" s="1"/>
  <c r="AL28" i="7"/>
  <c r="AL50" i="7" a="1"/>
  <c r="AL50" i="7" s="1"/>
  <c r="AM50" i="7" s="1"/>
  <c r="AN44" i="7"/>
  <c r="J28" i="7"/>
  <c r="A28" i="7" s="1"/>
  <c r="F211" i="7"/>
  <c r="R16" i="6"/>
  <c r="AN34" i="7"/>
  <c r="AN38" i="7"/>
  <c r="AH13" i="7"/>
  <c r="AI13" i="7" s="1"/>
  <c r="AI12" i="7"/>
  <c r="F223" i="7" l="1"/>
  <c r="K28" i="7"/>
  <c r="K30" i="7" s="1"/>
  <c r="J30" i="7"/>
  <c r="AN43" i="7"/>
  <c r="AN45" i="7" s="1"/>
  <c r="AN46" i="7" s="1"/>
  <c r="AL44" i="7" s="1"/>
  <c r="AN40" i="7"/>
  <c r="AN41" i="7" s="1"/>
  <c r="AN42" i="7" s="1"/>
  <c r="AN33" i="7"/>
  <c r="AN35" i="7" s="1"/>
  <c r="AN36" i="7" s="1"/>
  <c r="AL35" i="7" s="1"/>
  <c r="AF14" i="7"/>
  <c r="AG14" i="7" s="1"/>
  <c r="E63" i="7"/>
  <c r="F193" i="7"/>
  <c r="E62" i="7"/>
  <c r="F194" i="7"/>
  <c r="R17" i="6"/>
  <c r="AH14" i="7"/>
  <c r="AL41" i="7" l="1"/>
  <c r="AM41" i="7" s="1"/>
  <c r="AL39" i="7"/>
  <c r="AM39" i="7" s="1"/>
  <c r="AL40" i="7"/>
  <c r="AM40" i="7" s="1"/>
  <c r="AN47" i="7"/>
  <c r="AL45" i="7"/>
  <c r="AL46" i="7"/>
  <c r="AF15" i="7"/>
  <c r="AG15" i="7" s="1"/>
  <c r="AL34" i="7"/>
  <c r="R18" i="6"/>
  <c r="AN37" i="7"/>
  <c r="AL36" i="7"/>
  <c r="AH15" i="7"/>
  <c r="AI14" i="7"/>
  <c r="AI15" i="7"/>
  <c r="AM45" i="7"/>
  <c r="AM46" i="7"/>
  <c r="AM44" i="7"/>
  <c r="AF16" i="7" l="1"/>
  <c r="AG16" i="7" s="1"/>
  <c r="AM36" i="7"/>
  <c r="R19" i="6"/>
  <c r="AF17" i="7"/>
  <c r="AF18" i="7" s="1"/>
  <c r="AM34" i="7"/>
  <c r="AM35" i="7"/>
  <c r="AH16" i="7"/>
  <c r="AF19" i="7" l="1"/>
  <c r="AG19" i="7" s="1"/>
  <c r="F21" i="6"/>
  <c r="E21" i="6" s="1"/>
  <c r="R20" i="6"/>
  <c r="AG17" i="7"/>
  <c r="AG18" i="7"/>
  <c r="AH17" i="7"/>
  <c r="AH18" i="7" s="1"/>
  <c r="AI16" i="7"/>
  <c r="Q21" i="6" l="1"/>
  <c r="V21" i="6"/>
  <c r="AF20" i="7"/>
  <c r="AG20" i="7" s="1"/>
  <c r="F22" i="6"/>
  <c r="E22" i="6" s="1"/>
  <c r="R21" i="6"/>
  <c r="AH19" i="7"/>
  <c r="AI19" i="7" s="1"/>
  <c r="AI18" i="7"/>
  <c r="AI17" i="7"/>
  <c r="Q22" i="6" l="1"/>
  <c r="V22" i="6"/>
  <c r="AF21" i="7"/>
  <c r="AF22" i="7" s="1"/>
  <c r="AF23" i="7" s="1"/>
  <c r="AF24" i="7" s="1"/>
  <c r="F23" i="6"/>
  <c r="E23" i="6" s="1"/>
  <c r="R22" i="6"/>
  <c r="AH20" i="7"/>
  <c r="Q23" i="6" l="1"/>
  <c r="V23" i="6"/>
  <c r="AG21" i="7"/>
  <c r="AF25" i="7"/>
  <c r="AF26" i="7" s="1"/>
  <c r="AF27" i="7" s="1"/>
  <c r="F24" i="6"/>
  <c r="E24" i="6" s="1"/>
  <c r="R23" i="6"/>
  <c r="AI20" i="7"/>
  <c r="AH21" i="7"/>
  <c r="Q24" i="6" l="1"/>
  <c r="V24" i="6"/>
  <c r="F25" i="6"/>
  <c r="E25" i="6" s="1"/>
  <c r="R24" i="6"/>
  <c r="AH22" i="7"/>
  <c r="AH23" i="7" s="1"/>
  <c r="AI21" i="7"/>
  <c r="AF28" i="7"/>
  <c r="AG27" i="7"/>
  <c r="V25" i="6" l="1"/>
  <c r="Q25" i="6"/>
  <c r="F26" i="6"/>
  <c r="E26" i="6" s="1"/>
  <c r="R25" i="6"/>
  <c r="AH24" i="7"/>
  <c r="AI24" i="7" s="1"/>
  <c r="AI23" i="7"/>
  <c r="AI22" i="7"/>
  <c r="AF29" i="7"/>
  <c r="AG29" i="7" s="1"/>
  <c r="AG28" i="7"/>
  <c r="V26" i="6" l="1"/>
  <c r="Q26" i="6"/>
  <c r="F27" i="6"/>
  <c r="E27" i="6" s="1"/>
  <c r="R26" i="6"/>
  <c r="AH25" i="7"/>
  <c r="AI25" i="7" s="1"/>
  <c r="AF30" i="7"/>
  <c r="V27" i="6" l="1"/>
  <c r="Q27" i="6"/>
  <c r="F28" i="6"/>
  <c r="E28" i="6" s="1"/>
  <c r="R27" i="6"/>
  <c r="AH26" i="7"/>
  <c r="AH27" i="7" s="1"/>
  <c r="AI27" i="7" s="1"/>
  <c r="AF31" i="7"/>
  <c r="AG30" i="7"/>
  <c r="V28" i="6" l="1"/>
  <c r="Q28" i="6"/>
  <c r="R28" i="6"/>
  <c r="F29" i="6"/>
  <c r="E29" i="6" s="1"/>
  <c r="AI26" i="7"/>
  <c r="AH28" i="7"/>
  <c r="AH29" i="7" s="1"/>
  <c r="AF32" i="7"/>
  <c r="AG31" i="7"/>
  <c r="V29" i="6" l="1"/>
  <c r="Q29" i="6"/>
  <c r="AI28" i="7"/>
  <c r="R29" i="6"/>
  <c r="F30" i="6"/>
  <c r="E30" i="6" s="1"/>
  <c r="AH30" i="7"/>
  <c r="AI29" i="7"/>
  <c r="AF33" i="7"/>
  <c r="V30" i="6" l="1"/>
  <c r="Q30" i="6"/>
  <c r="R30" i="6"/>
  <c r="F31" i="6"/>
  <c r="E31" i="6" s="1"/>
  <c r="AH31" i="7"/>
  <c r="AI30" i="7"/>
  <c r="AF34" i="7"/>
  <c r="V31" i="6" l="1"/>
  <c r="Q31" i="6"/>
  <c r="R31" i="6"/>
  <c r="F32" i="6"/>
  <c r="E32" i="6" s="1"/>
  <c r="AH32" i="7"/>
  <c r="AI31" i="7"/>
  <c r="AF35" i="7"/>
  <c r="V32" i="6" l="1"/>
  <c r="Q32" i="6"/>
  <c r="R32" i="6"/>
  <c r="F33" i="6"/>
  <c r="E33" i="6" s="1"/>
  <c r="AH33" i="7"/>
  <c r="AI32" i="7"/>
  <c r="AF36" i="7"/>
  <c r="V33" i="6" l="1"/>
  <c r="Q33" i="6"/>
  <c r="F34" i="6"/>
  <c r="E34" i="6" s="1"/>
  <c r="R33" i="6"/>
  <c r="AH34" i="7"/>
  <c r="AI33" i="7"/>
  <c r="AF37" i="7"/>
  <c r="AG36" i="7"/>
  <c r="V34" i="6" l="1"/>
  <c r="Q34" i="6"/>
  <c r="R34" i="6"/>
  <c r="F35" i="6"/>
  <c r="E35" i="6" s="1"/>
  <c r="AI34" i="7"/>
  <c r="AH35" i="7"/>
  <c r="AF38" i="7"/>
  <c r="AG37" i="7"/>
  <c r="V35" i="6" l="1"/>
  <c r="Q35" i="6"/>
  <c r="R35" i="6"/>
  <c r="F36" i="6"/>
  <c r="E36" i="6" s="1"/>
  <c r="AH36" i="7"/>
  <c r="AI35" i="7"/>
  <c r="AF39" i="7"/>
  <c r="AG38" i="7"/>
  <c r="Q36" i="6" l="1"/>
  <c r="V36" i="6"/>
  <c r="R36" i="6"/>
  <c r="F37" i="6"/>
  <c r="E37" i="6" s="1"/>
  <c r="AI36" i="7"/>
  <c r="AH37" i="7"/>
  <c r="AF40" i="7"/>
  <c r="AG39" i="7"/>
  <c r="Q37" i="6" l="1"/>
  <c r="V37" i="6"/>
  <c r="F38" i="6"/>
  <c r="E38" i="6" s="1"/>
  <c r="R37" i="6"/>
  <c r="AH38" i="7"/>
  <c r="AI37" i="7"/>
  <c r="AF41" i="7"/>
  <c r="AG40" i="7"/>
  <c r="Q38" i="6" l="1"/>
  <c r="V38" i="6"/>
  <c r="R38" i="6"/>
  <c r="F39" i="6"/>
  <c r="E39" i="6" s="1"/>
  <c r="AH39" i="7"/>
  <c r="AI38" i="7"/>
  <c r="AF42" i="7"/>
  <c r="AG41" i="7"/>
  <c r="Q39" i="6" l="1"/>
  <c r="V39" i="6"/>
  <c r="F40" i="6"/>
  <c r="E40" i="6" s="1"/>
  <c r="R39" i="6"/>
  <c r="AH40" i="7"/>
  <c r="AI39" i="7"/>
  <c r="AF43" i="7"/>
  <c r="AG42" i="7"/>
  <c r="Q40" i="6" l="1"/>
  <c r="V40" i="6"/>
  <c r="F41" i="6"/>
  <c r="E41" i="6" s="1"/>
  <c r="R40" i="6"/>
  <c r="AH41" i="7"/>
  <c r="AI40" i="7"/>
  <c r="AF44" i="7"/>
  <c r="AG43" i="7"/>
  <c r="Q41" i="6" l="1"/>
  <c r="V41" i="6"/>
  <c r="F42" i="6"/>
  <c r="E42" i="6" s="1"/>
  <c r="R41" i="6"/>
  <c r="AI41" i="7"/>
  <c r="AH42" i="7"/>
  <c r="AH43" i="7" s="1"/>
  <c r="AI43" i="7" s="1"/>
  <c r="AF45" i="7"/>
  <c r="AG44" i="7"/>
  <c r="Q42" i="6" l="1"/>
  <c r="V42" i="6"/>
  <c r="R42" i="6"/>
  <c r="F43" i="6"/>
  <c r="E43" i="6" s="1"/>
  <c r="AH44" i="7"/>
  <c r="AI44" i="7" s="1"/>
  <c r="AI42" i="7"/>
  <c r="AF46" i="7"/>
  <c r="AG45" i="7"/>
  <c r="AH45" i="7" l="1"/>
  <c r="AI45" i="7" s="1"/>
  <c r="Q43" i="6"/>
  <c r="V43" i="6"/>
  <c r="R43" i="6"/>
  <c r="F44" i="6"/>
  <c r="E44" i="6" s="1"/>
  <c r="AH46" i="7"/>
  <c r="AF47" i="7"/>
  <c r="AG47" i="7" s="1"/>
  <c r="AG46" i="7"/>
  <c r="V44" i="6" l="1"/>
  <c r="Q44" i="6"/>
  <c r="R44" i="6"/>
  <c r="F45" i="6"/>
  <c r="E45" i="6" s="1"/>
  <c r="AF48" i="7"/>
  <c r="AH47" i="7"/>
  <c r="AI46" i="7"/>
  <c r="V45" i="6" l="1"/>
  <c r="Q45" i="6"/>
  <c r="R45" i="6"/>
  <c r="F46" i="6"/>
  <c r="E46" i="6" s="1"/>
  <c r="AF49" i="7"/>
  <c r="AH48" i="7"/>
  <c r="AI47" i="7"/>
  <c r="AG48" i="7"/>
  <c r="Q46" i="6" l="1"/>
  <c r="V46" i="6"/>
  <c r="R46" i="6"/>
  <c r="F47" i="6"/>
  <c r="E47" i="6" s="1"/>
  <c r="AH49" i="7"/>
  <c r="AF50" i="7"/>
  <c r="AI48" i="7"/>
  <c r="AG49" i="7"/>
  <c r="V47" i="6" l="1"/>
  <c r="Q47" i="6"/>
  <c r="R47" i="6"/>
  <c r="F48" i="6"/>
  <c r="E48" i="6" s="1"/>
  <c r="AF51" i="7"/>
  <c r="AG51" i="7" s="1"/>
  <c r="AH50" i="7"/>
  <c r="AG50" i="7"/>
  <c r="AI49" i="7"/>
  <c r="Q48" i="6" l="1"/>
  <c r="V48" i="6"/>
  <c r="R48" i="6"/>
  <c r="F49" i="6"/>
  <c r="E49" i="6" s="1"/>
  <c r="AH51" i="7"/>
  <c r="AI50" i="7"/>
  <c r="AF52" i="7"/>
  <c r="Q49" i="6" l="1"/>
  <c r="V49" i="6"/>
  <c r="F50" i="6"/>
  <c r="E50" i="6" s="1"/>
  <c r="R49" i="6"/>
  <c r="AF53" i="7"/>
  <c r="AG52" i="7"/>
  <c r="AH52" i="7"/>
  <c r="AI51" i="7"/>
  <c r="Q50" i="6" l="1"/>
  <c r="V50" i="6"/>
  <c r="R50" i="6"/>
  <c r="F51" i="6"/>
  <c r="E51" i="6" s="1"/>
  <c r="AF54" i="7"/>
  <c r="AH53" i="7"/>
  <c r="AI52" i="7"/>
  <c r="AG53" i="7"/>
  <c r="Q51" i="6" l="1"/>
  <c r="V51" i="6"/>
  <c r="F52" i="6"/>
  <c r="E52" i="6" s="1"/>
  <c r="R51" i="6"/>
  <c r="AF55" i="7"/>
  <c r="AH54" i="7"/>
  <c r="AI53" i="7"/>
  <c r="AG54" i="7"/>
  <c r="Q52" i="6" l="1"/>
  <c r="V52" i="6"/>
  <c r="F53" i="6"/>
  <c r="E53" i="6" s="1"/>
  <c r="R52" i="6"/>
  <c r="AH55" i="7"/>
  <c r="AI54" i="7"/>
  <c r="AF56" i="7"/>
  <c r="AG55" i="7"/>
  <c r="Q53" i="6" l="1"/>
  <c r="V53" i="6"/>
  <c r="F54" i="6"/>
  <c r="E54" i="6" s="1"/>
  <c r="R53" i="6"/>
  <c r="AH56" i="7"/>
  <c r="AF57" i="7"/>
  <c r="AG57" i="7" s="1"/>
  <c r="AG56" i="7"/>
  <c r="AI55" i="7"/>
  <c r="Q54" i="6" l="1"/>
  <c r="V54" i="6"/>
  <c r="F55" i="6"/>
  <c r="E55" i="6" s="1"/>
  <c r="R54" i="6"/>
  <c r="AH57" i="7"/>
  <c r="AF58" i="7"/>
  <c r="AI56" i="7"/>
  <c r="Q55" i="6" l="1"/>
  <c r="V55" i="6"/>
  <c r="F56" i="6"/>
  <c r="E56" i="6" s="1"/>
  <c r="R55" i="6"/>
  <c r="AF59" i="7"/>
  <c r="AG58" i="7"/>
  <c r="AH58" i="7"/>
  <c r="AI58" i="7" s="1"/>
  <c r="AI57" i="7"/>
  <c r="Q56" i="6" l="1"/>
  <c r="V56" i="6"/>
  <c r="F57" i="6"/>
  <c r="E57" i="6" s="1"/>
  <c r="R56" i="6"/>
  <c r="AF60" i="7"/>
  <c r="AH59" i="7"/>
  <c r="AG59" i="7"/>
  <c r="V57" i="6" l="1"/>
  <c r="Q57" i="6"/>
  <c r="F58" i="6"/>
  <c r="E58" i="6" s="1"/>
  <c r="R57" i="6"/>
  <c r="AF61" i="7"/>
  <c r="AH60" i="7"/>
  <c r="AI59" i="7"/>
  <c r="AG60" i="7"/>
  <c r="V58" i="6" l="1"/>
  <c r="Q58" i="6"/>
  <c r="F59" i="6"/>
  <c r="E59" i="6" s="1"/>
  <c r="R58" i="6"/>
  <c r="AH61" i="7"/>
  <c r="AI60" i="7"/>
  <c r="AF62" i="7"/>
  <c r="AG62" i="7" s="1"/>
  <c r="AG61" i="7"/>
  <c r="V59" i="6" l="1"/>
  <c r="Q59" i="6"/>
  <c r="F60" i="6"/>
  <c r="E60" i="6" s="1"/>
  <c r="R59" i="6"/>
  <c r="AF63" i="7"/>
  <c r="AH62" i="7"/>
  <c r="AI62" i="7" s="1"/>
  <c r="AI61" i="7"/>
  <c r="V60" i="6" l="1"/>
  <c r="Q60" i="6"/>
  <c r="R60" i="6"/>
  <c r="F61" i="6"/>
  <c r="E61" i="6" s="1"/>
  <c r="AH63" i="7"/>
  <c r="AF64" i="7"/>
  <c r="AG63" i="7"/>
  <c r="V61" i="6" l="1"/>
  <c r="Q61" i="6"/>
  <c r="R61" i="6"/>
  <c r="F62" i="6"/>
  <c r="E62" i="6" s="1"/>
  <c r="AF65" i="7"/>
  <c r="AG64" i="7"/>
  <c r="AH64" i="7"/>
  <c r="AI63" i="7"/>
  <c r="V62" i="6" l="1"/>
  <c r="Q62" i="6"/>
  <c r="R62" i="6"/>
  <c r="F63" i="6"/>
  <c r="E63" i="6" s="1"/>
  <c r="AH65" i="7"/>
  <c r="AI64" i="7"/>
  <c r="AF66" i="7"/>
  <c r="AG65" i="7"/>
  <c r="V63" i="6" l="1"/>
  <c r="Q63" i="6"/>
  <c r="R63" i="6"/>
  <c r="F64" i="6"/>
  <c r="E64" i="6" s="1"/>
  <c r="AF67" i="7"/>
  <c r="AG66" i="7"/>
  <c r="AH66" i="7"/>
  <c r="AI65" i="7"/>
  <c r="V64" i="6" l="1"/>
  <c r="Q64" i="6"/>
  <c r="R64" i="6"/>
  <c r="F65" i="6"/>
  <c r="E65" i="6" s="1"/>
  <c r="AH67" i="7"/>
  <c r="AI66" i="7"/>
  <c r="AF68" i="7"/>
  <c r="AG67" i="7"/>
  <c r="V65" i="6" l="1"/>
  <c r="Q65" i="6"/>
  <c r="R65" i="6"/>
  <c r="F66" i="6"/>
  <c r="E66" i="6" s="1"/>
  <c r="AF69" i="7"/>
  <c r="AG68" i="7"/>
  <c r="AH68" i="7"/>
  <c r="AI67" i="7"/>
  <c r="Q66" i="6" l="1"/>
  <c r="V66" i="6"/>
  <c r="R66" i="6"/>
  <c r="F67" i="6"/>
  <c r="E67" i="6" s="1"/>
  <c r="AH69" i="7"/>
  <c r="AI68" i="7"/>
  <c r="AF70" i="7"/>
  <c r="AG70" i="7" s="1"/>
  <c r="AG69" i="7"/>
  <c r="Q67" i="6" l="1"/>
  <c r="V67" i="6"/>
  <c r="R67" i="6"/>
  <c r="F68" i="6"/>
  <c r="E68" i="6" s="1"/>
  <c r="AF71" i="7"/>
  <c r="AF2" i="7"/>
  <c r="AH70" i="7"/>
  <c r="AI69" i="7"/>
  <c r="Q68" i="6" l="1"/>
  <c r="V68" i="6"/>
  <c r="R68" i="6"/>
  <c r="F69" i="6"/>
  <c r="E69" i="6" s="1"/>
  <c r="AH71" i="7"/>
  <c r="AI70" i="7"/>
  <c r="AF6" i="7"/>
  <c r="AF4" i="7"/>
  <c r="AF72" i="7"/>
  <c r="AG72" i="7" s="1"/>
  <c r="AG71" i="7"/>
  <c r="Q69" i="6" l="1"/>
  <c r="V69" i="6"/>
  <c r="AG32" i="7"/>
  <c r="AG33" i="7"/>
  <c r="AG34" i="7"/>
  <c r="AG35" i="7"/>
  <c r="R69" i="6"/>
  <c r="F70" i="6"/>
  <c r="E70" i="6" s="1"/>
  <c r="AF3" i="7"/>
  <c r="AF73" i="7"/>
  <c r="AG22" i="7"/>
  <c r="AG24" i="7"/>
  <c r="AG23" i="7"/>
  <c r="AG25" i="7"/>
  <c r="AG26" i="7"/>
  <c r="AH72" i="7"/>
  <c r="AI71" i="7"/>
  <c r="Q70" i="6" l="1"/>
  <c r="V70" i="6"/>
  <c r="R70" i="6"/>
  <c r="F71" i="6"/>
  <c r="E71" i="6" s="1"/>
  <c r="AG2" i="7"/>
  <c r="E48" i="7" s="1"/>
  <c r="AF74" i="7"/>
  <c r="AG73" i="7"/>
  <c r="AH73" i="7"/>
  <c r="AI72" i="7"/>
  <c r="F151" i="7"/>
  <c r="AL2" i="7"/>
  <c r="AF7" i="7"/>
  <c r="AF5" i="7"/>
  <c r="F154" i="7" l="1"/>
  <c r="Q71" i="6"/>
  <c r="V71" i="6"/>
  <c r="F72" i="6"/>
  <c r="E72" i="6" s="1"/>
  <c r="R71" i="6"/>
  <c r="F153" i="7"/>
  <c r="AL4" i="7"/>
  <c r="F152" i="7"/>
  <c r="AL3" i="7"/>
  <c r="AH74" i="7"/>
  <c r="AI73" i="7"/>
  <c r="AF75" i="7"/>
  <c r="AG74" i="7"/>
  <c r="Q72" i="6" l="1"/>
  <c r="V72" i="6"/>
  <c r="F73" i="6"/>
  <c r="E73" i="6" s="1"/>
  <c r="R72" i="6"/>
  <c r="AF76" i="7"/>
  <c r="AG75" i="7"/>
  <c r="AH75" i="7"/>
  <c r="AI74" i="7"/>
  <c r="Q73" i="6" l="1"/>
  <c r="V73" i="6"/>
  <c r="F74" i="6"/>
  <c r="E74" i="6" s="1"/>
  <c r="R73" i="6"/>
  <c r="AH76" i="7"/>
  <c r="AI75" i="7"/>
  <c r="AF77" i="7"/>
  <c r="AG76" i="7"/>
  <c r="Q74" i="6" l="1"/>
  <c r="V74" i="6"/>
  <c r="R74" i="6"/>
  <c r="F75" i="6"/>
  <c r="E75" i="6" s="1"/>
  <c r="AF78" i="7"/>
  <c r="AG77" i="7"/>
  <c r="AH77" i="7"/>
  <c r="AI76" i="7"/>
  <c r="V75" i="6" l="1"/>
  <c r="Q75" i="6"/>
  <c r="R75" i="6"/>
  <c r="F76" i="6"/>
  <c r="E76" i="6" s="1"/>
  <c r="AH78" i="7"/>
  <c r="AI77" i="7"/>
  <c r="AF79" i="7"/>
  <c r="AG78" i="7"/>
  <c r="Q76" i="6" l="1"/>
  <c r="V76" i="6"/>
  <c r="R76" i="6"/>
  <c r="F77" i="6"/>
  <c r="E77" i="6" s="1"/>
  <c r="AF80" i="7"/>
  <c r="AG79" i="7"/>
  <c r="AH79" i="7"/>
  <c r="AI78" i="7"/>
  <c r="V77" i="6" l="1"/>
  <c r="Q77" i="6"/>
  <c r="R77" i="6"/>
  <c r="F78" i="6"/>
  <c r="E78" i="6" s="1"/>
  <c r="AH80" i="7"/>
  <c r="AI79" i="7"/>
  <c r="AF81" i="7"/>
  <c r="AG80" i="7"/>
  <c r="V78" i="6" l="1"/>
  <c r="Q78" i="6"/>
  <c r="R78" i="6"/>
  <c r="F79" i="6"/>
  <c r="E79" i="6" s="1"/>
  <c r="AF82" i="7"/>
  <c r="AG81" i="7"/>
  <c r="AH3" i="7"/>
  <c r="AH81" i="7"/>
  <c r="AH2" i="7"/>
  <c r="AI80" i="7"/>
  <c r="AI2" i="7" s="1"/>
  <c r="F163" i="7" s="1"/>
  <c r="V79" i="6" l="1"/>
  <c r="Q79" i="6"/>
  <c r="R79" i="6"/>
  <c r="F80" i="6"/>
  <c r="E80" i="6" s="1"/>
  <c r="AH6" i="7"/>
  <c r="AH4" i="7"/>
  <c r="AH82" i="7"/>
  <c r="AM2" i="7"/>
  <c r="AH7" i="7"/>
  <c r="F161" i="7" s="1"/>
  <c r="AH5" i="7"/>
  <c r="F160" i="7"/>
  <c r="AI81" i="7"/>
  <c r="AF83" i="7"/>
  <c r="AG82" i="7"/>
  <c r="Q80" i="6" l="1"/>
  <c r="V80" i="6"/>
  <c r="F162" i="7"/>
  <c r="R80" i="6"/>
  <c r="F81" i="6"/>
  <c r="E81" i="6" s="1"/>
  <c r="AF84" i="7"/>
  <c r="AG83" i="7"/>
  <c r="AH83" i="7"/>
  <c r="AI82" i="7"/>
  <c r="Q81" i="6" l="1"/>
  <c r="V81" i="6"/>
  <c r="R81" i="6"/>
  <c r="F82" i="6"/>
  <c r="E82" i="6" s="1"/>
  <c r="AH84" i="7"/>
  <c r="AI83" i="7"/>
  <c r="AF85" i="7"/>
  <c r="AG84" i="7"/>
  <c r="Q82" i="6" l="1"/>
  <c r="V82" i="6"/>
  <c r="R82" i="6"/>
  <c r="F83" i="6"/>
  <c r="E83" i="6" s="1"/>
  <c r="AF86" i="7"/>
  <c r="AG85" i="7"/>
  <c r="AH85" i="7"/>
  <c r="AI84" i="7"/>
  <c r="Q83" i="6" l="1"/>
  <c r="V83" i="6"/>
  <c r="R83" i="6"/>
  <c r="F84" i="6"/>
  <c r="E84" i="6" s="1"/>
  <c r="AH86" i="7"/>
  <c r="AI85" i="7"/>
  <c r="AF87" i="7"/>
  <c r="AG86" i="7"/>
  <c r="Q84" i="6" l="1"/>
  <c r="V84" i="6"/>
  <c r="F85" i="6"/>
  <c r="E85" i="6" s="1"/>
  <c r="R84" i="6"/>
  <c r="AF88" i="7"/>
  <c r="AG87" i="7"/>
  <c r="AH87" i="7"/>
  <c r="AI86" i="7"/>
  <c r="Q85" i="6" l="1"/>
  <c r="V85" i="6"/>
  <c r="R85" i="6"/>
  <c r="F86" i="6"/>
  <c r="E86" i="6" s="1"/>
  <c r="AH88" i="7"/>
  <c r="AI87" i="7"/>
  <c r="AF89" i="7"/>
  <c r="AG89" i="7" s="1"/>
  <c r="AG88" i="7"/>
  <c r="Q86" i="6" l="1"/>
  <c r="V86" i="6"/>
  <c r="F87" i="6"/>
  <c r="E87" i="6" s="1"/>
  <c r="R86" i="6"/>
  <c r="AH89" i="7"/>
  <c r="AF90" i="7"/>
  <c r="AG90" i="7" s="1"/>
  <c r="AI88" i="7"/>
  <c r="Q87" i="6" l="1"/>
  <c r="V87" i="6"/>
  <c r="F88" i="6"/>
  <c r="E88" i="6" s="1"/>
  <c r="R87" i="6"/>
  <c r="AH90" i="7"/>
  <c r="AI90" i="7" s="1"/>
  <c r="AI89" i="7"/>
  <c r="Q88" i="6" l="1"/>
  <c r="V88" i="6"/>
  <c r="F89" i="6"/>
  <c r="E89" i="6" s="1"/>
  <c r="R88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V89" i="6" l="1"/>
  <c r="Q89" i="6"/>
  <c r="F90" i="6"/>
  <c r="E90" i="6" s="1"/>
  <c r="R89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V90" i="6" l="1"/>
  <c r="Q90" i="6"/>
  <c r="F91" i="6"/>
  <c r="E91" i="6" s="1"/>
  <c r="R90" i="6"/>
  <c r="V91" i="6" l="1"/>
  <c r="Q91" i="6"/>
  <c r="F92" i="6"/>
  <c r="E92" i="6" s="1"/>
  <c r="R91" i="6"/>
  <c r="G5" i="6"/>
  <c r="G4" i="6"/>
  <c r="V92" i="6" l="1"/>
  <c r="Q92" i="6"/>
  <c r="R92" i="6"/>
  <c r="F93" i="6"/>
  <c r="E93" i="6" s="1"/>
  <c r="H6" i="6"/>
  <c r="H5" i="6"/>
  <c r="V93" i="6" l="1"/>
  <c r="Q93" i="6"/>
  <c r="R93" i="6"/>
  <c r="F94" i="6"/>
  <c r="E94" i="6" s="1"/>
  <c r="H7" i="6"/>
  <c r="V94" i="6" l="1"/>
  <c r="Q94" i="6"/>
  <c r="R94" i="6"/>
  <c r="F95" i="6"/>
  <c r="E95" i="6" s="1"/>
  <c r="H8" i="6"/>
  <c r="V95" i="6" l="1"/>
  <c r="Q95" i="6"/>
  <c r="R95" i="6"/>
  <c r="F96" i="6"/>
  <c r="E96" i="6" s="1"/>
  <c r="H9" i="6"/>
  <c r="V96" i="6" l="1"/>
  <c r="Q96" i="6"/>
  <c r="R96" i="6"/>
  <c r="F97" i="6"/>
  <c r="E97" i="6" s="1"/>
  <c r="H10" i="6"/>
  <c r="J7" i="6"/>
  <c r="V97" i="6" l="1"/>
  <c r="Q97" i="6"/>
  <c r="R97" i="6"/>
  <c r="F98" i="6"/>
  <c r="E98" i="6" s="1"/>
  <c r="J8" i="6"/>
  <c r="H11" i="6"/>
  <c r="V98" i="6" l="1"/>
  <c r="Q98" i="6"/>
  <c r="R98" i="6"/>
  <c r="F99" i="6"/>
  <c r="E99" i="6" s="1"/>
  <c r="H12" i="6"/>
  <c r="J9" i="6"/>
  <c r="K8" i="6" s="1"/>
  <c r="Q99" i="6" l="1"/>
  <c r="V99" i="6"/>
  <c r="F100" i="6"/>
  <c r="E100" i="6" s="1"/>
  <c r="R99" i="6"/>
  <c r="R13" i="6"/>
  <c r="H13" i="6"/>
  <c r="J10" i="6"/>
  <c r="K9" i="6" s="1"/>
  <c r="V100" i="6" l="1"/>
  <c r="Q100" i="6"/>
  <c r="F101" i="6"/>
  <c r="E101" i="6" s="1"/>
  <c r="R100" i="6"/>
  <c r="J11" i="6"/>
  <c r="K10" i="6" s="1"/>
  <c r="H14" i="6"/>
  <c r="J12" i="6" s="1"/>
  <c r="Q101" i="6" l="1"/>
  <c r="V101" i="6"/>
  <c r="F102" i="6"/>
  <c r="E102" i="6" s="1"/>
  <c r="R101" i="6"/>
  <c r="K11" i="6"/>
  <c r="H15" i="6"/>
  <c r="J13" i="6" s="1"/>
  <c r="K12" i="6" s="1"/>
  <c r="Q102" i="6" l="1"/>
  <c r="V102" i="6"/>
  <c r="L10" i="6"/>
  <c r="R102" i="6"/>
  <c r="F103" i="6"/>
  <c r="E103" i="6" s="1"/>
  <c r="H16" i="6"/>
  <c r="Q103" i="6" l="1"/>
  <c r="V103" i="6"/>
  <c r="F104" i="6"/>
  <c r="E104" i="6" s="1"/>
  <c r="R103" i="6"/>
  <c r="H17" i="6"/>
  <c r="J14" i="6"/>
  <c r="Q104" i="6" l="1"/>
  <c r="V104" i="6"/>
  <c r="F105" i="6"/>
  <c r="E105" i="6" s="1"/>
  <c r="R104" i="6"/>
  <c r="K13" i="6"/>
  <c r="J15" i="6"/>
  <c r="H18" i="6"/>
  <c r="Q105" i="6" l="1"/>
  <c r="V105" i="6"/>
  <c r="L11" i="6"/>
  <c r="F106" i="6"/>
  <c r="E106" i="6" s="1"/>
  <c r="R105" i="6"/>
  <c r="H19" i="6"/>
  <c r="J17" i="6" s="1"/>
  <c r="J16" i="6"/>
  <c r="K15" i="6" s="1"/>
  <c r="K14" i="6"/>
  <c r="Q106" i="6" l="1"/>
  <c r="V106" i="6"/>
  <c r="L13" i="6"/>
  <c r="R106" i="6"/>
  <c r="F107" i="6"/>
  <c r="E107" i="6" s="1"/>
  <c r="L12" i="6"/>
  <c r="H20" i="6"/>
  <c r="K16" i="6"/>
  <c r="V107" i="6" l="1"/>
  <c r="Q107" i="6"/>
  <c r="L14" i="6"/>
  <c r="M11" i="6"/>
  <c r="M12" i="6"/>
  <c r="R107" i="6"/>
  <c r="F108" i="6"/>
  <c r="E108" i="6" s="1"/>
  <c r="H21" i="6"/>
  <c r="J19" i="6" s="1"/>
  <c r="J18" i="6"/>
  <c r="V108" i="6" l="1"/>
  <c r="Q108" i="6"/>
  <c r="R108" i="6"/>
  <c r="F109" i="6"/>
  <c r="E109" i="6" s="1"/>
  <c r="M13" i="6"/>
  <c r="H22" i="6"/>
  <c r="J20" i="6" s="1"/>
  <c r="K17" i="6"/>
  <c r="K18" i="6"/>
  <c r="V109" i="6" l="1"/>
  <c r="Q109" i="6"/>
  <c r="L16" i="6"/>
  <c r="L15" i="6"/>
  <c r="N12" i="6"/>
  <c r="R109" i="6"/>
  <c r="F110" i="6"/>
  <c r="E110" i="6" s="1"/>
  <c r="K19" i="6"/>
  <c r="H23" i="6"/>
  <c r="Q110" i="6" l="1"/>
  <c r="V110" i="6"/>
  <c r="R110" i="6"/>
  <c r="F111" i="6"/>
  <c r="E111" i="6" s="1"/>
  <c r="M14" i="6"/>
  <c r="M15" i="6"/>
  <c r="L17" i="6"/>
  <c r="H24" i="6"/>
  <c r="J21" i="6"/>
  <c r="V111" i="6" l="1"/>
  <c r="Q111" i="6"/>
  <c r="N14" i="6"/>
  <c r="N13" i="6"/>
  <c r="M16" i="6"/>
  <c r="R111" i="6"/>
  <c r="F112" i="6"/>
  <c r="E112" i="6" s="1"/>
  <c r="J22" i="6"/>
  <c r="H25" i="6"/>
  <c r="K20" i="6"/>
  <c r="Q112" i="6" l="1"/>
  <c r="V112" i="6"/>
  <c r="L18" i="6"/>
  <c r="F113" i="6"/>
  <c r="E113" i="6" s="1"/>
  <c r="R112" i="6"/>
  <c r="O13" i="6"/>
  <c r="N15" i="6"/>
  <c r="O14" i="6" s="1"/>
  <c r="K21" i="6"/>
  <c r="H26" i="6"/>
  <c r="J24" i="6" s="1"/>
  <c r="J23" i="6"/>
  <c r="Q113" i="6" l="1"/>
  <c r="V113" i="6"/>
  <c r="T14" i="6"/>
  <c r="S13" i="6"/>
  <c r="S14" i="6" s="1"/>
  <c r="T13" i="6"/>
  <c r="F114" i="6"/>
  <c r="E114" i="6" s="1"/>
  <c r="R113" i="6"/>
  <c r="M17" i="6"/>
  <c r="L19" i="6"/>
  <c r="K22" i="6"/>
  <c r="H27" i="6"/>
  <c r="K23" i="6"/>
  <c r="Q114" i="6" l="1"/>
  <c r="V114" i="6"/>
  <c r="L21" i="6"/>
  <c r="M18" i="6"/>
  <c r="N17" i="6" s="1"/>
  <c r="N16" i="6"/>
  <c r="F115" i="6"/>
  <c r="E115" i="6" s="1"/>
  <c r="R114" i="6"/>
  <c r="L20" i="6"/>
  <c r="H28" i="6"/>
  <c r="J25" i="6"/>
  <c r="Q115" i="6" l="1"/>
  <c r="V115" i="6"/>
  <c r="F116" i="6"/>
  <c r="E116" i="6" s="1"/>
  <c r="R115" i="6"/>
  <c r="M19" i="6"/>
  <c r="O16" i="6"/>
  <c r="O15" i="6"/>
  <c r="M20" i="6"/>
  <c r="K24" i="6"/>
  <c r="H29" i="6"/>
  <c r="J26" i="6"/>
  <c r="Q116" i="6" l="1"/>
  <c r="V116" i="6"/>
  <c r="L22" i="6"/>
  <c r="N19" i="6"/>
  <c r="T15" i="6"/>
  <c r="S15" i="6"/>
  <c r="S16" i="6" s="1"/>
  <c r="T16" i="6"/>
  <c r="N18" i="6"/>
  <c r="F117" i="6"/>
  <c r="E117" i="6" s="1"/>
  <c r="R116" i="6"/>
  <c r="K25" i="6"/>
  <c r="H30" i="6"/>
  <c r="J27" i="6"/>
  <c r="K26" i="6" s="1"/>
  <c r="Q117" i="6" l="1"/>
  <c r="V117" i="6"/>
  <c r="L24" i="6"/>
  <c r="F118" i="6"/>
  <c r="E118" i="6" s="1"/>
  <c r="R117" i="6"/>
  <c r="O18" i="6"/>
  <c r="T18" i="6" s="1"/>
  <c r="O17" i="6"/>
  <c r="T17" i="6" s="1"/>
  <c r="U17" i="6" s="1"/>
  <c r="U15" i="6"/>
  <c r="L23" i="6"/>
  <c r="M22" i="6" s="1"/>
  <c r="M21" i="6"/>
  <c r="J28" i="6"/>
  <c r="H31" i="6"/>
  <c r="Q118" i="6" l="1"/>
  <c r="V118" i="6"/>
  <c r="U16" i="6"/>
  <c r="M23" i="6"/>
  <c r="N22" i="6" s="1"/>
  <c r="N21" i="6"/>
  <c r="N20" i="6"/>
  <c r="F119" i="6"/>
  <c r="E119" i="6" s="1"/>
  <c r="R118" i="6"/>
  <c r="S17" i="6"/>
  <c r="S18" i="6" s="1"/>
  <c r="J29" i="6"/>
  <c r="K27" i="6"/>
  <c r="K28" i="6"/>
  <c r="H32" i="6"/>
  <c r="Q119" i="6" l="1"/>
  <c r="V119" i="6"/>
  <c r="L25" i="6"/>
  <c r="L26" i="6"/>
  <c r="F120" i="6"/>
  <c r="E120" i="6" s="1"/>
  <c r="R119" i="6"/>
  <c r="O21" i="6"/>
  <c r="T21" i="6" s="1"/>
  <c r="O19" i="6"/>
  <c r="T19" i="6" s="1"/>
  <c r="O20" i="6"/>
  <c r="T20" i="6" s="1"/>
  <c r="H33" i="6"/>
  <c r="J31" i="6" s="1"/>
  <c r="J30" i="6"/>
  <c r="Q120" i="6" l="1"/>
  <c r="V120" i="6"/>
  <c r="U20" i="6"/>
  <c r="U18" i="6"/>
  <c r="U19" i="6"/>
  <c r="F121" i="6"/>
  <c r="E121" i="6" s="1"/>
  <c r="R120" i="6"/>
  <c r="S19" i="6"/>
  <c r="S20" i="6" s="1"/>
  <c r="S21" i="6" s="1"/>
  <c r="M24" i="6"/>
  <c r="M25" i="6"/>
  <c r="K30" i="6"/>
  <c r="H34" i="6"/>
  <c r="K29" i="6"/>
  <c r="J32" i="6"/>
  <c r="V121" i="6" l="1"/>
  <c r="Q121" i="6"/>
  <c r="L28" i="6"/>
  <c r="L27" i="6"/>
  <c r="N23" i="6"/>
  <c r="N24" i="6"/>
  <c r="F122" i="6"/>
  <c r="E122" i="6" s="1"/>
  <c r="R121" i="6"/>
  <c r="H35" i="6"/>
  <c r="K31" i="6"/>
  <c r="L29" i="6" s="1"/>
  <c r="V122" i="6" l="1"/>
  <c r="Q122" i="6"/>
  <c r="M28" i="6"/>
  <c r="M27" i="6"/>
  <c r="M26" i="6"/>
  <c r="F123" i="6"/>
  <c r="E123" i="6" s="1"/>
  <c r="R122" i="6"/>
  <c r="O22" i="6"/>
  <c r="O23" i="6"/>
  <c r="T23" i="6" s="1"/>
  <c r="H36" i="6"/>
  <c r="J34" i="6" s="1"/>
  <c r="J33" i="6"/>
  <c r="V123" i="6" l="1"/>
  <c r="Q123" i="6"/>
  <c r="T22" i="6"/>
  <c r="S22" i="6"/>
  <c r="S23" i="6" s="1"/>
  <c r="F124" i="6"/>
  <c r="E124" i="6" s="1"/>
  <c r="R123" i="6"/>
  <c r="N27" i="6"/>
  <c r="N26" i="6"/>
  <c r="N25" i="6"/>
  <c r="H37" i="6"/>
  <c r="K32" i="6"/>
  <c r="K33" i="6"/>
  <c r="V124" i="6" l="1"/>
  <c r="Q124" i="6"/>
  <c r="L31" i="6"/>
  <c r="L30" i="6"/>
  <c r="O26" i="6"/>
  <c r="T26" i="6" s="1"/>
  <c r="O25" i="6"/>
  <c r="T25" i="6" s="1"/>
  <c r="O24" i="6"/>
  <c r="T24" i="6" s="1"/>
  <c r="R124" i="6"/>
  <c r="F125" i="6"/>
  <c r="E125" i="6" s="1"/>
  <c r="S24" i="6"/>
  <c r="U23" i="6"/>
  <c r="U21" i="6"/>
  <c r="U22" i="6"/>
  <c r="J35" i="6"/>
  <c r="H38" i="6"/>
  <c r="V125" i="6" l="1"/>
  <c r="Q125" i="6"/>
  <c r="S25" i="6"/>
  <c r="S26" i="6" s="1"/>
  <c r="U25" i="6"/>
  <c r="U24" i="6"/>
  <c r="R125" i="6"/>
  <c r="F126" i="6"/>
  <c r="E126" i="6" s="1"/>
  <c r="M30" i="6"/>
  <c r="M29" i="6"/>
  <c r="H39" i="6"/>
  <c r="J36" i="6"/>
  <c r="K35" i="6" s="1"/>
  <c r="K34" i="6"/>
  <c r="V126" i="6" l="1"/>
  <c r="Q126" i="6"/>
  <c r="N28" i="6"/>
  <c r="N29" i="6"/>
  <c r="L32" i="6"/>
  <c r="L33" i="6"/>
  <c r="R126" i="6"/>
  <c r="F127" i="6"/>
  <c r="E127" i="6" s="1"/>
  <c r="H40" i="6"/>
  <c r="J37" i="6"/>
  <c r="V127" i="6" l="1"/>
  <c r="Q127" i="6"/>
  <c r="R127" i="6"/>
  <c r="F128" i="6"/>
  <c r="E128" i="6" s="1"/>
  <c r="M31" i="6"/>
  <c r="M32" i="6"/>
  <c r="O27" i="6"/>
  <c r="O28" i="6"/>
  <c r="T28" i="6" s="1"/>
  <c r="K36" i="6"/>
  <c r="J38" i="6"/>
  <c r="K37" i="6" s="1"/>
  <c r="H41" i="6"/>
  <c r="J39" i="6" s="1"/>
  <c r="V128" i="6" l="1"/>
  <c r="Q128" i="6"/>
  <c r="L34" i="6"/>
  <c r="L35" i="6"/>
  <c r="T27" i="6"/>
  <c r="S27" i="6"/>
  <c r="S28" i="6" s="1"/>
  <c r="N30" i="6"/>
  <c r="N31" i="6"/>
  <c r="R128" i="6"/>
  <c r="F129" i="6"/>
  <c r="E129" i="6" s="1"/>
  <c r="H42" i="6"/>
  <c r="K38" i="6"/>
  <c r="L36" i="6" s="1"/>
  <c r="V129" i="6" l="1"/>
  <c r="Q129" i="6"/>
  <c r="R129" i="6"/>
  <c r="F130" i="6"/>
  <c r="E130" i="6" s="1"/>
  <c r="O29" i="6"/>
  <c r="T29" i="6" s="1"/>
  <c r="O30" i="6"/>
  <c r="T30" i="6" s="1"/>
  <c r="S29" i="6"/>
  <c r="U28" i="6"/>
  <c r="U26" i="6"/>
  <c r="U27" i="6"/>
  <c r="M35" i="6"/>
  <c r="M34" i="6"/>
  <c r="M33" i="6"/>
  <c r="H43" i="6"/>
  <c r="J40" i="6"/>
  <c r="S30" i="6" l="1"/>
  <c r="V130" i="6"/>
  <c r="Q130" i="6"/>
  <c r="N34" i="6"/>
  <c r="N33" i="6"/>
  <c r="N32" i="6"/>
  <c r="U29" i="6"/>
  <c r="R130" i="6"/>
  <c r="F131" i="6"/>
  <c r="E131" i="6" s="1"/>
  <c r="J41" i="6"/>
  <c r="H44" i="6"/>
  <c r="J42" i="6" s="1"/>
  <c r="K39" i="6"/>
  <c r="V131" i="6" l="1"/>
  <c r="Q131" i="6"/>
  <c r="L37" i="6"/>
  <c r="R131" i="6"/>
  <c r="F132" i="6"/>
  <c r="E132" i="6" s="1"/>
  <c r="O33" i="6"/>
  <c r="T33" i="6" s="1"/>
  <c r="O31" i="6"/>
  <c r="O32" i="6"/>
  <c r="T32" i="6" s="1"/>
  <c r="K41" i="6"/>
  <c r="H45" i="6"/>
  <c r="K40" i="6"/>
  <c r="Q132" i="6" l="1"/>
  <c r="V132" i="6"/>
  <c r="T31" i="6"/>
  <c r="S31" i="6"/>
  <c r="S32" i="6" s="1"/>
  <c r="S33" i="6" s="1"/>
  <c r="L39" i="6"/>
  <c r="R132" i="6"/>
  <c r="F133" i="6"/>
  <c r="E133" i="6" s="1"/>
  <c r="M36" i="6"/>
  <c r="L38" i="6"/>
  <c r="H46" i="6"/>
  <c r="J44" i="6" s="1"/>
  <c r="J43" i="6"/>
  <c r="Q133" i="6" l="1"/>
  <c r="V133" i="6"/>
  <c r="M38" i="6"/>
  <c r="N35" i="6"/>
  <c r="M37" i="6"/>
  <c r="R133" i="6"/>
  <c r="F134" i="6"/>
  <c r="E134" i="6" s="1"/>
  <c r="U32" i="6"/>
  <c r="U31" i="6"/>
  <c r="U30" i="6"/>
  <c r="K43" i="6"/>
  <c r="K42" i="6"/>
  <c r="H47" i="6"/>
  <c r="J45" i="6" s="1"/>
  <c r="Q134" i="6" l="1"/>
  <c r="V134" i="6"/>
  <c r="L41" i="6"/>
  <c r="L40" i="6"/>
  <c r="R134" i="6"/>
  <c r="F135" i="6"/>
  <c r="E135" i="6" s="1"/>
  <c r="N36" i="6"/>
  <c r="O35" i="6" s="1"/>
  <c r="T35" i="6" s="1"/>
  <c r="O34" i="6"/>
  <c r="N37" i="6"/>
  <c r="K44" i="6"/>
  <c r="H48" i="6"/>
  <c r="Q135" i="6" l="1"/>
  <c r="V135" i="6"/>
  <c r="T34" i="6"/>
  <c r="S34" i="6"/>
  <c r="S35" i="6" s="1"/>
  <c r="O36" i="6"/>
  <c r="T36" i="6" s="1"/>
  <c r="F136" i="6"/>
  <c r="E136" i="6" s="1"/>
  <c r="R135" i="6"/>
  <c r="L42" i="6"/>
  <c r="M40" i="6"/>
  <c r="M39" i="6"/>
  <c r="J46" i="6"/>
  <c r="K45" i="6" s="1"/>
  <c r="L43" i="6" s="1"/>
  <c r="H49" i="6"/>
  <c r="J47" i="6" s="1"/>
  <c r="Q136" i="6" l="1"/>
  <c r="V136" i="6"/>
  <c r="M42" i="6"/>
  <c r="N38" i="6"/>
  <c r="N39" i="6"/>
  <c r="M41" i="6"/>
  <c r="F137" i="6"/>
  <c r="E137" i="6" s="1"/>
  <c r="R136" i="6"/>
  <c r="U34" i="6"/>
  <c r="U35" i="6"/>
  <c r="U33" i="6"/>
  <c r="N41" i="6"/>
  <c r="S36" i="6"/>
  <c r="K46" i="6"/>
  <c r="H50" i="6"/>
  <c r="J48" i="6" s="1"/>
  <c r="Q137" i="6" l="1"/>
  <c r="V137" i="6"/>
  <c r="L44" i="6"/>
  <c r="N40" i="6"/>
  <c r="F138" i="6"/>
  <c r="E138" i="6" s="1"/>
  <c r="R137" i="6"/>
  <c r="O39" i="6"/>
  <c r="T39" i="6" s="1"/>
  <c r="O38" i="6"/>
  <c r="T38" i="6" s="1"/>
  <c r="O37" i="6"/>
  <c r="T37" i="6" s="1"/>
  <c r="K47" i="6"/>
  <c r="H51" i="6"/>
  <c r="Q138" i="6" l="1"/>
  <c r="V138" i="6"/>
  <c r="R138" i="6"/>
  <c r="F139" i="6"/>
  <c r="E139" i="6" s="1"/>
  <c r="M43" i="6"/>
  <c r="U38" i="6"/>
  <c r="U37" i="6"/>
  <c r="U36" i="6"/>
  <c r="S37" i="6"/>
  <c r="S38" i="6" s="1"/>
  <c r="S39" i="6" s="1"/>
  <c r="L45" i="6"/>
  <c r="O40" i="6"/>
  <c r="T40" i="6" s="1"/>
  <c r="J49" i="6"/>
  <c r="H52" i="6"/>
  <c r="J50" i="6" s="1"/>
  <c r="V139" i="6" l="1"/>
  <c r="Q139" i="6"/>
  <c r="R139" i="6"/>
  <c r="F140" i="6"/>
  <c r="E140" i="6" s="1"/>
  <c r="S40" i="6"/>
  <c r="N42" i="6"/>
  <c r="M44" i="6"/>
  <c r="U39" i="6"/>
  <c r="H53" i="6"/>
  <c r="K48" i="6"/>
  <c r="K49" i="6"/>
  <c r="V140" i="6" l="1"/>
  <c r="Q140" i="6"/>
  <c r="L47" i="6"/>
  <c r="L46" i="6"/>
  <c r="O41" i="6"/>
  <c r="T41" i="6" s="1"/>
  <c r="N43" i="6"/>
  <c r="O42" i="6" s="1"/>
  <c r="T42" i="6" s="1"/>
  <c r="R140" i="6"/>
  <c r="F141" i="6"/>
  <c r="E141" i="6" s="1"/>
  <c r="J51" i="6"/>
  <c r="H54" i="6"/>
  <c r="Q141" i="6" l="1"/>
  <c r="V141" i="6"/>
  <c r="U41" i="6"/>
  <c r="U40" i="6"/>
  <c r="R141" i="6"/>
  <c r="F142" i="6"/>
  <c r="E142" i="6" s="1"/>
  <c r="S41" i="6"/>
  <c r="S42" i="6" s="1"/>
  <c r="M45" i="6"/>
  <c r="M46" i="6"/>
  <c r="J52" i="6"/>
  <c r="H55" i="6"/>
  <c r="J53" i="6" s="1"/>
  <c r="K50" i="6"/>
  <c r="V142" i="6" l="1"/>
  <c r="Q142" i="6"/>
  <c r="K52" i="6"/>
  <c r="L48" i="6"/>
  <c r="N44" i="6"/>
  <c r="N45" i="6"/>
  <c r="R142" i="6"/>
  <c r="F143" i="6"/>
  <c r="E143" i="6" s="1"/>
  <c r="H56" i="6"/>
  <c r="J54" i="6" s="1"/>
  <c r="K53" i="6" s="1"/>
  <c r="K51" i="6"/>
  <c r="V143" i="6" l="1"/>
  <c r="Q143" i="6"/>
  <c r="L50" i="6"/>
  <c r="R143" i="6"/>
  <c r="F144" i="6"/>
  <c r="E144" i="6" s="1"/>
  <c r="M47" i="6"/>
  <c r="O43" i="6"/>
  <c r="O44" i="6"/>
  <c r="T44" i="6" s="1"/>
  <c r="L51" i="6"/>
  <c r="L49" i="6"/>
  <c r="H57" i="6"/>
  <c r="Q144" i="6" l="1"/>
  <c r="V144" i="6"/>
  <c r="M50" i="6"/>
  <c r="T43" i="6"/>
  <c r="S43" i="6"/>
  <c r="S44" i="6" s="1"/>
  <c r="N46" i="6"/>
  <c r="M48" i="6"/>
  <c r="M49" i="6"/>
  <c r="R144" i="6"/>
  <c r="F145" i="6"/>
  <c r="E145" i="6" s="1"/>
  <c r="H58" i="6"/>
  <c r="J55" i="6"/>
  <c r="Q145" i="6" l="1"/>
  <c r="V145" i="6"/>
  <c r="R145" i="6"/>
  <c r="F146" i="6"/>
  <c r="E146" i="6" s="1"/>
  <c r="N49" i="6"/>
  <c r="N47" i="6"/>
  <c r="O46" i="6" s="1"/>
  <c r="T46" i="6" s="1"/>
  <c r="O45" i="6"/>
  <c r="T45" i="6" s="1"/>
  <c r="U44" i="6" s="1"/>
  <c r="N48" i="6"/>
  <c r="U43" i="6"/>
  <c r="U42" i="6"/>
  <c r="H59" i="6"/>
  <c r="K54" i="6"/>
  <c r="J56" i="6"/>
  <c r="Q146" i="6" l="1"/>
  <c r="V146" i="6"/>
  <c r="S45" i="6"/>
  <c r="S46" i="6"/>
  <c r="O48" i="6"/>
  <c r="T48" i="6" s="1"/>
  <c r="L52" i="6"/>
  <c r="U45" i="6"/>
  <c r="O47" i="6"/>
  <c r="T47" i="6" s="1"/>
  <c r="F147" i="6"/>
  <c r="E147" i="6" s="1"/>
  <c r="R146" i="6"/>
  <c r="K55" i="6"/>
  <c r="H60" i="6"/>
  <c r="J58" i="6" s="1"/>
  <c r="J57" i="6"/>
  <c r="Q147" i="6" l="1"/>
  <c r="V147" i="6"/>
  <c r="M51" i="6"/>
  <c r="S47" i="6"/>
  <c r="S48" i="6" s="1"/>
  <c r="R147" i="6"/>
  <c r="F148" i="6"/>
  <c r="E148" i="6" s="1"/>
  <c r="U46" i="6"/>
  <c r="L53" i="6"/>
  <c r="U47" i="6"/>
  <c r="K57" i="6"/>
  <c r="K56" i="6"/>
  <c r="H61" i="6"/>
  <c r="Q148" i="6" l="1"/>
  <c r="V148" i="6"/>
  <c r="L55" i="6"/>
  <c r="F149" i="6"/>
  <c r="E149" i="6" s="1"/>
  <c r="R148" i="6"/>
  <c r="N50" i="6"/>
  <c r="M52" i="6"/>
  <c r="L54" i="6"/>
  <c r="J59" i="6"/>
  <c r="H62" i="6"/>
  <c r="Q149" i="6" l="1"/>
  <c r="V149" i="6"/>
  <c r="O49" i="6"/>
  <c r="M53" i="6"/>
  <c r="N51" i="6"/>
  <c r="F150" i="6"/>
  <c r="E150" i="6" s="1"/>
  <c r="R149" i="6"/>
  <c r="M54" i="6"/>
  <c r="H63" i="6"/>
  <c r="J60" i="6"/>
  <c r="K58" i="6"/>
  <c r="Q150" i="6" l="1"/>
  <c r="V150" i="6"/>
  <c r="N53" i="6"/>
  <c r="F151" i="6"/>
  <c r="E151" i="6" s="1"/>
  <c r="R150" i="6"/>
  <c r="L56" i="6"/>
  <c r="N52" i="6"/>
  <c r="O52" i="6" s="1"/>
  <c r="T52" i="6" s="1"/>
  <c r="O50" i="6"/>
  <c r="T50" i="6" s="1"/>
  <c r="T49" i="6"/>
  <c r="S49" i="6"/>
  <c r="O51" i="6"/>
  <c r="T51" i="6" s="1"/>
  <c r="K59" i="6"/>
  <c r="H64" i="6"/>
  <c r="J61" i="6"/>
  <c r="S50" i="6" l="1"/>
  <c r="V151" i="6"/>
  <c r="Q151" i="6"/>
  <c r="S51" i="6"/>
  <c r="S52" i="6" s="1"/>
  <c r="U51" i="6"/>
  <c r="L57" i="6"/>
  <c r="U50" i="6"/>
  <c r="U48" i="6"/>
  <c r="U49" i="6"/>
  <c r="M55" i="6"/>
  <c r="M56" i="6"/>
  <c r="F152" i="6"/>
  <c r="E152" i="6" s="1"/>
  <c r="R151" i="6"/>
  <c r="H65" i="6"/>
  <c r="J63" i="6" s="1"/>
  <c r="K60" i="6"/>
  <c r="J62" i="6"/>
  <c r="Q152" i="6" l="1"/>
  <c r="V152" i="6"/>
  <c r="F153" i="6"/>
  <c r="E153" i="6" s="1"/>
  <c r="R152" i="6"/>
  <c r="N55" i="6"/>
  <c r="N54" i="6"/>
  <c r="L58" i="6"/>
  <c r="K61" i="6"/>
  <c r="H66" i="6"/>
  <c r="K62" i="6"/>
  <c r="V153" i="6" l="1"/>
  <c r="Q153" i="6"/>
  <c r="L60" i="6"/>
  <c r="O54" i="6"/>
  <c r="T54" i="6" s="1"/>
  <c r="O53" i="6"/>
  <c r="L59" i="6"/>
  <c r="M59" i="6" s="1"/>
  <c r="M58" i="6"/>
  <c r="M57" i="6"/>
  <c r="F154" i="6"/>
  <c r="E154" i="6" s="1"/>
  <c r="R153" i="6"/>
  <c r="J64" i="6"/>
  <c r="H67" i="6"/>
  <c r="V154" i="6" l="1"/>
  <c r="Q154" i="6"/>
  <c r="T53" i="6"/>
  <c r="S53" i="6"/>
  <c r="S54" i="6" s="1"/>
  <c r="F155" i="6"/>
  <c r="E155" i="6" s="1"/>
  <c r="R154" i="6"/>
  <c r="N58" i="6"/>
  <c r="N57" i="6"/>
  <c r="N56" i="6"/>
  <c r="H68" i="6"/>
  <c r="J65" i="6"/>
  <c r="K64" i="6" s="1"/>
  <c r="K63" i="6"/>
  <c r="V155" i="6" l="1"/>
  <c r="Q155" i="6"/>
  <c r="L62" i="6"/>
  <c r="L61" i="6"/>
  <c r="F156" i="6"/>
  <c r="R155" i="6"/>
  <c r="O57" i="6"/>
  <c r="T57" i="6" s="1"/>
  <c r="O55" i="6"/>
  <c r="T55" i="6" s="1"/>
  <c r="O56" i="6"/>
  <c r="T56" i="6" s="1"/>
  <c r="U54" i="6"/>
  <c r="U53" i="6"/>
  <c r="U52" i="6"/>
  <c r="J66" i="6"/>
  <c r="H69" i="6"/>
  <c r="F157" i="6" l="1"/>
  <c r="E157" i="6" s="1"/>
  <c r="E156" i="6"/>
  <c r="S55" i="6"/>
  <c r="R157" i="6"/>
  <c r="F158" i="6"/>
  <c r="E158" i="6" s="1"/>
  <c r="H157" i="6"/>
  <c r="S56" i="6"/>
  <c r="S57" i="6" s="1"/>
  <c r="U56" i="6"/>
  <c r="U55" i="6"/>
  <c r="R156" i="6"/>
  <c r="M61" i="6"/>
  <c r="M60" i="6"/>
  <c r="H70" i="6"/>
  <c r="J68" i="6" s="1"/>
  <c r="K65" i="6"/>
  <c r="J67" i="6"/>
  <c r="K66" i="6" s="1"/>
  <c r="V158" i="6" l="1"/>
  <c r="Q158" i="6"/>
  <c r="V156" i="6"/>
  <c r="Q156" i="6"/>
  <c r="V157" i="6"/>
  <c r="Q157" i="6"/>
  <c r="R158" i="6"/>
  <c r="F159" i="6"/>
  <c r="E159" i="6" s="1"/>
  <c r="H158" i="6"/>
  <c r="L63" i="6"/>
  <c r="L64" i="6"/>
  <c r="N60" i="6"/>
  <c r="N59" i="6"/>
  <c r="K67" i="6"/>
  <c r="H71" i="6"/>
  <c r="V159" i="6" l="1"/>
  <c r="Q159" i="6"/>
  <c r="F160" i="6"/>
  <c r="E160" i="6" s="1"/>
  <c r="H159" i="6"/>
  <c r="R159" i="6"/>
  <c r="L65" i="6"/>
  <c r="O59" i="6"/>
  <c r="T59" i="6" s="1"/>
  <c r="O58" i="6"/>
  <c r="M64" i="6"/>
  <c r="M63" i="6"/>
  <c r="M62" i="6"/>
  <c r="H72" i="6"/>
  <c r="J69" i="6"/>
  <c r="V160" i="6" l="1"/>
  <c r="Q160" i="6"/>
  <c r="R160" i="6"/>
  <c r="F161" i="6"/>
  <c r="E161" i="6" s="1"/>
  <c r="H160" i="6"/>
  <c r="N63" i="6"/>
  <c r="N61" i="6"/>
  <c r="N62" i="6"/>
  <c r="T58" i="6"/>
  <c r="S58" i="6"/>
  <c r="S59" i="6" s="1"/>
  <c r="H73" i="6"/>
  <c r="K68" i="6"/>
  <c r="J70" i="6"/>
  <c r="J71" i="6"/>
  <c r="V161" i="6" l="1"/>
  <c r="Q161" i="6"/>
  <c r="R161" i="6"/>
  <c r="F162" i="6"/>
  <c r="E162" i="6" s="1"/>
  <c r="H161" i="6"/>
  <c r="J159" i="6"/>
  <c r="L66" i="6"/>
  <c r="O62" i="6"/>
  <c r="T62" i="6" s="1"/>
  <c r="O61" i="6"/>
  <c r="T61" i="6" s="1"/>
  <c r="O60" i="6"/>
  <c r="T60" i="6" s="1"/>
  <c r="U59" i="6" s="1"/>
  <c r="U58" i="6"/>
  <c r="U57" i="6"/>
  <c r="K70" i="6"/>
  <c r="H74" i="6"/>
  <c r="K69" i="6"/>
  <c r="V162" i="6" l="1"/>
  <c r="Q162" i="6"/>
  <c r="R162" i="6"/>
  <c r="F163" i="6"/>
  <c r="E163" i="6" s="1"/>
  <c r="H162" i="6"/>
  <c r="L68" i="6"/>
  <c r="L67" i="6"/>
  <c r="U61" i="6"/>
  <c r="U60" i="6"/>
  <c r="S60" i="6"/>
  <c r="S61" i="6" s="1"/>
  <c r="S62" i="6" s="1"/>
  <c r="M67" i="6"/>
  <c r="M65" i="6"/>
  <c r="M66" i="6"/>
  <c r="J72" i="6"/>
  <c r="H75" i="6"/>
  <c r="V163" i="6" l="1"/>
  <c r="Q163" i="6"/>
  <c r="R163" i="6"/>
  <c r="H163" i="6"/>
  <c r="F164" i="6"/>
  <c r="E164" i="6" s="1"/>
  <c r="J161" i="6"/>
  <c r="J160" i="6"/>
  <c r="N66" i="6"/>
  <c r="N65" i="6"/>
  <c r="N64" i="6"/>
  <c r="H76" i="6"/>
  <c r="J74" i="6" s="1"/>
  <c r="J73" i="6"/>
  <c r="K71" i="6"/>
  <c r="Q164" i="6" l="1"/>
  <c r="V164" i="6"/>
  <c r="K160" i="6"/>
  <c r="R164" i="6"/>
  <c r="F165" i="6"/>
  <c r="E165" i="6" s="1"/>
  <c r="H164" i="6"/>
  <c r="O65" i="6"/>
  <c r="T65" i="6" s="1"/>
  <c r="L69" i="6"/>
  <c r="O63" i="6"/>
  <c r="O64" i="6"/>
  <c r="T64" i="6" s="1"/>
  <c r="K73" i="6"/>
  <c r="H77" i="6"/>
  <c r="K72" i="6"/>
  <c r="Q165" i="6" l="1"/>
  <c r="V165" i="6"/>
  <c r="R165" i="6"/>
  <c r="F166" i="6"/>
  <c r="E166" i="6" s="1"/>
  <c r="H165" i="6"/>
  <c r="J162" i="6"/>
  <c r="L70" i="6"/>
  <c r="T63" i="6"/>
  <c r="S63" i="6"/>
  <c r="S64" i="6" s="1"/>
  <c r="S65" i="6" s="1"/>
  <c r="L71" i="6"/>
  <c r="M70" i="6" s="1"/>
  <c r="M69" i="6"/>
  <c r="M68" i="6"/>
  <c r="H78" i="6"/>
  <c r="J76" i="6" s="1"/>
  <c r="J75" i="6"/>
  <c r="Q166" i="6" l="1"/>
  <c r="V166" i="6"/>
  <c r="K161" i="6"/>
  <c r="F167" i="6"/>
  <c r="E167" i="6" s="1"/>
  <c r="H166" i="6"/>
  <c r="R166" i="6"/>
  <c r="J163" i="6"/>
  <c r="N69" i="6"/>
  <c r="N67" i="6"/>
  <c r="N68" i="6"/>
  <c r="U64" i="6"/>
  <c r="U62" i="6"/>
  <c r="U63" i="6"/>
  <c r="K74" i="6"/>
  <c r="K75" i="6"/>
  <c r="H79" i="6"/>
  <c r="Q167" i="6" l="1"/>
  <c r="V167" i="6"/>
  <c r="K162" i="6"/>
  <c r="J164" i="6"/>
  <c r="R167" i="6"/>
  <c r="F168" i="6"/>
  <c r="E168" i="6" s="1"/>
  <c r="H167" i="6"/>
  <c r="K163" i="6"/>
  <c r="L73" i="6"/>
  <c r="L72" i="6"/>
  <c r="O68" i="6"/>
  <c r="T68" i="6" s="1"/>
  <c r="O67" i="6"/>
  <c r="T67" i="6" s="1"/>
  <c r="O66" i="6"/>
  <c r="H80" i="6"/>
  <c r="J78" i="6" s="1"/>
  <c r="J77" i="6"/>
  <c r="Q168" i="6" l="1"/>
  <c r="V168" i="6"/>
  <c r="F169" i="6"/>
  <c r="E169" i="6" s="1"/>
  <c r="R168" i="6"/>
  <c r="H168" i="6"/>
  <c r="J166" i="6"/>
  <c r="J165" i="6"/>
  <c r="K165" i="6" s="1"/>
  <c r="T66" i="6"/>
  <c r="S66" i="6"/>
  <c r="S67" i="6" s="1"/>
  <c r="S68" i="6" s="1"/>
  <c r="M72" i="6"/>
  <c r="M71" i="6"/>
  <c r="K77" i="6"/>
  <c r="K76" i="6"/>
  <c r="H81" i="6"/>
  <c r="Q169" i="6" l="1"/>
  <c r="V169" i="6"/>
  <c r="K164" i="6"/>
  <c r="R169" i="6"/>
  <c r="F170" i="6"/>
  <c r="E170" i="6" s="1"/>
  <c r="H169" i="6"/>
  <c r="L75" i="6"/>
  <c r="L74" i="6"/>
  <c r="N70" i="6"/>
  <c r="N71" i="6"/>
  <c r="U67" i="6"/>
  <c r="U65" i="6"/>
  <c r="U66" i="6"/>
  <c r="H82" i="6"/>
  <c r="J80" i="6" s="1"/>
  <c r="J79" i="6"/>
  <c r="Q170" i="6" l="1"/>
  <c r="V170" i="6"/>
  <c r="J167" i="6"/>
  <c r="R170" i="6"/>
  <c r="H171" i="6"/>
  <c r="J173" i="6" s="1"/>
  <c r="K174" i="6" s="1"/>
  <c r="L176" i="6" s="1"/>
  <c r="M177" i="6" s="1"/>
  <c r="N178" i="6" s="1"/>
  <c r="O179" i="6" s="1"/>
  <c r="T179" i="6" s="1"/>
  <c r="H170" i="6"/>
  <c r="J168" i="6" s="1"/>
  <c r="L163" i="6"/>
  <c r="L162" i="6"/>
  <c r="O70" i="6"/>
  <c r="T70" i="6" s="1"/>
  <c r="O69" i="6"/>
  <c r="M73" i="6"/>
  <c r="M74" i="6"/>
  <c r="K79" i="6"/>
  <c r="K78" i="6"/>
  <c r="H83" i="6"/>
  <c r="J170" i="6" l="1"/>
  <c r="K171" i="6" s="1"/>
  <c r="L173" i="6" s="1"/>
  <c r="M174" i="6" s="1"/>
  <c r="N175" i="6" s="1"/>
  <c r="O176" i="6" s="1"/>
  <c r="T176" i="6" s="1"/>
  <c r="U181" i="6"/>
  <c r="J172" i="6"/>
  <c r="K173" i="6" s="1"/>
  <c r="L175" i="6" s="1"/>
  <c r="M176" i="6" s="1"/>
  <c r="N177" i="6" s="1"/>
  <c r="O178" i="6" s="1"/>
  <c r="T178" i="6" s="1"/>
  <c r="J169" i="6"/>
  <c r="K170" i="6" s="1"/>
  <c r="L172" i="6" s="1"/>
  <c r="M173" i="6" s="1"/>
  <c r="N174" i="6" s="1"/>
  <c r="O175" i="6" s="1"/>
  <c r="T175" i="6" s="1"/>
  <c r="K166" i="6"/>
  <c r="K167" i="6"/>
  <c r="J171" i="6"/>
  <c r="K172" i="6" s="1"/>
  <c r="L174" i="6" s="1"/>
  <c r="M175" i="6" s="1"/>
  <c r="N176" i="6" s="1"/>
  <c r="O177" i="6" s="1"/>
  <c r="T177" i="6" s="1"/>
  <c r="U178" i="6" s="1"/>
  <c r="L76" i="6"/>
  <c r="L77" i="6"/>
  <c r="N72" i="6"/>
  <c r="N73" i="6"/>
  <c r="T69" i="6"/>
  <c r="S69" i="6"/>
  <c r="S70" i="6" s="1"/>
  <c r="J81" i="6"/>
  <c r="H84" i="6"/>
  <c r="U179" i="6" l="1"/>
  <c r="U180" i="6"/>
  <c r="L164" i="6"/>
  <c r="L165" i="6"/>
  <c r="K168" i="6"/>
  <c r="L170" i="6" s="1"/>
  <c r="M171" i="6" s="1"/>
  <c r="N172" i="6" s="1"/>
  <c r="O173" i="6" s="1"/>
  <c r="T173" i="6" s="1"/>
  <c r="U177" i="6"/>
  <c r="K169" i="6"/>
  <c r="L171" i="6" s="1"/>
  <c r="M172" i="6" s="1"/>
  <c r="N173" i="6" s="1"/>
  <c r="O174" i="6" s="1"/>
  <c r="T174" i="6" s="1"/>
  <c r="U69" i="6"/>
  <c r="U68" i="6"/>
  <c r="O72" i="6"/>
  <c r="T72" i="6" s="1"/>
  <c r="O71" i="6"/>
  <c r="T71" i="6" s="1"/>
  <c r="M75" i="6"/>
  <c r="M76" i="6"/>
  <c r="H86" i="6"/>
  <c r="H85" i="6"/>
  <c r="J82" i="6"/>
  <c r="K81" i="6" s="1"/>
  <c r="K80" i="6"/>
  <c r="U175" i="6" l="1"/>
  <c r="M163" i="6"/>
  <c r="M164" i="6"/>
  <c r="L168" i="6"/>
  <c r="M169" i="6" s="1"/>
  <c r="N170" i="6" s="1"/>
  <c r="O171" i="6" s="1"/>
  <c r="T171" i="6" s="1"/>
  <c r="U176" i="6"/>
  <c r="L167" i="6"/>
  <c r="M168" i="6" s="1"/>
  <c r="N169" i="6" s="1"/>
  <c r="O170" i="6" s="1"/>
  <c r="T170" i="6" s="1"/>
  <c r="L166" i="6"/>
  <c r="M167" i="6" s="1"/>
  <c r="N168" i="6" s="1"/>
  <c r="O169" i="6" s="1"/>
  <c r="T169" i="6" s="1"/>
  <c r="L169" i="6"/>
  <c r="M170" i="6" s="1"/>
  <c r="N171" i="6" s="1"/>
  <c r="O172" i="6" s="1"/>
  <c r="T172" i="6" s="1"/>
  <c r="U173" i="6" s="1"/>
  <c r="N74" i="6"/>
  <c r="N75" i="6"/>
  <c r="U71" i="6"/>
  <c r="L78" i="6"/>
  <c r="L79" i="6"/>
  <c r="U70" i="6"/>
  <c r="S71" i="6"/>
  <c r="S72" i="6" s="1"/>
  <c r="J84" i="6"/>
  <c r="H87" i="6"/>
  <c r="J85" i="6" s="1"/>
  <c r="J83" i="6"/>
  <c r="K82" i="6" s="1"/>
  <c r="U171" i="6" l="1"/>
  <c r="U174" i="6"/>
  <c r="U172" i="6"/>
  <c r="M166" i="6"/>
  <c r="N167" i="6" s="1"/>
  <c r="O168" i="6" s="1"/>
  <c r="T168" i="6" s="1"/>
  <c r="M165" i="6"/>
  <c r="N166" i="6" s="1"/>
  <c r="O167" i="6" s="1"/>
  <c r="T167" i="6" s="1"/>
  <c r="M78" i="6"/>
  <c r="M77" i="6"/>
  <c r="O73" i="6"/>
  <c r="T73" i="6" s="1"/>
  <c r="O74" i="6"/>
  <c r="T74" i="6" s="1"/>
  <c r="L80" i="6"/>
  <c r="K83" i="6"/>
  <c r="K84" i="6"/>
  <c r="H88" i="6"/>
  <c r="J86" i="6" s="1"/>
  <c r="U169" i="6" l="1"/>
  <c r="N164" i="6"/>
  <c r="O165" i="6" s="1"/>
  <c r="T165" i="6" s="1"/>
  <c r="N165" i="6"/>
  <c r="O166" i="6" s="1"/>
  <c r="T166" i="6" s="1"/>
  <c r="U170" i="6"/>
  <c r="U73" i="6"/>
  <c r="U72" i="6"/>
  <c r="M79" i="6"/>
  <c r="L82" i="6"/>
  <c r="L81" i="6"/>
  <c r="M80" i="6" s="1"/>
  <c r="N78" i="6"/>
  <c r="N76" i="6"/>
  <c r="N77" i="6"/>
  <c r="S73" i="6"/>
  <c r="S74" i="6" s="1"/>
  <c r="K85" i="6"/>
  <c r="H89" i="6"/>
  <c r="J87" i="6" s="1"/>
  <c r="U168" i="6" l="1"/>
  <c r="U167" i="6"/>
  <c r="N79" i="6"/>
  <c r="O77" i="6"/>
  <c r="T77" i="6" s="1"/>
  <c r="O75" i="6"/>
  <c r="T75" i="6" s="1"/>
  <c r="O76" i="6"/>
  <c r="T76" i="6" s="1"/>
  <c r="O78" i="6"/>
  <c r="T78" i="6" s="1"/>
  <c r="L83" i="6"/>
  <c r="M81" i="6"/>
  <c r="K86" i="6"/>
  <c r="H90" i="6"/>
  <c r="J88" i="6" s="1"/>
  <c r="N80" i="6" l="1"/>
  <c r="M82" i="6"/>
  <c r="U77" i="6"/>
  <c r="U76" i="6"/>
  <c r="U74" i="6"/>
  <c r="U75" i="6"/>
  <c r="S75" i="6"/>
  <c r="S76" i="6" s="1"/>
  <c r="S77" i="6" s="1"/>
  <c r="S78" i="6" s="1"/>
  <c r="N81" i="6"/>
  <c r="L84" i="6"/>
  <c r="K87" i="6"/>
  <c r="H91" i="6"/>
  <c r="O80" i="6" l="1"/>
  <c r="T80" i="6" s="1"/>
  <c r="M83" i="6"/>
  <c r="O79" i="6"/>
  <c r="T79" i="6" s="1"/>
  <c r="N82" i="6"/>
  <c r="L85" i="6"/>
  <c r="J89" i="6"/>
  <c r="H92" i="6"/>
  <c r="O81" i="6" l="1"/>
  <c r="T81" i="6" s="1"/>
  <c r="S79" i="6"/>
  <c r="S80" i="6" s="1"/>
  <c r="S81" i="6" s="1"/>
  <c r="U80" i="6"/>
  <c r="U79" i="6"/>
  <c r="U78" i="6"/>
  <c r="M84" i="6"/>
  <c r="H93" i="6"/>
  <c r="J91" i="6" s="1"/>
  <c r="J90" i="6"/>
  <c r="K88" i="6"/>
  <c r="L86" i="6" l="1"/>
  <c r="N83" i="6"/>
  <c r="K89" i="6"/>
  <c r="K90" i="6"/>
  <c r="H94" i="6"/>
  <c r="O82" i="6" l="1"/>
  <c r="L88" i="6"/>
  <c r="M85" i="6"/>
  <c r="L87" i="6"/>
  <c r="H95" i="6"/>
  <c r="J92" i="6"/>
  <c r="N84" i="6" l="1"/>
  <c r="M86" i="6"/>
  <c r="M87" i="6"/>
  <c r="T82" i="6"/>
  <c r="S82" i="6"/>
  <c r="K91" i="6"/>
  <c r="H96" i="6"/>
  <c r="J94" i="6" s="1"/>
  <c r="J93" i="6"/>
  <c r="U81" i="6" l="1"/>
  <c r="L89" i="6"/>
  <c r="O83" i="6"/>
  <c r="T83" i="6" s="1"/>
  <c r="N85" i="6"/>
  <c r="N86" i="6"/>
  <c r="H97" i="6"/>
  <c r="J95" i="6" s="1"/>
  <c r="K92" i="6"/>
  <c r="L90" i="6" s="1"/>
  <c r="K93" i="6"/>
  <c r="O84" i="6" l="1"/>
  <c r="T84" i="6" s="1"/>
  <c r="L91" i="6"/>
  <c r="O85" i="6"/>
  <c r="T85" i="6" s="1"/>
  <c r="U84" i="6" s="1"/>
  <c r="S83" i="6"/>
  <c r="S84" i="6" s="1"/>
  <c r="S85" i="6" s="1"/>
  <c r="M90" i="6"/>
  <c r="M88" i="6"/>
  <c r="M89" i="6"/>
  <c r="U83" i="6"/>
  <c r="U82" i="6"/>
  <c r="H98" i="6"/>
  <c r="K94" i="6"/>
  <c r="L92" i="6" s="1"/>
  <c r="N89" i="6" l="1"/>
  <c r="N88" i="6"/>
  <c r="N87" i="6"/>
  <c r="M91" i="6"/>
  <c r="J96" i="6"/>
  <c r="H99" i="6"/>
  <c r="O88" i="6" l="1"/>
  <c r="T88" i="6" s="1"/>
  <c r="O86" i="6"/>
  <c r="O87" i="6"/>
  <c r="T87" i="6" s="1"/>
  <c r="N90" i="6"/>
  <c r="O89" i="6" s="1"/>
  <c r="T89" i="6" s="1"/>
  <c r="H100" i="6"/>
  <c r="J98" i="6" s="1"/>
  <c r="K95" i="6"/>
  <c r="J97" i="6"/>
  <c r="L93" i="6" l="1"/>
  <c r="T86" i="6"/>
  <c r="S86" i="6"/>
  <c r="S87" i="6" s="1"/>
  <c r="S88" i="6" s="1"/>
  <c r="S89" i="6" s="1"/>
  <c r="K96" i="6"/>
  <c r="K97" i="6"/>
  <c r="H101" i="6"/>
  <c r="J99" i="6" s="1"/>
  <c r="K98" i="6" s="1"/>
  <c r="L95" i="6" l="1"/>
  <c r="U87" i="6"/>
  <c r="U85" i="6"/>
  <c r="U86" i="6"/>
  <c r="U88" i="6"/>
  <c r="L96" i="6"/>
  <c r="M92" i="6"/>
  <c r="L94" i="6"/>
  <c r="M95" i="6" s="1"/>
  <c r="H102" i="6"/>
  <c r="M93" i="6" l="1"/>
  <c r="N91" i="6"/>
  <c r="N92" i="6"/>
  <c r="M94" i="6"/>
  <c r="H103" i="6"/>
  <c r="J100" i="6"/>
  <c r="J101" i="6"/>
  <c r="O90" i="6" l="1"/>
  <c r="O91" i="6"/>
  <c r="T91" i="6" s="1"/>
  <c r="N93" i="6"/>
  <c r="N94" i="6"/>
  <c r="K99" i="6"/>
  <c r="K100" i="6"/>
  <c r="H104" i="6"/>
  <c r="J102" i="6"/>
  <c r="L98" i="6" l="1"/>
  <c r="L97" i="6"/>
  <c r="T90" i="6"/>
  <c r="S90" i="6"/>
  <c r="S91" i="6" s="1"/>
  <c r="O92" i="6"/>
  <c r="T92" i="6" s="1"/>
  <c r="O93" i="6"/>
  <c r="T93" i="6" s="1"/>
  <c r="H105" i="6"/>
  <c r="K101" i="6"/>
  <c r="S92" i="6" l="1"/>
  <c r="S93" i="6" s="1"/>
  <c r="U90" i="6"/>
  <c r="U91" i="6"/>
  <c r="U89" i="6"/>
  <c r="U92" i="6"/>
  <c r="M97" i="6"/>
  <c r="M96" i="6"/>
  <c r="L99" i="6"/>
  <c r="M98" i="6" s="1"/>
  <c r="H106" i="6"/>
  <c r="J103" i="6"/>
  <c r="N97" i="6" l="1"/>
  <c r="N96" i="6"/>
  <c r="N95" i="6"/>
  <c r="K102" i="6"/>
  <c r="J104" i="6"/>
  <c r="H107" i="6"/>
  <c r="J105" i="6" s="1"/>
  <c r="O96" i="6" l="1"/>
  <c r="T96" i="6" s="1"/>
  <c r="O94" i="6"/>
  <c r="O95" i="6"/>
  <c r="T95" i="6" s="1"/>
  <c r="L100" i="6"/>
  <c r="H108" i="6"/>
  <c r="K103" i="6"/>
  <c r="K104" i="6"/>
  <c r="L102" i="6" l="1"/>
  <c r="M99" i="6"/>
  <c r="L101" i="6"/>
  <c r="T94" i="6"/>
  <c r="S94" i="6"/>
  <c r="S95" i="6" s="1"/>
  <c r="S96" i="6" s="1"/>
  <c r="H109" i="6"/>
  <c r="J106" i="6"/>
  <c r="U95" i="6" l="1"/>
  <c r="U94" i="6"/>
  <c r="U93" i="6"/>
  <c r="M101" i="6"/>
  <c r="N98" i="6"/>
  <c r="M100" i="6"/>
  <c r="N99" i="6" s="1"/>
  <c r="K105" i="6"/>
  <c r="H110" i="6"/>
  <c r="J108" i="6" s="1"/>
  <c r="J107" i="6"/>
  <c r="L103" i="6" l="1"/>
  <c r="O98" i="6"/>
  <c r="T98" i="6" s="1"/>
  <c r="O97" i="6"/>
  <c r="N100" i="6"/>
  <c r="H111" i="6"/>
  <c r="K106" i="6"/>
  <c r="K107" i="6"/>
  <c r="L105" i="6" l="1"/>
  <c r="O99" i="6"/>
  <c r="T99" i="6" s="1"/>
  <c r="T97" i="6"/>
  <c r="S97" i="6"/>
  <c r="S98" i="6" s="1"/>
  <c r="S99" i="6" s="1"/>
  <c r="M102" i="6"/>
  <c r="L104" i="6"/>
  <c r="M104" i="6" s="1"/>
  <c r="H112" i="6"/>
  <c r="J109" i="6"/>
  <c r="N101" i="6" l="1"/>
  <c r="M103" i="6"/>
  <c r="U98" i="6"/>
  <c r="U96" i="6"/>
  <c r="U97" i="6"/>
  <c r="K108" i="6"/>
  <c r="H113" i="6"/>
  <c r="J110" i="6"/>
  <c r="L106" i="6" l="1"/>
  <c r="N102" i="6"/>
  <c r="O101" i="6" s="1"/>
  <c r="T101" i="6" s="1"/>
  <c r="O100" i="6"/>
  <c r="N103" i="6"/>
  <c r="H114" i="6"/>
  <c r="K109" i="6"/>
  <c r="J111" i="6"/>
  <c r="T100" i="6" l="1"/>
  <c r="S100" i="6"/>
  <c r="S101" i="6" s="1"/>
  <c r="O102" i="6"/>
  <c r="T102" i="6" s="1"/>
  <c r="L107" i="6"/>
  <c r="M106" i="6" s="1"/>
  <c r="M105" i="6"/>
  <c r="K110" i="6"/>
  <c r="H115" i="6"/>
  <c r="J112" i="6"/>
  <c r="N105" i="6" l="1"/>
  <c r="N104" i="6"/>
  <c r="S102" i="6"/>
  <c r="U101" i="6"/>
  <c r="U99" i="6"/>
  <c r="U100" i="6"/>
  <c r="L108" i="6"/>
  <c r="K111" i="6"/>
  <c r="H116" i="6"/>
  <c r="J113" i="6"/>
  <c r="K112" i="6" s="1"/>
  <c r="L110" i="6" l="1"/>
  <c r="M107" i="6"/>
  <c r="L109" i="6"/>
  <c r="O104" i="6"/>
  <c r="T104" i="6" s="1"/>
  <c r="O103" i="6"/>
  <c r="T103" i="6" s="1"/>
  <c r="H117" i="6"/>
  <c r="J115" i="6" s="1"/>
  <c r="J114" i="6"/>
  <c r="U102" i="6" l="1"/>
  <c r="U103" i="6"/>
  <c r="M108" i="6"/>
  <c r="S103" i="6"/>
  <c r="S104" i="6" s="1"/>
  <c r="N106" i="6"/>
  <c r="N107" i="6"/>
  <c r="M109" i="6"/>
  <c r="N108" i="6" s="1"/>
  <c r="K114" i="6"/>
  <c r="H118" i="6"/>
  <c r="J116" i="6" s="1"/>
  <c r="K113" i="6"/>
  <c r="L111" i="6" l="1"/>
  <c r="L112" i="6"/>
  <c r="O107" i="6"/>
  <c r="T107" i="6" s="1"/>
  <c r="O106" i="6"/>
  <c r="T106" i="6" s="1"/>
  <c r="O105" i="6"/>
  <c r="T105" i="6" s="1"/>
  <c r="H119" i="6"/>
  <c r="J117" i="6" s="1"/>
  <c r="K115" i="6"/>
  <c r="S105" i="6" l="1"/>
  <c r="S106" i="6" s="1"/>
  <c r="S107" i="6" s="1"/>
  <c r="U106" i="6"/>
  <c r="U105" i="6"/>
  <c r="U104" i="6"/>
  <c r="L113" i="6"/>
  <c r="M112" i="6" s="1"/>
  <c r="M111" i="6"/>
  <c r="M110" i="6"/>
  <c r="H120" i="6"/>
  <c r="J118" i="6" s="1"/>
  <c r="K116" i="6"/>
  <c r="N111" i="6" l="1"/>
  <c r="N110" i="6"/>
  <c r="N109" i="6"/>
  <c r="L114" i="6"/>
  <c r="M113" i="6"/>
  <c r="K117" i="6"/>
  <c r="H121" i="6"/>
  <c r="L115" i="6" l="1"/>
  <c r="N112" i="6"/>
  <c r="O110" i="6"/>
  <c r="T110" i="6" s="1"/>
  <c r="O109" i="6"/>
  <c r="T109" i="6" s="1"/>
  <c r="O108" i="6"/>
  <c r="O111" i="6"/>
  <c r="T111" i="6" s="1"/>
  <c r="H122" i="6"/>
  <c r="J119" i="6"/>
  <c r="T108" i="6" l="1"/>
  <c r="U110" i="6" s="1"/>
  <c r="S108" i="6"/>
  <c r="S109" i="6" s="1"/>
  <c r="S110" i="6" s="1"/>
  <c r="S111" i="6" s="1"/>
  <c r="M114" i="6"/>
  <c r="K118" i="6"/>
  <c r="J120" i="6"/>
  <c r="H123" i="6"/>
  <c r="N113" i="6" l="1"/>
  <c r="L116" i="6"/>
  <c r="U109" i="6"/>
  <c r="U107" i="6"/>
  <c r="U108" i="6"/>
  <c r="H124" i="6"/>
  <c r="J121" i="6"/>
  <c r="K120" i="6" s="1"/>
  <c r="K119" i="6"/>
  <c r="L118" i="6" l="1"/>
  <c r="M115" i="6"/>
  <c r="L117" i="6"/>
  <c r="O112" i="6"/>
  <c r="H125" i="6"/>
  <c r="J123" i="6" s="1"/>
  <c r="J122" i="6"/>
  <c r="T112" i="6" l="1"/>
  <c r="S112" i="6"/>
  <c r="M117" i="6"/>
  <c r="M116" i="6"/>
  <c r="N114" i="6"/>
  <c r="H126" i="6"/>
  <c r="J124" i="6" s="1"/>
  <c r="K121" i="6"/>
  <c r="K122" i="6"/>
  <c r="L120" i="6" l="1"/>
  <c r="L119" i="6"/>
  <c r="O113" i="6"/>
  <c r="T113" i="6" s="1"/>
  <c r="N115" i="6"/>
  <c r="N116" i="6"/>
  <c r="S113" i="6"/>
  <c r="U111" i="6"/>
  <c r="U112" i="6"/>
  <c r="H127" i="6"/>
  <c r="K123" i="6"/>
  <c r="O114" i="6" l="1"/>
  <c r="T114" i="6" s="1"/>
  <c r="O115" i="6"/>
  <c r="T115" i="6" s="1"/>
  <c r="M118" i="6"/>
  <c r="M119" i="6"/>
  <c r="L121" i="6"/>
  <c r="H128" i="6"/>
  <c r="J126" i="6" s="1"/>
  <c r="J125" i="6"/>
  <c r="U114" i="6" l="1"/>
  <c r="N117" i="6"/>
  <c r="N118" i="6"/>
  <c r="S114" i="6"/>
  <c r="S115" i="6" s="1"/>
  <c r="M120" i="6"/>
  <c r="U113" i="6"/>
  <c r="K125" i="6"/>
  <c r="K124" i="6"/>
  <c r="H129" i="6"/>
  <c r="L123" i="6" l="1"/>
  <c r="L122" i="6"/>
  <c r="O116" i="6"/>
  <c r="T116" i="6" s="1"/>
  <c r="O117" i="6"/>
  <c r="T117" i="6" s="1"/>
  <c r="N119" i="6"/>
  <c r="J127" i="6"/>
  <c r="H130" i="6"/>
  <c r="J128" i="6" s="1"/>
  <c r="S116" i="6" l="1"/>
  <c r="S117" i="6" s="1"/>
  <c r="U116" i="6"/>
  <c r="U115" i="6"/>
  <c r="O118" i="6"/>
  <c r="M122" i="6"/>
  <c r="M121" i="6"/>
  <c r="H131" i="6"/>
  <c r="J129" i="6" s="1"/>
  <c r="K127" i="6"/>
  <c r="K126" i="6"/>
  <c r="L124" i="6" l="1"/>
  <c r="L125" i="6"/>
  <c r="N121" i="6"/>
  <c r="N120" i="6"/>
  <c r="T118" i="6"/>
  <c r="S118" i="6"/>
  <c r="K128" i="6"/>
  <c r="H132" i="6"/>
  <c r="O120" i="6" l="1"/>
  <c r="T120" i="6" s="1"/>
  <c r="O119" i="6"/>
  <c r="T119" i="6" s="1"/>
  <c r="U118" i="6"/>
  <c r="U119" i="6"/>
  <c r="U117" i="6"/>
  <c r="L126" i="6"/>
  <c r="M125" i="6" s="1"/>
  <c r="M123" i="6"/>
  <c r="M124" i="6"/>
  <c r="H133" i="6"/>
  <c r="J131" i="6" s="1"/>
  <c r="J130" i="6"/>
  <c r="N124" i="6" l="1"/>
  <c r="N123" i="6"/>
  <c r="N122" i="6"/>
  <c r="S119" i="6"/>
  <c r="S120" i="6" s="1"/>
  <c r="K130" i="6"/>
  <c r="K129" i="6"/>
  <c r="H134" i="6"/>
  <c r="J132" i="6" s="1"/>
  <c r="L128" i="6" l="1"/>
  <c r="L127" i="6"/>
  <c r="O123" i="6"/>
  <c r="T123" i="6" s="1"/>
  <c r="O121" i="6"/>
  <c r="T121" i="6" s="1"/>
  <c r="O122" i="6"/>
  <c r="T122" i="6" s="1"/>
  <c r="H135" i="6"/>
  <c r="K131" i="6"/>
  <c r="S121" i="6" l="1"/>
  <c r="S122" i="6" s="1"/>
  <c r="S123" i="6" s="1"/>
  <c r="U122" i="6"/>
  <c r="U121" i="6"/>
  <c r="U120" i="6"/>
  <c r="L129" i="6"/>
  <c r="M128" i="6" s="1"/>
  <c r="M126" i="6"/>
  <c r="M127" i="6"/>
  <c r="J133" i="6"/>
  <c r="H136" i="6"/>
  <c r="N127" i="6" l="1"/>
  <c r="N126" i="6"/>
  <c r="N125" i="6"/>
  <c r="H137" i="6"/>
  <c r="J134" i="6"/>
  <c r="K133" i="6" s="1"/>
  <c r="K132" i="6"/>
  <c r="L131" i="6" l="1"/>
  <c r="L130" i="6"/>
  <c r="O126" i="6"/>
  <c r="T126" i="6" s="1"/>
  <c r="O124" i="6"/>
  <c r="O125" i="6"/>
  <c r="T125" i="6" s="1"/>
  <c r="H138" i="6"/>
  <c r="J135" i="6"/>
  <c r="T124" i="6" l="1"/>
  <c r="S124" i="6"/>
  <c r="S125" i="6" s="1"/>
  <c r="S126" i="6" s="1"/>
  <c r="M129" i="6"/>
  <c r="M130" i="6"/>
  <c r="J136" i="6"/>
  <c r="H139" i="6"/>
  <c r="K135" i="6"/>
  <c r="K134" i="6"/>
  <c r="L133" i="6" l="1"/>
  <c r="L132" i="6"/>
  <c r="N128" i="6"/>
  <c r="N129" i="6"/>
  <c r="U125" i="6"/>
  <c r="U123" i="6"/>
  <c r="U124" i="6"/>
  <c r="H140" i="6"/>
  <c r="J137" i="6"/>
  <c r="M131" i="6" l="1"/>
  <c r="M132" i="6"/>
  <c r="O128" i="6"/>
  <c r="T128" i="6" s="1"/>
  <c r="O127" i="6"/>
  <c r="H141" i="6"/>
  <c r="K136" i="6"/>
  <c r="J138" i="6"/>
  <c r="K137" i="6" s="1"/>
  <c r="J139" i="6"/>
  <c r="T127" i="6" l="1"/>
  <c r="S127" i="6"/>
  <c r="S128" i="6" s="1"/>
  <c r="L135" i="6"/>
  <c r="L134" i="6"/>
  <c r="N130" i="6"/>
  <c r="N131" i="6"/>
  <c r="H142" i="6"/>
  <c r="K138" i="6"/>
  <c r="M133" i="6" l="1"/>
  <c r="M134" i="6"/>
  <c r="O130" i="6"/>
  <c r="T130" i="6" s="1"/>
  <c r="O129" i="6"/>
  <c r="T129" i="6" s="1"/>
  <c r="L136" i="6"/>
  <c r="S129" i="6"/>
  <c r="S130" i="6" s="1"/>
  <c r="U128" i="6"/>
  <c r="U126" i="6"/>
  <c r="U127" i="6"/>
  <c r="J140" i="6"/>
  <c r="H143" i="6"/>
  <c r="U129" i="6" l="1"/>
  <c r="N132" i="6"/>
  <c r="N133" i="6"/>
  <c r="M135" i="6"/>
  <c r="K139" i="6"/>
  <c r="H144" i="6"/>
  <c r="J142" i="6" s="1"/>
  <c r="J141" i="6"/>
  <c r="O132" i="6" l="1"/>
  <c r="T132" i="6" s="1"/>
  <c r="O131" i="6"/>
  <c r="L137" i="6"/>
  <c r="N134" i="6"/>
  <c r="K140" i="6"/>
  <c r="L138" i="6" s="1"/>
  <c r="H145" i="6"/>
  <c r="J143" i="6" s="1"/>
  <c r="K142" i="6" s="1"/>
  <c r="K141" i="6"/>
  <c r="M137" i="6" l="1"/>
  <c r="M136" i="6"/>
  <c r="T131" i="6"/>
  <c r="S131" i="6"/>
  <c r="S132" i="6" s="1"/>
  <c r="L139" i="6"/>
  <c r="L140" i="6"/>
  <c r="O133" i="6"/>
  <c r="T133" i="6" s="1"/>
  <c r="H146" i="6"/>
  <c r="N135" i="6" l="1"/>
  <c r="N136" i="6"/>
  <c r="S133" i="6"/>
  <c r="U132" i="6"/>
  <c r="U130" i="6"/>
  <c r="U131" i="6"/>
  <c r="M138" i="6"/>
  <c r="M139" i="6"/>
  <c r="J144" i="6"/>
  <c r="H147" i="6"/>
  <c r="J145" i="6" s="1"/>
  <c r="N138" i="6" l="1"/>
  <c r="N137" i="6"/>
  <c r="O136" i="6" s="1"/>
  <c r="T136" i="6" s="1"/>
  <c r="O134" i="6"/>
  <c r="T134" i="6" s="1"/>
  <c r="O135" i="6"/>
  <c r="T135" i="6" s="1"/>
  <c r="H148" i="6"/>
  <c r="J146" i="6" s="1"/>
  <c r="K144" i="6"/>
  <c r="K143" i="6"/>
  <c r="L141" i="6" l="1"/>
  <c r="L142" i="6"/>
  <c r="U134" i="6"/>
  <c r="U135" i="6"/>
  <c r="U133" i="6"/>
  <c r="O137" i="6"/>
  <c r="T137" i="6" s="1"/>
  <c r="S134" i="6"/>
  <c r="S135" i="6" s="1"/>
  <c r="S136" i="6" s="1"/>
  <c r="K145" i="6"/>
  <c r="H149" i="6"/>
  <c r="J147" i="6" s="1"/>
  <c r="K146" i="6" s="1"/>
  <c r="S137" i="6" l="1"/>
  <c r="L143" i="6"/>
  <c r="U136" i="6"/>
  <c r="M141" i="6"/>
  <c r="M142" i="6"/>
  <c r="M140" i="6"/>
  <c r="L144" i="6"/>
  <c r="H150" i="6"/>
  <c r="J148" i="6" s="1"/>
  <c r="K147" i="6" s="1"/>
  <c r="N141" i="6" l="1"/>
  <c r="N139" i="6"/>
  <c r="N140" i="6"/>
  <c r="L145" i="6"/>
  <c r="M144" i="6" s="1"/>
  <c r="M143" i="6"/>
  <c r="N142" i="6" s="1"/>
  <c r="H151" i="6"/>
  <c r="N143" i="6" l="1"/>
  <c r="O142" i="6" s="1"/>
  <c r="T142" i="6" s="1"/>
  <c r="O141" i="6"/>
  <c r="T141" i="6" s="1"/>
  <c r="O140" i="6"/>
  <c r="T140" i="6" s="1"/>
  <c r="O139" i="6"/>
  <c r="T139" i="6" s="1"/>
  <c r="O138" i="6"/>
  <c r="H152" i="6"/>
  <c r="J150" i="6" s="1"/>
  <c r="J149" i="6"/>
  <c r="T138" i="6" l="1"/>
  <c r="U140" i="6" s="1"/>
  <c r="S138" i="6"/>
  <c r="S139" i="6" s="1"/>
  <c r="S140" i="6" s="1"/>
  <c r="S141" i="6" s="1"/>
  <c r="S142" i="6" s="1"/>
  <c r="U141" i="6"/>
  <c r="K149" i="6"/>
  <c r="K148" i="6"/>
  <c r="H153" i="6"/>
  <c r="L147" i="6" l="1"/>
  <c r="L146" i="6"/>
  <c r="U139" i="6"/>
  <c r="U137" i="6"/>
  <c r="U138" i="6"/>
  <c r="H154" i="6"/>
  <c r="J151" i="6"/>
  <c r="M146" i="6" l="1"/>
  <c r="M145" i="6"/>
  <c r="K150" i="6"/>
  <c r="J152" i="6"/>
  <c r="H155" i="6"/>
  <c r="N145" i="6" l="1"/>
  <c r="N144" i="6"/>
  <c r="L148" i="6"/>
  <c r="J156" i="6"/>
  <c r="H156" i="6"/>
  <c r="J158" i="6" s="1"/>
  <c r="K159" i="6" s="1"/>
  <c r="L161" i="6" s="1"/>
  <c r="M162" i="6" s="1"/>
  <c r="N163" i="6" s="1"/>
  <c r="O164" i="6" s="1"/>
  <c r="T164" i="6" s="1"/>
  <c r="J153" i="6"/>
  <c r="K151" i="6"/>
  <c r="U166" i="6" l="1"/>
  <c r="J157" i="6"/>
  <c r="K158" i="6" s="1"/>
  <c r="L160" i="6" s="1"/>
  <c r="M161" i="6" s="1"/>
  <c r="N162" i="6" s="1"/>
  <c r="O163" i="6" s="1"/>
  <c r="T163" i="6" s="1"/>
  <c r="U165" i="6" s="1"/>
  <c r="M147" i="6"/>
  <c r="L149" i="6"/>
  <c r="M148" i="6" s="1"/>
  <c r="O144" i="6"/>
  <c r="T144" i="6" s="1"/>
  <c r="O143" i="6"/>
  <c r="J155" i="6"/>
  <c r="K156" i="6" s="1"/>
  <c r="K152" i="6"/>
  <c r="L150" i="6" s="1"/>
  <c r="J154" i="6"/>
  <c r="K157" i="6" l="1"/>
  <c r="L159" i="6" s="1"/>
  <c r="M160" i="6" s="1"/>
  <c r="N161" i="6" s="1"/>
  <c r="O162" i="6" s="1"/>
  <c r="T162" i="6" s="1"/>
  <c r="L158" i="6"/>
  <c r="M159" i="6" s="1"/>
  <c r="N160" i="6" s="1"/>
  <c r="O161" i="6" s="1"/>
  <c r="T161" i="6" s="1"/>
  <c r="U163" i="6" s="1"/>
  <c r="K155" i="6"/>
  <c r="L157" i="6" s="1"/>
  <c r="U164" i="6"/>
  <c r="M149" i="6"/>
  <c r="T143" i="6"/>
  <c r="S143" i="6"/>
  <c r="S144" i="6" s="1"/>
  <c r="N148" i="6"/>
  <c r="N146" i="6"/>
  <c r="N147" i="6"/>
  <c r="K153" i="6"/>
  <c r="L151" i="6" s="1"/>
  <c r="M150" i="6" s="1"/>
  <c r="N149" i="6" s="1"/>
  <c r="O148" i="6" s="1"/>
  <c r="K154" i="6"/>
  <c r="L154" i="6" l="1"/>
  <c r="M158" i="6"/>
  <c r="N159" i="6" s="1"/>
  <c r="O160" i="6" s="1"/>
  <c r="T160" i="6"/>
  <c r="O147" i="6"/>
  <c r="T147" i="6" s="1"/>
  <c r="O146" i="6"/>
  <c r="T146" i="6" s="1"/>
  <c r="O145" i="6"/>
  <c r="T145" i="6" s="1"/>
  <c r="U144" i="6"/>
  <c r="U143" i="6"/>
  <c r="U142" i="6"/>
  <c r="T148" i="6"/>
  <c r="L156" i="6"/>
  <c r="M157" i="6" s="1"/>
  <c r="N158" i="6" s="1"/>
  <c r="O159" i="6" s="1"/>
  <c r="L155" i="6"/>
  <c r="L153" i="6"/>
  <c r="M154" i="6" s="1"/>
  <c r="L152" i="6"/>
  <c r="M155" i="6"/>
  <c r="S145" i="6" l="1"/>
  <c r="S146" i="6" s="1"/>
  <c r="M156" i="6"/>
  <c r="N157" i="6" s="1"/>
  <c r="O158" i="6" s="1"/>
  <c r="T158" i="6"/>
  <c r="T159" i="6"/>
  <c r="U160" i="6" s="1"/>
  <c r="U162" i="6"/>
  <c r="N155" i="6"/>
  <c r="U147" i="6"/>
  <c r="S147" i="6"/>
  <c r="S148" i="6" s="1"/>
  <c r="U146" i="6"/>
  <c r="U145" i="6"/>
  <c r="M153" i="6"/>
  <c r="N154" i="6" s="1"/>
  <c r="M151" i="6"/>
  <c r="M152" i="6"/>
  <c r="N153" i="6" s="1"/>
  <c r="O154" i="6" s="1"/>
  <c r="T154" i="6" s="1"/>
  <c r="N156" i="6" l="1"/>
  <c r="O157" i="6" s="1"/>
  <c r="T157" i="6" s="1"/>
  <c r="U159" i="6" s="1"/>
  <c r="U161" i="6"/>
  <c r="N152" i="6"/>
  <c r="O153" i="6" s="1"/>
  <c r="T153" i="6" s="1"/>
  <c r="N150" i="6"/>
  <c r="N151" i="6"/>
  <c r="O152" i="6" l="1"/>
  <c r="T152" i="6" s="1"/>
  <c r="O156" i="6"/>
  <c r="T156" i="6" s="1"/>
  <c r="O155" i="6"/>
  <c r="T155" i="6" s="1"/>
  <c r="U154" i="6"/>
  <c r="U155" i="6"/>
  <c r="O149" i="6"/>
  <c r="O151" i="6"/>
  <c r="T151" i="6" s="1"/>
  <c r="O150" i="6"/>
  <c r="T150" i="6" s="1"/>
  <c r="U156" i="6" l="1"/>
  <c r="U158" i="6"/>
  <c r="U157" i="6"/>
  <c r="U152" i="6"/>
  <c r="T149" i="6"/>
  <c r="S149" i="6"/>
  <c r="S150" i="6" s="1"/>
  <c r="S151" i="6" s="1"/>
  <c r="S152" i="6" s="1"/>
  <c r="S153" i="6" s="1"/>
  <c r="S154" i="6" s="1"/>
  <c r="S155" i="6" s="1"/>
  <c r="S156" i="6" s="1"/>
  <c r="U153" i="6"/>
  <c r="S157" i="6" l="1"/>
  <c r="S158" i="6" s="1"/>
  <c r="S159" i="6" s="1"/>
  <c r="S160" i="6" s="1"/>
  <c r="S161" i="6" s="1"/>
  <c r="S162" i="6" s="1"/>
  <c r="S163" i="6" s="1"/>
  <c r="S164" i="6" s="1"/>
  <c r="S165" i="6" s="1"/>
  <c r="S166" i="6" s="1"/>
  <c r="S167" i="6" s="1"/>
  <c r="S168" i="6" s="1"/>
  <c r="S169" i="6" s="1"/>
  <c r="S170" i="6" s="1"/>
  <c r="S171" i="6" s="1"/>
  <c r="S172" i="6" s="1"/>
  <c r="S173" i="6" s="1"/>
  <c r="S174" i="6" s="1"/>
  <c r="S175" i="6" s="1"/>
  <c r="S176" i="6" s="1"/>
  <c r="S177" i="6" s="1"/>
  <c r="S178" i="6" s="1"/>
  <c r="S179" i="6" s="1"/>
  <c r="S180" i="6" s="1"/>
  <c r="S181" i="6" s="1"/>
  <c r="S182" i="6" s="1"/>
  <c r="S183" i="6" s="1"/>
  <c r="S184" i="6" s="1"/>
  <c r="S185" i="6" s="1"/>
  <c r="S186" i="6" s="1"/>
  <c r="S187" i="6" s="1"/>
  <c r="S188" i="6" s="1"/>
  <c r="S189" i="6" s="1"/>
  <c r="S190" i="6" s="1"/>
  <c r="S191" i="6" s="1"/>
  <c r="S192" i="6" s="1"/>
  <c r="S193" i="6" s="1"/>
  <c r="S194" i="6" s="1"/>
  <c r="S195" i="6" s="1"/>
  <c r="S196" i="6" s="1"/>
  <c r="S197" i="6" s="1"/>
  <c r="S198" i="6" s="1"/>
  <c r="S199" i="6" s="1"/>
  <c r="U148" i="6"/>
  <c r="U149" i="6"/>
  <c r="U151" i="6"/>
  <c r="U150" i="6"/>
  <c r="F181" i="7"/>
  <c r="C37" i="7"/>
  <c r="M49" i="7" l="1"/>
  <c r="K134" i="7"/>
  <c r="F187" i="7"/>
  <c r="E59" i="7"/>
  <c r="E61" i="7"/>
  <c r="F184" i="7"/>
  <c r="U78" i="7"/>
  <c r="E57" i="7"/>
  <c r="F186" i="7"/>
  <c r="U79" i="7"/>
  <c r="F188" i="7"/>
  <c r="F182" i="7"/>
  <c r="U77" i="7"/>
  <c r="U81" i="7"/>
  <c r="U80" i="7"/>
  <c r="F210" i="7"/>
  <c r="T78" i="7"/>
  <c r="T80" i="7"/>
  <c r="T77" i="7"/>
  <c r="V77" i="7" s="1"/>
  <c r="T81" i="7"/>
  <c r="V81" i="7" s="1"/>
  <c r="T79" i="7"/>
  <c r="V79" i="7" s="1"/>
  <c r="F189" i="7" s="1"/>
  <c r="V80" i="7" l="1"/>
  <c r="V78" i="7"/>
  <c r="E58" i="7" s="1"/>
  <c r="F183" i="7" l="1"/>
  <c r="F17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F2" authorId="0" shapeId="0" xr:uid="{CF2A45D8-7CDF-41B2-8D70-AF3E42C2088C}">
      <text>
        <r>
          <rPr>
            <b/>
            <sz val="9"/>
            <color indexed="81"/>
            <rFont val="Tahoma"/>
            <family val="2"/>
          </rPr>
          <t>- right click on video file
- click properties
- details tab
- frame rate</t>
        </r>
      </text>
    </comment>
    <comment ref="J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average 2 above speeds with 2 blow speeds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A1" authorId="0" shapeId="0" xr:uid="{E885A5E6-5E08-4A17-A8FA-5D52C512713F}">
      <text>
        <r>
          <rPr>
            <b/>
            <sz val="9"/>
            <color indexed="81"/>
            <rFont val="Tahoma"/>
            <family val="2"/>
          </rPr>
          <t xml:space="preserve">THIS DATA COPIED FROM DIST TO SPEED SHEET COLUMNS P TO S
</t>
        </r>
      </text>
    </comment>
    <comment ref="B1" authorId="0" shapeId="0" xr:uid="{F0BC27A4-5404-483A-8B94-79C212889830}">
      <text>
        <r>
          <rPr>
            <b/>
            <sz val="9"/>
            <color indexed="81"/>
            <rFont val="Tahoma"/>
            <family val="2"/>
          </rPr>
          <t xml:space="preserve">THIS DATA COPIED FROM DIST TO SPEED SHEET COLUMNS P TO S
</t>
        </r>
      </text>
    </comment>
    <comment ref="F1" authorId="0" shapeId="0" xr:uid="{7A2D7D28-1DC2-449D-9CE6-79EFE615EDF4}">
      <text>
        <r>
          <rPr>
            <b/>
            <sz val="9"/>
            <color indexed="81"/>
            <rFont val="Tahoma"/>
            <family val="2"/>
          </rPr>
          <t xml:space="preserve">THIS DATA COPIED FROM DIST TO SPEED SHEET COLUMNS P TO S
</t>
        </r>
      </text>
    </comment>
    <comment ref="H10" authorId="0" shapeId="0" xr:uid="{B920A8B0-D945-4E72-96C8-7122E24C9ECE}">
      <text>
        <r>
          <rPr>
            <b/>
            <sz val="9"/>
            <color indexed="81"/>
            <rFont val="Tahoma"/>
            <family val="2"/>
          </rPr>
          <t xml:space="preserve">n/a for no time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C129FBF5-9DE3-4EC0-AC38-F95277C2A851}">
      <text>
        <r>
          <rPr>
            <b/>
            <sz val="9"/>
            <color indexed="81"/>
            <rFont val="Tahoma"/>
            <family val="2"/>
          </rPr>
          <t xml:space="preserve">n/a for no time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7F7FD4A7-98C2-4B2A-B7F8-6FB98A15D3AE}">
      <text>
        <r>
          <rPr>
            <b/>
            <sz val="9"/>
            <color indexed="81"/>
            <rFont val="Tahoma"/>
            <family val="2"/>
          </rPr>
          <t>glassy 0
calm 0-2
rippled 2-5
slight 5-9
moderate 9-15
rough 15-23
very rough 23-33
high 33-45
very high 45-60
phenomenal &gt;60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AB1" authorId="0" shapeId="0" xr:uid="{1264AE6E-4D20-4661-B5C6-66BAF5DEE3F5}">
      <text>
        <r>
          <rPr>
            <b/>
            <sz val="9"/>
            <color indexed="81"/>
            <rFont val="Tahoma"/>
            <family val="2"/>
          </rPr>
          <t>distance boat moves</t>
        </r>
      </text>
    </comment>
    <comment ref="AR1" authorId="0" shapeId="0" xr:uid="{218E5A92-BF8A-4E19-912C-F2F66A5019D0}">
      <text>
        <r>
          <rPr>
            <sz val="9"/>
            <color indexed="81"/>
            <rFont val="Tahoma"/>
            <family val="2"/>
          </rPr>
          <t>the freeboard distance has been exagerated by the multiple at the end of the formula</t>
        </r>
      </text>
    </comment>
    <comment ref="AF2" authorId="0" shapeId="0" xr:uid="{05C50E1D-3FBA-4A9C-9168-A89F234D3ABC}">
      <text>
        <r>
          <rPr>
            <b/>
            <sz val="9"/>
            <color indexed="81"/>
            <rFont val="Tahoma"/>
            <family val="2"/>
          </rPr>
          <t>Min time drive hump</t>
        </r>
      </text>
    </comment>
    <comment ref="AG2" authorId="0" shapeId="0" xr:uid="{7B2B82B4-A4A0-448F-8B34-59BBDBB571CD}">
      <text>
        <r>
          <rPr>
            <b/>
            <sz val="9"/>
            <color indexed="81"/>
            <rFont val="Tahoma"/>
            <family val="2"/>
          </rPr>
          <t>see diary 2020-08-30 for calculation</t>
        </r>
      </text>
    </comment>
    <comment ref="AH2" authorId="0" shapeId="0" xr:uid="{AC2A4A2F-9EEE-47F3-B994-CA2EC5963431}">
      <text>
        <r>
          <rPr>
            <b/>
            <sz val="9"/>
            <color indexed="81"/>
            <rFont val="Tahoma"/>
            <family val="2"/>
          </rPr>
          <t>Min time drive slump</t>
        </r>
      </text>
    </comment>
    <comment ref="AI2" authorId="0" shapeId="0" xr:uid="{C3B80B49-53A4-439C-A0A5-09A4825E9852}">
      <text>
        <r>
          <rPr>
            <b/>
            <sz val="9"/>
            <color indexed="81"/>
            <rFont val="Tahoma"/>
            <family val="2"/>
          </rPr>
          <t xml:space="preserve">see diary 2020-08-30 for calculation and
2023-02-04 </t>
        </r>
        <r>
          <rPr>
            <sz val="9"/>
            <color indexed="81"/>
            <rFont val="Tahoma"/>
            <family val="2"/>
          </rPr>
          <t>for update to time x neg.accel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current limit is 0.5m/s^2</t>
        </r>
      </text>
    </comment>
    <comment ref="AF3" authorId="0" shapeId="0" xr:uid="{C9015816-4FED-4656-AD6A-62AB380A578B}">
      <text>
        <r>
          <rPr>
            <b/>
            <sz val="9"/>
            <color indexed="81"/>
            <rFont val="Tahoma"/>
            <family val="2"/>
          </rPr>
          <t>max time drive hump</t>
        </r>
      </text>
    </comment>
    <comment ref="AH3" authorId="0" shapeId="0" xr:uid="{E6BD896D-E320-4EB5-B121-FC6E6ECEC272}">
      <text>
        <r>
          <rPr>
            <b/>
            <sz val="9"/>
            <color indexed="81"/>
            <rFont val="Tahoma"/>
            <family val="2"/>
          </rPr>
          <t>max time drive slump</t>
        </r>
      </text>
    </comment>
    <comment ref="A4" authorId="0" shapeId="0" xr:uid="{456DEA21-BB25-48C8-94CD-C183537074E3}">
      <text>
        <r>
          <rPr>
            <b/>
            <sz val="9"/>
            <color indexed="81"/>
            <rFont val="Tahoma"/>
            <family val="2"/>
          </rPr>
          <t>the chart size is 10.98x19.31 the graph section is 9.7x16.61. the line is the reference to the top corner of the graph section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4" authorId="0" shapeId="0" xr:uid="{5725489E-EE39-44C3-A1A3-8E3D947DD6C1}">
      <text>
        <r>
          <rPr>
            <b/>
            <sz val="9"/>
            <color indexed="81"/>
            <rFont val="Tahoma"/>
            <family val="2"/>
          </rPr>
          <t>speed at minimum time</t>
        </r>
      </text>
    </comment>
    <comment ref="AH4" authorId="0" shapeId="0" xr:uid="{FC5436EC-07B4-4CE1-8038-A496B7B2449A}">
      <text>
        <r>
          <rPr>
            <b/>
            <sz val="9"/>
            <color indexed="81"/>
            <rFont val="Tahoma"/>
            <family val="2"/>
          </rPr>
          <t>boat speed at start drive slump</t>
        </r>
      </text>
    </comment>
    <comment ref="AF5" authorId="0" shapeId="0" xr:uid="{863D6394-BE8B-4FFD-AE2F-5D82F0E72E13}">
      <text>
        <r>
          <rPr>
            <b/>
            <sz val="9"/>
            <color indexed="81"/>
            <rFont val="Tahoma"/>
            <family val="2"/>
          </rPr>
          <t>speed at max time</t>
        </r>
      </text>
    </comment>
    <comment ref="AH5" authorId="0" shapeId="0" xr:uid="{F92F84FA-732A-4B20-BECF-56B3CBD93899}">
      <text>
        <r>
          <rPr>
            <b/>
            <sz val="9"/>
            <color indexed="81"/>
            <rFont val="Tahoma"/>
            <family val="2"/>
          </rPr>
          <t>boat speed at end of drive slump</t>
        </r>
      </text>
    </comment>
    <comment ref="AF6" authorId="0" shapeId="0" xr:uid="{57F0A27E-81EA-47DE-9B42-386135E8FA9F}">
      <text>
        <r>
          <rPr>
            <b/>
            <sz val="9"/>
            <color indexed="81"/>
            <rFont val="Tahoma"/>
            <family val="2"/>
          </rPr>
          <t xml:space="preserve">accel at start of accel. reduction.
</t>
        </r>
      </text>
    </comment>
    <comment ref="AH6" authorId="0" shapeId="0" xr:uid="{88E3AF98-2036-4C77-B4BE-F9A381DE16A6}">
      <text>
        <r>
          <rPr>
            <b/>
            <sz val="9"/>
            <color indexed="81"/>
            <rFont val="Tahoma"/>
            <family val="2"/>
          </rPr>
          <t>boat acceleration at start drvie slump</t>
        </r>
      </text>
    </comment>
    <comment ref="AF7" authorId="0" shapeId="0" xr:uid="{9C66D043-CABC-48A2-824C-D319F610F9A7}">
      <text>
        <r>
          <rPr>
            <b/>
            <sz val="9"/>
            <color indexed="81"/>
            <rFont val="Tahoma"/>
            <family val="2"/>
          </rPr>
          <t xml:space="preserve">accel before increase in accel
</t>
        </r>
      </text>
    </comment>
    <comment ref="AH7" authorId="0" shapeId="0" xr:uid="{8856A688-7E65-4917-A6AC-7EDF358B6464}">
      <text>
        <r>
          <rPr>
            <b/>
            <sz val="9"/>
            <color indexed="81"/>
            <rFont val="Tahoma"/>
            <family val="2"/>
          </rPr>
          <t xml:space="preserve">acceleration at end of drive slump </t>
        </r>
      </text>
    </comment>
    <comment ref="AH9" authorId="0" shapeId="0" xr:uid="{5D9733B4-510B-46FD-BEE1-48731320123E}">
      <text>
        <r>
          <rPr>
            <b/>
            <sz val="9"/>
            <color indexed="81"/>
            <rFont val="Tahoma"/>
            <family val="2"/>
          </rPr>
          <t>formula for Accel &lt; 0.5m/s/s</t>
        </r>
        <r>
          <rPr>
            <sz val="9"/>
            <color indexed="81"/>
            <rFont val="Tahoma"/>
            <family val="2"/>
          </rPr>
          <t xml:space="preserve">
=IF(SUM(AH$8:AH54)=0, 
IF(AA55&gt;=T$66,   IF(AD56</t>
        </r>
        <r>
          <rPr>
            <b/>
            <sz val="9"/>
            <color indexed="81"/>
            <rFont val="Tahoma"/>
            <family val="2"/>
          </rPr>
          <t>&lt;0.5</t>
        </r>
        <r>
          <rPr>
            <sz val="9"/>
            <color indexed="81"/>
            <rFont val="Tahoma"/>
            <family val="2"/>
          </rPr>
          <t>,AA55,0),0), IF(AH54=0,0, IF(AND( AA55&lt;T$68, AD55</t>
        </r>
        <r>
          <rPr>
            <b/>
            <sz val="9"/>
            <color indexed="81"/>
            <rFont val="Tahoma"/>
            <family val="2"/>
          </rPr>
          <t>&lt;0.5</t>
        </r>
        <r>
          <rPr>
            <sz val="9"/>
            <color indexed="81"/>
            <rFont val="Tahoma"/>
            <family val="2"/>
          </rPr>
          <t>),AA55,0)))</t>
        </r>
      </text>
    </comment>
    <comment ref="M19" authorId="0" shapeId="0" xr:uid="{1230EB6F-C858-4E64-9183-52F51324C208}">
      <text>
        <r>
          <rPr>
            <b/>
            <sz val="9"/>
            <color indexed="81"/>
            <rFont val="Tahoma"/>
            <family val="2"/>
          </rPr>
          <t>this time will show vertical line on graph</t>
        </r>
      </text>
    </comment>
    <comment ref="AK27" authorId="0" shapeId="0" xr:uid="{2C1D1AF9-FF45-4605-A517-D441CB06C16B}">
      <text>
        <r>
          <rPr>
            <b/>
            <sz val="9"/>
            <color indexed="81"/>
            <rFont val="Tahoma"/>
            <family val="2"/>
          </rPr>
          <t xml:space="preserve">Sys accel X </t>
        </r>
      </text>
    </comment>
    <comment ref="A28" authorId="0" shapeId="0" xr:uid="{CDD58268-EBA0-41F8-B91E-51ABB38D20EC}">
      <text>
        <r>
          <rPr>
            <b/>
            <sz val="9"/>
            <color indexed="81"/>
            <rFont val="Tahoma"/>
            <family val="2"/>
          </rPr>
          <t>checks curve speed to race speed</t>
        </r>
      </text>
    </comment>
    <comment ref="D28" authorId="0" shapeId="0" xr:uid="{DA4C95B3-FD62-4444-B04E-F128F4BA3D07}">
      <text>
        <r>
          <rPr>
            <b/>
            <sz val="9"/>
            <color indexed="81"/>
            <rFont val="Tahoma"/>
            <family val="2"/>
          </rPr>
          <t>RACE FINISH TIME</t>
        </r>
      </text>
    </comment>
    <comment ref="E28" authorId="0" shapeId="0" xr:uid="{17AAA10D-B5F7-408B-B650-15D95A979AE5}">
      <text>
        <r>
          <rPr>
            <b/>
            <sz val="9"/>
            <color indexed="81"/>
            <rFont val="Tahoma"/>
            <family val="2"/>
          </rPr>
          <t>RACE FINISH SPLIT</t>
        </r>
      </text>
    </comment>
    <comment ref="H28" authorId="0" shapeId="0" xr:uid="{A626D8FC-8E7D-4694-8D55-923A87F64065}">
      <text>
        <r>
          <rPr>
            <b/>
            <sz val="9"/>
            <color indexed="81"/>
            <rFont val="Tahoma"/>
            <family val="2"/>
          </rPr>
          <t>Distance per Stroke</t>
        </r>
      </text>
    </comment>
    <comment ref="K28" authorId="0" shapeId="0" xr:uid="{E79DE304-F8D2-4E6F-B4CA-B1F541FC7A35}">
      <text>
        <r>
          <rPr>
            <b/>
            <sz val="9"/>
            <color indexed="81"/>
            <rFont val="Tahoma"/>
            <family val="2"/>
          </rPr>
          <t>Curve Speed as a percent of GMS</t>
        </r>
      </text>
    </comment>
    <comment ref="AK28" authorId="0" shapeId="0" xr:uid="{2E1FD621-EF31-403B-A93C-F0C2D81B788D}">
      <text>
        <r>
          <rPr>
            <b/>
            <sz val="9"/>
            <color indexed="81"/>
            <rFont val="Tahoma"/>
            <family val="2"/>
          </rPr>
          <t>sys accel Y</t>
        </r>
      </text>
    </comment>
    <comment ref="A29" authorId="0" shapeId="0" xr:uid="{A89CF299-FD18-49A0-A98F-96202A17247D}">
      <text>
        <r>
          <rPr>
            <b/>
            <sz val="9"/>
            <color indexed="81"/>
            <rFont val="Tahoma"/>
            <family val="2"/>
          </rPr>
          <t>split time below race time</t>
        </r>
      </text>
    </comment>
    <comment ref="E29" authorId="0" shapeId="0" xr:uid="{EDF743D6-4952-4058-8E8A-124D522471BA}">
      <text>
        <r>
          <rPr>
            <b/>
            <sz val="9"/>
            <color indexed="81"/>
            <rFont val="Tahoma"/>
            <family val="2"/>
          </rPr>
          <t>RACE TIME METERS PER SECOND</t>
        </r>
      </text>
    </comment>
    <comment ref="H29" authorId="0" shapeId="0" xr:uid="{C35EE274-FE48-4F59-BFC5-5F8310F2E4FC}">
      <text>
        <r>
          <rPr>
            <b/>
            <sz val="9"/>
            <color indexed="81"/>
            <rFont val="Tahoma"/>
            <family val="2"/>
          </rPr>
          <t xml:space="preserve">change in time
</t>
        </r>
      </text>
    </comment>
    <comment ref="A30" authorId="0" shapeId="0" xr:uid="{45C2C07F-2EC4-46FE-A9F7-5D21E8735427}">
      <text>
        <r>
          <rPr>
            <b/>
            <sz val="9"/>
            <color indexed="81"/>
            <rFont val="Tahoma"/>
            <family val="2"/>
          </rPr>
          <t>Mike Purcer:</t>
        </r>
        <r>
          <rPr>
            <sz val="9"/>
            <color indexed="81"/>
            <rFont val="Tahoma"/>
            <family val="2"/>
          </rPr>
          <t xml:space="preserve">
split time about race time</t>
        </r>
      </text>
    </comment>
    <comment ref="E30" authorId="0" shapeId="0" xr:uid="{36B130A2-E984-4FF5-9F9F-6FDD443D17CC}">
      <text>
        <r>
          <rPr>
            <b/>
            <sz val="9"/>
            <color indexed="81"/>
            <rFont val="Tahoma"/>
            <family val="2"/>
          </rPr>
          <t>split time from standards table</t>
        </r>
      </text>
    </comment>
    <comment ref="AN31" authorId="0" shapeId="0" xr:uid="{D52A08BC-D65D-4DB8-BC34-BFC02AA66124}">
      <text>
        <r>
          <rPr>
            <b/>
            <sz val="9"/>
            <color indexed="81"/>
            <rFont val="Tahoma"/>
            <family val="2"/>
          </rPr>
          <t xml:space="preserve">accel slope in %
m1
</t>
        </r>
      </text>
    </comment>
    <comment ref="AN32" authorId="0" shapeId="0" xr:uid="{8B6B916F-A414-4400-90DC-CC7E893DCF95}">
      <text>
        <r>
          <rPr>
            <b/>
            <sz val="9"/>
            <color indexed="81"/>
            <rFont val="Tahoma"/>
            <family val="2"/>
          </rPr>
          <t>deceleration slope m2</t>
        </r>
      </text>
    </comment>
    <comment ref="AN33" authorId="0" shapeId="0" xr:uid="{9DA99903-D5D4-434D-A590-9889A56EE246}">
      <text>
        <r>
          <rPr>
            <b/>
            <sz val="9"/>
            <color indexed="81"/>
            <rFont val="Tahoma"/>
            <family val="2"/>
          </rPr>
          <t>b1 for deceleration slope y=mx+b</t>
        </r>
      </text>
    </comment>
    <comment ref="G34" authorId="0" shapeId="0" xr:uid="{E07886FB-9687-4252-8334-23A8406EA906}">
      <text>
        <r>
          <rPr>
            <b/>
            <sz val="9"/>
            <color indexed="81"/>
            <rFont val="Tahoma"/>
            <family val="2"/>
          </rPr>
          <t>DIFF &gt;.04 YELLOW
DIFF &gt;.10 RED</t>
        </r>
      </text>
    </comment>
    <comment ref="AN34" authorId="0" shapeId="0" xr:uid="{86EC2BBA-D271-4748-B600-EE8984A5C04F}">
      <text>
        <r>
          <rPr>
            <b/>
            <sz val="9"/>
            <color indexed="81"/>
            <rFont val="Tahoma"/>
            <family val="2"/>
          </rPr>
          <t>b2 in slope y=mx+b</t>
        </r>
      </text>
    </comment>
    <comment ref="AN35" authorId="0" shapeId="0" xr:uid="{B5FB6AD9-D24C-4DAA-9942-1FDF16DF4C09}">
      <text>
        <r>
          <rPr>
            <b/>
            <sz val="9"/>
            <color indexed="81"/>
            <rFont val="Tahoma"/>
            <family val="2"/>
          </rPr>
          <t>PVI (x value)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 shapeId="0" xr:uid="{0C0FE83B-FEE4-4FF0-B17C-1D7F5E1EA826}">
      <text>
        <r>
          <rPr>
            <b/>
            <sz val="9"/>
            <color indexed="81"/>
            <rFont val="Tahoma"/>
            <family val="2"/>
          </rPr>
          <t xml:space="preserve">&lt; -0.2 yellow
&lt; -0.5 red </t>
        </r>
      </text>
    </comment>
    <comment ref="AN36" authorId="0" shapeId="0" xr:uid="{5C151C87-E2F2-4765-BB22-2FD4BDF80220}">
      <text>
        <r>
          <rPr>
            <b/>
            <sz val="9"/>
            <color indexed="81"/>
            <rFont val="Tahoma"/>
            <family val="2"/>
          </rPr>
          <t>L= PVIx -extx * 2
length of vertical curve</t>
        </r>
      </text>
    </comment>
    <comment ref="G37" authorId="0" shapeId="0" xr:uid="{D4A00A6C-E9F6-4A9F-8197-02D01098D1F6}">
      <text>
        <r>
          <rPr>
            <b/>
            <sz val="9"/>
            <color indexed="81"/>
            <rFont val="Tahoma"/>
            <family val="2"/>
          </rPr>
          <t>diff 3% yellow</t>
        </r>
      </text>
    </comment>
    <comment ref="AN37" authorId="0" shapeId="0" xr:uid="{B75BD1DB-052B-412A-8A7E-C69BF8FBFB1C}">
      <text>
        <r>
          <rPr>
            <b/>
            <sz val="9"/>
            <color indexed="81"/>
            <rFont val="Tahoma"/>
            <family val="2"/>
          </rPr>
          <t>rate of change
r=(g2-g1)/L</t>
        </r>
      </text>
    </comment>
    <comment ref="AN38" authorId="0" shapeId="0" xr:uid="{A169AE7F-D791-4585-9144-426467BB89F3}">
      <text>
        <r>
          <rPr>
            <b/>
            <sz val="9"/>
            <color indexed="81"/>
            <rFont val="Tahoma"/>
            <family val="2"/>
          </rPr>
          <t>b1</t>
        </r>
      </text>
    </comment>
    <comment ref="AN39" authorId="0" shapeId="0" xr:uid="{1CE4BD9D-6EF2-4E7E-B054-4752C24FB969}">
      <text>
        <r>
          <rPr>
            <b/>
            <sz val="9"/>
            <color indexed="81"/>
            <rFont val="Tahoma"/>
            <family val="2"/>
          </rPr>
          <t>b2</t>
        </r>
      </text>
    </comment>
    <comment ref="AN40" authorId="0" shapeId="0" xr:uid="{76A111CB-30F3-4E0B-9CB5-F50C5EC458D2}">
      <text>
        <r>
          <rPr>
            <b/>
            <sz val="9"/>
            <color indexed="81"/>
            <rFont val="Tahoma"/>
            <family val="2"/>
          </rPr>
          <t>PVI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1" authorId="0" shapeId="0" xr:uid="{988ADE16-018D-48C4-9F46-A24942C7D090}">
      <text>
        <r>
          <rPr>
            <sz val="9"/>
            <color indexed="81"/>
            <rFont val="Tahoma"/>
            <family val="2"/>
          </rPr>
          <t xml:space="preserve">Blade Area
</t>
        </r>
      </text>
    </comment>
    <comment ref="AN41" authorId="0" shapeId="0" xr:uid="{C89CE64D-204D-439F-AD97-A91046345AAF}">
      <text>
        <r>
          <rPr>
            <b/>
            <sz val="9"/>
            <color indexed="81"/>
            <rFont val="Tahoma"/>
            <family val="2"/>
          </rPr>
          <t>L= PVIx -extx * 2</t>
        </r>
      </text>
    </comment>
    <comment ref="AN42" authorId="0" shapeId="0" xr:uid="{F40964AF-4F3C-4CED-BF24-2687E2F83A74}">
      <text>
        <r>
          <rPr>
            <b/>
            <sz val="9"/>
            <color indexed="81"/>
            <rFont val="Tahoma"/>
            <family val="2"/>
          </rPr>
          <t>rate of change
r=(g2-g1)/L</t>
        </r>
      </text>
    </comment>
    <comment ref="M43" authorId="0" shapeId="0" xr:uid="{8C10AC10-EDDB-4297-8BBE-705B2127D5E0}">
      <text>
        <r>
          <rPr>
            <b/>
            <sz val="9"/>
            <color indexed="81"/>
            <rFont val="Tahoma"/>
            <family val="2"/>
          </rPr>
          <t>this time will show line on graph
-manually input hands over knees time</t>
        </r>
      </text>
    </comment>
    <comment ref="AN43" authorId="0" shapeId="0" xr:uid="{5835E7AD-F774-4096-8CCF-CBCAF3DB3B7A}">
      <text>
        <r>
          <rPr>
            <b/>
            <sz val="9"/>
            <color indexed="81"/>
            <rFont val="Tahoma"/>
            <family val="2"/>
          </rPr>
          <t>b1</t>
        </r>
      </text>
    </comment>
    <comment ref="L44" authorId="0" shapeId="0" xr:uid="{36381856-793B-45B8-84EC-7A26DD018EB0}">
      <text>
        <r>
          <rPr>
            <b/>
            <sz val="9"/>
            <color indexed="81"/>
            <rFont val="Tahoma"/>
            <family val="2"/>
          </rPr>
          <t>arc length</t>
        </r>
      </text>
    </comment>
    <comment ref="AN44" authorId="0" shapeId="0" xr:uid="{BA0E2AAC-DCE9-4345-AB9E-2F36C367874F}">
      <text>
        <r>
          <rPr>
            <b/>
            <sz val="9"/>
            <color indexed="81"/>
            <rFont val="Tahoma"/>
            <family val="2"/>
          </rPr>
          <t>b2</t>
        </r>
      </text>
    </comment>
    <comment ref="AN45" authorId="0" shapeId="0" xr:uid="{FF6DBB09-4391-4997-8F41-B29481EDCD31}">
      <text>
        <r>
          <rPr>
            <b/>
            <sz val="9"/>
            <color indexed="81"/>
            <rFont val="Tahoma"/>
            <family val="2"/>
          </rPr>
          <t>PVI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" authorId="0" shapeId="0" xr:uid="{23C2B12B-0577-493E-BE14-5C63D687254B}">
      <text>
        <r>
          <rPr>
            <b/>
            <sz val="9"/>
            <color indexed="81"/>
            <rFont val="Tahoma"/>
            <family val="2"/>
          </rPr>
          <t xml:space="preserve">Entry Efficiency </t>
        </r>
        <r>
          <rPr>
            <sz val="9"/>
            <color indexed="81"/>
            <rFont val="Tahoma"/>
            <family val="2"/>
          </rPr>
          <t>(s) 
is the time in seconds between full reach and entry (when the blade becomes fully buried).</t>
        </r>
      </text>
    </comment>
    <comment ref="AN46" authorId="0" shapeId="0" xr:uid="{F5F1B34C-EDEC-471A-9A5F-A9B2CBF155B8}">
      <text>
        <r>
          <rPr>
            <b/>
            <sz val="9"/>
            <color indexed="81"/>
            <rFont val="Tahoma"/>
            <family val="2"/>
          </rPr>
          <t>L= PVIx -extx * 2</t>
        </r>
      </text>
    </comment>
    <comment ref="E47" authorId="0" shapeId="0" xr:uid="{7ACD2381-DBAB-412F-92F7-76D6FD68B35D}">
      <text>
        <r>
          <rPr>
            <b/>
            <sz val="9"/>
            <color indexed="81"/>
            <rFont val="Tahoma"/>
            <family val="2"/>
          </rPr>
          <t xml:space="preserve">distance boat moves from full reach to entry
</t>
        </r>
      </text>
    </comment>
    <comment ref="AN47" authorId="0" shapeId="0" xr:uid="{D24486E4-B6B4-46FF-B092-979BBECAEDC9}">
      <text>
        <r>
          <rPr>
            <b/>
            <sz val="9"/>
            <color indexed="81"/>
            <rFont val="Tahoma"/>
            <family val="2"/>
          </rPr>
          <t>rate of change
r=(g2-g1)/L</t>
        </r>
      </text>
    </comment>
    <comment ref="E48" authorId="0" shapeId="0" xr:uid="{5AAC284F-B07F-4E95-AA37-70E69FA5647F}">
      <text>
        <r>
          <rPr>
            <b/>
            <sz val="9"/>
            <color indexed="81"/>
            <rFont val="Tahoma"/>
            <family val="2"/>
          </rPr>
          <t xml:space="preserve">Drive Hump </t>
        </r>
        <r>
          <rPr>
            <sz val="9"/>
            <color indexed="81"/>
            <rFont val="Tahoma"/>
            <family val="2"/>
          </rPr>
          <t xml:space="preserve">(factor)
starts when acceleration decreases stops when accel. increases. Factor is loss in accel. multiplied by time between loss in accel and increase in accel.
</t>
        </r>
      </text>
    </comment>
    <comment ref="P48" authorId="0" shapeId="0" xr:uid="{845B9DD0-F61B-4CBF-86B8-AE1A4444411E}">
      <text>
        <r>
          <rPr>
            <b/>
            <sz val="9"/>
            <color indexed="81"/>
            <rFont val="Tahoma"/>
            <family val="2"/>
          </rPr>
          <t>% increase from Drive Accel.</t>
        </r>
      </text>
    </comment>
    <comment ref="E49" authorId="0" shapeId="0" xr:uid="{380F5C9B-8DBE-42C0-A45D-1807CBBE8209}">
      <text>
        <r>
          <rPr>
            <b/>
            <sz val="9"/>
            <color indexed="81"/>
            <rFont val="Tahoma"/>
            <family val="2"/>
          </rPr>
          <t xml:space="preserve">Drive Acceleration </t>
        </r>
        <r>
          <rPr>
            <sz val="9"/>
            <color indexed="81"/>
            <rFont val="Tahoma"/>
            <family val="2"/>
          </rPr>
          <t xml:space="preserve">(m/s^2)
is the boat acceleration between the blade full bury and the finish.
</t>
        </r>
      </text>
    </comment>
    <comment ref="E50" authorId="0" shapeId="0" xr:uid="{E9C4A415-504A-4677-B8DA-8BE0868D52A6}">
      <text>
        <r>
          <rPr>
            <b/>
            <sz val="9"/>
            <color indexed="81"/>
            <rFont val="Tahoma"/>
            <family val="2"/>
          </rPr>
          <t xml:space="preserve">Drive Acceleration Efficiency </t>
        </r>
        <r>
          <rPr>
            <sz val="9"/>
            <color indexed="81"/>
            <rFont val="Tahoma"/>
            <family val="2"/>
          </rPr>
          <t xml:space="preserve">(%)
is the area under the speed curve (on the drive) as a portion of the area under the straight line acceleration between entry and finish. </t>
        </r>
      </text>
    </comment>
    <comment ref="AM50" authorId="0" shapeId="0" xr:uid="{DC2ED10C-5365-4BBD-843F-8AC0616D6910}">
      <text>
        <r>
          <rPr>
            <b/>
            <sz val="9"/>
            <color indexed="81"/>
            <rFont val="Tahoma"/>
            <family val="2"/>
          </rPr>
          <t>LENGTH OF TIME ACCELERATION BELOW ZERO</t>
        </r>
      </text>
    </comment>
    <comment ref="E51" authorId="0" shapeId="0" xr:uid="{257B1938-9573-4ABA-81E2-1E3B0F71CBC7}">
      <text>
        <r>
          <rPr>
            <b/>
            <sz val="9"/>
            <color indexed="81"/>
            <rFont val="Tahoma"/>
            <family val="2"/>
          </rPr>
          <t xml:space="preserve">Perpendicular to Finish Acceleration </t>
        </r>
        <r>
          <rPr>
            <sz val="9"/>
            <color indexed="81"/>
            <rFont val="Tahoma"/>
            <family val="2"/>
          </rPr>
          <t>(m/2^2)
acceleration of tbe boat from when the oar is at perpendicular to when the oar is at the finiish.</t>
        </r>
      </text>
    </comment>
    <comment ref="E52" authorId="0" shapeId="0" xr:uid="{CBBD3C8E-4FEB-442E-9D82-852D065A6718}">
      <text>
        <r>
          <rPr>
            <b/>
            <sz val="9"/>
            <color indexed="81"/>
            <rFont val="Tahoma"/>
            <family val="2"/>
          </rPr>
          <t>Recovery Speed/Average Speed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 shapeId="0" xr:uid="{5BC6C61E-8B8C-4DA2-BABC-1C390FE54C8C}">
      <text>
        <r>
          <rPr>
            <b/>
            <sz val="9"/>
            <color indexed="81"/>
            <rFont val="Tahoma"/>
            <family val="2"/>
          </rPr>
          <t xml:space="preserve">Speed Change: Full Reach to Feather
</t>
        </r>
      </text>
    </comment>
    <comment ref="E54" authorId="0" shapeId="0" xr:uid="{9C198217-1FE4-45EA-9397-028C1E014616}">
      <text>
        <r>
          <rPr>
            <b/>
            <sz val="9"/>
            <color indexed="81"/>
            <rFont val="Tahoma"/>
            <family val="2"/>
          </rPr>
          <t xml:space="preserve">Release Efficiency </t>
        </r>
        <r>
          <rPr>
            <sz val="9"/>
            <color indexed="81"/>
            <rFont val="Tahoma"/>
            <family val="2"/>
          </rPr>
          <t>(s)
time in seconds between finish and when the blade becomes fully feathered.</t>
        </r>
      </text>
    </comment>
    <comment ref="E55" authorId="0" shapeId="0" xr:uid="{AFA137AA-979C-4B6E-8726-D2775CD1398F}">
      <text>
        <r>
          <rPr>
            <b/>
            <sz val="9"/>
            <color indexed="81"/>
            <rFont val="Tahoma"/>
            <family val="2"/>
          </rPr>
          <t xml:space="preserve">time as a percentage of stroke cycle
</t>
        </r>
      </text>
    </comment>
    <comment ref="E57" authorId="0" shapeId="0" xr:uid="{13C0F8E1-59B3-4120-BBA4-215D26B989B2}">
      <text>
        <r>
          <rPr>
            <b/>
            <sz val="9"/>
            <color indexed="81"/>
            <rFont val="Tahoma"/>
            <family val="2"/>
          </rPr>
          <t xml:space="preserve">Recovery Acceleration </t>
        </r>
        <r>
          <rPr>
            <sz val="9"/>
            <color indexed="81"/>
            <rFont val="Tahoma"/>
            <family val="2"/>
          </rPr>
          <t>(m/s^2)
the acceleration between the feather and the peak speed.</t>
        </r>
      </text>
    </comment>
    <comment ref="E58" authorId="0" shapeId="0" xr:uid="{D83DA47C-B9EE-45CC-A720-C9D1655B85DE}">
      <text>
        <r>
          <rPr>
            <b/>
            <sz val="9"/>
            <color indexed="81"/>
            <rFont val="Tahoma"/>
            <family val="2"/>
          </rPr>
          <t xml:space="preserve">Recoverey Acceleration Efficiency (%)
</t>
        </r>
        <r>
          <rPr>
            <sz val="9"/>
            <color indexed="81"/>
            <rFont val="Tahoma"/>
            <family val="2"/>
          </rPr>
          <t xml:space="preserve">is the area under the speed curve as a portion of the area under the straight line acceleration between extraction and peak speed. </t>
        </r>
      </text>
    </comment>
    <comment ref="E59" authorId="0" shapeId="0" xr:uid="{0E5C945C-416A-4C14-A5A4-19C5AA791833}">
      <text>
        <r>
          <rPr>
            <b/>
            <sz val="9"/>
            <color indexed="81"/>
            <rFont val="Tahoma"/>
            <family val="2"/>
          </rPr>
          <t xml:space="preserve">Recovery Peak Speed </t>
        </r>
        <r>
          <rPr>
            <sz val="9"/>
            <color indexed="81"/>
            <rFont val="Tahoma"/>
            <family val="2"/>
          </rPr>
          <t xml:space="preserve">(%)
percentage of recovery (feather to FullReach2) where peak speed is acheived. </t>
        </r>
      </text>
    </comment>
    <comment ref="E60" authorId="0" shapeId="0" xr:uid="{1AC55F5C-B3FE-494A-9D2A-2B0847F6F1F2}">
      <text>
        <r>
          <rPr>
            <b/>
            <sz val="9"/>
            <color indexed="81"/>
            <rFont val="Tahoma"/>
            <family val="2"/>
          </rPr>
          <t>Recovery Speed/Average Speed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 xr:uid="{2822D016-8074-4CFC-B3E0-1AE5E24F2475}">
      <text>
        <r>
          <rPr>
            <b/>
            <sz val="9"/>
            <color indexed="81"/>
            <rFont val="Tahoma"/>
            <family val="2"/>
          </rPr>
          <t xml:space="preserve">Deceleration </t>
        </r>
        <r>
          <rPr>
            <sz val="9"/>
            <color indexed="81"/>
            <rFont val="Tahoma"/>
            <family val="2"/>
          </rPr>
          <t>(m/s^2)
straight line deceleration between peak speed and entry2</t>
        </r>
      </text>
    </comment>
    <comment ref="E62" authorId="0" shapeId="0" xr:uid="{5766AB0C-844A-453A-9233-FAA5D057DFB8}">
      <text>
        <r>
          <rPr>
            <b/>
            <sz val="9"/>
            <color indexed="81"/>
            <rFont val="Tahoma"/>
            <family val="2"/>
          </rPr>
          <t xml:space="preserve">Length of time the deceleration is below zero </t>
        </r>
      </text>
    </comment>
    <comment ref="E63" authorId="0" shapeId="0" xr:uid="{8CFD2223-5578-43AE-85C0-A4A7D3DE21DA}">
      <text>
        <r>
          <rPr>
            <b/>
            <sz val="9"/>
            <color indexed="81"/>
            <rFont val="Tahoma"/>
            <family val="2"/>
          </rPr>
          <t>Drive Speed/Avg Speed</t>
        </r>
      </text>
    </comment>
    <comment ref="S63" authorId="0" shapeId="0" xr:uid="{6C58C42B-85EA-4B73-9EBE-9D9CC94DEF09}">
      <text>
        <r>
          <rPr>
            <b/>
            <sz val="9"/>
            <color indexed="81"/>
            <rFont val="Tahoma"/>
            <family val="2"/>
          </rPr>
          <t xml:space="preserve">time identified on video
</t>
        </r>
      </text>
    </comment>
    <comment ref="T63" authorId="0" shapeId="0" xr:uid="{56AB8BC1-7F28-4D24-8144-AFF298059238}">
      <text>
        <r>
          <rPr>
            <b/>
            <sz val="9"/>
            <color indexed="81"/>
            <rFont val="Tahoma"/>
            <family val="2"/>
          </rPr>
          <t xml:space="preserve">timecode from data Tracking sheet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3" authorId="0" shapeId="0" xr:uid="{3E533E1A-EDF9-4F9D-B45E-FA6C2C2B5174}">
      <text>
        <r>
          <rPr>
            <b/>
            <sz val="9"/>
            <color indexed="81"/>
            <rFont val="Tahoma"/>
            <family val="2"/>
          </rPr>
          <t xml:space="preserve">data from column AB distance 
</t>
        </r>
      </text>
    </comment>
    <comment ref="V63" authorId="0" shapeId="0" xr:uid="{B7E7F69B-D1DA-45EB-A68C-76DD703A509A}">
      <text>
        <r>
          <rPr>
            <b/>
            <sz val="9"/>
            <color indexed="81"/>
            <rFont val="Tahoma"/>
            <family val="2"/>
          </rPr>
          <t xml:space="preserve">interval speed from column AD </t>
        </r>
      </text>
    </comment>
    <comment ref="W72" authorId="0" shapeId="0" xr:uid="{13D68D93-31E2-4602-9750-4B8FA8BB4792}">
      <text>
        <r>
          <rPr>
            <b/>
            <sz val="9"/>
            <color indexed="81"/>
            <rFont val="Tahoma"/>
            <family val="2"/>
          </rPr>
          <t>weighted average of minimum speed based on percent to peak speed</t>
        </r>
      </text>
    </comment>
    <comment ref="S73" authorId="0" shapeId="0" xr:uid="{BFA83005-AF0B-46D8-BFF6-BD0D8435E78B}">
      <text>
        <r>
          <rPr>
            <b/>
            <sz val="9"/>
            <color indexed="81"/>
            <rFont val="Tahoma"/>
            <family val="2"/>
          </rPr>
          <t xml:space="preserve">distance moved 
</t>
        </r>
      </text>
    </comment>
    <comment ref="T73" authorId="0" shapeId="0" xr:uid="{D19D9F3D-D179-4C25-8F76-93969FD95CDA}">
      <text>
        <r>
          <rPr>
            <b/>
            <sz val="9"/>
            <color indexed="81"/>
            <rFont val="Tahoma"/>
            <family val="2"/>
          </rPr>
          <t xml:space="preserve">Acceleration of curve minus the base volume at bottom of curve
</t>
        </r>
      </text>
    </comment>
    <comment ref="U73" authorId="0" shapeId="0" xr:uid="{22C0B832-DF50-4C10-846A-4E76638FB94D}">
      <text>
        <r>
          <rPr>
            <b/>
            <sz val="9"/>
            <color indexed="81"/>
            <rFont val="Tahoma"/>
            <family val="2"/>
          </rPr>
          <t>Calculated acceleration volume of straight line acceleration</t>
        </r>
      </text>
    </comment>
    <comment ref="V73" authorId="0" shapeId="0" xr:uid="{017C2368-DD77-47EF-B587-C96133DD6EF1}">
      <text>
        <r>
          <rPr>
            <b/>
            <sz val="9"/>
            <color indexed="81"/>
            <rFont val="Tahoma"/>
            <family val="2"/>
          </rPr>
          <t xml:space="preserve">Efficiency curve acceleration / calculated acceleration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0" authorId="0" shapeId="0" xr:uid="{C10C5909-62CE-40A9-9E49-8D8CC0756CD3}">
      <text>
        <r>
          <rPr>
            <b/>
            <sz val="9"/>
            <color indexed="81"/>
            <rFont val="Tahoma"/>
            <family val="2"/>
          </rPr>
          <t>THIS COLUMN IS COPIED TO DATABASE</t>
        </r>
      </text>
    </comment>
    <comment ref="F143" authorId="0" shapeId="0" xr:uid="{748E55A8-3DE6-489A-B643-F7137772D974}">
      <text>
        <r>
          <rPr>
            <b/>
            <sz val="9"/>
            <color indexed="81"/>
            <rFont val="Tahoma"/>
            <family val="2"/>
          </rPr>
          <t xml:space="preserve">Catch Efficiency </t>
        </r>
        <r>
          <rPr>
            <sz val="9"/>
            <color indexed="81"/>
            <rFont val="Tahoma"/>
            <family val="2"/>
          </rPr>
          <t>(s) 
is the time in seconds between full reach and entry (when the blade becomes fully buried).</t>
        </r>
      </text>
    </comment>
    <comment ref="F144" authorId="0" shapeId="0" xr:uid="{5A3EF9CE-6646-4FDD-8F3A-FB7D56A5C2A0}">
      <text>
        <r>
          <rPr>
            <b/>
            <sz val="9"/>
            <color indexed="81"/>
            <rFont val="Tahoma"/>
            <family val="2"/>
          </rPr>
          <t xml:space="preserve">Catch time as percent of stroke cycle </t>
        </r>
        <r>
          <rPr>
            <sz val="9"/>
            <color indexed="81"/>
            <rFont val="Tahoma"/>
            <family val="2"/>
          </rPr>
          <t xml:space="preserve">(%) 
</t>
        </r>
      </text>
    </comment>
    <comment ref="F146" authorId="0" shapeId="0" xr:uid="{548F4B05-C8DC-4DE7-A52E-6F513DD0DA20}">
      <text>
        <r>
          <rPr>
            <b/>
            <sz val="9"/>
            <color indexed="81"/>
            <rFont val="Tahoma"/>
            <family val="2"/>
          </rPr>
          <t>loss in speed full reach to entry</t>
        </r>
      </text>
    </comment>
    <comment ref="F147" authorId="0" shapeId="0" xr:uid="{0E523763-23DC-4DBD-B429-BD857207662D}">
      <text>
        <r>
          <rPr>
            <b/>
            <sz val="9"/>
            <color indexed="81"/>
            <rFont val="Tahoma"/>
            <family val="2"/>
          </rPr>
          <t xml:space="preserve">Minimum Boat Speed </t>
        </r>
      </text>
    </comment>
    <comment ref="F151" authorId="0" shapeId="0" xr:uid="{51C7F853-0210-42C0-9E70-90C3C3AF5E07}">
      <text>
        <r>
          <rPr>
            <b/>
            <sz val="9"/>
            <color indexed="81"/>
            <rFont val="Tahoma"/>
            <family val="2"/>
          </rPr>
          <t xml:space="preserve">Drive Hump </t>
        </r>
        <r>
          <rPr>
            <sz val="9"/>
            <color indexed="81"/>
            <rFont val="Tahoma"/>
            <family val="2"/>
          </rPr>
          <t xml:space="preserve">(factor)
starts when acceleration decreases stops when accel. increases. Factor is loss in accel. multiplied by time between loss in accel and increase in accel.
</t>
        </r>
      </text>
    </comment>
    <comment ref="F152" authorId="0" shapeId="0" xr:uid="{95CA7C52-E004-44FF-9C1F-FDF8BC783391}">
      <text>
        <r>
          <rPr>
            <b/>
            <sz val="9"/>
            <color indexed="81"/>
            <rFont val="Tahoma"/>
            <family val="2"/>
          </rPr>
          <t>drive hump - time delay</t>
        </r>
      </text>
    </comment>
    <comment ref="F153" authorId="0" shapeId="0" xr:uid="{D36BBFEF-8963-48BB-9EB7-1CDFE103284E}">
      <text>
        <r>
          <rPr>
            <b/>
            <sz val="9"/>
            <color indexed="81"/>
            <rFont val="Tahoma"/>
            <family val="2"/>
          </rPr>
          <t>drive hump - time delay</t>
        </r>
      </text>
    </comment>
    <comment ref="F154" authorId="0" shapeId="0" xr:uid="{7FC7ADE4-BAEA-49E6-BE2D-DEE2B2345711}">
      <text>
        <r>
          <rPr>
            <b/>
            <sz val="9"/>
            <color indexed="81"/>
            <rFont val="Tahoma"/>
            <family val="2"/>
          </rPr>
          <t xml:space="preserve">Drive Hump </t>
        </r>
        <r>
          <rPr>
            <sz val="9"/>
            <color indexed="81"/>
            <rFont val="Tahoma"/>
            <family val="2"/>
          </rPr>
          <t xml:space="preserve">(factor)
starts when acceleration decreases stops when accel. increases. Factor is loss in accel. multiplied by time between loss in accel and increase in accel.
</t>
        </r>
      </text>
    </comment>
    <comment ref="F155" authorId="0" shapeId="0" xr:uid="{1702DFBB-83C2-4A25-AE19-370E0E078D8E}">
      <text>
        <r>
          <rPr>
            <b/>
            <sz val="9"/>
            <color indexed="81"/>
            <rFont val="Tahoma"/>
            <family val="2"/>
          </rPr>
          <t>time between catch and finish</t>
        </r>
      </text>
    </comment>
    <comment ref="F156" authorId="0" shapeId="0" xr:uid="{D1A53333-D0D2-4EDB-861B-5EA7A565CCC2}">
      <text>
        <r>
          <rPr>
            <b/>
            <sz val="9"/>
            <color indexed="81"/>
            <rFont val="Tahoma"/>
            <family val="2"/>
          </rPr>
          <t xml:space="preserve">Catch Efficiency </t>
        </r>
        <r>
          <rPr>
            <sz val="9"/>
            <color indexed="81"/>
            <rFont val="Tahoma"/>
            <family val="2"/>
          </rPr>
          <t>(s) 
is the time in seconds between full reach and entry (when the blade becomes fully buried).</t>
        </r>
      </text>
    </comment>
    <comment ref="F157" authorId="0" shapeId="0" xr:uid="{DD001B79-9E6F-4254-91DC-1752FD366087}">
      <text>
        <r>
          <rPr>
            <b/>
            <sz val="9"/>
            <color indexed="81"/>
            <rFont val="Tahoma"/>
            <family val="2"/>
          </rPr>
          <t xml:space="preserve">Drive Acceleration </t>
        </r>
        <r>
          <rPr>
            <sz val="9"/>
            <color indexed="81"/>
            <rFont val="Tahoma"/>
            <family val="2"/>
          </rPr>
          <t xml:space="preserve">(m/s^2)
is the boat acceleration between the blade full bury and the finish.
</t>
        </r>
      </text>
    </comment>
    <comment ref="F158" authorId="0" shapeId="0" xr:uid="{A8F05986-D2DA-4496-B3B2-CA26AB600466}">
      <text>
        <r>
          <rPr>
            <b/>
            <sz val="9"/>
            <color indexed="81"/>
            <rFont val="Tahoma"/>
            <family val="2"/>
          </rPr>
          <t xml:space="preserve">Drive Acceleration </t>
        </r>
        <r>
          <rPr>
            <sz val="9"/>
            <color indexed="81"/>
            <rFont val="Tahoma"/>
            <family val="2"/>
          </rPr>
          <t xml:space="preserve">(m/s^2)
is the boat acceleration between the blade full bury and the finish.
</t>
        </r>
      </text>
    </comment>
    <comment ref="F159" authorId="0" shapeId="0" xr:uid="{32408794-8BAA-4150-9C29-7F572DAF2EE8}">
      <text>
        <r>
          <rPr>
            <b/>
            <sz val="9"/>
            <color indexed="81"/>
            <rFont val="Tahoma"/>
            <family val="2"/>
          </rPr>
          <t xml:space="preserve">Drive Acceleration Efficiency </t>
        </r>
        <r>
          <rPr>
            <sz val="9"/>
            <color indexed="81"/>
            <rFont val="Tahoma"/>
            <family val="2"/>
          </rPr>
          <t xml:space="preserve">(%)
is the area under the speed curve (on the drive) as a portion of the area under the straight line acceleration between entry and finish. </t>
        </r>
      </text>
    </comment>
    <comment ref="F163" authorId="0" shapeId="0" xr:uid="{FDFA0394-5BA5-40DD-BA3E-3530C844602F}">
      <text>
        <r>
          <rPr>
            <b/>
            <sz val="9"/>
            <color indexed="81"/>
            <rFont val="Tahoma"/>
            <family val="2"/>
          </rPr>
          <t>Drive Finish Slump</t>
        </r>
        <r>
          <rPr>
            <sz val="9"/>
            <color indexed="81"/>
            <rFont val="Tahoma"/>
            <family val="2"/>
          </rPr>
          <t xml:space="preserve"> (factor)
starts when acceleration drops below 0.05m/s/s (after oar perpendicular) and ends at extraction </t>
        </r>
      </text>
    </comment>
    <comment ref="F164" authorId="0" shapeId="0" xr:uid="{3D311A6E-D687-441C-AD5B-9D14E2478F94}">
      <text>
        <r>
          <rPr>
            <b/>
            <sz val="9"/>
            <color indexed="81"/>
            <rFont val="Tahoma"/>
            <family val="2"/>
          </rPr>
          <t xml:space="preserve">Drive Speed Increase </t>
        </r>
        <r>
          <rPr>
            <sz val="9"/>
            <color indexed="81"/>
            <rFont val="Tahoma"/>
            <family val="2"/>
          </rPr>
          <t>(m/s)
is the difference in boat speed between the entry and the finish.</t>
        </r>
      </text>
    </comment>
    <comment ref="F165" authorId="0" shapeId="0" xr:uid="{1E042161-8E25-4F7D-B336-57D113AC0BD2}">
      <text>
        <r>
          <rPr>
            <b/>
            <sz val="9"/>
            <color indexed="81"/>
            <rFont val="Tahoma"/>
            <family val="2"/>
          </rPr>
          <t>average drive speed over average boat speed</t>
        </r>
      </text>
    </comment>
    <comment ref="F166" authorId="0" shapeId="0" xr:uid="{E4A87CA7-69E3-45B7-89A5-3E1EA797A310}">
      <text>
        <r>
          <rPr>
            <b/>
            <sz val="9"/>
            <color indexed="81"/>
            <rFont val="Tahoma"/>
            <family val="2"/>
          </rPr>
          <t>average drive speed over average boat speed</t>
        </r>
      </text>
    </comment>
    <comment ref="F167" authorId="0" shapeId="0" xr:uid="{FDCFE774-5F14-4A5E-85D8-C2605D20927D}">
      <text>
        <r>
          <rPr>
            <b/>
            <sz val="9"/>
            <color indexed="81"/>
            <rFont val="Tahoma"/>
            <family val="2"/>
          </rPr>
          <t xml:space="preserve">Catch to oar Perpendicular Acceleration </t>
        </r>
        <r>
          <rPr>
            <sz val="9"/>
            <color indexed="81"/>
            <rFont val="Tahoma"/>
            <family val="2"/>
          </rPr>
          <t xml:space="preserve">(m/s^2)
</t>
        </r>
      </text>
    </comment>
    <comment ref="F168" authorId="0" shapeId="0" xr:uid="{9004BE42-2A25-4A49-AE15-A3F875CF0013}">
      <text>
        <r>
          <rPr>
            <b/>
            <sz val="9"/>
            <color indexed="81"/>
            <rFont val="Tahoma"/>
            <family val="2"/>
          </rPr>
          <t xml:space="preserve">Perpendicular to Finish Acceleration </t>
        </r>
        <r>
          <rPr>
            <sz val="9"/>
            <color indexed="81"/>
            <rFont val="Tahoma"/>
            <family val="2"/>
          </rPr>
          <t>(m/2^2)
acceleration of tbe boat from when the oar is at perpendicular to when the oar is at the finiish.</t>
        </r>
      </text>
    </comment>
    <comment ref="F169" authorId="0" shapeId="0" xr:uid="{6B1F0F75-C92B-42A0-8C31-AC26980F57DA}">
      <text>
        <r>
          <rPr>
            <b/>
            <sz val="9"/>
            <color indexed="81"/>
            <rFont val="Tahoma"/>
            <family val="2"/>
          </rPr>
          <t xml:space="preserve">Increase in  Drive Acceleration between 1st half to perp and 2nd half of drive (2nd/1st)
 </t>
        </r>
      </text>
    </comment>
    <comment ref="F170" authorId="0" shapeId="0" xr:uid="{4A4DBDF2-1B7E-49BF-95C0-8F364741376F}">
      <text>
        <r>
          <rPr>
            <b/>
            <sz val="9"/>
            <color indexed="81"/>
            <rFont val="Tahoma"/>
            <family val="2"/>
          </rPr>
          <t xml:space="preserve">Release Efficiency </t>
        </r>
        <r>
          <rPr>
            <sz val="9"/>
            <color indexed="81"/>
            <rFont val="Tahoma"/>
            <family val="2"/>
          </rPr>
          <t>(s)
time in seconds between finish and when the blade becomes fully feathered.</t>
        </r>
      </text>
    </comment>
    <comment ref="F171" authorId="0" shapeId="0" xr:uid="{23170CE3-D33D-4AED-895E-310809343C7C}">
      <text>
        <r>
          <rPr>
            <b/>
            <sz val="9"/>
            <color indexed="81"/>
            <rFont val="Tahoma"/>
            <family val="2"/>
          </rPr>
          <t xml:space="preserve">Catch Efficiency </t>
        </r>
        <r>
          <rPr>
            <sz val="9"/>
            <color indexed="81"/>
            <rFont val="Tahoma"/>
            <family val="2"/>
          </rPr>
          <t>(s) 
is the time in seconds between full reach and entry (when the blade becomes fully buried).</t>
        </r>
      </text>
    </comment>
    <comment ref="F172" authorId="0" shapeId="0" xr:uid="{C3B9D868-6124-4B6C-85D7-DDD68771E376}">
      <text>
        <r>
          <rPr>
            <b/>
            <sz val="9"/>
            <color indexed="81"/>
            <rFont val="Tahoma"/>
            <family val="2"/>
          </rPr>
          <t xml:space="preserve">Release Efficiency </t>
        </r>
        <r>
          <rPr>
            <sz val="9"/>
            <color indexed="81"/>
            <rFont val="Tahoma"/>
            <family val="2"/>
          </rPr>
          <t>(s)
time in seconds between finish and when the blade becomes fully feathered.</t>
        </r>
      </text>
    </comment>
    <comment ref="F173" authorId="0" shapeId="0" xr:uid="{4F6A7D55-2D44-4DE1-889A-1D5524AA0B04}">
      <text>
        <r>
          <rPr>
            <b/>
            <sz val="9"/>
            <color indexed="81"/>
            <rFont val="Tahoma"/>
            <family val="2"/>
          </rPr>
          <t xml:space="preserve">Recovery Speed Increase </t>
        </r>
        <r>
          <rPr>
            <sz val="9"/>
            <color indexed="81"/>
            <rFont val="Tahoma"/>
            <family val="2"/>
          </rPr>
          <t>(m/s)
is the difference in boat speed between the finish and peak.</t>
        </r>
      </text>
    </comment>
    <comment ref="F174" authorId="0" shapeId="0" xr:uid="{61906C08-BE08-47E3-B7F9-0D483F29B998}">
      <text>
        <r>
          <rPr>
            <b/>
            <sz val="9"/>
            <color indexed="81"/>
            <rFont val="Tahoma"/>
            <family val="2"/>
          </rPr>
          <t xml:space="preserve">Recovery Speed Increase </t>
        </r>
        <r>
          <rPr>
            <sz val="9"/>
            <color indexed="81"/>
            <rFont val="Tahoma"/>
            <family val="2"/>
          </rPr>
          <t>(m/s)
is the difference in boat speed between the finish and peak.</t>
        </r>
      </text>
    </comment>
    <comment ref="F176" authorId="0" shapeId="0" xr:uid="{C3A8CD1C-2E37-4434-AC05-7C089264EA6E}">
      <text>
        <r>
          <rPr>
            <b/>
            <sz val="9"/>
            <color indexed="81"/>
            <rFont val="Tahoma"/>
            <family val="2"/>
          </rPr>
          <t xml:space="preserve">Recovery Speed Increase </t>
        </r>
        <r>
          <rPr>
            <sz val="9"/>
            <color indexed="81"/>
            <rFont val="Tahoma"/>
            <family val="2"/>
          </rPr>
          <t>(m/s)
is the difference in boat speed between the finish and peak.</t>
        </r>
      </text>
    </comment>
    <comment ref="F177" authorId="0" shapeId="0" xr:uid="{BEC9F8CA-B9B3-416D-8912-2E60D666F03C}">
      <text>
        <r>
          <rPr>
            <b/>
            <sz val="9"/>
            <color indexed="81"/>
            <rFont val="Tahoma"/>
            <family val="2"/>
          </rPr>
          <t xml:space="preserve">Recovery Speed Increase </t>
        </r>
        <r>
          <rPr>
            <sz val="9"/>
            <color indexed="81"/>
            <rFont val="Tahoma"/>
            <family val="2"/>
          </rPr>
          <t>(m/s)
is the difference in boat speed between the finish and peak.</t>
        </r>
      </text>
    </comment>
    <comment ref="F178" authorId="0" shapeId="0" xr:uid="{38702FA0-DA2A-4CC1-A7B1-89008DF1E148}">
      <text>
        <r>
          <rPr>
            <b/>
            <sz val="9"/>
            <color indexed="81"/>
            <rFont val="Tahoma"/>
            <family val="2"/>
          </rPr>
          <t xml:space="preserve">Recovery Speed Increase </t>
        </r>
        <r>
          <rPr>
            <sz val="9"/>
            <color indexed="81"/>
            <rFont val="Tahoma"/>
            <family val="2"/>
          </rPr>
          <t>(m/s)
is the difference in boat speed between the finish and peak.</t>
        </r>
      </text>
    </comment>
    <comment ref="F179" authorId="0" shapeId="0" xr:uid="{355DC2FB-AB00-4228-B188-52AC0C6712DC}">
      <text>
        <r>
          <rPr>
            <b/>
            <sz val="9"/>
            <color indexed="81"/>
            <rFont val="Tahoma"/>
            <family val="2"/>
          </rPr>
          <t xml:space="preserve">Recovery Speed Increase </t>
        </r>
        <r>
          <rPr>
            <sz val="9"/>
            <color indexed="81"/>
            <rFont val="Tahoma"/>
            <family val="2"/>
          </rPr>
          <t>(m/s)
is the difference in boat speed between the finish and peak.</t>
        </r>
      </text>
    </comment>
    <comment ref="F180" authorId="0" shapeId="0" xr:uid="{E8F08960-EC29-4772-8537-B94F114C7A82}">
      <text>
        <r>
          <rPr>
            <b/>
            <sz val="9"/>
            <color indexed="81"/>
            <rFont val="Tahoma"/>
            <family val="2"/>
          </rPr>
          <t xml:space="preserve">Drive Boat Movement </t>
        </r>
        <r>
          <rPr>
            <sz val="9"/>
            <color indexed="81"/>
            <rFont val="Tahoma"/>
            <family val="2"/>
          </rPr>
          <t xml:space="preserve">(m)
the distance the boat moves between catch and finish. </t>
        </r>
      </text>
    </comment>
    <comment ref="F181" authorId="0" shapeId="0" xr:uid="{2535536A-7C4B-4821-B3E9-AC927EF8FFFF}">
      <text>
        <r>
          <rPr>
            <b/>
            <sz val="9"/>
            <color indexed="81"/>
            <rFont val="Tahoma"/>
            <family val="2"/>
          </rPr>
          <t>average drive speed over average boat speed</t>
        </r>
      </text>
    </comment>
    <comment ref="F182" authorId="0" shapeId="0" xr:uid="{BC75BA12-E861-4248-99F1-858C79D6D57F}">
      <text>
        <r>
          <rPr>
            <b/>
            <sz val="9"/>
            <color indexed="81"/>
            <rFont val="Tahoma"/>
            <family val="2"/>
          </rPr>
          <t xml:space="preserve">boat acceleration between feather and peak speed. 
</t>
        </r>
      </text>
    </comment>
    <comment ref="F183" authorId="0" shapeId="0" xr:uid="{667F1C54-64DE-43C9-A014-229D4802A1F1}">
      <text>
        <r>
          <rPr>
            <b/>
            <sz val="9"/>
            <color indexed="81"/>
            <rFont val="Tahoma"/>
            <family val="2"/>
          </rPr>
          <t xml:space="preserve">Drive Acceleration Efficiency (%)
</t>
        </r>
        <r>
          <rPr>
            <sz val="9"/>
            <color indexed="81"/>
            <rFont val="Tahoma"/>
            <family val="2"/>
          </rPr>
          <t xml:space="preserve">is the area under the speed curve (on the drive) as a portion of the area under the straight line acceleration between catch and finish. </t>
        </r>
      </text>
    </comment>
    <comment ref="F184" authorId="0" shapeId="0" xr:uid="{8D17EC51-7B4A-459A-BEEB-0AA8E867E2C2}">
      <text>
        <r>
          <rPr>
            <b/>
            <sz val="9"/>
            <color indexed="81"/>
            <rFont val="Tahoma"/>
            <family val="2"/>
          </rPr>
          <t>average drive speed over average boat speed</t>
        </r>
      </text>
    </comment>
    <comment ref="F185" authorId="0" shapeId="0" xr:uid="{4982E9E7-C74B-4ED2-940E-F54640136AAB}">
      <text>
        <r>
          <rPr>
            <b/>
            <sz val="9"/>
            <color indexed="81"/>
            <rFont val="Tahoma"/>
            <family val="2"/>
          </rPr>
          <t>average drive speed over average boat speed</t>
        </r>
      </text>
    </comment>
    <comment ref="F186" authorId="0" shapeId="0" xr:uid="{17ED9BCE-DAFE-4DB3-A2C6-38CF487E8E7C}">
      <text>
        <r>
          <rPr>
            <b/>
            <sz val="9"/>
            <color indexed="81"/>
            <rFont val="Tahoma"/>
            <family val="2"/>
          </rPr>
          <t xml:space="preserve">Percent time to peak speed on recovery (%)
</t>
        </r>
        <r>
          <rPr>
            <sz val="9"/>
            <color indexed="81"/>
            <rFont val="Tahoma"/>
            <family val="2"/>
          </rPr>
          <t xml:space="preserve">is the percentage of time feather to peak compared to feather to full reach
</t>
        </r>
      </text>
    </comment>
    <comment ref="F187" authorId="0" shapeId="0" xr:uid="{2C528CEB-49B2-4B45-8ABD-E29DE63910A8}">
      <text>
        <r>
          <rPr>
            <b/>
            <sz val="9"/>
            <color indexed="81"/>
            <rFont val="Tahoma"/>
            <family val="2"/>
          </rPr>
          <t>average drive speed over average boat speed</t>
        </r>
      </text>
    </comment>
    <comment ref="F188" authorId="0" shapeId="0" xr:uid="{93BE71BB-3574-4EF3-935C-289AB1A30383}">
      <text>
        <r>
          <rPr>
            <b/>
            <sz val="9"/>
            <color indexed="81"/>
            <rFont val="Tahoma"/>
            <family val="2"/>
          </rPr>
          <t>average drive speed over average boat speed</t>
        </r>
      </text>
    </comment>
    <comment ref="F189" authorId="0" shapeId="0" xr:uid="{F436416F-CD77-4EE4-8630-F27663EC9F2E}">
      <text>
        <r>
          <rPr>
            <b/>
            <sz val="9"/>
            <color indexed="81"/>
            <rFont val="Tahoma"/>
            <family val="2"/>
          </rPr>
          <t xml:space="preserve">Recovery Deceleration Efficiency </t>
        </r>
        <r>
          <rPr>
            <sz val="9"/>
            <color indexed="81"/>
            <rFont val="Tahoma"/>
            <family val="2"/>
          </rPr>
          <t xml:space="preserve">= actual boat movement compared to projected movement from lineal acceleration </t>
        </r>
      </text>
    </comment>
    <comment ref="F196" authorId="0" shapeId="0" xr:uid="{3B1055B5-7298-4533-BDA9-C1560188FC70}">
      <text>
        <r>
          <rPr>
            <b/>
            <sz val="9"/>
            <color indexed="81"/>
            <rFont val="Tahoma"/>
            <family val="2"/>
          </rPr>
          <t>SYSTEM 
change in speed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0" authorId="0" shapeId="0" xr:uid="{8063AC8F-D2BB-4685-AD82-831417560AD8}">
      <text>
        <r>
          <rPr>
            <b/>
            <sz val="9"/>
            <color indexed="81"/>
            <rFont val="Tahoma"/>
            <family val="2"/>
          </rPr>
          <t>SYSTEM 
change in speed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2" authorId="0" shapeId="0" xr:uid="{5AC414BE-376A-419C-96F6-53085C9C2E54}">
      <text>
        <r>
          <rPr>
            <b/>
            <sz val="9"/>
            <color indexed="81"/>
            <rFont val="Tahoma"/>
            <family val="2"/>
          </rPr>
          <t>Drive time from Rigging book</t>
        </r>
      </text>
    </comment>
    <comment ref="K502" authorId="0" shapeId="0" xr:uid="{41229AAB-7076-4B72-8A2A-75BCD72D5F5A}">
      <text>
        <r>
          <rPr>
            <b/>
            <sz val="9"/>
            <color indexed="81"/>
            <rFont val="Tahoma"/>
            <family val="2"/>
          </rPr>
          <t xml:space="preserve">minimum boat speed
</t>
        </r>
      </text>
    </comment>
    <comment ref="M502" authorId="0" shapeId="0" xr:uid="{69F6CA30-CCE7-4054-BA30-682B0194C245}">
      <text>
        <r>
          <rPr>
            <b/>
            <sz val="9"/>
            <color indexed="81"/>
            <rFont val="Tahoma"/>
            <family val="2"/>
          </rPr>
          <t xml:space="preserve">Catch % of time compared to complete stroke cycle
</t>
        </r>
      </text>
    </comment>
    <comment ref="N502" authorId="0" shapeId="0" xr:uid="{6F9D1979-D756-4723-A4B0-0810442E45F2}">
      <text>
        <r>
          <rPr>
            <b/>
            <sz val="9"/>
            <color indexed="81"/>
            <rFont val="Tahoma"/>
            <family val="2"/>
          </rPr>
          <t>Entry Boat Movement</t>
        </r>
      </text>
    </comment>
    <comment ref="O502" authorId="0" shapeId="0" xr:uid="{D61959ED-0790-44CD-987A-81EFFA17C416}">
      <text>
        <r>
          <rPr>
            <b/>
            <sz val="9"/>
            <color indexed="81"/>
            <rFont val="Tahoma"/>
            <family val="2"/>
          </rPr>
          <t>Drive Hump</t>
        </r>
      </text>
    </comment>
    <comment ref="P502" authorId="0" shapeId="0" xr:uid="{21002503-AEF0-4811-AD38-43DECB347792}">
      <text>
        <r>
          <rPr>
            <b/>
            <sz val="9"/>
            <color indexed="81"/>
            <rFont val="Tahoma"/>
            <family val="2"/>
          </rPr>
          <t>Drive Accel. entry to extraction</t>
        </r>
      </text>
    </comment>
    <comment ref="R502" authorId="0" shapeId="0" xr:uid="{5292716E-ED59-4E61-9210-8AA8E126DE23}">
      <text>
        <r>
          <rPr>
            <b/>
            <sz val="9"/>
            <color indexed="81"/>
            <rFont val="Tahoma"/>
            <family val="2"/>
          </rPr>
          <t xml:space="preserve">Drive Speed Increase "Blade Buried"
 (Entry to Extraction)
</t>
        </r>
      </text>
    </comment>
    <comment ref="S502" authorId="0" shapeId="0" xr:uid="{589B0158-E797-4006-B27C-C22F2F3BD2C5}">
      <text>
        <r>
          <rPr>
            <b/>
            <sz val="9"/>
            <color indexed="81"/>
            <rFont val="Tahoma"/>
            <family val="2"/>
          </rPr>
          <t xml:space="preserve">Perp to extraction acceleration
</t>
        </r>
      </text>
    </comment>
    <comment ref="T502" authorId="0" shapeId="0" xr:uid="{42CED7DE-44DF-4B15-A761-7FC8296003C4}">
      <text>
        <r>
          <rPr>
            <b/>
            <sz val="9"/>
            <color indexed="81"/>
            <rFont val="Tahoma"/>
            <family val="2"/>
          </rPr>
          <t xml:space="preserve">Blade Bury Time
</t>
        </r>
      </text>
    </comment>
    <comment ref="U502" authorId="0" shapeId="0" xr:uid="{B856785A-6232-42E6-9B12-C35052D8D173}">
      <text>
        <r>
          <rPr>
            <b/>
            <sz val="9"/>
            <color indexed="81"/>
            <rFont val="Tahoma"/>
            <family val="2"/>
          </rPr>
          <t>Blade buried time as percent of complete stroke cycle</t>
        </r>
      </text>
    </comment>
    <comment ref="V502" authorId="0" shapeId="0" xr:uid="{3C1952AC-3498-471A-B4A0-05BBFDF38C3E}">
      <text>
        <r>
          <rPr>
            <b/>
            <sz val="9"/>
            <color indexed="81"/>
            <rFont val="Tahoma"/>
            <family val="2"/>
          </rPr>
          <t xml:space="preserve">Drive Boat Moves </t>
        </r>
      </text>
    </comment>
    <comment ref="X502" authorId="0" shapeId="0" xr:uid="{9BE0AC4E-083B-4366-B7B4-CA3136A6AA66}">
      <text>
        <r>
          <rPr>
            <b/>
            <sz val="9"/>
            <color indexed="81"/>
            <rFont val="Tahoma"/>
            <family val="2"/>
          </rPr>
          <t>Drive Finish Slump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02" authorId="0" shapeId="0" xr:uid="{2766A200-9D11-4246-957E-101EDE06B7F2}">
      <text>
        <r>
          <rPr>
            <b/>
            <sz val="9"/>
            <color indexed="81"/>
            <rFont val="Tahoma"/>
            <family val="2"/>
          </rPr>
          <t>Release Efficiency</t>
        </r>
      </text>
    </comment>
    <comment ref="Z502" authorId="0" shapeId="0" xr:uid="{2BCA597E-8D87-4DF1-BA7E-E1F203925EF9}">
      <text>
        <r>
          <rPr>
            <b/>
            <sz val="9"/>
            <color indexed="81"/>
            <rFont val="Tahoma"/>
            <family val="2"/>
          </rPr>
          <t>Release Speed Increase/decrease</t>
        </r>
      </text>
    </comment>
    <comment ref="AA502" authorId="0" shapeId="0" xr:uid="{C1E40454-7F56-4F1B-9520-14FBC338A6EA}">
      <text>
        <r>
          <rPr>
            <b/>
            <sz val="9"/>
            <color indexed="81"/>
            <rFont val="Tahoma"/>
            <family val="2"/>
          </rPr>
          <t>Release - time as a percent of complete stroke cycle</t>
        </r>
      </text>
    </comment>
    <comment ref="AB502" authorId="0" shapeId="0" xr:uid="{A2DAB883-9053-47B2-ADF3-22070D3EC60D}">
      <text>
        <r>
          <rPr>
            <b/>
            <sz val="9"/>
            <color indexed="81"/>
            <rFont val="Tahoma"/>
            <family val="2"/>
          </rPr>
          <t xml:space="preserve">Recovery Acceleration (Accel part). </t>
        </r>
      </text>
    </comment>
    <comment ref="AC502" authorId="0" shapeId="0" xr:uid="{DFEB3EFC-CBE1-4171-830B-84279E8F1E1D}">
      <text>
        <r>
          <rPr>
            <b/>
            <sz val="9"/>
            <color indexed="81"/>
            <rFont val="Tahoma"/>
            <family val="2"/>
          </rPr>
          <t>Recovery Acceleration Acceleration eff: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02" authorId="0" shapeId="0" xr:uid="{259F6494-9B3A-4D62-9C49-4B8DAABB3D31}">
      <text>
        <r>
          <rPr>
            <b/>
            <sz val="9"/>
            <color indexed="81"/>
            <rFont val="Tahoma"/>
            <family val="2"/>
          </rPr>
          <t>Peak Speed</t>
        </r>
      </text>
    </comment>
    <comment ref="AM502" authorId="0" shapeId="0" xr:uid="{22328C63-8E33-4FAA-87F9-A37C854355DF}">
      <text>
        <r>
          <rPr>
            <b/>
            <sz val="9"/>
            <color indexed="81"/>
            <rFont val="Tahoma"/>
            <family val="2"/>
          </rPr>
          <t xml:space="preserve">recovery time
</t>
        </r>
      </text>
    </comment>
    <comment ref="AN502" authorId="0" shapeId="0" xr:uid="{D3C4B6E6-6E60-4DB0-B681-90EA794B515B}">
      <text>
        <r>
          <rPr>
            <b/>
            <sz val="9"/>
            <color indexed="81"/>
            <rFont val="Tahoma"/>
            <family val="2"/>
          </rPr>
          <t>Recovery time as percent of total stroke</t>
        </r>
      </text>
    </comment>
    <comment ref="AO502" authorId="0" shapeId="0" xr:uid="{F54E281F-1078-44FE-82B6-7DE102B2FB9F}">
      <text>
        <r>
          <rPr>
            <b/>
            <sz val="9"/>
            <color indexed="81"/>
            <rFont val="Tahoma"/>
            <family val="2"/>
          </rPr>
          <t xml:space="preserve">Deceleration Time
</t>
        </r>
      </text>
    </comment>
    <comment ref="AP502" authorId="0" shapeId="0" xr:uid="{4FBCB123-531B-44F1-A280-D71794292B02}">
      <text>
        <r>
          <rPr>
            <b/>
            <sz val="9"/>
            <color indexed="81"/>
            <rFont val="Tahoma"/>
            <family val="2"/>
          </rPr>
          <t xml:space="preserve">deceleration time as percentage of total stroke
</t>
        </r>
      </text>
    </comment>
    <comment ref="E503" authorId="0" shapeId="0" xr:uid="{0C96595A-A653-4F2F-BE2B-764C90E2EE50}">
      <text>
        <r>
          <rPr>
            <b/>
            <sz val="9"/>
            <color indexed="81"/>
            <rFont val="Tahoma"/>
            <family val="2"/>
          </rPr>
          <t xml:space="preserve">Drive Time 
from WC data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<sst xmlns="http://schemas.openxmlformats.org/spreadsheetml/2006/main" count="1661" uniqueCount="1144">
  <si>
    <t>Timecode</t>
  </si>
  <si>
    <t>Data</t>
  </si>
  <si>
    <t>full reach</t>
  </si>
  <si>
    <t>finish</t>
  </si>
  <si>
    <t>perpendicular</t>
  </si>
  <si>
    <t xml:space="preserve">feather </t>
  </si>
  <si>
    <t>time</t>
  </si>
  <si>
    <t>W4-</t>
  </si>
  <si>
    <t xml:space="preserve">Video Location </t>
  </si>
  <si>
    <t xml:space="preserve">GMS Time </t>
  </si>
  <si>
    <t>full reach 2</t>
  </si>
  <si>
    <t xml:space="preserve"> </t>
  </si>
  <si>
    <t>speed</t>
  </si>
  <si>
    <t>timecode</t>
  </si>
  <si>
    <t xml:space="preserve">Video Description </t>
  </si>
  <si>
    <t>boat speed</t>
  </si>
  <si>
    <t xml:space="preserve">Video File </t>
  </si>
  <si>
    <t xml:space="preserve">Video Time &amp; Date </t>
  </si>
  <si>
    <t>Model name</t>
  </si>
  <si>
    <t>Length (m)</t>
  </si>
  <si>
    <t>Weight ranges (kg)</t>
  </si>
  <si>
    <t>S1.11 GREAT WHITE 1X</t>
  </si>
  <si>
    <t>52-66</t>
  </si>
  <si>
    <t>U1.11 Great White 1X</t>
  </si>
  <si>
    <t>S1.21 GREAT WHITE 1x</t>
  </si>
  <si>
    <t>66-79</t>
  </si>
  <si>
    <t>U1.21 Great White 1X</t>
  </si>
  <si>
    <t>S1.31 GREAT WHITE 1x</t>
  </si>
  <si>
    <t>73-86</t>
  </si>
  <si>
    <t>U1.31 Great White 1X</t>
  </si>
  <si>
    <t>S1.42 GREAT WHITE 1x</t>
  </si>
  <si>
    <t>84-102</t>
  </si>
  <si>
    <t>U1.42 Great White 1X</t>
  </si>
  <si>
    <t>S1.51 GREAT WHITE 1x</t>
  </si>
  <si>
    <t>98-116</t>
  </si>
  <si>
    <t>U1.51 Great White 1X</t>
  </si>
  <si>
    <t> </t>
  </si>
  <si>
    <t>S2.11 HAMMERHEAD 2x</t>
  </si>
  <si>
    <t>C2.21 Classic 2-/x</t>
  </si>
  <si>
    <t>61-79</t>
  </si>
  <si>
    <t>S2.21 HAMMERHEAD 2x</t>
  </si>
  <si>
    <t>S2.31 HAMMERHEAD 2-/x</t>
  </si>
  <si>
    <t>75-88</t>
  </si>
  <si>
    <t>S2.42 HAMMERHEAD 2-/x</t>
  </si>
  <si>
    <t>86-102</t>
  </si>
  <si>
    <t>C2.51 Classic 2-/x</t>
  </si>
  <si>
    <t>91-109</t>
  </si>
  <si>
    <t>C4.11 Classic 4-/x</t>
  </si>
  <si>
    <t>S4.21 HAMMERHEAD 4-/x</t>
  </si>
  <si>
    <t>S4.22 HAMMERHEAD 4-/x</t>
  </si>
  <si>
    <t>S4.31 HAMMERHEAD 4-/x</t>
  </si>
  <si>
    <t>S4.42 HAMMERHEAD 4-/x</t>
  </si>
  <si>
    <t>S4.51 HAMMERHEAD 4-/x</t>
  </si>
  <si>
    <t>S5.11 HAMMERHEAD 4+</t>
  </si>
  <si>
    <t>U5.21 Hammerhead 4+</t>
  </si>
  <si>
    <t>S5.21 HAMMERHEAD 4+</t>
  </si>
  <si>
    <t>U5.31 Hammerhead 4+</t>
  </si>
  <si>
    <t>75-85</t>
  </si>
  <si>
    <t>S5.31 HAMMERHEAD 4+</t>
  </si>
  <si>
    <t>U5.41 Hammerhead 4+</t>
  </si>
  <si>
    <t>S5.41 HAMMERHEAD 4+</t>
  </si>
  <si>
    <t>S8.11 HAMMERHEAD 8+</t>
  </si>
  <si>
    <t>52-68</t>
  </si>
  <si>
    <t>U8.11 8+ Eight</t>
  </si>
  <si>
    <t>S8.21 HAMMERHEAD 8+</t>
  </si>
  <si>
    <t>68-82</t>
  </si>
  <si>
    <t>U8.21 8+ Eight</t>
  </si>
  <si>
    <t>S8.31 HAMMERHEAD 8+</t>
  </si>
  <si>
    <t>75-91</t>
  </si>
  <si>
    <t>U8.31 8+ Eight</t>
  </si>
  <si>
    <t>S8.42 HAMMERHEAD 8+</t>
  </si>
  <si>
    <t>86-104</t>
  </si>
  <si>
    <t>U8.42 8+ Eight</t>
  </si>
  <si>
    <t>S8.51 HAMMERHEAD 8+</t>
  </si>
  <si>
    <t>91-111</t>
  </si>
  <si>
    <t>Fluid Design Singles</t>
  </si>
  <si>
    <t>Rower Weight</t>
  </si>
  <si>
    <t>Up to 120lbs</t>
  </si>
  <si>
    <t>120lbs-140lbs</t>
  </si>
  <si>
    <t>140lbs - 160lbs</t>
  </si>
  <si>
    <t>160lbs - 180lbs</t>
  </si>
  <si>
    <t>180lbs - 200lbs</t>
  </si>
  <si>
    <t>200lbs - 225lbs</t>
  </si>
  <si>
    <t>225lbs and Up</t>
  </si>
  <si>
    <t>Boat Length</t>
  </si>
  <si>
    <t>6.75m</t>
  </si>
  <si>
    <t>7.74m</t>
  </si>
  <si>
    <t>7.92m</t>
  </si>
  <si>
    <t>8.13m</t>
  </si>
  <si>
    <t>8.33m</t>
  </si>
  <si>
    <t>8.53m</t>
  </si>
  <si>
    <t>Boat Width</t>
  </si>
  <si>
    <t>11"</t>
  </si>
  <si>
    <t>11 1/4"</t>
  </si>
  <si>
    <t>Fluid Design Doubles</t>
  </si>
  <si>
    <t>Lightweight</t>
  </si>
  <si>
    <t>Midweight</t>
  </si>
  <si>
    <t>Heavyweight</t>
  </si>
  <si>
    <t>Up to 140lbs</t>
  </si>
  <si>
    <t>140lbs - 180lbs</t>
  </si>
  <si>
    <t>180lbs and Up</t>
  </si>
  <si>
    <t>9.14m</t>
  </si>
  <si>
    <t>9.73m</t>
  </si>
  <si>
    <t>10.11m</t>
  </si>
  <si>
    <t>11 1/2"</t>
  </si>
  <si>
    <t>13"</t>
  </si>
  <si>
    <t>empacher singles</t>
  </si>
  <si>
    <t>Boat typ</t>
  </si>
  <si>
    <t>Mould</t>
  </si>
  <si>
    <t>Length over all</t>
  </si>
  <si>
    <t>Breadth (waterline)</t>
  </si>
  <si>
    <t>Weight of rowers</t>
  </si>
  <si>
    <t>1x</t>
  </si>
  <si>
    <t>R11/C11/X11</t>
  </si>
  <si>
    <t>8,30 m</t>
  </si>
  <si>
    <t>0,28 m</t>
  </si>
  <si>
    <t>100 - 120 kg</t>
  </si>
  <si>
    <t>R10/C10/X10</t>
  </si>
  <si>
    <t>8,20 m</t>
  </si>
  <si>
    <t>85 - 100 kg</t>
  </si>
  <si>
    <t>R08/C08/X08</t>
  </si>
  <si>
    <t>7,92 m</t>
  </si>
  <si>
    <t>0,27 m</t>
  </si>
  <si>
    <t>80 - 90 kg</t>
  </si>
  <si>
    <t>75 - 85 kg</t>
  </si>
  <si>
    <t>R16/C16/X16</t>
  </si>
  <si>
    <t>7,78 m</t>
  </si>
  <si>
    <t>0,26 m</t>
  </si>
  <si>
    <t>R17/C17/X17</t>
  </si>
  <si>
    <t>7,66 m</t>
  </si>
  <si>
    <t>65 - 75 kg</t>
  </si>
  <si>
    <t>R14/C14/X14</t>
  </si>
  <si>
    <t>7,40 m</t>
  </si>
  <si>
    <t>45 - 65 kg</t>
  </si>
  <si>
    <t>F14</t>
  </si>
  <si>
    <t>F15</t>
  </si>
  <si>
    <t>F21</t>
  </si>
  <si>
    <t>F22</t>
  </si>
  <si>
    <t>F39</t>
  </si>
  <si>
    <t>F72</t>
  </si>
  <si>
    <t>F44</t>
  </si>
  <si>
    <t>F45</t>
  </si>
  <si>
    <t>2x</t>
  </si>
  <si>
    <t>R32 / C32 / X32</t>
  </si>
  <si>
    <t>9,85 m</t>
  </si>
  <si>
    <t>0,34 m</t>
  </si>
  <si>
    <t>90 - 100 kg</t>
  </si>
  <si>
    <t>0,33 m</t>
  </si>
  <si>
    <t>75 - 90 kg</t>
  </si>
  <si>
    <t>65 - 80 kg</t>
  </si>
  <si>
    <t>0,32 m</t>
  </si>
  <si>
    <t>0,31 m</t>
  </si>
  <si>
    <t>9,36 m</t>
  </si>
  <si>
    <t>8,98 m</t>
  </si>
  <si>
    <t>50 - 65 kg</t>
  </si>
  <si>
    <t>2-</t>
  </si>
  <si>
    <t>data(dist)</t>
  </si>
  <si>
    <t>perp</t>
  </si>
  <si>
    <t>int speed</t>
  </si>
  <si>
    <t>feather</t>
  </si>
  <si>
    <t>full reach2</t>
  </si>
  <si>
    <t>peak speed</t>
  </si>
  <si>
    <t xml:space="preserve">Filippi  1x </t>
  </si>
  <si>
    <t>Boat Class</t>
  </si>
  <si>
    <t>Race Category</t>
  </si>
  <si>
    <t>4-</t>
  </si>
  <si>
    <t>0,46 m</t>
  </si>
  <si>
    <t>12,43 m</t>
  </si>
  <si>
    <t>0,43 m</t>
  </si>
  <si>
    <t>12,26 m</t>
  </si>
  <si>
    <t>12,02 m</t>
  </si>
  <si>
    <t>0,44 m</t>
  </si>
  <si>
    <t>75 - 95 kg</t>
  </si>
  <si>
    <t>11,78 m</t>
  </si>
  <si>
    <t>11,69 m</t>
  </si>
  <si>
    <t>0,39 m</t>
  </si>
  <si>
    <t>10,50 m</t>
  </si>
  <si>
    <t>0,37 m</t>
  </si>
  <si>
    <t>bis 65 kg</t>
  </si>
  <si>
    <t>x</t>
  </si>
  <si>
    <t>y</t>
  </si>
  <si>
    <t>t</t>
  </si>
  <si>
    <t xml:space="preserve">time </t>
  </si>
  <si>
    <t>FPS</t>
  </si>
  <si>
    <t>dist</t>
  </si>
  <si>
    <t>raw data</t>
  </si>
  <si>
    <t>speed calculation</t>
  </si>
  <si>
    <t>&lt;2 &amp; &gt;2</t>
  </si>
  <si>
    <t>Avg.</t>
  </si>
  <si>
    <t>&lt;1:&gt;1</t>
  </si>
  <si>
    <t>Smoothing Factor</t>
  </si>
  <si>
    <t>COPY RAW DATA HERE</t>
  </si>
  <si>
    <t>dist x</t>
  </si>
  <si>
    <t>0:00:00:00</t>
  </si>
  <si>
    <t>0:00:00:03</t>
  </si>
  <si>
    <t>0:00:00:06</t>
  </si>
  <si>
    <t>0:00:00:10</t>
  </si>
  <si>
    <t>0:00:00:13</t>
  </si>
  <si>
    <t>0:00:00:16</t>
  </si>
  <si>
    <t>0:00:00:20</t>
  </si>
  <si>
    <t>0:00:00:23</t>
  </si>
  <si>
    <t>0:00:00:26</t>
  </si>
  <si>
    <t>0:00:00:30</t>
  </si>
  <si>
    <t>0:00:00:33</t>
  </si>
  <si>
    <t>0:00:00:36</t>
  </si>
  <si>
    <t>0:00:00:40</t>
  </si>
  <si>
    <t>0:00:00:43</t>
  </si>
  <si>
    <t>0:00:00:46</t>
  </si>
  <si>
    <t>0:00:00:50</t>
  </si>
  <si>
    <t>0:00:00:53</t>
  </si>
  <si>
    <t>0:00:00:56</t>
  </si>
  <si>
    <t>0:00:00:60</t>
  </si>
  <si>
    <t>0:00:00:63</t>
  </si>
  <si>
    <t>0:00:00:66</t>
  </si>
  <si>
    <t>0:00:00:70</t>
  </si>
  <si>
    <t>0:00:00:73</t>
  </si>
  <si>
    <t>0:00:00:76</t>
  </si>
  <si>
    <t>0:00:00:80</t>
  </si>
  <si>
    <t>0:00:00:83</t>
  </si>
  <si>
    <t>0:00:00:86</t>
  </si>
  <si>
    <t>0:00:00:90</t>
  </si>
  <si>
    <t>0:00:00:93</t>
  </si>
  <si>
    <t>0:00:00:96</t>
  </si>
  <si>
    <t>0:00:01:00</t>
  </si>
  <si>
    <t>0:00:01:03</t>
  </si>
  <si>
    <t>0:00:01:06</t>
  </si>
  <si>
    <t>0:00:01:10</t>
  </si>
  <si>
    <t>0:00:01:13</t>
  </si>
  <si>
    <t>0:00:01:16</t>
  </si>
  <si>
    <t>0:00:01:20</t>
  </si>
  <si>
    <t>0:00:01:23</t>
  </si>
  <si>
    <t>0:00:01:26</t>
  </si>
  <si>
    <t>0:00:01:30</t>
  </si>
  <si>
    <t>0:00:01:33</t>
  </si>
  <si>
    <t>0:00:01:36</t>
  </si>
  <si>
    <t>0:00:01:40</t>
  </si>
  <si>
    <t>0:00:01:43</t>
  </si>
  <si>
    <t>0:00:01:46</t>
  </si>
  <si>
    <t>0:00:01:50</t>
  </si>
  <si>
    <t>0:00:01:53</t>
  </si>
  <si>
    <t>0:00:01:56</t>
  </si>
  <si>
    <t>0:00:01:60</t>
  </si>
  <si>
    <t>0:00:01:63</t>
  </si>
  <si>
    <t>0:00:01:66</t>
  </si>
  <si>
    <t>0:00:01:70</t>
  </si>
  <si>
    <t>0:00:01:73</t>
  </si>
  <si>
    <t>0:00:01:76</t>
  </si>
  <si>
    <t>0:00:01:80</t>
  </si>
  <si>
    <t>0:00:01:83</t>
  </si>
  <si>
    <t>0:00:01:86</t>
  </si>
  <si>
    <t>0:00:01:90</t>
  </si>
  <si>
    <t>0:00:01:93</t>
  </si>
  <si>
    <t>0:00:01:96</t>
  </si>
  <si>
    <t>0:00:02:00</t>
  </si>
  <si>
    <t>0:00:02:03</t>
  </si>
  <si>
    <t>0:00:02:06</t>
  </si>
  <si>
    <t>0:00:02:10</t>
  </si>
  <si>
    <t>0:00:02:13</t>
  </si>
  <si>
    <t>0:00:02:16</t>
  </si>
  <si>
    <t>0:00:02:20</t>
  </si>
  <si>
    <t>0:00:02:23</t>
  </si>
  <si>
    <t>0:00:02:26</t>
  </si>
  <si>
    <t>0:00:02:30</t>
  </si>
  <si>
    <t>0:00:02:33</t>
  </si>
  <si>
    <t>0:00:02:36</t>
  </si>
  <si>
    <t>0:00:02:40</t>
  </si>
  <si>
    <t>0:00:02:43</t>
  </si>
  <si>
    <t>0:00:02:46</t>
  </si>
  <si>
    <t>0:00:02:50</t>
  </si>
  <si>
    <t>0:00:02:53</t>
  </si>
  <si>
    <t>0:00:00:01</t>
  </si>
  <si>
    <t>0:00:00:05</t>
  </si>
  <si>
    <t>0:00:00:08</t>
  </si>
  <si>
    <t>0:00:00:11</t>
  </si>
  <si>
    <t>0:00:00:15</t>
  </si>
  <si>
    <t>0:00:00:18</t>
  </si>
  <si>
    <t>0:00:00:21</t>
  </si>
  <si>
    <t>0:00:00:25</t>
  </si>
  <si>
    <t>0:00:00:28</t>
  </si>
  <si>
    <t>0:00:00:31</t>
  </si>
  <si>
    <t>0:00:00:35</t>
  </si>
  <si>
    <t>0:00:00:38</t>
  </si>
  <si>
    <t>0:00:00:41</t>
  </si>
  <si>
    <t>0:00:00:45</t>
  </si>
  <si>
    <t>0:00:00:48</t>
  </si>
  <si>
    <t>0:00:00:51</t>
  </si>
  <si>
    <t>0:00:00:55</t>
  </si>
  <si>
    <t>0:00:00:58</t>
  </si>
  <si>
    <t>0:00:00:61</t>
  </si>
  <si>
    <t>0:00:00:65</t>
  </si>
  <si>
    <t>0:00:00:68</t>
  </si>
  <si>
    <t>0:00:00:71</t>
  </si>
  <si>
    <t>0:00:00:75</t>
  </si>
  <si>
    <t>0:00:00:78</t>
  </si>
  <si>
    <t>0:00:00:81</t>
  </si>
  <si>
    <t>0:00:00:85</t>
  </si>
  <si>
    <t>0:00:00:88</t>
  </si>
  <si>
    <t>0:00:00:91</t>
  </si>
  <si>
    <t>0:00:00:95</t>
  </si>
  <si>
    <t>0:00:00:98</t>
  </si>
  <si>
    <t>0:00:01:01</t>
  </si>
  <si>
    <t>0:00:01:05</t>
  </si>
  <si>
    <t>0:00:01:08</t>
  </si>
  <si>
    <t>0:00:01:11</t>
  </si>
  <si>
    <t>0:00:01:15</t>
  </si>
  <si>
    <t>0:00:01:18</t>
  </si>
  <si>
    <t>0:00:01:21</t>
  </si>
  <si>
    <t>0:00:01:25</t>
  </si>
  <si>
    <t>0:00:01:28</t>
  </si>
  <si>
    <t>0:00:01:31</t>
  </si>
  <si>
    <t>0:00:01:35</t>
  </si>
  <si>
    <t>0:00:01:38</t>
  </si>
  <si>
    <t>0:00:01:41</t>
  </si>
  <si>
    <t>0:00:01:45</t>
  </si>
  <si>
    <t>0:00:01:48</t>
  </si>
  <si>
    <t>0:00:01:51</t>
  </si>
  <si>
    <t>0:00:01:55</t>
  </si>
  <si>
    <t>0:00:01:58</t>
  </si>
  <si>
    <t>0:00:01:61</t>
  </si>
  <si>
    <t>0:00:01:65</t>
  </si>
  <si>
    <t>0:00:01:68</t>
  </si>
  <si>
    <t>0:00:01:71</t>
  </si>
  <si>
    <t>0:00:01:75</t>
  </si>
  <si>
    <t>0:00:01:78</t>
  </si>
  <si>
    <t>0:00:01:81</t>
  </si>
  <si>
    <t>0:00:01:85</t>
  </si>
  <si>
    <t>0:00:01:88</t>
  </si>
  <si>
    <t>0:00:01:91</t>
  </si>
  <si>
    <t>0:00:01:95</t>
  </si>
  <si>
    <t>0:00:01:98</t>
  </si>
  <si>
    <t>0:00:02:01</t>
  </si>
  <si>
    <t>0:00:02:05</t>
  </si>
  <si>
    <t>0:00:02:08</t>
  </si>
  <si>
    <t>0:00:02:11</t>
  </si>
  <si>
    <t>0:00:02:15</t>
  </si>
  <si>
    <t>0:00:02:18</t>
  </si>
  <si>
    <t>0:00:02:21</t>
  </si>
  <si>
    <t>0:00:02:25</t>
  </si>
  <si>
    <t>0:00:02:28</t>
  </si>
  <si>
    <t>0:00:02:31</t>
  </si>
  <si>
    <t>0:00:02:35</t>
  </si>
  <si>
    <t>0:00:02:38</t>
  </si>
  <si>
    <t>0:00:02:41</t>
  </si>
  <si>
    <t>0:00:02:45</t>
  </si>
  <si>
    <t>0:00:02:48</t>
  </si>
  <si>
    <t>0:00:02:51</t>
  </si>
  <si>
    <r>
      <rPr>
        <b/>
        <sz val="14"/>
        <color rgb="FFFF0000"/>
        <rFont val="Calibri"/>
        <family val="2"/>
        <scheme val="minor"/>
      </rPr>
      <t xml:space="preserve">                    PURCERVERANCE</t>
    </r>
    <r>
      <rPr>
        <b/>
        <sz val="14"/>
        <color theme="1"/>
        <rFont val="Calibri"/>
        <family val="2"/>
        <scheme val="minor"/>
      </rPr>
      <t xml:space="preserve"> - Boat Speed, Rigging &amp; Technique Analysis                              </t>
    </r>
  </si>
  <si>
    <t>v. 2025-05-19</t>
  </si>
  <si>
    <t>acceleration</t>
  </si>
  <si>
    <t>speed hump</t>
  </si>
  <si>
    <t>finish slump</t>
  </si>
  <si>
    <t>area</t>
  </si>
  <si>
    <t>recovery</t>
  </si>
  <si>
    <t>chart size</t>
  </si>
  <si>
    <t xml:space="preserve">1. </t>
  </si>
  <si>
    <t>drive hump time</t>
  </si>
  <si>
    <t>drive finish slump</t>
  </si>
  <si>
    <t>&lt;-line time</t>
  </si>
  <si>
    <t>drive hump accel. loss</t>
  </si>
  <si>
    <t>38mm x 24.5mm</t>
  </si>
  <si>
    <t>drive hump speed diff.</t>
  </si>
  <si>
    <t>graph</t>
  </si>
  <si>
    <t>Ht. 1 V=0.57</t>
  </si>
  <si>
    <t>knees 90</t>
  </si>
  <si>
    <t xml:space="preserve">full reach      </t>
  </si>
  <si>
    <t>hands over knees</t>
  </si>
  <si>
    <t>2.</t>
  </si>
  <si>
    <t>&lt;- time</t>
  </si>
  <si>
    <t>entry</t>
  </si>
  <si>
    <t>PR1</t>
  </si>
  <si>
    <t>.9 vert</t>
  </si>
  <si>
    <t>3.</t>
  </si>
  <si>
    <t>PR2</t>
  </si>
  <si>
    <t>extraction</t>
  </si>
  <si>
    <t>1.8 vert.</t>
  </si>
  <si>
    <t xml:space="preserve">     </t>
  </si>
  <si>
    <t>4.</t>
  </si>
  <si>
    <t>entry 2</t>
  </si>
  <si>
    <t>peak</t>
  </si>
  <si>
    <t>avg speed</t>
  </si>
  <si>
    <t xml:space="preserve">Name </t>
  </si>
  <si>
    <t>oars perp.</t>
  </si>
  <si>
    <t>entry2</t>
  </si>
  <si>
    <t>start x</t>
  </si>
  <si>
    <t>5.</t>
  </si>
  <si>
    <t>stary y</t>
  </si>
  <si>
    <t>m</t>
  </si>
  <si>
    <t>split</t>
  </si>
  <si>
    <t>dist/stk</t>
  </si>
  <si>
    <t>spd m/s</t>
  </si>
  <si>
    <t>%  GMS</t>
  </si>
  <si>
    <t>sys accel</t>
  </si>
  <si>
    <t>Race Time</t>
  </si>
  <si>
    <t>Curve Avgerage</t>
  </si>
  <si>
    <t>Race Percent GMS</t>
  </si>
  <si>
    <t>Caregory Average</t>
  </si>
  <si>
    <t>Avg speed drive</t>
  </si>
  <si>
    <r>
      <rPr>
        <sz val="11"/>
        <rFont val="Calibri"/>
        <family val="2"/>
        <scheme val="minor"/>
      </rPr>
      <t>Diff. (above/</t>
    </r>
    <r>
      <rPr>
        <sz val="11"/>
        <color rgb="FFFF0000"/>
        <rFont val="Calibri"/>
        <family val="2"/>
        <scheme val="minor"/>
      </rPr>
      <t>below</t>
    </r>
    <r>
      <rPr>
        <sz val="11"/>
        <rFont val="Calibri"/>
        <family val="2"/>
        <scheme val="minor"/>
      </rPr>
      <t>)</t>
    </r>
  </si>
  <si>
    <t>Avg spd recovery</t>
  </si>
  <si>
    <t>ANALYSIS</t>
  </si>
  <si>
    <t>Weather:</t>
  </si>
  <si>
    <t>points for system movement curve</t>
  </si>
  <si>
    <t>Air Temp:</t>
  </si>
  <si>
    <t>6.</t>
  </si>
  <si>
    <t>Water:</t>
  </si>
  <si>
    <t>excellent</t>
  </si>
  <si>
    <t>good</t>
  </si>
  <si>
    <t>full reach1</t>
  </si>
  <si>
    <t>perpndclr</t>
  </si>
  <si>
    <r>
      <rPr>
        <b/>
        <sz val="12"/>
        <color rgb="FF008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Drive Time</t>
    </r>
    <r>
      <rPr>
        <sz val="8"/>
        <color theme="1"/>
        <rFont val="Calibri"/>
        <family val="2"/>
        <scheme val="minor"/>
      </rPr>
      <t xml:space="preserve"> (sec.)</t>
    </r>
  </si>
  <si>
    <t>time between entry (blade full bury) and feather</t>
  </si>
  <si>
    <t>good - within typical limites</t>
  </si>
  <si>
    <t>slightly high but within typical limits</t>
  </si>
  <si>
    <t>slightly low but within typical limits</t>
  </si>
  <si>
    <t>high - consider rigging load/length reduction</t>
  </si>
  <si>
    <t>low - condider rigging load/length increase</t>
  </si>
  <si>
    <t>slightly low - review at race speed</t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</si>
  <si>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Blade Slip</t>
    </r>
    <r>
      <rPr>
        <sz val="8"/>
        <color theme="1"/>
        <rFont val="Calibri"/>
        <family val="2"/>
        <scheme val="minor"/>
      </rPr>
      <t xml:space="preserve"> (m)</t>
    </r>
  </si>
  <si>
    <t>distance blade tip moves during drive measured parallel to boat</t>
  </si>
  <si>
    <t>great connection</t>
  </si>
  <si>
    <t>this is low. review stroke position and bladework</t>
  </si>
  <si>
    <t>low due to inconsistent blade depth</t>
  </si>
  <si>
    <t>.</t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</si>
  <si>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Eff. Stroke Lngth</t>
    </r>
    <r>
      <rPr>
        <sz val="8"/>
        <color theme="1"/>
        <rFont val="Calibri"/>
        <family val="2"/>
        <scheme val="minor"/>
      </rPr>
      <t xml:space="preserve"> (m)</t>
    </r>
  </si>
  <si>
    <t>distance the oar moves the boat during the drive (entry to extract)</t>
  </si>
  <si>
    <t>very good length</t>
  </si>
  <si>
    <r>
      <t>Stroke Position</t>
    </r>
    <r>
      <rPr>
        <sz val="8"/>
        <color theme="1"/>
        <rFont val="Calibri"/>
        <family val="2"/>
        <scheme val="minor"/>
      </rPr>
      <t xml:space="preserve"> (&gt;Pl)</t>
    </r>
  </si>
  <si>
    <t>feather/finish</t>
  </si>
  <si>
    <t>portion of the drive (entry to perpendicular) to (entry to extract)</t>
  </si>
  <si>
    <t>entry 1</t>
  </si>
  <si>
    <t>full rch 2</t>
  </si>
  <si>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Stroke Rate</t>
    </r>
    <r>
      <rPr>
        <sz val="8"/>
        <color theme="1"/>
        <rFont val="Calibri"/>
        <family val="2"/>
        <scheme val="minor"/>
      </rPr>
      <t xml:space="preserve"> (spm)</t>
    </r>
  </si>
  <si>
    <t>7.</t>
  </si>
  <si>
    <t>strokes per minute</t>
  </si>
  <si>
    <t>slightly below target (good for this time of year)</t>
  </si>
  <si>
    <r>
      <t>Stroke Ratio</t>
    </r>
    <r>
      <rPr>
        <sz val="8"/>
        <color theme="1"/>
        <rFont val="Calibri"/>
        <family val="2"/>
        <scheme val="minor"/>
      </rPr>
      <t xml:space="preserve"> (R/DT)</t>
    </r>
  </si>
  <si>
    <t>time on recovery divided by time on drive time</t>
  </si>
  <si>
    <t>high, due to low stroke rate</t>
  </si>
  <si>
    <t>low due to high stroke rate</t>
  </si>
  <si>
    <t>notes</t>
  </si>
  <si>
    <t xml:space="preserve">  sculler/crew average:</t>
  </si>
  <si>
    <t>length:</t>
  </si>
  <si>
    <t>(m)</t>
  </si>
  <si>
    <t>power:</t>
  </si>
  <si>
    <t>(watts)</t>
  </si>
  <si>
    <t>weight:</t>
  </si>
  <si>
    <t>(kg)</t>
  </si>
  <si>
    <t>Span</t>
  </si>
  <si>
    <t>coments/recommendations         blade type and area-&gt;</t>
  </si>
  <si>
    <t>No changes recommended</t>
  </si>
  <si>
    <t>Decrease to XXX to improve drive time and ratio</t>
  </si>
  <si>
    <t>increase to XXX to improve drive time and ratio</t>
  </si>
  <si>
    <t>decrease to improve stroke arc angle</t>
  </si>
  <si>
    <t>Oar Length</t>
  </si>
  <si>
    <t xml:space="preserve">comments/recommendations on the oar length   </t>
  </si>
  <si>
    <t xml:space="preserve">increase length to XXX (outboard </t>
  </si>
  <si>
    <t>Inboard</t>
  </si>
  <si>
    <t xml:space="preserve">comments/recommendations on the inboard                </t>
  </si>
  <si>
    <t>increase inboad to reduce load</t>
  </si>
  <si>
    <t>reduce inboard to allow footstops forward</t>
  </si>
  <si>
    <t xml:space="preserve">Notes: </t>
  </si>
  <si>
    <t>8.</t>
  </si>
  <si>
    <r>
      <t xml:space="preserve">Notes:  </t>
    </r>
    <r>
      <rPr>
        <sz val="11"/>
        <color rgb="FF0000FF"/>
        <rFont val="Calibri"/>
        <family val="2"/>
        <scheme val="minor"/>
      </rPr>
      <t xml:space="preserve"> </t>
    </r>
  </si>
  <si>
    <t>TECHNIQUE ANALYSIS</t>
  </si>
  <si>
    <t>Distance per Stroke</t>
  </si>
  <si>
    <t xml:space="preserve">Ref: </t>
  </si>
  <si>
    <t>description</t>
  </si>
  <si>
    <t xml:space="preserve">fair </t>
  </si>
  <si>
    <t>poor</t>
  </si>
  <si>
    <r>
      <rPr>
        <b/>
        <vertAlign val="superscript"/>
        <sz val="11"/>
        <color rgb="FFC00000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Entry Time </t>
    </r>
    <r>
      <rPr>
        <sz val="9"/>
        <color theme="1"/>
        <rFont val="Calibri"/>
        <family val="2"/>
        <scheme val="minor"/>
      </rPr>
      <t>(full reach to entry)</t>
    </r>
  </si>
  <si>
    <t xml:space="preserve"> time between full reach position and entry (blade full bury)</t>
  </si>
  <si>
    <t xml:space="preserve">Entry Time % of Stk Cycle </t>
  </si>
  <si>
    <t xml:space="preserve"> Entry Time as percentage of entire stroke cycle time</t>
  </si>
  <si>
    <r>
      <rPr>
        <b/>
        <vertAlign val="superscript"/>
        <sz val="11"/>
        <color rgb="FFC0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Drive Hump. </t>
    </r>
    <r>
      <rPr>
        <sz val="9"/>
        <color theme="1"/>
        <rFont val="Calibri"/>
        <family val="2"/>
        <scheme val="minor"/>
      </rPr>
      <t>(t*accel.)</t>
    </r>
  </si>
  <si>
    <t xml:space="preserve"> drive hump is acceleration loss after catch multiplied by time.  </t>
  </si>
  <si>
    <r>
      <rPr>
        <b/>
        <vertAlign val="superscript"/>
        <sz val="11"/>
        <color rgb="FFC00000"/>
        <rFont val="Calibri"/>
        <family val="2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 xml:space="preserve">Drive Accel. </t>
    </r>
    <r>
      <rPr>
        <sz val="9"/>
        <color theme="1"/>
        <rFont val="Calibri"/>
        <family val="2"/>
        <scheme val="minor"/>
      </rPr>
      <t>(entry to extract)</t>
    </r>
  </si>
  <si>
    <t xml:space="preserve"> boat acceleration between blade full bury and blade extraction.</t>
  </si>
  <si>
    <r>
      <t xml:space="preserve">  Drive Accl. Eff. </t>
    </r>
    <r>
      <rPr>
        <sz val="9"/>
        <color theme="1"/>
        <rFont val="Calibri"/>
        <family val="2"/>
        <scheme val="minor"/>
      </rPr>
      <t>(entry to extract)</t>
    </r>
  </si>
  <si>
    <t>9.</t>
  </si>
  <si>
    <t xml:space="preserve"> percentage of area curve compared to straight line accel.</t>
  </si>
  <si>
    <r>
      <rPr>
        <b/>
        <vertAlign val="superscript"/>
        <sz val="11"/>
        <color rgb="FFC0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Perp to Extract Accel.</t>
    </r>
    <r>
      <rPr>
        <sz val="9"/>
        <color theme="1"/>
        <rFont val="Calibri"/>
        <family val="2"/>
        <scheme val="minor"/>
      </rPr>
      <t xml:space="preserve"> (m/s2)</t>
    </r>
  </si>
  <si>
    <t>&lt;-time</t>
  </si>
  <si>
    <t xml:space="preserve"> boat acceleration between blade perpendicular and blade extraction.</t>
  </si>
  <si>
    <t>Drive Speed % of Avg. Speed</t>
  </si>
  <si>
    <t xml:space="preserve"> drive average speed as percent of total stroke average speed</t>
  </si>
  <si>
    <r>
      <rPr>
        <b/>
        <vertAlign val="superscript"/>
        <sz val="11"/>
        <color theme="5" tint="-0.24994659260841701"/>
        <rFont val="Calibri"/>
        <family val="2"/>
        <scheme val="minor"/>
      </rPr>
      <t xml:space="preserve">4 </t>
    </r>
    <r>
      <rPr>
        <b/>
        <sz val="11"/>
        <color theme="1"/>
        <rFont val="Calibri"/>
        <family val="2"/>
        <scheme val="minor"/>
      </rPr>
      <t>System Speed Change (m/s)</t>
    </r>
  </si>
  <si>
    <t xml:space="preserve"> boat speed change - full reach to feather </t>
  </si>
  <si>
    <r>
      <rPr>
        <b/>
        <vertAlign val="superscript"/>
        <sz val="11"/>
        <color rgb="FFC00000"/>
        <rFont val="Calibri"/>
        <family val="2"/>
        <scheme val="minor"/>
      </rPr>
      <t>5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Release Time </t>
    </r>
    <r>
      <rPr>
        <sz val="9"/>
        <color theme="1"/>
        <rFont val="Calibri"/>
        <family val="2"/>
        <scheme val="minor"/>
      </rPr>
      <t>(extract to feather)</t>
    </r>
  </si>
  <si>
    <t xml:space="preserve"> time blade extraction to feather</t>
  </si>
  <si>
    <t>Release Time % of Stk Cycle</t>
  </si>
  <si>
    <t xml:space="preserve"> time blade extraction to feather as percentage of stroke cycle</t>
  </si>
  <si>
    <r>
      <t>Release Speed Change</t>
    </r>
    <r>
      <rPr>
        <sz val="9"/>
        <color theme="1"/>
        <rFont val="Calibri"/>
        <family val="2"/>
        <scheme val="minor"/>
      </rPr>
      <t xml:space="preserve"> (m/s)</t>
    </r>
  </si>
  <si>
    <t>10.</t>
  </si>
  <si>
    <t xml:space="preserve"> speed change - extraction to feather</t>
  </si>
  <si>
    <r>
      <rPr>
        <b/>
        <vertAlign val="superscript"/>
        <sz val="11"/>
        <color rgb="FFC00000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Recovery Accel.</t>
    </r>
    <r>
      <rPr>
        <sz val="9"/>
        <color theme="1"/>
        <rFont val="Calibri"/>
        <family val="2"/>
        <scheme val="minor"/>
      </rPr>
      <t xml:space="preserve"> (feather to peak)</t>
    </r>
  </si>
  <si>
    <t xml:space="preserve"> acceleration feather to peak speed</t>
  </si>
  <si>
    <r>
      <t>Rec. Accel Eff.</t>
    </r>
    <r>
      <rPr>
        <sz val="9"/>
        <color theme="1"/>
        <rFont val="Calibri"/>
        <family val="2"/>
        <scheme val="minor"/>
      </rPr>
      <t xml:space="preserve"> (feather to peak)</t>
    </r>
  </si>
  <si>
    <t xml:space="preserve"> percentage of area under the curve compared to straight line accel.</t>
  </si>
  <si>
    <r>
      <rPr>
        <b/>
        <vertAlign val="superscript"/>
        <sz val="11"/>
        <color rgb="FFC00000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>Recovery Peak Speed</t>
    </r>
    <r>
      <rPr>
        <sz val="9"/>
        <color theme="1"/>
        <rFont val="Calibri"/>
        <family val="2"/>
        <scheme val="minor"/>
      </rPr>
      <t xml:space="preserve"> (% of Rec)</t>
    </r>
  </si>
  <si>
    <t xml:space="preserve"> percentage of recovery (feather~fullreach2) to peak speed</t>
  </si>
  <si>
    <t>Recovery Speed % of Avg. Spd.</t>
  </si>
  <si>
    <t xml:space="preserve"> recovery average speed as percent of total stroke average speed</t>
  </si>
  <si>
    <r>
      <rPr>
        <b/>
        <vertAlign val="superscript"/>
        <sz val="11"/>
        <color rgb="FFC00000"/>
        <rFont val="Calibri"/>
        <family val="2"/>
        <scheme val="minor"/>
      </rPr>
      <t>8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Deceleration </t>
    </r>
    <r>
      <rPr>
        <sz val="9"/>
        <color theme="1"/>
        <rFont val="Calibri"/>
        <family val="2"/>
        <scheme val="minor"/>
      </rPr>
      <t>(peak to entry2)</t>
    </r>
  </si>
  <si>
    <t xml:space="preserve"> deceleration between peak speed to entry2</t>
  </si>
  <si>
    <r>
      <rPr>
        <b/>
        <vertAlign val="superscript"/>
        <sz val="11"/>
        <color rgb="FFC00000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 Deceleration Time </t>
    </r>
    <r>
      <rPr>
        <sz val="9"/>
        <color theme="1"/>
        <rFont val="Calibri"/>
        <family val="2"/>
        <scheme val="minor"/>
      </rPr>
      <t>(sec.)</t>
    </r>
  </si>
  <si>
    <t xml:space="preserve"> time boat is in negative acceleration following peak speed. </t>
  </si>
  <si>
    <t>time identified on video</t>
  </si>
  <si>
    <t>Deceleration Time % of Stk Cycle</t>
  </si>
  <si>
    <t xml:space="preserve"> Deceleration Time as percentage of entire stroke cycle time</t>
  </si>
  <si>
    <t>min speed</t>
  </si>
  <si>
    <t>Category</t>
  </si>
  <si>
    <t>min spd 2</t>
  </si>
  <si>
    <t>curve area</t>
  </si>
  <si>
    <t>total</t>
  </si>
  <si>
    <t>accel-base</t>
  </si>
  <si>
    <t>calc accel</t>
  </si>
  <si>
    <t>effic</t>
  </si>
  <si>
    <t>entry to extraxt</t>
  </si>
  <si>
    <t>entry to perp</t>
  </si>
  <si>
    <t>perp to finish</t>
  </si>
  <si>
    <t>extraction to peak</t>
  </si>
  <si>
    <t>feather to peak</t>
  </si>
  <si>
    <t>peak to full reach2</t>
  </si>
  <si>
    <t>peak to entry2</t>
  </si>
  <si>
    <t>extaction to entry2</t>
  </si>
  <si>
    <t>entry to entry2</t>
  </si>
  <si>
    <t>feather to full reach2</t>
  </si>
  <si>
    <r>
      <rPr>
        <b/>
        <sz val="14"/>
        <color rgb="FFFF0000"/>
        <rFont val="Calibri"/>
        <family val="2"/>
        <scheme val="minor"/>
      </rPr>
      <t>PURCERVERANCE</t>
    </r>
    <r>
      <rPr>
        <b/>
        <sz val="14"/>
        <color theme="1"/>
        <rFont val="Calibri"/>
        <family val="2"/>
        <scheme val="minor"/>
      </rPr>
      <t xml:space="preserve"> - Technique Analysis</t>
    </r>
  </si>
  <si>
    <t>phase time</t>
  </si>
  <si>
    <t>Crew Name</t>
  </si>
  <si>
    <t>Location</t>
  </si>
  <si>
    <t>Video Description</t>
  </si>
  <si>
    <t>Date</t>
  </si>
  <si>
    <t>Race Finish Time</t>
  </si>
  <si>
    <r>
      <t>Drive Time</t>
    </r>
    <r>
      <rPr>
        <sz val="9"/>
        <color theme="1"/>
        <rFont val="Calibri"/>
        <family val="2"/>
        <scheme val="minor"/>
      </rPr>
      <t xml:space="preserve"> (sec.)</t>
    </r>
  </si>
  <si>
    <r>
      <t xml:space="preserve"> time between 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(blade full bury) and feather</t>
    </r>
  </si>
  <si>
    <r>
      <t>Blade Slip</t>
    </r>
    <r>
      <rPr>
        <sz val="9"/>
        <color theme="1"/>
        <rFont val="Calibri"/>
        <family val="2"/>
        <scheme val="minor"/>
      </rPr>
      <t xml:space="preserve"> (m)</t>
    </r>
  </si>
  <si>
    <t xml:space="preserve"> distance blade tip moves during drive (parallel to boat)</t>
  </si>
  <si>
    <r>
      <t>Eff. Stroke Lngth</t>
    </r>
    <r>
      <rPr>
        <sz val="9"/>
        <color theme="1"/>
        <rFont val="Calibri"/>
        <family val="2"/>
        <scheme val="minor"/>
      </rPr>
      <t xml:space="preserve"> (m)</t>
    </r>
  </si>
  <si>
    <t xml:space="preserve"> distance the oar moves the boat during the drive (entry to extraction</t>
  </si>
  <si>
    <r>
      <t xml:space="preserve">Stroke Position </t>
    </r>
    <r>
      <rPr>
        <sz val="9"/>
        <color theme="1"/>
        <rFont val="Calibri"/>
        <family val="2"/>
        <scheme val="minor"/>
      </rPr>
      <t>(%)</t>
    </r>
  </si>
  <si>
    <t xml:space="preserve"> drive, portion of the stroke before oar reaches perp. [(entry-perp)/(entry-exit)]</t>
  </si>
  <si>
    <r>
      <t>Stroke Rate</t>
    </r>
    <r>
      <rPr>
        <sz val="9"/>
        <color theme="1"/>
        <rFont val="Calibri"/>
        <family val="2"/>
        <scheme val="minor"/>
      </rPr>
      <t xml:space="preserve"> (spm)</t>
    </r>
  </si>
  <si>
    <t xml:space="preserve"> strokes per minute</t>
  </si>
  <si>
    <r>
      <t>Stroke Ratio</t>
    </r>
    <r>
      <rPr>
        <sz val="9"/>
        <color theme="1"/>
        <rFont val="Calibri"/>
        <family val="2"/>
        <scheme val="minor"/>
      </rPr>
      <t xml:space="preserve"> (R/DT)</t>
    </r>
  </si>
  <si>
    <t xml:space="preserve"> time on recovery divided by drive time</t>
  </si>
  <si>
    <r>
      <rPr>
        <b/>
        <sz val="11"/>
        <color rgb="FF008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Entry Time </t>
    </r>
    <r>
      <rPr>
        <sz val="9"/>
        <color theme="1"/>
        <rFont val="Calibri"/>
        <family val="2"/>
        <scheme val="minor"/>
      </rPr>
      <t>(sec)</t>
    </r>
  </si>
  <si>
    <r>
      <t xml:space="preserve"> time between </t>
    </r>
    <r>
      <rPr>
        <b/>
        <sz val="10"/>
        <color rgb="FF0000FF"/>
        <rFont val="Calibri"/>
        <family val="2"/>
        <scheme val="minor"/>
      </rPr>
      <t>full reach</t>
    </r>
    <r>
      <rPr>
        <sz val="10"/>
        <color rgb="FF0000FF"/>
        <rFont val="Calibri"/>
        <family val="2"/>
        <scheme val="minor"/>
      </rPr>
      <t xml:space="preserve"> and 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(blade is fully buried)</t>
    </r>
  </si>
  <si>
    <r>
      <t xml:space="preserve">Entry Tm Percent of Stk Cycle </t>
    </r>
    <r>
      <rPr>
        <sz val="9"/>
        <color theme="1"/>
        <rFont val="Calibri"/>
        <family val="2"/>
        <scheme val="minor"/>
      </rPr>
      <t>(%)</t>
    </r>
  </si>
  <si>
    <r>
      <t xml:space="preserve"> percentage of time for the 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compared to the </t>
    </r>
    <r>
      <rPr>
        <b/>
        <sz val="10"/>
        <color rgb="FF0000FF"/>
        <rFont val="Calibri"/>
        <family val="2"/>
        <scheme val="minor"/>
      </rPr>
      <t>full stroke</t>
    </r>
    <r>
      <rPr>
        <sz val="10"/>
        <color rgb="FF0000FF"/>
        <rFont val="Calibri"/>
        <family val="2"/>
        <scheme val="minor"/>
      </rPr>
      <t xml:space="preserve"> cycle</t>
    </r>
  </si>
  <si>
    <r>
      <t xml:space="preserve">Speed at Full Reach </t>
    </r>
    <r>
      <rPr>
        <sz val="9"/>
        <color theme="1"/>
        <rFont val="Calibri"/>
        <family val="2"/>
        <scheme val="minor"/>
      </rPr>
      <t>(m/s)</t>
    </r>
  </si>
  <si>
    <t xml:space="preserve"> speed at the full reach </t>
  </si>
  <si>
    <r>
      <t xml:space="preserve">Speed Loss </t>
    </r>
    <r>
      <rPr>
        <sz val="9"/>
        <color theme="1"/>
        <rFont val="Calibri"/>
        <family val="2"/>
        <scheme val="minor"/>
      </rPr>
      <t>(m/s)</t>
    </r>
  </si>
  <si>
    <r>
      <t xml:space="preserve"> speed loss between </t>
    </r>
    <r>
      <rPr>
        <b/>
        <sz val="10"/>
        <color rgb="FF0000FF"/>
        <rFont val="Calibri"/>
        <family val="2"/>
        <scheme val="minor"/>
      </rPr>
      <t>full reach</t>
    </r>
    <r>
      <rPr>
        <sz val="10"/>
        <color rgb="FF0000FF"/>
        <rFont val="Calibri"/>
        <family val="2"/>
        <scheme val="minor"/>
      </rPr>
      <t xml:space="preserve"> and </t>
    </r>
    <r>
      <rPr>
        <b/>
        <sz val="10"/>
        <color rgb="FF0000FF"/>
        <rFont val="Calibri"/>
        <family val="2"/>
        <scheme val="minor"/>
      </rPr>
      <t>entry</t>
    </r>
  </si>
  <si>
    <r>
      <t xml:space="preserve">Minimum Speed (near entry) </t>
    </r>
    <r>
      <rPr>
        <sz val="9"/>
        <color theme="1"/>
        <rFont val="Calibri"/>
        <family val="2"/>
        <scheme val="minor"/>
      </rPr>
      <t>(m/s)</t>
    </r>
  </si>
  <si>
    <t xml:space="preserve"> minimum boat speed. </t>
  </si>
  <si>
    <r>
      <t xml:space="preserve">Time Entry to Minimum </t>
    </r>
    <r>
      <rPr>
        <sz val="9"/>
        <color theme="1"/>
        <rFont val="Calibri"/>
        <family val="2"/>
        <scheme val="minor"/>
      </rPr>
      <t>(sec)</t>
    </r>
  </si>
  <si>
    <r>
      <t xml:space="preserve"> time between 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and minimum speed (seconds)</t>
    </r>
  </si>
  <si>
    <r>
      <t xml:space="preserve">Entry Speed to Min Speed </t>
    </r>
    <r>
      <rPr>
        <sz val="9"/>
        <color theme="1"/>
        <rFont val="Calibri"/>
        <family val="2"/>
        <scheme val="minor"/>
      </rPr>
      <t>(m/s)</t>
    </r>
  </si>
  <si>
    <t xml:space="preserve"> speed difference between entry and minimum speed</t>
  </si>
  <si>
    <r>
      <t xml:space="preserve">Entry Boat Moves </t>
    </r>
    <r>
      <rPr>
        <sz val="9"/>
        <color theme="1"/>
        <rFont val="Calibri"/>
        <family val="2"/>
        <scheme val="minor"/>
      </rPr>
      <t>(m)</t>
    </r>
  </si>
  <si>
    <t xml:space="preserve"> distance boat moves during entry (full reach to blade bury)</t>
  </si>
  <si>
    <t>`</t>
  </si>
  <si>
    <r>
      <t xml:space="preserve">Drive Hump Time </t>
    </r>
    <r>
      <rPr>
        <sz val="9"/>
        <color theme="1"/>
        <rFont val="Calibri"/>
        <family val="2"/>
        <scheme val="minor"/>
      </rPr>
      <t>(sec.)</t>
    </r>
  </si>
  <si>
    <t xml:space="preserve"> time of acceleration slows following entry</t>
  </si>
  <si>
    <r>
      <t xml:space="preserve">Drive Hump </t>
    </r>
    <r>
      <rPr>
        <sz val="9"/>
        <color theme="1"/>
        <rFont val="Calibri"/>
        <family val="2"/>
        <scheme val="minor"/>
      </rPr>
      <t>(accel. difference)</t>
    </r>
  </si>
  <si>
    <t xml:space="preserve"> drive hump - difference in acceleration start and end time</t>
  </si>
  <si>
    <r>
      <t xml:space="preserve">Drive Hump </t>
    </r>
    <r>
      <rPr>
        <sz val="9"/>
        <color theme="1"/>
        <rFont val="Calibri"/>
        <family val="2"/>
        <scheme val="minor"/>
      </rPr>
      <t>(speed difference)</t>
    </r>
  </si>
  <si>
    <t xml:space="preserve"> drive hump - difference in speed start and end time</t>
  </si>
  <si>
    <r>
      <t xml:space="preserve">Drive Hump. </t>
    </r>
    <r>
      <rPr>
        <sz val="9"/>
        <color theme="1"/>
        <rFont val="Calibri"/>
        <family val="2"/>
        <scheme val="minor"/>
      </rPr>
      <t>(accel. loss)</t>
    </r>
  </si>
  <si>
    <t xml:space="preserve"> drive hump - acceleration loss multiplied by time.   </t>
  </si>
  <si>
    <r>
      <t xml:space="preserve">Blade Buried Time </t>
    </r>
    <r>
      <rPr>
        <sz val="9"/>
        <color theme="1"/>
        <rFont val="Calibri"/>
        <family val="2"/>
        <scheme val="minor"/>
      </rPr>
      <t>(sec.)</t>
    </r>
  </si>
  <si>
    <r>
      <t xml:space="preserve"> time blade 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(full bury) to </t>
    </r>
    <r>
      <rPr>
        <b/>
        <sz val="10"/>
        <color rgb="FF0000FF"/>
        <rFont val="Calibri"/>
        <family val="2"/>
        <scheme val="minor"/>
      </rPr>
      <t>extract</t>
    </r>
    <r>
      <rPr>
        <sz val="10"/>
        <color rgb="FF0000FF"/>
        <rFont val="Calibri"/>
        <family val="2"/>
        <scheme val="minor"/>
      </rPr>
      <t xml:space="preserve"> (from water when blade moves with boat)</t>
    </r>
  </si>
  <si>
    <r>
      <t>Blade Bury Percent of Stk Cycle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(%)</t>
    </r>
  </si>
  <si>
    <r>
      <t xml:space="preserve"> percent of time for blade bury (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extract</t>
    </r>
    <r>
      <rPr>
        <sz val="10"/>
        <color rgb="FF0000FF"/>
        <rFont val="Calibri"/>
        <family val="2"/>
        <scheme val="minor"/>
      </rPr>
      <t>) to full stroke cycle</t>
    </r>
  </si>
  <si>
    <t xml:space="preserve"> boat speed at entry (beginning of phase)</t>
  </si>
  <si>
    <r>
      <t xml:space="preserve">Speed at Entry </t>
    </r>
    <r>
      <rPr>
        <sz val="9"/>
        <color theme="1"/>
        <rFont val="Calibri"/>
        <family val="2"/>
        <scheme val="minor"/>
      </rPr>
      <t>(m/s)</t>
    </r>
  </si>
  <si>
    <r>
      <t>Blade burried Accel.</t>
    </r>
    <r>
      <rPr>
        <sz val="9"/>
        <color theme="1"/>
        <rFont val="Calibri"/>
        <family val="2"/>
        <scheme val="minor"/>
      </rPr>
      <t xml:space="preserve"> (m/s/s)</t>
    </r>
  </si>
  <si>
    <t xml:space="preserve"> acceleration between entry and extract </t>
  </si>
  <si>
    <r>
      <t xml:space="preserve">Drive Accel. Eff. </t>
    </r>
    <r>
      <rPr>
        <sz val="9"/>
        <color theme="1"/>
        <rFont val="Calibri"/>
        <family val="2"/>
        <scheme val="minor"/>
      </rPr>
      <t>(entry to extract) (%)</t>
    </r>
  </si>
  <si>
    <t xml:space="preserve"> percentage of boat movement compared to movement with straight line acceleration</t>
  </si>
  <si>
    <r>
      <t xml:space="preserve">Drive Finish Slump Time </t>
    </r>
    <r>
      <rPr>
        <sz val="9"/>
        <rFont val="Calibri"/>
        <family val="2"/>
        <scheme val="minor"/>
      </rPr>
      <t>(sec.)</t>
    </r>
  </si>
  <si>
    <t xml:space="preserve"> time acceleration drops below 0.5 m/s/s between oar perp and feather</t>
  </si>
  <si>
    <r>
      <t xml:space="preserve">Drive Finish Slump Acc. </t>
    </r>
    <r>
      <rPr>
        <sz val="9"/>
        <color theme="1"/>
        <rFont val="Calibri"/>
        <family val="2"/>
        <scheme val="minor"/>
      </rPr>
      <t>(accel. diff.)</t>
    </r>
  </si>
  <si>
    <t xml:space="preserve"> drive finish slump - difference in acceleration start and end time</t>
  </si>
  <si>
    <r>
      <t xml:space="preserve">Drive Finish Slump Spd </t>
    </r>
    <r>
      <rPr>
        <sz val="9"/>
        <color theme="1"/>
        <rFont val="Calibri"/>
        <family val="2"/>
        <scheme val="minor"/>
      </rPr>
      <t>( speed diff.)</t>
    </r>
  </si>
  <si>
    <t xml:space="preserve"> drive finish slump - difference in speed start and end time</t>
  </si>
  <si>
    <t xml:space="preserve">Drive Finish Slump </t>
  </si>
  <si>
    <t xml:space="preserve"> drive finish slump - acceleration below 0.5 m/s/s multiplied by time</t>
  </si>
  <si>
    <r>
      <t xml:space="preserve">Blade Buried Speed Increase </t>
    </r>
    <r>
      <rPr>
        <sz val="9"/>
        <color theme="1"/>
        <rFont val="Calibri"/>
        <family val="2"/>
        <scheme val="minor"/>
      </rPr>
      <t>(m/s)</t>
    </r>
  </si>
  <si>
    <r>
      <t xml:space="preserve"> increase in speed between 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extract</t>
    </r>
  </si>
  <si>
    <r>
      <t xml:space="preserve">Blade Buried Avg. Speed </t>
    </r>
    <r>
      <rPr>
        <sz val="9"/>
        <color theme="1"/>
        <rFont val="Calibri"/>
        <family val="2"/>
        <scheme val="minor"/>
      </rPr>
      <t>(m/s)</t>
    </r>
  </si>
  <si>
    <r>
      <t xml:space="preserve"> average boat speed during </t>
    </r>
    <r>
      <rPr>
        <b/>
        <sz val="10"/>
        <color rgb="FF0000FF"/>
        <rFont val="Calibri"/>
        <family val="2"/>
        <scheme val="minor"/>
      </rPr>
      <t>blade buried</t>
    </r>
  </si>
  <si>
    <t xml:space="preserve"> distsnce the boat moves during blade buried phase</t>
  </si>
  <si>
    <r>
      <t xml:space="preserve">Blade Buried Boat Moves </t>
    </r>
    <r>
      <rPr>
        <sz val="9"/>
        <color theme="1"/>
        <rFont val="Calibri"/>
        <family val="2"/>
        <scheme val="minor"/>
      </rPr>
      <t>(m/s)</t>
    </r>
  </si>
  <si>
    <t xml:space="preserve"> boat acceleration blade entry to blade exit </t>
  </si>
  <si>
    <r>
      <t>Entry to Perp. Accel.</t>
    </r>
    <r>
      <rPr>
        <sz val="9"/>
        <color theme="1"/>
        <rFont val="Calibri"/>
        <family val="2"/>
        <scheme val="minor"/>
      </rPr>
      <t xml:space="preserve"> (m/s/s)</t>
    </r>
  </si>
  <si>
    <t xml:space="preserve"> acceleration between oar at perpendicular and blade exit</t>
  </si>
  <si>
    <r>
      <t xml:space="preserve">Perp to extraction Accel. </t>
    </r>
    <r>
      <rPr>
        <sz val="9"/>
        <color theme="1"/>
        <rFont val="Calibri"/>
        <family val="2"/>
        <scheme val="minor"/>
      </rPr>
      <t>(m/s/s)</t>
    </r>
  </si>
  <si>
    <t xml:space="preserve"> increase in acceleration between 1st half and 2nd half phase (perp to exit/entry to perp.)</t>
  </si>
  <si>
    <r>
      <t>Finish Percent Increase in Accel.</t>
    </r>
    <r>
      <rPr>
        <sz val="9"/>
        <color theme="1"/>
        <rFont val="Calibri"/>
        <family val="2"/>
        <scheme val="minor"/>
      </rPr>
      <t xml:space="preserve"> (%)</t>
    </r>
  </si>
  <si>
    <r>
      <t xml:space="preserve">Release Time </t>
    </r>
    <r>
      <rPr>
        <sz val="9"/>
        <color theme="1"/>
        <rFont val="Calibri"/>
        <family val="2"/>
        <scheme val="minor"/>
      </rPr>
      <t>(sec)</t>
    </r>
  </si>
  <si>
    <r>
      <t xml:space="preserve"> time between </t>
    </r>
    <r>
      <rPr>
        <b/>
        <sz val="10"/>
        <color rgb="FF0000FF"/>
        <rFont val="Calibri"/>
        <family val="2"/>
        <scheme val="minor"/>
      </rPr>
      <t>extract</t>
    </r>
    <r>
      <rPr>
        <sz val="10"/>
        <color rgb="FF0000FF"/>
        <rFont val="Calibri"/>
        <family val="2"/>
        <scheme val="minor"/>
      </rPr>
      <t xml:space="preserve"> (blade exit) and </t>
    </r>
    <r>
      <rPr>
        <b/>
        <sz val="10"/>
        <color rgb="FF0000FF"/>
        <rFont val="Calibri"/>
        <family val="2"/>
        <scheme val="minor"/>
      </rPr>
      <t>feather</t>
    </r>
  </si>
  <si>
    <t xml:space="preserve"> percent of time of release to full stroke cycle</t>
  </si>
  <si>
    <r>
      <t>Percent Release to Stk Cycle</t>
    </r>
    <r>
      <rPr>
        <sz val="9"/>
        <color theme="1"/>
        <rFont val="Calibri"/>
        <family val="2"/>
        <scheme val="minor"/>
      </rPr>
      <t xml:space="preserve"> (%)</t>
    </r>
  </si>
  <si>
    <r>
      <t xml:space="preserve">Release Speed Change </t>
    </r>
    <r>
      <rPr>
        <sz val="9"/>
        <color theme="1"/>
        <rFont val="Calibri"/>
        <family val="2"/>
        <scheme val="minor"/>
      </rPr>
      <t>(m/s)</t>
    </r>
  </si>
  <si>
    <t xml:space="preserve"> increase in speed between extract (blade exit) to feather</t>
  </si>
  <si>
    <r>
      <t xml:space="preserve">Feather to Full Reach2 Time </t>
    </r>
    <r>
      <rPr>
        <sz val="9"/>
        <color theme="1"/>
        <rFont val="Calibri"/>
        <family val="2"/>
        <scheme val="minor"/>
      </rPr>
      <t>(sec)</t>
    </r>
  </si>
  <si>
    <r>
      <t xml:space="preserve"> time from </t>
    </r>
    <r>
      <rPr>
        <b/>
        <sz val="10"/>
        <color rgb="FF0000FF"/>
        <rFont val="Calibri"/>
        <family val="2"/>
        <scheme val="minor"/>
      </rPr>
      <t>feather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full reach2</t>
    </r>
  </si>
  <si>
    <t xml:space="preserve"> percent time for recovery to stroke cycle</t>
  </si>
  <si>
    <r>
      <t xml:space="preserve">Percent Recovery to Stk Cycle </t>
    </r>
    <r>
      <rPr>
        <sz val="9"/>
        <color theme="1"/>
        <rFont val="Calibri"/>
        <family val="2"/>
        <scheme val="minor"/>
      </rPr>
      <t>(%)</t>
    </r>
  </si>
  <si>
    <t xml:space="preserve"> speed at the feather </t>
  </si>
  <si>
    <r>
      <t xml:space="preserve">Speed at Feather </t>
    </r>
    <r>
      <rPr>
        <sz val="9"/>
        <color theme="1"/>
        <rFont val="Calibri"/>
        <family val="2"/>
        <scheme val="minor"/>
      </rPr>
      <t>(m/s)</t>
    </r>
  </si>
  <si>
    <r>
      <t>Total Recovery Accel.</t>
    </r>
    <r>
      <rPr>
        <sz val="9"/>
        <color theme="1"/>
        <rFont val="Calibri"/>
        <family val="2"/>
        <scheme val="minor"/>
      </rPr>
      <t xml:space="preserve"> (m/s/s)</t>
    </r>
  </si>
  <si>
    <r>
      <t xml:space="preserve"> boat acceleration </t>
    </r>
    <r>
      <rPr>
        <b/>
        <sz val="10"/>
        <color rgb="FF0000FF"/>
        <rFont val="Calibri"/>
        <family val="2"/>
        <scheme val="minor"/>
      </rPr>
      <t>feather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full reach2</t>
    </r>
  </si>
  <si>
    <t xml:space="preserve"> recovery acceleration efficiency (straight line to actual speed change)</t>
  </si>
  <si>
    <r>
      <t>Recovery Accel. Effic.</t>
    </r>
    <r>
      <rPr>
        <sz val="9"/>
        <color theme="1"/>
        <rFont val="Calibri"/>
        <family val="2"/>
        <scheme val="minor"/>
      </rPr>
      <t xml:space="preserve"> (%)</t>
    </r>
  </si>
  <si>
    <r>
      <t>Feather-FullRch Speed Change</t>
    </r>
    <r>
      <rPr>
        <sz val="9"/>
        <color theme="1"/>
        <rFont val="Calibri"/>
        <family val="2"/>
        <scheme val="minor"/>
      </rPr>
      <t xml:space="preserve"> (m/s)</t>
    </r>
  </si>
  <si>
    <r>
      <t xml:space="preserve"> change in speed from </t>
    </r>
    <r>
      <rPr>
        <b/>
        <sz val="10"/>
        <color rgb="FF0000FF"/>
        <rFont val="Calibri"/>
        <family val="2"/>
        <scheme val="minor"/>
      </rPr>
      <t>feather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full reach 2</t>
    </r>
  </si>
  <si>
    <r>
      <t xml:space="preserve">Average Recovery Speed </t>
    </r>
    <r>
      <rPr>
        <sz val="9"/>
        <color theme="1"/>
        <rFont val="Calibri"/>
        <family val="2"/>
        <scheme val="minor"/>
      </rPr>
      <t>(m/s)</t>
    </r>
  </si>
  <si>
    <t xml:space="preserve"> average speed feather to full reach2</t>
  </si>
  <si>
    <t xml:space="preserve"> distance boat moves during the recovery (feather to full reach2)</t>
  </si>
  <si>
    <r>
      <t xml:space="preserve">Recoverey Boat Moves </t>
    </r>
    <r>
      <rPr>
        <sz val="9"/>
        <color theme="1"/>
        <rFont val="Calibri"/>
        <family val="2"/>
        <scheme val="minor"/>
      </rPr>
      <t>(m)</t>
    </r>
  </si>
  <si>
    <r>
      <t xml:space="preserve">Recovery Accel Time </t>
    </r>
    <r>
      <rPr>
        <sz val="9"/>
        <color theme="1"/>
        <rFont val="Calibri"/>
        <family val="2"/>
        <scheme val="minor"/>
      </rPr>
      <t>(t)</t>
    </r>
  </si>
  <si>
    <r>
      <t xml:space="preserve"> time in seconds from </t>
    </r>
    <r>
      <rPr>
        <b/>
        <sz val="10"/>
        <color rgb="FF0000FF"/>
        <rFont val="Calibri"/>
        <family val="2"/>
        <scheme val="minor"/>
      </rPr>
      <t>feather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peak speed</t>
    </r>
  </si>
  <si>
    <t xml:space="preserve"> acceleration from feather to peak boat speed</t>
  </si>
  <si>
    <r>
      <t xml:space="preserve">Recovery Accel Accel </t>
    </r>
    <r>
      <rPr>
        <sz val="9"/>
        <color theme="1"/>
        <rFont val="Calibri"/>
        <family val="2"/>
        <scheme val="minor"/>
      </rPr>
      <t>(m/s/s)</t>
    </r>
    <r>
      <rPr>
        <sz val="6"/>
        <color theme="1"/>
        <rFont val="Calibri"/>
        <family val="2"/>
        <scheme val="minor"/>
      </rPr>
      <t xml:space="preserve"> Feather to Peak</t>
    </r>
  </si>
  <si>
    <t xml:space="preserve"> percentage of acceleration efficiency feather to peak speed</t>
  </si>
  <si>
    <r>
      <t>Recovery Accel Eff.</t>
    </r>
    <r>
      <rPr>
        <sz val="9"/>
        <color theme="1"/>
        <rFont val="Calibri"/>
        <family val="2"/>
        <scheme val="minor"/>
      </rPr>
      <t xml:space="preserve"> (%)</t>
    </r>
    <r>
      <rPr>
        <sz val="6"/>
        <color theme="1"/>
        <rFont val="Calibri"/>
        <family val="2"/>
        <scheme val="minor"/>
      </rPr>
      <t xml:space="preserve"> feather to peak</t>
    </r>
  </si>
  <si>
    <r>
      <t xml:space="preserve">Time to Peak Speed </t>
    </r>
    <r>
      <rPr>
        <sz val="9"/>
        <color theme="1"/>
        <rFont val="Calibri"/>
        <family val="2"/>
        <scheme val="minor"/>
      </rPr>
      <t>(sec)</t>
    </r>
  </si>
  <si>
    <r>
      <t xml:space="preserve"> time between </t>
    </r>
    <r>
      <rPr>
        <b/>
        <sz val="10"/>
        <color rgb="FF0000FF"/>
        <rFont val="Calibri"/>
        <family val="2"/>
        <scheme val="minor"/>
      </rPr>
      <t>feather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peak speed</t>
    </r>
  </si>
  <si>
    <t xml:space="preserve"> peak boat speed</t>
  </si>
  <si>
    <r>
      <t xml:space="preserve">Peak Speed </t>
    </r>
    <r>
      <rPr>
        <sz val="9"/>
        <color theme="1"/>
        <rFont val="Calibri"/>
        <family val="2"/>
        <scheme val="minor"/>
      </rPr>
      <t>(m/s)</t>
    </r>
  </si>
  <si>
    <t xml:space="preserve"> percentage of time feather to peak compared to feather to full reach2</t>
  </si>
  <si>
    <r>
      <t>Percent Time Recovery to Peak</t>
    </r>
    <r>
      <rPr>
        <sz val="9"/>
        <color theme="1"/>
        <rFont val="Calibri"/>
        <family val="2"/>
        <scheme val="minor"/>
      </rPr>
      <t xml:space="preserve"> (%)</t>
    </r>
  </si>
  <si>
    <r>
      <t xml:space="preserve">Recovery Decel Time </t>
    </r>
    <r>
      <rPr>
        <sz val="9"/>
        <color theme="1"/>
        <rFont val="Calibri"/>
        <family val="2"/>
        <scheme val="minor"/>
      </rPr>
      <t>(sec)</t>
    </r>
  </si>
  <si>
    <r>
      <t xml:space="preserve"> time in seconds from </t>
    </r>
    <r>
      <rPr>
        <b/>
        <sz val="10"/>
        <color rgb="FF0000FF"/>
        <rFont val="Calibri"/>
        <family val="2"/>
        <scheme val="minor"/>
      </rPr>
      <t>peak speed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full reach 2</t>
    </r>
  </si>
  <si>
    <t xml:space="preserve"> deceleration from peak speed to full reach 2</t>
  </si>
  <si>
    <r>
      <t xml:space="preserve">Recovery Decel Accel </t>
    </r>
    <r>
      <rPr>
        <sz val="9"/>
        <color theme="1"/>
        <rFont val="Calibri"/>
        <family val="2"/>
        <scheme val="minor"/>
      </rPr>
      <t>(m/s/s)</t>
    </r>
  </si>
  <si>
    <r>
      <t>Recovery Decel Eff.</t>
    </r>
    <r>
      <rPr>
        <sz val="9"/>
        <color theme="1"/>
        <rFont val="Calibri"/>
        <family val="2"/>
        <scheme val="minor"/>
      </rPr>
      <t xml:space="preserve"> (%)</t>
    </r>
  </si>
  <si>
    <r>
      <t xml:space="preserve"> percentage of movement to straight line acceleration </t>
    </r>
    <r>
      <rPr>
        <b/>
        <sz val="10"/>
        <color rgb="FF0000FF"/>
        <rFont val="Calibri"/>
        <family val="2"/>
        <scheme val="minor"/>
      </rPr>
      <t>peak</t>
    </r>
    <r>
      <rPr>
        <sz val="10"/>
        <color rgb="FF0000FF"/>
        <rFont val="Calibri"/>
        <family val="2"/>
        <scheme val="minor"/>
      </rPr>
      <t xml:space="preserve"> speed to </t>
    </r>
    <r>
      <rPr>
        <b/>
        <sz val="10"/>
        <color rgb="FF0000FF"/>
        <rFont val="Calibri"/>
        <family val="2"/>
        <scheme val="minor"/>
      </rPr>
      <t>full reach2</t>
    </r>
  </si>
  <si>
    <r>
      <t xml:space="preserve">Total Stroke Time </t>
    </r>
    <r>
      <rPr>
        <sz val="9"/>
        <color theme="1"/>
        <rFont val="Calibri"/>
        <family val="2"/>
        <scheme val="minor"/>
      </rPr>
      <t>(sec)</t>
    </r>
  </si>
  <si>
    <r>
      <t xml:space="preserve"> time of one complete stroke </t>
    </r>
    <r>
      <rPr>
        <b/>
        <sz val="10"/>
        <color rgb="FF0000FF"/>
        <rFont val="Calibri"/>
        <family val="2"/>
        <scheme val="minor"/>
      </rPr>
      <t>entry</t>
    </r>
    <r>
      <rPr>
        <sz val="10"/>
        <color rgb="FF0000FF"/>
        <rFont val="Calibri"/>
        <family val="2"/>
        <scheme val="minor"/>
      </rPr>
      <t xml:space="preserve"> to </t>
    </r>
    <r>
      <rPr>
        <b/>
        <sz val="10"/>
        <color rgb="FF0000FF"/>
        <rFont val="Calibri"/>
        <family val="2"/>
        <scheme val="minor"/>
      </rPr>
      <t>entry2</t>
    </r>
  </si>
  <si>
    <r>
      <t xml:space="preserve">Distance per Stroke </t>
    </r>
    <r>
      <rPr>
        <sz val="11"/>
        <color theme="1"/>
        <rFont val="Calibri"/>
        <family val="2"/>
        <scheme val="minor"/>
      </rPr>
      <t>(m)</t>
    </r>
  </si>
  <si>
    <t xml:space="preserve"> distance boat moves per stroke (m)</t>
  </si>
  <si>
    <t xml:space="preserve"> average boat speed (stroke cycle)</t>
  </si>
  <si>
    <r>
      <t xml:space="preserve">Average Speed </t>
    </r>
    <r>
      <rPr>
        <sz val="9"/>
        <color theme="1"/>
        <rFont val="Calibri"/>
        <family val="2"/>
        <scheme val="minor"/>
      </rPr>
      <t>(m/s)</t>
    </r>
  </si>
  <si>
    <r>
      <t xml:space="preserve">Deceleration Time (after peak) </t>
    </r>
    <r>
      <rPr>
        <sz val="9"/>
        <color theme="1"/>
        <rFont val="Calibri"/>
        <family val="2"/>
        <scheme val="minor"/>
      </rPr>
      <t>(s)</t>
    </r>
  </si>
  <si>
    <t xml:space="preserve"> time of deceleration after peak speed</t>
  </si>
  <si>
    <r>
      <t xml:space="preserve">Deceleration Time </t>
    </r>
    <r>
      <rPr>
        <sz val="9"/>
        <color theme="1"/>
        <rFont val="Calibri"/>
        <family val="2"/>
        <scheme val="minor"/>
      </rPr>
      <t>(percent of stroke)</t>
    </r>
  </si>
  <si>
    <t xml:space="preserve"> time of deceleration as percentage of stroke cycle</t>
  </si>
  <si>
    <r>
      <t xml:space="preserve">System Accel. Time </t>
    </r>
    <r>
      <rPr>
        <sz val="9"/>
        <color theme="1"/>
        <rFont val="Calibri"/>
        <family val="2"/>
        <scheme val="minor"/>
      </rPr>
      <t>(full rch to fthr)</t>
    </r>
  </si>
  <si>
    <t xml:space="preserve"> system drive time between full reach and feather</t>
  </si>
  <si>
    <r>
      <t xml:space="preserve">System Speed Increase </t>
    </r>
    <r>
      <rPr>
        <sz val="9"/>
        <color theme="1"/>
        <rFont val="Calibri"/>
        <family val="2"/>
        <scheme val="minor"/>
      </rPr>
      <t>(full rch to fthr)</t>
    </r>
  </si>
  <si>
    <t xml:space="preserve"> drive - system speed change full reach to feather</t>
  </si>
  <si>
    <r>
      <t xml:space="preserve">System Accel. </t>
    </r>
    <r>
      <rPr>
        <sz val="9"/>
        <color theme="1"/>
        <rFont val="Calibri"/>
        <family val="2"/>
        <scheme val="minor"/>
      </rPr>
      <t>(full rch to fthr)</t>
    </r>
  </si>
  <si>
    <t xml:space="preserve"> drive - system acceleration between full reach and feather</t>
  </si>
  <si>
    <r>
      <t xml:space="preserve">System Accel boat moves. </t>
    </r>
    <r>
      <rPr>
        <sz val="9"/>
        <color theme="1"/>
        <rFont val="Calibri"/>
        <family val="2"/>
        <scheme val="minor"/>
      </rPr>
      <t>(full rch to fthrr)</t>
    </r>
  </si>
  <si>
    <t xml:space="preserve"> drive - system acceleration distance boat moves</t>
  </si>
  <si>
    <r>
      <t xml:space="preserve"> System Decel. Time </t>
    </r>
    <r>
      <rPr>
        <sz val="9"/>
        <color theme="1"/>
        <rFont val="Calibri"/>
        <family val="2"/>
        <scheme val="minor"/>
      </rPr>
      <t>(full rch to fthr)</t>
    </r>
  </si>
  <si>
    <t xml:space="preserve"> recovery - system deceleration time</t>
  </si>
  <si>
    <r>
      <t xml:space="preserve"> System Speed Change </t>
    </r>
    <r>
      <rPr>
        <sz val="9"/>
        <color theme="1"/>
        <rFont val="Calibri"/>
        <family val="2"/>
        <scheme val="minor"/>
      </rPr>
      <t>(full rch to fthr)</t>
    </r>
  </si>
  <si>
    <t xml:space="preserve"> recovery - system speed change finish position to full reach</t>
  </si>
  <si>
    <r>
      <t xml:space="preserve"> System Deceleration </t>
    </r>
    <r>
      <rPr>
        <sz val="9"/>
        <color theme="1"/>
        <rFont val="Calibri"/>
        <family val="2"/>
        <scheme val="minor"/>
      </rPr>
      <t>(fthr to full rch)</t>
    </r>
  </si>
  <si>
    <t xml:space="preserve"> recovery - system deceleration finish to full reach</t>
  </si>
  <si>
    <r>
      <t xml:space="preserve"> System Decel. Boat Moves </t>
    </r>
    <r>
      <rPr>
        <sz val="9"/>
        <color theme="1"/>
        <rFont val="Calibri"/>
        <family val="2"/>
        <scheme val="minor"/>
      </rPr>
      <t>(fthr to full rch)</t>
    </r>
  </si>
  <si>
    <t xml:space="preserve"> system recovery (feather to full reach) boat moves</t>
  </si>
  <si>
    <r>
      <t>Average Drive Speed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(full reach to feather)</t>
    </r>
  </si>
  <si>
    <t xml:space="preserve"> average boat speed drive (between full reach and feather)</t>
  </si>
  <si>
    <t>Avg. Drive Speed to Average total stroke</t>
  </si>
  <si>
    <t xml:space="preserve"> difference average boat speed drive to average boat speed full stroke cycle</t>
  </si>
  <si>
    <t>Avg. Drive Speed percent of average</t>
  </si>
  <si>
    <t xml:space="preserve"> average drive speed as a percent of average boat speed full stroke </t>
  </si>
  <si>
    <r>
      <t>Avg. Recovery Speed</t>
    </r>
    <r>
      <rPr>
        <sz val="10"/>
        <color theme="1"/>
        <rFont val="Calibri"/>
        <family val="2"/>
        <scheme val="minor"/>
      </rPr>
      <t xml:space="preserve"> (full reach to feather)</t>
    </r>
  </si>
  <si>
    <t xml:space="preserve"> average boat speed on recovery</t>
  </si>
  <si>
    <t>Avg. Recovery Speed to Average</t>
  </si>
  <si>
    <t xml:space="preserve"> difference average boat recovery speed to average boat speed full stroke cycle </t>
  </si>
  <si>
    <t>Recovery Speed percent of Average</t>
  </si>
  <si>
    <t xml:space="preserve"> average recovery speed as a percent of average boat speed full stroke </t>
  </si>
  <si>
    <r>
      <t xml:space="preserve">System Speed Change </t>
    </r>
    <r>
      <rPr>
        <sz val="9"/>
        <color theme="1"/>
        <rFont val="Calibri"/>
        <family val="2"/>
        <scheme val="minor"/>
      </rPr>
      <t>(m/s)</t>
    </r>
  </si>
  <si>
    <t xml:space="preserve"> system speed change full reach to feather (finish position)</t>
  </si>
  <si>
    <r>
      <t xml:space="preserve">Boat Speed Change </t>
    </r>
    <r>
      <rPr>
        <sz val="9"/>
        <color theme="1"/>
        <rFont val="Calibri"/>
        <family val="2"/>
        <scheme val="minor"/>
      </rPr>
      <t>(m/s)</t>
    </r>
  </si>
  <si>
    <t xml:space="preserve"> boat speed change - peak speed to boat minimum speed </t>
  </si>
  <si>
    <r>
      <t>System/Boat</t>
    </r>
    <r>
      <rPr>
        <sz val="9"/>
        <color theme="1"/>
        <rFont val="Calibri"/>
        <family val="2"/>
        <scheme val="minor"/>
      </rPr>
      <t xml:space="preserve"> (%)</t>
    </r>
  </si>
  <si>
    <t xml:space="preserve"> system speed change as percent of boat speed change</t>
  </si>
  <si>
    <t>Speed at entry</t>
  </si>
  <si>
    <t xml:space="preserve"> boat speed at entry (blade full bury) </t>
  </si>
  <si>
    <t>Speed at perpndclr</t>
  </si>
  <si>
    <t xml:space="preserve"> boat speed oar at perpendicular</t>
  </si>
  <si>
    <t>Speed at extraction</t>
  </si>
  <si>
    <t xml:space="preserve"> boat speed at blade extraction</t>
  </si>
  <si>
    <t xml:space="preserve">Speed at feather </t>
  </si>
  <si>
    <t xml:space="preserve"> boat speed at feather</t>
  </si>
  <si>
    <t>Speed at peak speed</t>
  </si>
  <si>
    <t xml:space="preserve"> boat speed at peak speed</t>
  </si>
  <si>
    <t>Speed at full rch 2</t>
  </si>
  <si>
    <t xml:space="preserve"> boat speed at full reach 2</t>
  </si>
  <si>
    <t>Speed at entry2</t>
  </si>
  <si>
    <t xml:space="preserve"> boat speed at entry2 </t>
  </si>
  <si>
    <t xml:space="preserve">Sum Drive speed change increases </t>
  </si>
  <si>
    <t xml:space="preserve"> increases in speed during drive (full reach to feather ) </t>
  </si>
  <si>
    <t xml:space="preserve">Sum Drive speed change decreases </t>
  </si>
  <si>
    <t xml:space="preserve"> decreases in speed during drive (full reach to feather ) </t>
  </si>
  <si>
    <t xml:space="preserve">Sum Recovery speed change increases </t>
  </si>
  <si>
    <t xml:space="preserve"> increases in speed during recovery (feather to full reach) </t>
  </si>
  <si>
    <t xml:space="preserve">Recovery speed change decreases </t>
  </si>
  <si>
    <t xml:space="preserve"> decreases in speed during recovery (feather to full reach) </t>
  </si>
  <si>
    <r>
      <t xml:space="preserve">Drive Avg. Speed to Stroke Avg. diff. </t>
    </r>
    <r>
      <rPr>
        <sz val="9"/>
        <color theme="1"/>
        <rFont val="Calibri"/>
        <family val="2"/>
        <scheme val="minor"/>
      </rPr>
      <t>(%)</t>
    </r>
  </si>
  <si>
    <t xml:space="preserve"> drive speed avg. to stroke speed. difference as percent of average boat speed</t>
  </si>
  <si>
    <r>
      <t xml:space="preserve">Recovery Avg. Speed to Stroke Avg. diff. </t>
    </r>
    <r>
      <rPr>
        <sz val="9"/>
        <color theme="1"/>
        <rFont val="Calibri"/>
        <family val="2"/>
        <scheme val="minor"/>
      </rPr>
      <t>(%)</t>
    </r>
  </si>
  <si>
    <t xml:space="preserve"> recovery speed average speed to stroke speed difference as percent of average boat speed</t>
  </si>
  <si>
    <t>length</t>
  </si>
  <si>
    <t>U23W4-</t>
  </si>
  <si>
    <t>accel.</t>
  </si>
  <si>
    <t>copy data to Speed Profile Paste VALIUE only</t>
  </si>
  <si>
    <t>Video Name</t>
  </si>
  <si>
    <t>Video Location</t>
  </si>
  <si>
    <t>Video Time</t>
  </si>
  <si>
    <t>Video Date</t>
  </si>
  <si>
    <t>Race finish Position</t>
  </si>
  <si>
    <t>Race distance</t>
  </si>
  <si>
    <t xml:space="preserve">Air Tempature </t>
  </si>
  <si>
    <t xml:space="preserve">Weather Conditins </t>
  </si>
  <si>
    <t xml:space="preserve">Water </t>
  </si>
  <si>
    <t>Boat Length (m)</t>
  </si>
  <si>
    <t>Key Position</t>
  </si>
  <si>
    <t>blade full bury</t>
  </si>
  <si>
    <t>blade full bury 2</t>
  </si>
  <si>
    <t>Blade Slip seat 1 (m)</t>
  </si>
  <si>
    <t>seat 3</t>
  </si>
  <si>
    <t>seat 5</t>
  </si>
  <si>
    <t>seat 7</t>
  </si>
  <si>
    <t>Blade slip</t>
  </si>
  <si>
    <t>S1380016.MP4</t>
  </si>
  <si>
    <t>Henley Course 1800m</t>
  </si>
  <si>
    <t xml:space="preserve">Analysis </t>
  </si>
  <si>
    <t xml:space="preserve">cloudy wind 1.9m/s 12 oclock </t>
  </si>
  <si>
    <t>slight 5-9cm</t>
  </si>
  <si>
    <t>1ST</t>
  </si>
  <si>
    <t>0:00:02:55</t>
  </si>
  <si>
    <t>0:00:02:56</t>
  </si>
  <si>
    <t>0:00:02:58</t>
  </si>
  <si>
    <t>0:00:02:60</t>
  </si>
  <si>
    <t>0:00:02:61</t>
  </si>
  <si>
    <t>0:00:02:63</t>
  </si>
  <si>
    <t>0:00:02:65</t>
  </si>
  <si>
    <t>0:00:02:66</t>
  </si>
  <si>
    <t>0:00:02:68</t>
  </si>
  <si>
    <t>0:00:02:70</t>
  </si>
  <si>
    <t>0:00:02:71</t>
  </si>
  <si>
    <t>0:00:02:73</t>
  </si>
  <si>
    <t>0:00:02:75</t>
  </si>
  <si>
    <t>0:00:02:76</t>
  </si>
  <si>
    <t>display</t>
  </si>
  <si>
    <t>display tm</t>
  </si>
  <si>
    <t>drive eff</t>
  </si>
  <si>
    <t>POSITIVE ACCEL</t>
  </si>
  <si>
    <t>peak speed TIME</t>
  </si>
  <si>
    <t>COPY ROWS OR DELETE ROWS AS NEEDED TO SHOW CURVE -&gt;</t>
  </si>
  <si>
    <t>Fluid Design QUADS</t>
  </si>
  <si>
    <t>12.17m</t>
  </si>
  <si>
    <t>12.29m</t>
  </si>
  <si>
    <t>12.75m</t>
  </si>
  <si>
    <t>HUDSON</t>
  </si>
  <si>
    <t>usp</t>
  </si>
  <si>
    <t>U1.12 1x</t>
  </si>
  <si>
    <t>U1.32 Great White 1X</t>
  </si>
  <si>
    <t>usp length</t>
  </si>
  <si>
    <t>weight</t>
  </si>
  <si>
    <t>U4.22 USP 4-/x</t>
  </si>
  <si>
    <t>U4.31 USP 4-/x</t>
  </si>
  <si>
    <t>75 - 88</t>
  </si>
  <si>
    <t>U4.42 USP 4-/x</t>
  </si>
  <si>
    <t>86 - 102</t>
  </si>
  <si>
    <t>EMPACKER</t>
  </si>
  <si>
    <t>Boat type</t>
  </si>
  <si>
    <t>Bridth (Waterline)</t>
  </si>
  <si>
    <t>95 - 105 kg</t>
  </si>
  <si>
    <t>R48 / C48 / X48</t>
  </si>
  <si>
    <t>4x</t>
  </si>
  <si>
    <t>R55 / C55 / X55</t>
  </si>
  <si>
    <t>12,45 m</t>
  </si>
  <si>
    <t>0,41 m</t>
  </si>
  <si>
    <t>8+</t>
  </si>
  <si>
    <r>
      <t>R88 / C88 / X88 </t>
    </r>
    <r>
      <rPr>
        <b/>
        <sz val="11"/>
        <color theme="1"/>
        <rFont val="Arial"/>
        <family val="2"/>
      </rPr>
      <t>(new)</t>
    </r>
  </si>
  <si>
    <t>17,40 m</t>
  </si>
  <si>
    <t>0,55 m</t>
  </si>
  <si>
    <t>R01/C01/X01 new</t>
  </si>
  <si>
    <t>8,37 m</t>
  </si>
  <si>
    <t>R23 / C23 / X23</t>
  </si>
  <si>
    <t>9,91 m</t>
  </si>
  <si>
    <t>R86 / C86 / X86</t>
  </si>
  <si>
    <t>17,63 m</t>
  </si>
  <si>
    <t>0,56 m</t>
  </si>
  <si>
    <t>95 - 110 kg</t>
  </si>
  <si>
    <t>R20 / C20 / X20 new</t>
  </si>
  <si>
    <t>9,91 m</t>
  </si>
  <si>
    <t>0,33 m</t>
  </si>
  <si>
    <t>90 - 100 kg</t>
  </si>
  <si>
    <t>R46 / C46 / X46</t>
  </si>
  <si>
    <t>R44 / C44 / X44</t>
  </si>
  <si>
    <t>R87 / C87 / X87</t>
  </si>
  <si>
    <t>16,90 m</t>
  </si>
  <si>
    <t>0,54 m</t>
  </si>
  <si>
    <t>R21 / R21 / X21</t>
  </si>
  <si>
    <t>9,77 m</t>
  </si>
  <si>
    <t>85 – 95 kg</t>
  </si>
  <si>
    <t>R50 / C50 / X50</t>
  </si>
  <si>
    <t>11,70 m</t>
  </si>
  <si>
    <t>65 - 85 kg</t>
  </si>
  <si>
    <t>R89 / C89 / X89</t>
  </si>
  <si>
    <t>16,73 m</t>
  </si>
  <si>
    <t>R24 / C24 / X24</t>
  </si>
  <si>
    <t>9,41 m</t>
  </si>
  <si>
    <t>75 – 85 kg</t>
  </si>
  <si>
    <t>R40 / C40 / X40</t>
  </si>
  <si>
    <t>R84 / C84 / X84</t>
  </si>
  <si>
    <t>16,85 m</t>
  </si>
  <si>
    <t>70 - 80 kg</t>
  </si>
  <si>
    <t>R26 / C26 / X26</t>
  </si>
  <si>
    <t>9,24 m</t>
  </si>
  <si>
    <t>R47 / C47 / X47</t>
  </si>
  <si>
    <t>R25 / C25 / X25</t>
  </si>
  <si>
    <t>R29 / C29 / X29</t>
  </si>
  <si>
    <t>R41 / C41 / X41</t>
  </si>
  <si>
    <t>Filippi  2x /2-</t>
  </si>
  <si>
    <t>Filippi 4-/4x</t>
  </si>
  <si>
    <t>Filippi  4+</t>
  </si>
  <si>
    <t>Filippi  8+</t>
  </si>
  <si>
    <t>para</t>
  </si>
  <si>
    <t>boat</t>
  </si>
  <si>
    <t>width</t>
  </si>
  <si>
    <t>athlete kg</t>
  </si>
  <si>
    <t>1X</t>
  </si>
  <si>
    <t>50-60</t>
  </si>
  <si>
    <t>f36</t>
  </si>
  <si>
    <t>2x/2-</t>
  </si>
  <si>
    <t>50-65</t>
  </si>
  <si>
    <t>f61</t>
  </si>
  <si>
    <t>4x / 4-</t>
  </si>
  <si>
    <t>85-100</t>
  </si>
  <si>
    <t>F19</t>
  </si>
  <si>
    <t>4+</t>
  </si>
  <si>
    <t>F54</t>
  </si>
  <si>
    <t>60-70</t>
  </si>
  <si>
    <t>FA1</t>
  </si>
  <si>
    <t>60-100</t>
  </si>
  <si>
    <t>f13</t>
  </si>
  <si>
    <t>65-75</t>
  </si>
  <si>
    <t>F53</t>
  </si>
  <si>
    <t>55-70</t>
  </si>
  <si>
    <t>F31</t>
  </si>
  <si>
    <t>70-85</t>
  </si>
  <si>
    <t>F09</t>
  </si>
  <si>
    <t>60-85</t>
  </si>
  <si>
    <t>FA2</t>
  </si>
  <si>
    <t>60-+100</t>
  </si>
  <si>
    <t>f30</t>
  </si>
  <si>
    <t>F11</t>
  </si>
  <si>
    <t>55-75</t>
  </si>
  <si>
    <t>F34</t>
  </si>
  <si>
    <t>F42</t>
  </si>
  <si>
    <t>FA19</t>
  </si>
  <si>
    <t>F50</t>
  </si>
  <si>
    <t>65-85</t>
  </si>
  <si>
    <t>f46</t>
  </si>
  <si>
    <t>F43</t>
  </si>
  <si>
    <t>60-75</t>
  </si>
  <si>
    <t>F49</t>
  </si>
  <si>
    <t>FA31</t>
  </si>
  <si>
    <t>F07</t>
  </si>
  <si>
    <t>f51</t>
  </si>
  <si>
    <t>F29</t>
  </si>
  <si>
    <t>85-105</t>
  </si>
  <si>
    <t>FA34</t>
  </si>
  <si>
    <t>f17</t>
  </si>
  <si>
    <t>F52</t>
  </si>
  <si>
    <t>F41</t>
  </si>
  <si>
    <t>f24</t>
  </si>
  <si>
    <t>F28</t>
  </si>
  <si>
    <t>F01</t>
  </si>
  <si>
    <t>85-95</t>
  </si>
  <si>
    <t>f60</t>
  </si>
  <si>
    <t>85-110</t>
  </si>
  <si>
    <t>f68</t>
  </si>
  <si>
    <t>F25</t>
  </si>
  <si>
    <t>F38</t>
  </si>
  <si>
    <t>F47</t>
  </si>
  <si>
    <t>90-100</t>
  </si>
  <si>
    <t>F40</t>
  </si>
  <si>
    <t>95-110</t>
  </si>
  <si>
    <t>F69</t>
  </si>
  <si>
    <t>F70</t>
  </si>
  <si>
    <t>wintech</t>
  </si>
  <si>
    <t>105-120</t>
  </si>
  <si>
    <t>RCA</t>
  </si>
  <si>
    <t xml:space="preserve">COPY ROWS BELOW TO INPUTS SHEET </t>
  </si>
  <si>
    <t>drive time</t>
  </si>
  <si>
    <t>blade slip</t>
  </si>
  <si>
    <t>effective stroke lengthj</t>
  </si>
  <si>
    <t>stroke position</t>
  </si>
  <si>
    <t>stroke rate</t>
  </si>
  <si>
    <t>stroke ratio</t>
  </si>
  <si>
    <t xml:space="preserve">minimum boat speed near catch </t>
  </si>
  <si>
    <t>Entry Time (seconds)</t>
  </si>
  <si>
    <t>Entry time as % of total stroke</t>
  </si>
  <si>
    <t>Entry Boat Movement</t>
  </si>
  <si>
    <t>drive hump</t>
  </si>
  <si>
    <r>
      <rPr>
        <b/>
        <sz val="11"/>
        <color theme="1"/>
        <rFont val="Calibri"/>
        <family val="2"/>
        <scheme val="minor"/>
      </rPr>
      <t>drive acceleration</t>
    </r>
    <r>
      <rPr>
        <sz val="11"/>
        <color theme="1"/>
        <rFont val="Calibri"/>
        <family val="2"/>
        <scheme val="minor"/>
      </rPr>
      <t xml:space="preserve">
entry to extraction</t>
    </r>
  </si>
  <si>
    <t>drive acceleration efficiency</t>
  </si>
  <si>
    <r>
      <rPr>
        <b/>
        <sz val="11"/>
        <color theme="1"/>
        <rFont val="Calibri"/>
        <family val="2"/>
        <scheme val="minor"/>
      </rPr>
      <t xml:space="preserve">drive speed increase
</t>
    </r>
    <r>
      <rPr>
        <sz val="11"/>
        <color theme="1"/>
        <rFont val="Calibri"/>
        <family val="2"/>
        <scheme val="minor"/>
      </rPr>
      <t>entry to extraction</t>
    </r>
  </si>
  <si>
    <t>Accel. - perpendicular to extraction acceleration</t>
  </si>
  <si>
    <t>blade bury time</t>
  </si>
  <si>
    <r>
      <rPr>
        <b/>
        <sz val="11"/>
        <color theme="1"/>
        <rFont val="Calibri"/>
        <family val="2"/>
        <scheme val="minor"/>
      </rPr>
      <t xml:space="preserve">blade bury time </t>
    </r>
    <r>
      <rPr>
        <sz val="11"/>
        <color theme="1"/>
        <rFont val="Calibri"/>
        <family val="2"/>
        <scheme val="minor"/>
      </rPr>
      <t xml:space="preserve">
as percent of total stroke</t>
    </r>
  </si>
  <si>
    <r>
      <rPr>
        <b/>
        <sz val="11"/>
        <color theme="1"/>
        <rFont val="Calibri"/>
        <family val="2"/>
        <scheme val="minor"/>
      </rPr>
      <t>blade buried</t>
    </r>
    <r>
      <rPr>
        <sz val="11"/>
        <color theme="1"/>
        <rFont val="Calibri"/>
        <family val="2"/>
        <scheme val="minor"/>
      </rPr>
      <t xml:space="preserve"> distance boat moves</t>
    </r>
  </si>
  <si>
    <t>release time (extraction to feather)</t>
  </si>
  <si>
    <t>release speed change</t>
  </si>
  <si>
    <t>release time percent of total</t>
  </si>
  <si>
    <t>recovery acceleration</t>
  </si>
  <si>
    <t>recovery acceleration efficiency</t>
  </si>
  <si>
    <t>perk speed percent of recovery (feather to full reach)</t>
  </si>
  <si>
    <t>maximum speed (peak speed)</t>
  </si>
  <si>
    <t>boat speed change (minimum to maximum)</t>
  </si>
  <si>
    <t>deceleration</t>
  </si>
  <si>
    <t>deceleration efficiency</t>
  </si>
  <si>
    <t>recovery boat moves</t>
  </si>
  <si>
    <t>recovery boat moves as percent of total</t>
  </si>
  <si>
    <t>Distance per stroke</t>
  </si>
  <si>
    <t>boat speed (m/s) from stroke analysis</t>
  </si>
  <si>
    <t>recovery time</t>
  </si>
  <si>
    <t>recovery time as percent of total</t>
  </si>
  <si>
    <t>deceleration time</t>
  </si>
  <si>
    <t>deceleration time as percentage of stroke cycle</t>
  </si>
  <si>
    <t>System Acceleration Time</t>
  </si>
  <si>
    <r>
      <t>drive system speed Increase</t>
    </r>
    <r>
      <rPr>
        <sz val="11"/>
        <color theme="1"/>
        <rFont val="Calibri"/>
        <family val="2"/>
        <scheme val="minor"/>
      </rPr>
      <t xml:space="preserve">
full reach to finish</t>
    </r>
  </si>
  <si>
    <t xml:space="preserve">System Acceleration </t>
  </si>
  <si>
    <t>System Acceleration Boat Moves</t>
  </si>
  <si>
    <t>System Deceleration Time</t>
  </si>
  <si>
    <t>System Deceleration Speed Change</t>
  </si>
  <si>
    <t>System Deceleration</t>
  </si>
  <si>
    <t>System Deceleration Boat Moves</t>
  </si>
  <si>
    <t>Boat Drive Speed Average</t>
  </si>
  <si>
    <t>Boat Drive Speed to Average boat speed</t>
  </si>
  <si>
    <t>Boat Drive Speed as percent of average speed</t>
  </si>
  <si>
    <t>Boat Recovery Speed Average</t>
  </si>
  <si>
    <t>Boat Recovery Speed to Average boat speed</t>
  </si>
  <si>
    <t>Boat Recovery Speed as percent of average speed</t>
  </si>
  <si>
    <t>System Speed Change</t>
  </si>
  <si>
    <t>Boat Speed Change (minimum to Maximum)</t>
  </si>
  <si>
    <t>System Speed Change as Percentage of Boat Speed Change</t>
  </si>
  <si>
    <t>drive boat speed positive increase</t>
  </si>
  <si>
    <t>drive boat speed (negitive) decrease in speed</t>
  </si>
  <si>
    <t>Recovery boat speed positive increase</t>
  </si>
  <si>
    <t>recovfery boat speed (negitive) decrease in speed</t>
  </si>
  <si>
    <t>Difference drive Avg. to Stroke Avg. as percent of stroke average speed</t>
  </si>
  <si>
    <t>Difference Recovery Avg. to Stroke Avg. as percent of stroke average speed</t>
  </si>
  <si>
    <t>reference</t>
  </si>
  <si>
    <t>rigging</t>
  </si>
  <si>
    <t>%</t>
  </si>
  <si>
    <t>&lt;-</t>
  </si>
  <si>
    <t>date</t>
  </si>
  <si>
    <t>updated</t>
  </si>
  <si>
    <t>category</t>
  </si>
  <si>
    <t>GMS</t>
  </si>
  <si>
    <t>Column1</t>
  </si>
  <si>
    <t>Drive Tm</t>
  </si>
  <si>
    <t>BladeSlip</t>
  </si>
  <si>
    <t>EffStkLnth</t>
  </si>
  <si>
    <t>StkPos</t>
  </si>
  <si>
    <t>Rate</t>
  </si>
  <si>
    <t>Ratio</t>
  </si>
  <si>
    <t>MinBoatSpd</t>
  </si>
  <si>
    <t>Entry Time</t>
  </si>
  <si>
    <t>Catch%</t>
  </si>
  <si>
    <t>EntBtMv</t>
  </si>
  <si>
    <t>DrHump</t>
  </si>
  <si>
    <t>DrvAcc</t>
  </si>
  <si>
    <t>DrvAccEff</t>
  </si>
  <si>
    <t>DrvSpdIncreas</t>
  </si>
  <si>
    <t>PerpFinAcc</t>
  </si>
  <si>
    <t>Bladeburtime</t>
  </si>
  <si>
    <t>BldBurdpercofstk</t>
  </si>
  <si>
    <t>DrvBoatMovesDist</t>
  </si>
  <si>
    <t>DrvBoatMoves%</t>
  </si>
  <si>
    <t>FinDrvSlump</t>
  </si>
  <si>
    <t>RelEff</t>
  </si>
  <si>
    <t>RelSpeedincr</t>
  </si>
  <si>
    <t>RelPercOfTotal</t>
  </si>
  <si>
    <t>RecAcc</t>
  </si>
  <si>
    <t>RecAccEff</t>
  </si>
  <si>
    <t>PkSpd%</t>
  </si>
  <si>
    <t>MaxSpd</t>
  </si>
  <si>
    <t>SpdVaries</t>
  </si>
  <si>
    <t>Decel</t>
  </si>
  <si>
    <t>DecelEff</t>
  </si>
  <si>
    <t>RecMoveDist</t>
  </si>
  <si>
    <t>RecMove%</t>
  </si>
  <si>
    <t>BoatMoves</t>
  </si>
  <si>
    <t>boatspeed</t>
  </si>
  <si>
    <t>RecTie</t>
  </si>
  <si>
    <t>Rec Time %</t>
  </si>
  <si>
    <t>Dec-time</t>
  </si>
  <si>
    <t>DelTm%</t>
  </si>
  <si>
    <t>Ref2</t>
  </si>
  <si>
    <t>Ref3</t>
  </si>
  <si>
    <t>Ref4</t>
  </si>
  <si>
    <t>Ref5</t>
  </si>
  <si>
    <t>Ref6</t>
  </si>
  <si>
    <t>Ref7</t>
  </si>
  <si>
    <t>Ref8</t>
  </si>
  <si>
    <t>Ref9</t>
  </si>
  <si>
    <t>Ref10</t>
  </si>
  <si>
    <t>Ref11</t>
  </si>
  <si>
    <t>Ref12</t>
  </si>
  <si>
    <t>Ref13</t>
  </si>
  <si>
    <t>Ref14</t>
  </si>
  <si>
    <t>Ref15</t>
  </si>
  <si>
    <t>Ref16</t>
  </si>
  <si>
    <t>Ref17</t>
  </si>
  <si>
    <t>Ref18</t>
  </si>
  <si>
    <t>Ref19</t>
  </si>
  <si>
    <t>Ref20</t>
  </si>
  <si>
    <t>Ref21</t>
  </si>
  <si>
    <t>Ref22</t>
  </si>
  <si>
    <t>Ref23</t>
  </si>
  <si>
    <t>Ref24</t>
  </si>
  <si>
    <t>Ref25</t>
  </si>
  <si>
    <t>Ref26</t>
  </si>
  <si>
    <t>Ref27</t>
  </si>
  <si>
    <t>M8+</t>
  </si>
  <si>
    <t>M4x</t>
  </si>
  <si>
    <t>M4-</t>
  </si>
  <si>
    <t>M4+</t>
  </si>
  <si>
    <t>M2x</t>
  </si>
  <si>
    <t>M2-</t>
  </si>
  <si>
    <t>M1x</t>
  </si>
  <si>
    <t>M2+</t>
  </si>
  <si>
    <t>W8+</t>
  </si>
  <si>
    <t>W4x</t>
  </si>
  <si>
    <t>W4+</t>
  </si>
  <si>
    <t>W2x</t>
  </si>
  <si>
    <t>W2-</t>
  </si>
  <si>
    <t>W1x</t>
  </si>
  <si>
    <t>LM8+</t>
  </si>
  <si>
    <t>LM4x</t>
  </si>
  <si>
    <t>LM4-</t>
  </si>
  <si>
    <t>LM4+</t>
  </si>
  <si>
    <t>LM2x</t>
  </si>
  <si>
    <t>LM2-</t>
  </si>
  <si>
    <t>LM1x</t>
  </si>
  <si>
    <t>LW8+</t>
  </si>
  <si>
    <t>LW4x</t>
  </si>
  <si>
    <t>LW4-</t>
  </si>
  <si>
    <t>LW4+</t>
  </si>
  <si>
    <t>LW2-</t>
  </si>
  <si>
    <t>LW2x</t>
  </si>
  <si>
    <t>LW1x</t>
  </si>
  <si>
    <t>MW1x</t>
  </si>
  <si>
    <t>MW2x</t>
  </si>
  <si>
    <t>MM1x</t>
  </si>
  <si>
    <t>MM2x</t>
  </si>
  <si>
    <t>MM4x</t>
  </si>
  <si>
    <t>MW4x</t>
  </si>
  <si>
    <t>MM2-</t>
  </si>
  <si>
    <t>MW2-</t>
  </si>
  <si>
    <t>MM4+</t>
  </si>
  <si>
    <t>MW4+</t>
  </si>
  <si>
    <t>MM8+</t>
  </si>
  <si>
    <t>MW8+</t>
  </si>
  <si>
    <t>Mix2x</t>
  </si>
  <si>
    <t>Mix4x</t>
  </si>
  <si>
    <t>Mix8+</t>
  </si>
  <si>
    <t>PR1 W1x</t>
  </si>
  <si>
    <t>PR1 M1x</t>
  </si>
  <si>
    <t>PR2 2x</t>
  </si>
  <si>
    <t>PR3 4+</t>
  </si>
  <si>
    <t>PR2 W1x</t>
  </si>
  <si>
    <t>PR2 M1x</t>
  </si>
  <si>
    <t>PR3 Mix2x</t>
  </si>
  <si>
    <t>MMA1x</t>
  </si>
  <si>
    <t>MMB1x</t>
  </si>
  <si>
    <t>MMC1x</t>
  </si>
  <si>
    <t>MMD1x</t>
  </si>
  <si>
    <t>MME1x</t>
  </si>
  <si>
    <t>MMF1x</t>
  </si>
  <si>
    <t>MMG1x</t>
  </si>
  <si>
    <t>MMH1x</t>
  </si>
  <si>
    <t>MMI1x</t>
  </si>
  <si>
    <t>MWA1x</t>
  </si>
  <si>
    <t>MWB1x</t>
  </si>
  <si>
    <t>MWC1x</t>
  </si>
  <si>
    <t>MWD1x</t>
  </si>
  <si>
    <t>MWE1x</t>
  </si>
  <si>
    <t>MWF1x</t>
  </si>
  <si>
    <t>MWG1x</t>
  </si>
  <si>
    <t>MWH1x</t>
  </si>
  <si>
    <t>MWI1x</t>
  </si>
  <si>
    <t>MMA2x</t>
  </si>
  <si>
    <t>MMB2x</t>
  </si>
  <si>
    <t>MMC2x</t>
  </si>
  <si>
    <t>MMD2x</t>
  </si>
  <si>
    <t>MME2x</t>
  </si>
  <si>
    <t>MMF2x</t>
  </si>
  <si>
    <t>MWA2x</t>
  </si>
  <si>
    <t>MWB2x</t>
  </si>
  <si>
    <t>MWC2x</t>
  </si>
  <si>
    <t>MWD2x</t>
  </si>
  <si>
    <t>MWE2x</t>
  </si>
  <si>
    <t>MWF2x</t>
  </si>
  <si>
    <t>U23M8+</t>
  </si>
  <si>
    <t>U23M4-</t>
  </si>
  <si>
    <t>U23M4+</t>
  </si>
  <si>
    <t>U23M2-</t>
  </si>
  <si>
    <t>U23M4x</t>
  </si>
  <si>
    <t>U23M2x</t>
  </si>
  <si>
    <t>U23M1x</t>
  </si>
  <si>
    <t>U23LM4x</t>
  </si>
  <si>
    <t>U23LM2x</t>
  </si>
  <si>
    <t>U23LM2-</t>
  </si>
  <si>
    <t>U23LM1x</t>
  </si>
  <si>
    <t>U23W8+</t>
  </si>
  <si>
    <t>U23W4+</t>
  </si>
  <si>
    <t>U23W2-</t>
  </si>
  <si>
    <t>U23W4x</t>
  </si>
  <si>
    <t>U23W2x</t>
  </si>
  <si>
    <t>U23W1x</t>
  </si>
  <si>
    <t>U23LW4x</t>
  </si>
  <si>
    <t>U23LW2x</t>
  </si>
  <si>
    <t>U23LW2-</t>
  </si>
  <si>
    <t>U23LW1x</t>
  </si>
  <si>
    <t>U21W1x</t>
  </si>
  <si>
    <t>U21LM1x</t>
  </si>
  <si>
    <t>U21LW1x</t>
  </si>
  <si>
    <t>U19M1x</t>
  </si>
  <si>
    <t>U19W1x</t>
  </si>
  <si>
    <t>U19LM1x</t>
  </si>
  <si>
    <t>U19LW1x</t>
  </si>
  <si>
    <t>U17M1x</t>
  </si>
  <si>
    <t>U17W1x</t>
  </si>
  <si>
    <t>U17LM1x</t>
  </si>
  <si>
    <t>U17LW1x</t>
  </si>
  <si>
    <t>PR3 W1x</t>
  </si>
  <si>
    <t>n/a</t>
  </si>
  <si>
    <t>PR3 M1x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</si>
</sst>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%"/>
    <numFmt numFmtId="166" formatCode="m:ss.00"/>
    <numFmt numFmtId="167" formatCode="0.0000"/>
    <numFmt numFmtId="168" formatCode="0.00000"/>
    <numFmt numFmtId="169" formatCode="0.000"/>
    <numFmt numFmtId="170" formatCode="0.0000000"/>
    <numFmt numFmtId="171" formatCode="\+0.00;\-0.00"/>
    <numFmt numFmtId="172" formatCode="m:ss.0"/>
    <numFmt numFmtId="173" formatCode="mm:ss.00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Verdana"/>
      <family val="2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3F6EC4"/>
      <name val="Arial"/>
      <family val="2"/>
    </font>
    <font>
      <sz val="12"/>
      <color rgb="FF161616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CC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33CC3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rgb="FFCC00CC"/>
      <name val="Calibri"/>
      <family val="2"/>
      <scheme val="minor"/>
    </font>
    <font>
      <sz val="11"/>
      <color theme="1"/>
      <name val="Arial Narrow"/>
      <family val="2"/>
    </font>
    <font>
      <sz val="12"/>
      <color rgb="FF7030A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9"/>
      <color theme="7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CC00CC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C00CC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rgb="FF800080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800080"/>
      <name val="Calibri"/>
      <family val="2"/>
      <scheme val="minor"/>
    </font>
    <font>
      <b/>
      <sz val="9"/>
      <color rgb="FF0000FF"/>
      <name val="Arial Narrow"/>
      <family val="2"/>
    </font>
    <font>
      <b/>
      <sz val="12"/>
      <color rgb="FF00800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vertAlign val="superscript"/>
      <sz val="11"/>
      <color theme="5" tint="-0.24994659260841701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3"/>
      <color theme="5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00CC99"/>
      <name val="Calibri"/>
      <family val="2"/>
      <scheme val="minor"/>
    </font>
    <font>
      <b/>
      <sz val="14"/>
      <color rgb="FF3F6EC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Calibri"/>
      <family val="2"/>
      <scheme val="minor"/>
    </font>
    <font>
      <b/>
      <sz val="10"/>
      <name val="Verdana"/>
      <family val="2"/>
    </font>
    <font>
      <sz val="10"/>
      <color rgb="FFFF0000"/>
      <name val="Verdana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106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13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16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25" fillId="0" borderId="31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6" fillId="0" borderId="33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30" fillId="0" borderId="0" xfId="0" applyNumberFormat="1" applyFont="1" applyAlignment="1">
      <alignment horizontal="center"/>
    </xf>
    <xf numFmtId="0" fontId="31" fillId="0" borderId="0" xfId="0" applyFont="1"/>
    <xf numFmtId="167" fontId="30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33" fillId="0" borderId="0" xfId="0" applyFont="1" applyAlignment="1">
      <alignment horizontal="right"/>
    </xf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0" fontId="35" fillId="0" borderId="0" xfId="0" applyFont="1"/>
    <xf numFmtId="0" fontId="36" fillId="0" borderId="0" xfId="0" applyFont="1" applyAlignment="1">
      <alignment horizontal="right"/>
    </xf>
    <xf numFmtId="0" fontId="36" fillId="0" borderId="0" xfId="0" applyFont="1"/>
    <xf numFmtId="2" fontId="32" fillId="0" borderId="0" xfId="0" applyNumberFormat="1" applyFont="1" applyAlignment="1">
      <alignment horizontal="right"/>
    </xf>
    <xf numFmtId="2" fontId="32" fillId="0" borderId="0" xfId="0" applyNumberFormat="1" applyFont="1"/>
    <xf numFmtId="0" fontId="39" fillId="0" borderId="0" xfId="0" applyFont="1" applyAlignment="1">
      <alignment horizontal="right"/>
    </xf>
    <xf numFmtId="0" fontId="41" fillId="0" borderId="0" xfId="0" applyFont="1"/>
    <xf numFmtId="0" fontId="44" fillId="0" borderId="0" xfId="0" applyFont="1" applyAlignment="1">
      <alignment horizontal="center"/>
    </xf>
    <xf numFmtId="2" fontId="45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2" fontId="46" fillId="0" borderId="0" xfId="0" applyNumberFormat="1" applyFont="1" applyAlignment="1">
      <alignment horizontal="center"/>
    </xf>
    <xf numFmtId="0" fontId="51" fillId="0" borderId="0" xfId="0" applyFont="1"/>
    <xf numFmtId="2" fontId="18" fillId="0" borderId="0" xfId="0" applyNumberFormat="1" applyFont="1" applyAlignment="1">
      <alignment horizontal="center"/>
    </xf>
    <xf numFmtId="0" fontId="0" fillId="36" borderId="34" xfId="0" applyFill="1" applyBorder="1" applyAlignment="1">
      <alignment horizontal="center"/>
    </xf>
    <xf numFmtId="0" fontId="0" fillId="36" borderId="35" xfId="0" applyFill="1" applyBorder="1" applyAlignment="1">
      <alignment horizontal="center"/>
    </xf>
    <xf numFmtId="0" fontId="0" fillId="36" borderId="0" xfId="0" quotePrefix="1" applyFill="1" applyAlignment="1">
      <alignment horizontal="center"/>
    </xf>
    <xf numFmtId="0" fontId="0" fillId="37" borderId="0" xfId="0" quotePrefix="1" applyFill="1" applyAlignment="1">
      <alignment horizontal="center"/>
    </xf>
    <xf numFmtId="2" fontId="0" fillId="0" borderId="0" xfId="0" applyNumberFormat="1"/>
    <xf numFmtId="0" fontId="39" fillId="0" borderId="11" xfId="0" applyFont="1" applyBorder="1" applyAlignment="1">
      <alignment horizontal="right"/>
    </xf>
    <xf numFmtId="0" fontId="40" fillId="0" borderId="11" xfId="0" applyFont="1" applyBorder="1" applyAlignment="1">
      <alignment horizontal="left"/>
    </xf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8" fontId="53" fillId="0" borderId="0" xfId="0" applyNumberFormat="1" applyFont="1" applyAlignment="1">
      <alignment horizontal="center"/>
    </xf>
    <xf numFmtId="0" fontId="53" fillId="0" borderId="0" xfId="0" applyFont="1"/>
    <xf numFmtId="0" fontId="31" fillId="0" borderId="0" xfId="0" quotePrefix="1" applyFont="1"/>
    <xf numFmtId="0" fontId="16" fillId="0" borderId="0" xfId="0" applyFont="1" applyAlignment="1">
      <alignment horizontal="right"/>
    </xf>
    <xf numFmtId="9" fontId="1" fillId="0" borderId="0" xfId="42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36" xfId="0" applyBorder="1" applyAlignment="1">
      <alignment horizontal="center"/>
    </xf>
    <xf numFmtId="0" fontId="18" fillId="34" borderId="37" xfId="0" applyFont="1" applyFill="1" applyBorder="1"/>
    <xf numFmtId="0" fontId="18" fillId="0" borderId="0" xfId="0" applyFont="1"/>
    <xf numFmtId="0" fontId="1" fillId="0" borderId="0" xfId="0" applyFont="1"/>
    <xf numFmtId="0" fontId="58" fillId="0" borderId="40" xfId="0" applyFont="1" applyBorder="1" applyAlignment="1">
      <alignment horizontal="right"/>
    </xf>
    <xf numFmtId="0" fontId="16" fillId="0" borderId="0" xfId="0" applyFont="1"/>
    <xf numFmtId="0" fontId="1" fillId="0" borderId="42" xfId="0" applyFont="1" applyBorder="1"/>
    <xf numFmtId="2" fontId="59" fillId="0" borderId="0" xfId="0" applyNumberFormat="1" applyFont="1" applyAlignment="1">
      <alignment horizontal="center"/>
    </xf>
    <xf numFmtId="0" fontId="1" fillId="33" borderId="0" xfId="0" applyFont="1" applyFill="1"/>
    <xf numFmtId="2" fontId="14" fillId="0" borderId="0" xfId="0" applyNumberFormat="1" applyFont="1" applyAlignment="1">
      <alignment horizontal="center"/>
    </xf>
    <xf numFmtId="2" fontId="53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" fillId="0" borderId="43" xfId="0" applyFont="1" applyBorder="1"/>
    <xf numFmtId="0" fontId="1" fillId="0" borderId="11" xfId="0" applyFont="1" applyBorder="1"/>
    <xf numFmtId="0" fontId="0" fillId="0" borderId="10" xfId="0" quotePrefix="1" applyBorder="1" applyAlignment="1">
      <alignment horizontal="center"/>
    </xf>
    <xf numFmtId="0" fontId="56" fillId="0" borderId="44" xfId="0" applyFont="1" applyBorder="1" applyAlignment="1">
      <alignment vertical="center"/>
    </xf>
    <xf numFmtId="0" fontId="1" fillId="0" borderId="45" xfId="0" applyFont="1" applyBorder="1"/>
    <xf numFmtId="0" fontId="1" fillId="0" borderId="0" xfId="0" applyFont="1" applyAlignment="1">
      <alignment horizontal="center"/>
    </xf>
    <xf numFmtId="169" fontId="16" fillId="33" borderId="0" xfId="0" applyNumberFormat="1" applyFont="1" applyFill="1" applyAlignment="1">
      <alignment horizontal="center"/>
    </xf>
    <xf numFmtId="169" fontId="16" fillId="38" borderId="0" xfId="0" applyNumberFormat="1" applyFont="1" applyFill="1" applyAlignment="1">
      <alignment horizontal="center"/>
    </xf>
    <xf numFmtId="0" fontId="59" fillId="0" borderId="0" xfId="0" applyFont="1" applyAlignment="1">
      <alignment horizontal="right"/>
    </xf>
    <xf numFmtId="168" fontId="1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60" fillId="0" borderId="13" xfId="0" applyNumberFormat="1" applyFont="1" applyBorder="1" applyAlignment="1">
      <alignment horizontal="center" vertical="center"/>
    </xf>
    <xf numFmtId="0" fontId="1" fillId="0" borderId="46" xfId="0" applyFont="1" applyBorder="1"/>
    <xf numFmtId="164" fontId="1" fillId="0" borderId="0" xfId="0" applyNumberFormat="1" applyFont="1" applyAlignment="1">
      <alignment horizontal="center"/>
    </xf>
    <xf numFmtId="0" fontId="61" fillId="0" borderId="13" xfId="0" applyFont="1" applyBorder="1"/>
    <xf numFmtId="169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right"/>
    </xf>
    <xf numFmtId="0" fontId="1" fillId="0" borderId="47" xfId="0" applyFont="1" applyBorder="1"/>
    <xf numFmtId="0" fontId="1" fillId="0" borderId="49" xfId="0" applyFont="1" applyBorder="1" applyAlignment="1">
      <alignment horizontal="center"/>
    </xf>
    <xf numFmtId="0" fontId="0" fillId="0" borderId="0" xfId="0" applyAlignment="1">
      <alignment horizontal="left"/>
    </xf>
    <xf numFmtId="169" fontId="62" fillId="0" borderId="13" xfId="0" applyNumberFormat="1" applyFont="1" applyBorder="1" applyAlignment="1">
      <alignment horizontal="left"/>
    </xf>
    <xf numFmtId="0" fontId="61" fillId="0" borderId="16" xfId="0" applyFont="1" applyBorder="1"/>
    <xf numFmtId="0" fontId="61" fillId="0" borderId="51" xfId="0" applyFont="1" applyBorder="1" applyAlignment="1">
      <alignment horizontal="right"/>
    </xf>
    <xf numFmtId="169" fontId="1" fillId="0" borderId="0" xfId="0" applyNumberFormat="1" applyFont="1"/>
    <xf numFmtId="0" fontId="1" fillId="0" borderId="44" xfId="0" applyFont="1" applyBorder="1"/>
    <xf numFmtId="1" fontId="1" fillId="0" borderId="0" xfId="0" applyNumberFormat="1" applyFont="1"/>
    <xf numFmtId="0" fontId="53" fillId="0" borderId="0" xfId="0" applyFont="1" applyAlignment="1">
      <alignment horizontal="right"/>
    </xf>
    <xf numFmtId="169" fontId="61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9" fontId="18" fillId="0" borderId="13" xfId="0" applyNumberFormat="1" applyFont="1" applyBorder="1"/>
    <xf numFmtId="167" fontId="0" fillId="0" borderId="0" xfId="0" applyNumberFormat="1" applyAlignment="1">
      <alignment horizontal="center"/>
    </xf>
    <xf numFmtId="169" fontId="53" fillId="0" borderId="0" xfId="0" applyNumberFormat="1" applyFont="1" applyAlignment="1">
      <alignment horizontal="center"/>
    </xf>
    <xf numFmtId="169" fontId="14" fillId="0" borderId="13" xfId="0" applyNumberFormat="1" applyFont="1" applyBorder="1"/>
    <xf numFmtId="164" fontId="14" fillId="0" borderId="0" xfId="0" applyNumberFormat="1" applyFont="1" applyAlignment="1">
      <alignment horizontal="center"/>
    </xf>
    <xf numFmtId="164" fontId="53" fillId="0" borderId="0" xfId="0" applyNumberFormat="1" applyFont="1" applyAlignment="1">
      <alignment horizontal="center"/>
    </xf>
    <xf numFmtId="166" fontId="19" fillId="0" borderId="0" xfId="43" applyNumberFormat="1" applyAlignment="1">
      <alignment horizontal="center" vertical="center"/>
    </xf>
    <xf numFmtId="166" fontId="19" fillId="40" borderId="0" xfId="43" applyNumberFormat="1" applyFill="1" applyAlignment="1">
      <alignment horizontal="center" vertical="center"/>
    </xf>
    <xf numFmtId="169" fontId="63" fillId="0" borderId="13" xfId="0" applyNumberFormat="1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166" fontId="19" fillId="41" borderId="0" xfId="43" applyNumberFormat="1" applyFill="1" applyAlignment="1">
      <alignment horizontal="center" vertical="center"/>
    </xf>
    <xf numFmtId="0" fontId="1" fillId="0" borderId="12" xfId="0" applyFont="1" applyBorder="1"/>
    <xf numFmtId="166" fontId="19" fillId="42" borderId="0" xfId="43" applyNumberFormat="1" applyFill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166" fontId="19" fillId="38" borderId="0" xfId="43" applyNumberFormat="1" applyFill="1" applyAlignment="1">
      <alignment horizontal="center" vertical="center"/>
    </xf>
    <xf numFmtId="0" fontId="1" fillId="0" borderId="58" xfId="0" applyFont="1" applyBorder="1"/>
    <xf numFmtId="0" fontId="1" fillId="0" borderId="16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0" fontId="16" fillId="0" borderId="43" xfId="0" applyFont="1" applyBorder="1" applyAlignment="1">
      <alignment horizontal="right"/>
    </xf>
    <xf numFmtId="0" fontId="64" fillId="0" borderId="11" xfId="0" applyFont="1" applyBorder="1"/>
    <xf numFmtId="0" fontId="0" fillId="0" borderId="11" xfId="0" applyBorder="1"/>
    <xf numFmtId="0" fontId="34" fillId="0" borderId="11" xfId="0" applyFont="1" applyBorder="1"/>
    <xf numFmtId="0" fontId="16" fillId="0" borderId="11" xfId="0" applyFont="1" applyBorder="1" applyAlignment="1">
      <alignment horizontal="right"/>
    </xf>
    <xf numFmtId="2" fontId="65" fillId="0" borderId="12" xfId="0" applyNumberFormat="1" applyFont="1" applyBorder="1" applyAlignment="1">
      <alignment horizontal="center"/>
    </xf>
    <xf numFmtId="167" fontId="14" fillId="0" borderId="0" xfId="0" applyNumberFormat="1" applyFont="1"/>
    <xf numFmtId="2" fontId="14" fillId="0" borderId="0" xfId="0" applyNumberFormat="1" applyFont="1"/>
    <xf numFmtId="0" fontId="66" fillId="0" borderId="0" xfId="0" applyFont="1"/>
    <xf numFmtId="18" fontId="66" fillId="0" borderId="0" xfId="0" applyNumberFormat="1" applyFont="1"/>
    <xf numFmtId="0" fontId="67" fillId="0" borderId="0" xfId="0" applyFont="1"/>
    <xf numFmtId="0" fontId="16" fillId="0" borderId="14" xfId="0" applyFont="1" applyBorder="1" applyAlignment="1">
      <alignment horizontal="right"/>
    </xf>
    <xf numFmtId="166" fontId="19" fillId="43" borderId="0" xfId="43" applyNumberFormat="1" applyFill="1" applyAlignment="1">
      <alignment horizontal="center" vertical="center"/>
    </xf>
    <xf numFmtId="0" fontId="68" fillId="0" borderId="0" xfId="0" applyFont="1" applyAlignment="1">
      <alignment horizontal="right"/>
    </xf>
    <xf numFmtId="0" fontId="68" fillId="0" borderId="0" xfId="0" applyFont="1"/>
    <xf numFmtId="0" fontId="39" fillId="0" borderId="16" xfId="0" applyFont="1" applyBorder="1" applyAlignment="1">
      <alignment horizontal="right"/>
    </xf>
    <xf numFmtId="0" fontId="66" fillId="0" borderId="16" xfId="0" applyFont="1" applyBorder="1"/>
    <xf numFmtId="0" fontId="67" fillId="0" borderId="16" xfId="0" applyFont="1" applyBorder="1"/>
    <xf numFmtId="18" fontId="69" fillId="0" borderId="16" xfId="0" applyNumberFormat="1" applyFont="1" applyBorder="1" applyAlignment="1">
      <alignment horizontal="center" vertical="top" shrinkToFit="1"/>
    </xf>
    <xf numFmtId="14" fontId="66" fillId="0" borderId="17" xfId="0" applyNumberFormat="1" applyFont="1" applyBorder="1" applyAlignment="1">
      <alignment horizontal="center" vertical="top" shrinkToFit="1"/>
    </xf>
    <xf numFmtId="0" fontId="1" fillId="0" borderId="15" xfId="0" applyFont="1" applyBorder="1"/>
    <xf numFmtId="0" fontId="1" fillId="0" borderId="17" xfId="0" applyFont="1" applyBorder="1"/>
    <xf numFmtId="2" fontId="68" fillId="0" borderId="0" xfId="0" applyNumberFormat="1" applyFont="1"/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59" xfId="0" applyBorder="1" applyAlignment="1">
      <alignment horizontal="center"/>
    </xf>
    <xf numFmtId="0" fontId="70" fillId="0" borderId="0" xfId="0" applyFont="1" applyAlignment="1">
      <alignment horizontal="center"/>
    </xf>
    <xf numFmtId="14" fontId="66" fillId="0" borderId="52" xfId="0" applyNumberFormat="1" applyFont="1" applyBorder="1" applyAlignment="1">
      <alignment horizontal="center" vertical="top" shrinkToFit="1"/>
    </xf>
    <xf numFmtId="0" fontId="71" fillId="0" borderId="46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169" fontId="1" fillId="0" borderId="11" xfId="0" applyNumberFormat="1" applyFont="1" applyBorder="1"/>
    <xf numFmtId="169" fontId="0" fillId="0" borderId="12" xfId="0" applyNumberFormat="1" applyBorder="1"/>
    <xf numFmtId="166" fontId="45" fillId="0" borderId="62" xfId="0" applyNumberFormat="1" applyFont="1" applyBorder="1" applyAlignment="1">
      <alignment horizontal="center"/>
    </xf>
    <xf numFmtId="166" fontId="72" fillId="0" borderId="63" xfId="0" applyNumberFormat="1" applyFont="1" applyBorder="1" applyAlignment="1">
      <alignment horizontal="center"/>
    </xf>
    <xf numFmtId="2" fontId="73" fillId="0" borderId="62" xfId="0" applyNumberFormat="1" applyFont="1" applyBorder="1" applyAlignment="1">
      <alignment horizontal="center" vertical="center"/>
    </xf>
    <xf numFmtId="169" fontId="74" fillId="0" borderId="0" xfId="0" applyNumberFormat="1" applyFont="1" applyAlignment="1">
      <alignment horizontal="center" vertical="center"/>
    </xf>
    <xf numFmtId="166" fontId="74" fillId="0" borderId="64" xfId="0" applyNumberFormat="1" applyFont="1" applyBorder="1" applyAlignment="1">
      <alignment horizontal="center"/>
    </xf>
    <xf numFmtId="10" fontId="75" fillId="0" borderId="35" xfId="42" applyNumberFormat="1" applyFont="1" applyBorder="1" applyAlignment="1">
      <alignment horizontal="center"/>
    </xf>
    <xf numFmtId="0" fontId="76" fillId="0" borderId="54" xfId="0" applyFont="1" applyBorder="1"/>
    <xf numFmtId="0" fontId="0" fillId="0" borderId="15" xfId="0" applyBorder="1" applyAlignment="1">
      <alignment horizontal="right"/>
    </xf>
    <xf numFmtId="169" fontId="1" fillId="0" borderId="16" xfId="0" applyNumberFormat="1" applyFont="1" applyBorder="1"/>
    <xf numFmtId="169" fontId="0" fillId="0" borderId="17" xfId="0" applyNumberFormat="1" applyBorder="1"/>
    <xf numFmtId="47" fontId="1" fillId="0" borderId="0" xfId="0" applyNumberFormat="1" applyFont="1"/>
    <xf numFmtId="10" fontId="72" fillId="0" borderId="62" xfId="42" applyNumberFormat="1" applyFont="1" applyBorder="1" applyAlignment="1">
      <alignment horizontal="center"/>
    </xf>
    <xf numFmtId="169" fontId="1" fillId="0" borderId="63" xfId="0" applyNumberFormat="1" applyFont="1" applyBorder="1" applyAlignment="1">
      <alignment horizontal="center"/>
    </xf>
    <xf numFmtId="0" fontId="1" fillId="0" borderId="29" xfId="0" applyFont="1" applyBorder="1"/>
    <xf numFmtId="164" fontId="14" fillId="0" borderId="56" xfId="0" applyNumberFormat="1" applyFont="1" applyBorder="1" applyAlignment="1">
      <alignment horizontal="right"/>
    </xf>
    <xf numFmtId="2" fontId="0" fillId="0" borderId="56" xfId="0" applyNumberFormat="1" applyBorder="1" applyAlignment="1">
      <alignment horizontal="center"/>
    </xf>
    <xf numFmtId="169" fontId="0" fillId="0" borderId="56" xfId="0" applyNumberFormat="1" applyBorder="1" applyAlignment="1">
      <alignment horizontal="center" vertical="center"/>
    </xf>
    <xf numFmtId="166" fontId="14" fillId="0" borderId="56" xfId="0" applyNumberFormat="1" applyFont="1" applyBorder="1" applyAlignment="1">
      <alignment horizontal="center" vertical="center"/>
    </xf>
    <xf numFmtId="165" fontId="14" fillId="0" borderId="11" xfId="42" applyNumberFormat="1" applyFont="1" applyBorder="1" applyAlignment="1">
      <alignment horizontal="center" vertical="center"/>
    </xf>
    <xf numFmtId="0" fontId="61" fillId="0" borderId="13" xfId="0" applyFont="1" applyBorder="1" applyAlignment="1">
      <alignment horizontal="center"/>
    </xf>
    <xf numFmtId="1" fontId="54" fillId="0" borderId="0" xfId="0" applyNumberFormat="1" applyFont="1" applyAlignment="1">
      <alignment horizontal="center"/>
    </xf>
    <xf numFmtId="166" fontId="0" fillId="0" borderId="64" xfId="0" applyNumberFormat="1" applyBorder="1" applyAlignment="1">
      <alignment horizontal="center"/>
    </xf>
    <xf numFmtId="166" fontId="0" fillId="0" borderId="65" xfId="0" applyNumberFormat="1" applyBorder="1" applyAlignment="1">
      <alignment horizontal="center"/>
    </xf>
    <xf numFmtId="164" fontId="14" fillId="0" borderId="66" xfId="0" applyNumberFormat="1" applyFont="1" applyBorder="1" applyAlignment="1">
      <alignment horizontal="right"/>
    </xf>
    <xf numFmtId="2" fontId="53" fillId="0" borderId="33" xfId="42" applyNumberFormat="1" applyFont="1" applyBorder="1" applyAlignment="1">
      <alignment horizontal="center" vertical="center"/>
    </xf>
    <xf numFmtId="169" fontId="53" fillId="0" borderId="33" xfId="42" applyNumberFormat="1" applyFont="1" applyBorder="1" applyAlignment="1">
      <alignment horizontal="center" vertical="center"/>
    </xf>
    <xf numFmtId="171" fontId="53" fillId="0" borderId="16" xfId="0" applyNumberFormat="1" applyFont="1" applyBorder="1" applyAlignment="1">
      <alignment horizontal="center"/>
    </xf>
    <xf numFmtId="165" fontId="53" fillId="0" borderId="33" xfId="42" applyNumberFormat="1" applyFont="1" applyBorder="1" applyAlignment="1">
      <alignment horizontal="center" vertical="center"/>
    </xf>
    <xf numFmtId="166" fontId="54" fillId="0" borderId="0" xfId="42" applyNumberFormat="1" applyFont="1" applyAlignment="1">
      <alignment horizontal="center"/>
    </xf>
    <xf numFmtId="0" fontId="42" fillId="0" borderId="45" xfId="0" applyFont="1" applyBorder="1"/>
    <xf numFmtId="0" fontId="48" fillId="0" borderId="10" xfId="0" applyFont="1" applyBorder="1" applyAlignment="1">
      <alignment horizontal="right"/>
    </xf>
    <xf numFmtId="164" fontId="77" fillId="0" borderId="11" xfId="0" applyNumberFormat="1" applyFont="1" applyBorder="1"/>
    <xf numFmtId="0" fontId="1" fillId="0" borderId="67" xfId="0" applyFont="1" applyBorder="1"/>
    <xf numFmtId="0" fontId="0" fillId="0" borderId="2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78" fillId="0" borderId="36" xfId="0" applyFont="1" applyBorder="1" applyAlignment="1">
      <alignment horizontal="right" vertical="center" shrinkToFit="1"/>
    </xf>
    <xf numFmtId="164" fontId="79" fillId="0" borderId="69" xfId="0" applyNumberFormat="1" applyFont="1" applyBorder="1" applyAlignment="1">
      <alignment horizontal="center"/>
    </xf>
    <xf numFmtId="2" fontId="61" fillId="0" borderId="0" xfId="0" applyNumberFormat="1" applyFont="1" applyAlignment="1">
      <alignment horizontal="center"/>
    </xf>
    <xf numFmtId="0" fontId="75" fillId="33" borderId="10" xfId="0" applyFont="1" applyFill="1" applyBorder="1" applyAlignment="1">
      <alignment horizontal="right"/>
    </xf>
    <xf numFmtId="0" fontId="1" fillId="33" borderId="11" xfId="0" applyFont="1" applyFill="1" applyBorder="1" applyAlignment="1">
      <alignment horizontal="center"/>
    </xf>
    <xf numFmtId="0" fontId="1" fillId="33" borderId="12" xfId="0" applyFont="1" applyFill="1" applyBorder="1"/>
    <xf numFmtId="165" fontId="1" fillId="0" borderId="12" xfId="42" applyNumberFormat="1" applyFont="1" applyBorder="1"/>
    <xf numFmtId="0" fontId="80" fillId="0" borderId="45" xfId="0" applyFont="1" applyBorder="1" applyAlignment="1">
      <alignment horizontal="right"/>
    </xf>
    <xf numFmtId="0" fontId="48" fillId="0" borderId="13" xfId="0" applyFont="1" applyBorder="1" applyAlignment="1">
      <alignment horizontal="right"/>
    </xf>
    <xf numFmtId="0" fontId="59" fillId="0" borderId="0" xfId="0" applyFont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1" fontId="1" fillId="0" borderId="68" xfId="0" applyNumberFormat="1" applyFont="1" applyBorder="1" applyAlignment="1">
      <alignment horizontal="center"/>
    </xf>
    <xf numFmtId="164" fontId="81" fillId="0" borderId="69" xfId="0" applyNumberFormat="1" applyFont="1" applyBorder="1" applyAlignment="1">
      <alignment horizontal="center"/>
    </xf>
    <xf numFmtId="0" fontId="82" fillId="0" borderId="11" xfId="0" quotePrefix="1" applyFont="1" applyBorder="1" applyAlignment="1">
      <alignment horizontal="center" shrinkToFit="1"/>
    </xf>
    <xf numFmtId="0" fontId="75" fillId="0" borderId="13" xfId="0" applyFont="1" applyBorder="1" applyAlignment="1">
      <alignment horizontal="right"/>
    </xf>
    <xf numFmtId="165" fontId="1" fillId="0" borderId="14" xfId="42" applyNumberFormat="1" applyFont="1" applyBorder="1"/>
    <xf numFmtId="0" fontId="48" fillId="0" borderId="15" xfId="0" applyFont="1" applyBorder="1" applyAlignment="1">
      <alignment horizontal="right"/>
    </xf>
    <xf numFmtId="164" fontId="77" fillId="0" borderId="16" xfId="0" applyNumberFormat="1" applyFont="1" applyBorder="1" applyAlignment="1">
      <alignment horizontal="left"/>
    </xf>
    <xf numFmtId="0" fontId="1" fillId="0" borderId="70" xfId="0" applyFont="1" applyBorder="1"/>
    <xf numFmtId="0" fontId="1" fillId="0" borderId="7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164" fontId="81" fillId="0" borderId="73" xfId="0" applyNumberFormat="1" applyFont="1" applyBorder="1" applyAlignment="1">
      <alignment horizontal="center"/>
    </xf>
    <xf numFmtId="169" fontId="61" fillId="0" borderId="0" xfId="0" applyNumberFormat="1" applyFont="1" applyAlignment="1">
      <alignment horizontal="center"/>
    </xf>
    <xf numFmtId="167" fontId="31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169" fontId="81" fillId="0" borderId="0" xfId="0" applyNumberFormat="1" applyFont="1" applyAlignment="1">
      <alignment horizontal="right"/>
    </xf>
    <xf numFmtId="169" fontId="81" fillId="0" borderId="14" xfId="0" applyNumberFormat="1" applyFont="1" applyBorder="1"/>
    <xf numFmtId="169" fontId="1" fillId="0" borderId="52" xfId="0" applyNumberFormat="1" applyFont="1" applyBorder="1"/>
    <xf numFmtId="0" fontId="39" fillId="0" borderId="10" xfId="0" applyFont="1" applyBorder="1" applyAlignment="1">
      <alignment horizontal="right"/>
    </xf>
    <xf numFmtId="2" fontId="84" fillId="0" borderId="11" xfId="0" applyNumberFormat="1" applyFont="1" applyBorder="1" applyAlignment="1">
      <alignment horizontal="center"/>
    </xf>
    <xf numFmtId="0" fontId="85" fillId="0" borderId="27" xfId="0" applyFont="1" applyBorder="1" applyAlignment="1">
      <alignment horizontal="left"/>
    </xf>
    <xf numFmtId="2" fontId="14" fillId="0" borderId="11" xfId="0" applyNumberFormat="1" applyFont="1" applyBorder="1" applyAlignment="1">
      <alignment horizontal="right" vertical="center"/>
    </xf>
    <xf numFmtId="2" fontId="14" fillId="0" borderId="60" xfId="0" applyNumberFormat="1" applyFont="1" applyBorder="1" applyAlignment="1">
      <alignment horizontal="right" vertical="center"/>
    </xf>
    <xf numFmtId="167" fontId="35" fillId="0" borderId="0" xfId="0" applyNumberFormat="1" applyFont="1" applyAlignment="1">
      <alignment horizontal="center"/>
    </xf>
    <xf numFmtId="0" fontId="86" fillId="0" borderId="11" xfId="0" applyFont="1" applyBorder="1" applyAlignment="1">
      <alignment horizontal="left"/>
    </xf>
    <xf numFmtId="167" fontId="1" fillId="0" borderId="0" xfId="0" applyNumberFormat="1" applyFont="1"/>
    <xf numFmtId="167" fontId="1" fillId="0" borderId="14" xfId="0" applyNumberFormat="1" applyFont="1" applyBorder="1"/>
    <xf numFmtId="169" fontId="1" fillId="0" borderId="53" xfId="0" applyNumberFormat="1" applyFont="1" applyBorder="1"/>
    <xf numFmtId="2" fontId="1" fillId="0" borderId="0" xfId="0" applyNumberFormat="1" applyFont="1" applyAlignment="1">
      <alignment horizontal="left"/>
    </xf>
    <xf numFmtId="0" fontId="39" fillId="0" borderId="13" xfId="0" applyFont="1" applyBorder="1" applyAlignment="1">
      <alignment horizontal="right"/>
    </xf>
    <xf numFmtId="171" fontId="84" fillId="0" borderId="0" xfId="0" applyNumberFormat="1" applyFont="1" applyAlignment="1">
      <alignment horizontal="center"/>
    </xf>
    <xf numFmtId="2" fontId="85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166" fontId="1" fillId="0" borderId="0" xfId="42" applyNumberFormat="1" applyFont="1" applyBorder="1" applyAlignment="1">
      <alignment horizontal="center"/>
    </xf>
    <xf numFmtId="171" fontId="14" fillId="0" borderId="0" xfId="0" applyNumberFormat="1" applyFont="1" applyAlignment="1">
      <alignment horizontal="right" vertical="center"/>
    </xf>
    <xf numFmtId="171" fontId="14" fillId="0" borderId="63" xfId="0" applyNumberFormat="1" applyFont="1" applyBorder="1" applyAlignment="1">
      <alignment horizontal="right" vertical="center"/>
    </xf>
    <xf numFmtId="0" fontId="61" fillId="0" borderId="0" xfId="0" applyFont="1" applyAlignment="1">
      <alignment horizontal="center"/>
    </xf>
    <xf numFmtId="2" fontId="86" fillId="0" borderId="0" xfId="0" applyNumberFormat="1" applyFont="1" applyAlignment="1">
      <alignment horizontal="left"/>
    </xf>
    <xf numFmtId="167" fontId="1" fillId="0" borderId="53" xfId="0" applyNumberFormat="1" applyFont="1" applyBorder="1"/>
    <xf numFmtId="2" fontId="84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right" vertical="center"/>
    </xf>
    <xf numFmtId="2" fontId="14" fillId="0" borderId="63" xfId="0" applyNumberFormat="1" applyFont="1" applyBorder="1" applyAlignment="1">
      <alignment horizontal="right" vertical="center"/>
    </xf>
    <xf numFmtId="165" fontId="84" fillId="0" borderId="0" xfId="42" applyNumberFormat="1" applyFont="1" applyBorder="1" applyAlignment="1">
      <alignment horizontal="center"/>
    </xf>
    <xf numFmtId="165" fontId="14" fillId="0" borderId="0" xfId="42" applyNumberFormat="1" applyFont="1" applyBorder="1" applyAlignment="1">
      <alignment horizontal="right" vertical="center"/>
    </xf>
    <xf numFmtId="165" fontId="14" fillId="0" borderId="63" xfId="42" applyNumberFormat="1" applyFont="1" applyBorder="1" applyAlignment="1">
      <alignment horizontal="right" vertical="center"/>
    </xf>
    <xf numFmtId="169" fontId="81" fillId="0" borderId="0" xfId="0" applyNumberFormat="1" applyFont="1"/>
    <xf numFmtId="169" fontId="1" fillId="0" borderId="54" xfId="0" applyNumberFormat="1" applyFont="1" applyBorder="1"/>
    <xf numFmtId="164" fontId="8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 vertical="center"/>
    </xf>
    <xf numFmtId="164" fontId="14" fillId="0" borderId="63" xfId="0" applyNumberFormat="1" applyFont="1" applyBorder="1" applyAlignment="1">
      <alignment horizontal="right" vertical="center"/>
    </xf>
    <xf numFmtId="0" fontId="61" fillId="0" borderId="11" xfId="0" quotePrefix="1" applyFont="1" applyBorder="1" applyAlignment="1">
      <alignment horizontal="center"/>
    </xf>
    <xf numFmtId="169" fontId="1" fillId="0" borderId="14" xfId="0" applyNumberFormat="1" applyFont="1" applyBorder="1"/>
    <xf numFmtId="0" fontId="80" fillId="0" borderId="58" xfId="0" applyFont="1" applyBorder="1" applyAlignment="1">
      <alignment horizontal="right"/>
    </xf>
    <xf numFmtId="2" fontId="46" fillId="0" borderId="16" xfId="0" applyNumberFormat="1" applyFont="1" applyBorder="1" applyAlignment="1">
      <alignment horizontal="center"/>
    </xf>
    <xf numFmtId="0" fontId="39" fillId="0" borderId="15" xfId="0" applyFont="1" applyBorder="1" applyAlignment="1">
      <alignment horizontal="right"/>
    </xf>
    <xf numFmtId="2" fontId="84" fillId="0" borderId="16" xfId="0" applyNumberFormat="1" applyFont="1" applyBorder="1" applyAlignment="1">
      <alignment horizontal="center"/>
    </xf>
    <xf numFmtId="2" fontId="85" fillId="0" borderId="16" xfId="0" applyNumberFormat="1" applyFont="1" applyBorder="1" applyAlignment="1">
      <alignment horizontal="left"/>
    </xf>
    <xf numFmtId="2" fontId="18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right"/>
    </xf>
    <xf numFmtId="2" fontId="14" fillId="0" borderId="16" xfId="0" applyNumberFormat="1" applyFont="1" applyBorder="1" applyAlignment="1">
      <alignment horizontal="right" vertical="center"/>
    </xf>
    <xf numFmtId="2" fontId="14" fillId="0" borderId="65" xfId="0" applyNumberFormat="1" applyFont="1" applyBorder="1" applyAlignment="1">
      <alignment horizontal="right" vertical="center"/>
    </xf>
    <xf numFmtId="2" fontId="86" fillId="0" borderId="16" xfId="0" applyNumberFormat="1" applyFont="1" applyBorder="1" applyAlignment="1">
      <alignment horizontal="left"/>
    </xf>
    <xf numFmtId="0" fontId="16" fillId="0" borderId="74" xfId="0" applyFont="1" applyBorder="1" applyAlignment="1">
      <alignment horizontal="left"/>
    </xf>
    <xf numFmtId="0" fontId="0" fillId="0" borderId="75" xfId="0" applyBorder="1" applyAlignment="1">
      <alignment horizontal="right"/>
    </xf>
    <xf numFmtId="0" fontId="0" fillId="0" borderId="76" xfId="0" applyBorder="1" applyAlignment="1">
      <alignment horizontal="right"/>
    </xf>
    <xf numFmtId="2" fontId="18" fillId="0" borderId="75" xfId="0" applyNumberFormat="1" applyFont="1" applyBorder="1" applyAlignment="1">
      <alignment horizontal="center"/>
    </xf>
    <xf numFmtId="0" fontId="49" fillId="0" borderId="75" xfId="0" applyFont="1" applyBorder="1" applyAlignment="1">
      <alignment horizontal="left"/>
    </xf>
    <xf numFmtId="0" fontId="18" fillId="0" borderId="75" xfId="0" applyFont="1" applyBorder="1" applyAlignment="1">
      <alignment horizontal="center"/>
    </xf>
    <xf numFmtId="0" fontId="79" fillId="0" borderId="0" xfId="0" applyFont="1" applyAlignment="1">
      <alignment horizontal="center"/>
    </xf>
    <xf numFmtId="1" fontId="48" fillId="0" borderId="0" xfId="0" applyNumberFormat="1" applyFont="1" applyAlignment="1">
      <alignment horizontal="center"/>
    </xf>
    <xf numFmtId="2" fontId="86" fillId="0" borderId="11" xfId="0" applyNumberFormat="1" applyFont="1" applyBorder="1" applyAlignment="1">
      <alignment horizontal="left"/>
    </xf>
    <xf numFmtId="2" fontId="60" fillId="0" borderId="0" xfId="0" applyNumberFormat="1" applyFont="1" applyAlignment="1">
      <alignment horizontal="left"/>
    </xf>
    <xf numFmtId="1" fontId="88" fillId="0" borderId="0" xfId="0" applyNumberFormat="1" applyFont="1" applyAlignment="1">
      <alignment horizontal="center"/>
    </xf>
    <xf numFmtId="165" fontId="89" fillId="0" borderId="0" xfId="42" applyNumberFormat="1" applyFont="1" applyBorder="1" applyAlignment="1">
      <alignment horizontal="center"/>
    </xf>
    <xf numFmtId="165" fontId="89" fillId="0" borderId="14" xfId="42" applyNumberFormat="1" applyFont="1" applyBorder="1" applyAlignment="1">
      <alignment horizontal="center"/>
    </xf>
    <xf numFmtId="0" fontId="61" fillId="0" borderId="58" xfId="0" applyFont="1" applyBorder="1"/>
    <xf numFmtId="0" fontId="90" fillId="0" borderId="0" xfId="0" applyFont="1"/>
    <xf numFmtId="1" fontId="91" fillId="0" borderId="0" xfId="0" applyNumberFormat="1" applyFont="1" applyAlignment="1">
      <alignment horizontal="center" vertical="center"/>
    </xf>
    <xf numFmtId="0" fontId="61" fillId="0" borderId="10" xfId="0" quotePrefix="1" applyFont="1" applyBorder="1" applyAlignment="1">
      <alignment horizontal="center"/>
    </xf>
    <xf numFmtId="0" fontId="42" fillId="0" borderId="77" xfId="0" applyFont="1" applyBorder="1"/>
    <xf numFmtId="0" fontId="92" fillId="0" borderId="29" xfId="0" applyFont="1" applyBorder="1" applyAlignment="1">
      <alignment horizontal="left"/>
    </xf>
    <xf numFmtId="2" fontId="86" fillId="0" borderId="29" xfId="0" applyNumberFormat="1" applyFont="1" applyBorder="1" applyAlignment="1">
      <alignment horizontal="left"/>
    </xf>
    <xf numFmtId="2" fontId="93" fillId="0" borderId="29" xfId="0" applyNumberFormat="1" applyFont="1" applyBorder="1" applyAlignment="1">
      <alignment horizontal="right"/>
    </xf>
    <xf numFmtId="2" fontId="39" fillId="0" borderId="29" xfId="0" applyNumberFormat="1" applyFont="1" applyBorder="1" applyAlignment="1">
      <alignment horizontal="left"/>
    </xf>
    <xf numFmtId="0" fontId="53" fillId="0" borderId="29" xfId="0" applyFont="1" applyBorder="1" applyAlignment="1">
      <alignment horizontal="center"/>
    </xf>
    <xf numFmtId="0" fontId="14" fillId="0" borderId="78" xfId="0" applyFont="1" applyBorder="1" applyAlignment="1">
      <alignment horizontal="right"/>
    </xf>
    <xf numFmtId="0" fontId="18" fillId="0" borderId="79" xfId="0" applyFont="1" applyBorder="1"/>
    <xf numFmtId="0" fontId="1" fillId="0" borderId="78" xfId="0" applyFont="1" applyBorder="1"/>
    <xf numFmtId="0" fontId="14" fillId="0" borderId="29" xfId="0" applyFont="1" applyBorder="1" applyAlignment="1">
      <alignment horizontal="right"/>
    </xf>
    <xf numFmtId="49" fontId="86" fillId="0" borderId="27" xfId="0" quotePrefix="1" applyNumberFormat="1" applyFont="1" applyBorder="1" applyAlignment="1" applyProtection="1">
      <alignment horizontal="left"/>
      <protection locked="0"/>
    </xf>
    <xf numFmtId="49" fontId="60" fillId="0" borderId="0" xfId="42" applyNumberFormat="1" applyFont="1" applyAlignment="1" applyProtection="1">
      <alignment horizontal="left"/>
      <protection locked="0"/>
    </xf>
    <xf numFmtId="49" fontId="60" fillId="0" borderId="0" xfId="42" applyNumberFormat="1" applyFont="1" applyBorder="1" applyAlignment="1" applyProtection="1">
      <alignment horizontal="left"/>
      <protection locked="0"/>
    </xf>
    <xf numFmtId="166" fontId="19" fillId="0" borderId="0" xfId="43" applyNumberFormat="1" applyAlignment="1">
      <alignment horizontal="left" vertical="center"/>
    </xf>
    <xf numFmtId="2" fontId="55" fillId="0" borderId="0" xfId="0" applyNumberFormat="1" applyFont="1" applyAlignment="1">
      <alignment horizontal="center"/>
    </xf>
    <xf numFmtId="49" fontId="85" fillId="0" borderId="27" xfId="0" quotePrefix="1" applyNumberFormat="1" applyFont="1" applyBorder="1" applyAlignment="1" applyProtection="1">
      <alignment horizontal="left"/>
      <protection locked="0"/>
    </xf>
    <xf numFmtId="49" fontId="86" fillId="0" borderId="0" xfId="42" applyNumberFormat="1" applyFont="1" applyBorder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51" fillId="0" borderId="27" xfId="0" applyNumberFormat="1" applyFont="1" applyBorder="1" applyAlignment="1" applyProtection="1">
      <alignment horizontal="right" shrinkToFit="1"/>
      <protection locked="0"/>
    </xf>
    <xf numFmtId="2" fontId="14" fillId="0" borderId="18" xfId="0" applyNumberFormat="1" applyFont="1" applyBorder="1" applyAlignment="1" applyProtection="1">
      <alignment horizontal="right" shrinkToFit="1"/>
      <protection locked="0"/>
    </xf>
    <xf numFmtId="49" fontId="86" fillId="0" borderId="0" xfId="0" quotePrefix="1" applyNumberFormat="1" applyFont="1" applyAlignment="1" applyProtection="1">
      <alignment horizontal="left"/>
      <protection locked="0"/>
    </xf>
    <xf numFmtId="165" fontId="95" fillId="0" borderId="16" xfId="42" applyNumberFormat="1" applyFont="1" applyBorder="1" applyAlignment="1">
      <alignment horizontal="center"/>
    </xf>
    <xf numFmtId="49" fontId="85" fillId="0" borderId="16" xfId="0" quotePrefix="1" applyNumberFormat="1" applyFont="1" applyBorder="1" applyAlignment="1" applyProtection="1">
      <alignment horizontal="left"/>
      <protection locked="0"/>
    </xf>
    <xf numFmtId="165" fontId="51" fillId="0" borderId="16" xfId="42" applyNumberFormat="1" applyFont="1" applyBorder="1" applyAlignment="1">
      <alignment horizontal="right"/>
    </xf>
    <xf numFmtId="165" fontId="14" fillId="0" borderId="65" xfId="42" applyNumberFormat="1" applyFont="1" applyBorder="1" applyAlignment="1">
      <alignment horizontal="right"/>
    </xf>
    <xf numFmtId="0" fontId="61" fillId="0" borderId="13" xfId="0" applyFont="1" applyBorder="1" applyAlignment="1" applyProtection="1">
      <alignment horizontal="center"/>
      <protection locked="0"/>
    </xf>
    <xf numFmtId="0" fontId="75" fillId="0" borderId="0" xfId="0" applyFont="1" applyAlignment="1">
      <alignment horizontal="center"/>
    </xf>
    <xf numFmtId="49" fontId="86" fillId="0" borderId="0" xfId="0" applyNumberFormat="1" applyFont="1" applyAlignment="1" applyProtection="1">
      <alignment horizontal="left"/>
      <protection locked="0"/>
    </xf>
    <xf numFmtId="0" fontId="75" fillId="0" borderId="15" xfId="0" applyFont="1" applyBorder="1" applyAlignment="1">
      <alignment horizontal="right"/>
    </xf>
    <xf numFmtId="169" fontId="81" fillId="0" borderId="16" xfId="0" applyNumberFormat="1" applyFont="1" applyBorder="1"/>
    <xf numFmtId="169" fontId="81" fillId="0" borderId="17" xfId="0" applyNumberFormat="1" applyFont="1" applyBorder="1"/>
    <xf numFmtId="0" fontId="1" fillId="0" borderId="77" xfId="0" applyFont="1" applyBorder="1"/>
    <xf numFmtId="0" fontId="1" fillId="0" borderId="36" xfId="0" applyFont="1" applyBorder="1"/>
    <xf numFmtId="169" fontId="55" fillId="0" borderId="0" xfId="0" applyNumberFormat="1" applyFont="1" applyAlignment="1">
      <alignment horizontal="center"/>
    </xf>
    <xf numFmtId="49" fontId="85" fillId="0" borderId="36" xfId="0" quotePrefix="1" applyNumberFormat="1" applyFont="1" applyBorder="1" applyAlignment="1" applyProtection="1">
      <alignment horizontal="left"/>
      <protection locked="0"/>
    </xf>
    <xf numFmtId="0" fontId="16" fillId="0" borderId="27" xfId="0" applyFont="1" applyBorder="1" applyAlignment="1">
      <alignment horizontal="right"/>
    </xf>
    <xf numFmtId="169" fontId="51" fillId="0" borderId="36" xfId="0" applyNumberFormat="1" applyFont="1" applyBorder="1" applyAlignment="1">
      <alignment horizontal="right"/>
    </xf>
    <xf numFmtId="169" fontId="14" fillId="0" borderId="80" xfId="0" applyNumberFormat="1" applyFont="1" applyBorder="1" applyAlignment="1">
      <alignment horizontal="right"/>
    </xf>
    <xf numFmtId="9" fontId="1" fillId="0" borderId="0" xfId="42" applyFont="1" applyAlignment="1">
      <alignment horizontal="center"/>
    </xf>
    <xf numFmtId="49" fontId="86" fillId="0" borderId="0" xfId="0" quotePrefix="1" applyNumberFormat="1" applyFont="1"/>
    <xf numFmtId="49" fontId="86" fillId="0" borderId="0" xfId="0" applyNumberFormat="1" applyFont="1"/>
    <xf numFmtId="0" fontId="75" fillId="0" borderId="0" xfId="0" applyFont="1" applyAlignment="1">
      <alignment horizontal="right"/>
    </xf>
    <xf numFmtId="0" fontId="30" fillId="0" borderId="0" xfId="0" applyFont="1"/>
    <xf numFmtId="0" fontId="1" fillId="0" borderId="81" xfId="0" applyFont="1" applyBorder="1"/>
    <xf numFmtId="0" fontId="39" fillId="0" borderId="27" xfId="0" applyFont="1" applyBorder="1" applyAlignment="1">
      <alignment horizontal="right"/>
    </xf>
    <xf numFmtId="2" fontId="55" fillId="0" borderId="27" xfId="0" applyNumberFormat="1" applyFont="1" applyBorder="1" applyAlignment="1">
      <alignment horizontal="center"/>
    </xf>
    <xf numFmtId="2" fontId="55" fillId="0" borderId="27" xfId="0" applyNumberFormat="1" applyFont="1" applyBorder="1" applyAlignment="1" applyProtection="1">
      <alignment horizontal="center"/>
      <protection locked="0"/>
    </xf>
    <xf numFmtId="0" fontId="31" fillId="0" borderId="0" xfId="0" applyFont="1" applyAlignment="1">
      <alignment horizontal="right"/>
    </xf>
    <xf numFmtId="169" fontId="31" fillId="0" borderId="0" xfId="0" applyNumberFormat="1" applyFont="1" applyAlignment="1">
      <alignment horizontal="center"/>
    </xf>
    <xf numFmtId="165" fontId="55" fillId="0" borderId="0" xfId="42" applyNumberFormat="1" applyFont="1" applyBorder="1" applyAlignment="1">
      <alignment horizontal="center"/>
    </xf>
    <xf numFmtId="49" fontId="85" fillId="0" borderId="0" xfId="0" quotePrefix="1" applyNumberFormat="1" applyFont="1" applyAlignment="1" applyProtection="1">
      <alignment horizontal="left"/>
      <protection locked="0"/>
    </xf>
    <xf numFmtId="165" fontId="51" fillId="0" borderId="0" xfId="42" applyNumberFormat="1" applyFont="1" applyBorder="1" applyAlignment="1" applyProtection="1">
      <alignment horizontal="right" shrinkToFit="1"/>
      <protection locked="0"/>
    </xf>
    <xf numFmtId="165" fontId="14" fillId="0" borderId="63" xfId="42" applyNumberFormat="1" applyFont="1" applyBorder="1" applyAlignment="1" applyProtection="1">
      <alignment horizontal="right" shrinkToFit="1"/>
      <protection locked="0"/>
    </xf>
    <xf numFmtId="167" fontId="61" fillId="0" borderId="10" xfId="0" quotePrefix="1" applyNumberFormat="1" applyFont="1" applyBorder="1" applyAlignment="1" applyProtection="1">
      <alignment horizontal="center"/>
      <protection locked="0"/>
    </xf>
    <xf numFmtId="165" fontId="75" fillId="0" borderId="11" xfId="42" quotePrefix="1" applyNumberFormat="1" applyFont="1" applyBorder="1" applyAlignment="1" applyProtection="1">
      <alignment horizontal="center" vertical="top" wrapText="1"/>
      <protection locked="0"/>
    </xf>
    <xf numFmtId="49" fontId="86" fillId="0" borderId="0" xfId="0" quotePrefix="1" applyNumberFormat="1" applyFont="1" applyAlignment="1" applyProtection="1">
      <alignment vertical="top"/>
      <protection locked="0"/>
    </xf>
    <xf numFmtId="2" fontId="31" fillId="0" borderId="0" xfId="0" applyNumberFormat="1" applyFont="1" applyAlignment="1">
      <alignment horizontal="center"/>
    </xf>
    <xf numFmtId="0" fontId="1" fillId="0" borderId="27" xfId="0" applyFont="1" applyBorder="1"/>
    <xf numFmtId="49" fontId="86" fillId="0" borderId="27" xfId="0" quotePrefix="1" applyNumberFormat="1" applyFont="1" applyBorder="1" applyAlignment="1" applyProtection="1">
      <alignment vertical="top"/>
      <protection locked="0"/>
    </xf>
    <xf numFmtId="49" fontId="86" fillId="0" borderId="27" xfId="0" quotePrefix="1" applyNumberFormat="1" applyFont="1" applyBorder="1" applyAlignment="1" applyProtection="1">
      <alignment vertical="top" wrapText="1"/>
      <protection locked="0"/>
    </xf>
    <xf numFmtId="2" fontId="55" fillId="0" borderId="27" xfId="0" quotePrefix="1" applyNumberFormat="1" applyFont="1" applyBorder="1" applyAlignment="1" applyProtection="1">
      <alignment horizontal="center" vertical="top" wrapText="1"/>
      <protection locked="0"/>
    </xf>
    <xf numFmtId="2" fontId="51" fillId="0" borderId="27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165" fontId="55" fillId="0" borderId="29" xfId="42" applyNumberFormat="1" applyFont="1" applyBorder="1" applyAlignment="1">
      <alignment horizontal="center"/>
    </xf>
    <xf numFmtId="0" fontId="85" fillId="0" borderId="29" xfId="0" quotePrefix="1" applyFont="1" applyBorder="1"/>
    <xf numFmtId="165" fontId="51" fillId="0" borderId="29" xfId="42" applyNumberFormat="1" applyFont="1" applyBorder="1" applyAlignment="1">
      <alignment horizontal="right"/>
    </xf>
    <xf numFmtId="165" fontId="14" fillId="0" borderId="57" xfId="42" applyNumberFormat="1" applyFont="1" applyBorder="1" applyAlignment="1">
      <alignment horizontal="right"/>
    </xf>
    <xf numFmtId="0" fontId="1" fillId="0" borderId="82" xfId="0" applyFont="1" applyBorder="1"/>
    <xf numFmtId="0" fontId="1" fillId="0" borderId="72" xfId="0" applyFont="1" applyBorder="1"/>
    <xf numFmtId="0" fontId="16" fillId="0" borderId="72" xfId="0" applyFont="1" applyBorder="1" applyAlignment="1">
      <alignment horizontal="right"/>
    </xf>
    <xf numFmtId="2" fontId="55" fillId="0" borderId="72" xfId="42" applyNumberFormat="1" applyFont="1" applyBorder="1" applyAlignment="1">
      <alignment horizontal="center"/>
    </xf>
    <xf numFmtId="0" fontId="85" fillId="0" borderId="72" xfId="0" quotePrefix="1" applyFont="1" applyBorder="1"/>
    <xf numFmtId="2" fontId="51" fillId="0" borderId="72" xfId="42" applyNumberFormat="1" applyFont="1" applyBorder="1" applyAlignment="1">
      <alignment horizontal="right"/>
    </xf>
    <xf numFmtId="2" fontId="14" fillId="0" borderId="20" xfId="42" applyNumberFormat="1" applyFont="1" applyBorder="1" applyAlignment="1">
      <alignment horizontal="right"/>
    </xf>
    <xf numFmtId="49" fontId="60" fillId="0" borderId="13" xfId="0" quotePrefix="1" applyNumberFormat="1" applyFont="1" applyBorder="1" applyAlignment="1" applyProtection="1">
      <alignment horizontal="center" vertical="top" wrapText="1"/>
      <protection locked="0"/>
    </xf>
    <xf numFmtId="2" fontId="55" fillId="0" borderId="11" xfId="0" applyNumberFormat="1" applyFont="1" applyBorder="1" applyAlignment="1">
      <alignment horizontal="center"/>
    </xf>
    <xf numFmtId="0" fontId="85" fillId="0" borderId="11" xfId="0" quotePrefix="1" applyFont="1" applyBorder="1"/>
    <xf numFmtId="171" fontId="55" fillId="0" borderId="11" xfId="0" applyNumberFormat="1" applyFont="1" applyBorder="1" applyAlignment="1">
      <alignment horizontal="center"/>
    </xf>
    <xf numFmtId="2" fontId="51" fillId="0" borderId="11" xfId="0" applyNumberFormat="1" applyFont="1" applyBorder="1" applyAlignment="1" applyProtection="1">
      <alignment horizontal="right" shrinkToFit="1"/>
      <protection locked="0"/>
    </xf>
    <xf numFmtId="2" fontId="14" fillId="0" borderId="60" xfId="0" applyNumberFormat="1" applyFont="1" applyBorder="1" applyAlignment="1" applyProtection="1">
      <alignment horizontal="right" shrinkToFit="1"/>
      <protection locked="0"/>
    </xf>
    <xf numFmtId="0" fontId="86" fillId="0" borderId="0" xfId="0" quotePrefix="1" applyFont="1"/>
    <xf numFmtId="165" fontId="97" fillId="0" borderId="0" xfId="42" applyNumberFormat="1" applyFont="1" applyBorder="1" applyAlignment="1">
      <alignment horizontal="center"/>
    </xf>
    <xf numFmtId="165" fontId="51" fillId="0" borderId="0" xfId="42" applyNumberFormat="1" applyFont="1" applyFill="1" applyBorder="1" applyAlignment="1">
      <alignment horizontal="right"/>
    </xf>
    <xf numFmtId="165" fontId="14" fillId="0" borderId="63" xfId="42" applyNumberFormat="1" applyFont="1" applyFill="1" applyBorder="1" applyAlignment="1">
      <alignment horizontal="right"/>
    </xf>
    <xf numFmtId="171" fontId="55" fillId="0" borderId="16" xfId="0" applyNumberFormat="1" applyFont="1" applyBorder="1" applyAlignment="1">
      <alignment horizontal="center"/>
    </xf>
    <xf numFmtId="171" fontId="51" fillId="0" borderId="16" xfId="0" applyNumberFormat="1" applyFont="1" applyBorder="1" applyAlignment="1">
      <alignment horizontal="right"/>
    </xf>
    <xf numFmtId="171" fontId="14" fillId="0" borderId="65" xfId="0" applyNumberFormat="1" applyFont="1" applyBorder="1" applyAlignment="1">
      <alignment horizontal="right"/>
    </xf>
    <xf numFmtId="0" fontId="75" fillId="0" borderId="11" xfId="0" applyFont="1" applyBorder="1" applyAlignment="1">
      <alignment horizontal="center"/>
    </xf>
    <xf numFmtId="0" fontId="85" fillId="0" borderId="11" xfId="0" quotePrefix="1" applyFont="1" applyBorder="1" applyAlignment="1">
      <alignment horizontal="left"/>
    </xf>
    <xf numFmtId="0" fontId="86" fillId="0" borderId="11" xfId="0" quotePrefix="1" applyFont="1" applyBorder="1" applyAlignment="1">
      <alignment horizontal="left"/>
    </xf>
    <xf numFmtId="0" fontId="1" fillId="0" borderId="83" xfId="0" applyFont="1" applyBorder="1"/>
    <xf numFmtId="0" fontId="16" fillId="0" borderId="36" xfId="0" applyFont="1" applyBorder="1" applyAlignment="1">
      <alignment horizontal="right"/>
    </xf>
    <xf numFmtId="165" fontId="55" fillId="0" borderId="36" xfId="0" applyNumberFormat="1" applyFont="1" applyBorder="1" applyAlignment="1">
      <alignment horizontal="center"/>
    </xf>
    <xf numFmtId="0" fontId="18" fillId="0" borderId="36" xfId="0" applyFont="1" applyBorder="1" applyAlignment="1" applyProtection="1">
      <alignment horizontal="center"/>
      <protection locked="0"/>
    </xf>
    <xf numFmtId="0" fontId="18" fillId="0" borderId="36" xfId="0" applyFont="1" applyBorder="1" applyProtection="1">
      <protection locked="0"/>
    </xf>
    <xf numFmtId="165" fontId="51" fillId="0" borderId="36" xfId="42" applyNumberFormat="1" applyFont="1" applyBorder="1" applyAlignment="1">
      <alignment horizontal="right" shrinkToFit="1"/>
    </xf>
    <xf numFmtId="165" fontId="14" fillId="0" borderId="80" xfId="42" applyNumberFormat="1" applyFont="1" applyBorder="1" applyAlignment="1">
      <alignment horizontal="right" shrinkToFit="1"/>
    </xf>
    <xf numFmtId="165" fontId="55" fillId="0" borderId="36" xfId="42" applyNumberFormat="1" applyFont="1" applyBorder="1" applyAlignment="1">
      <alignment horizontal="center"/>
    </xf>
    <xf numFmtId="0" fontId="18" fillId="0" borderId="36" xfId="0" applyFont="1" applyBorder="1" applyAlignment="1" applyProtection="1">
      <alignment horizontal="left"/>
      <protection locked="0"/>
    </xf>
    <xf numFmtId="165" fontId="51" fillId="0" borderId="36" xfId="42" applyNumberFormat="1" applyFont="1" applyBorder="1" applyAlignment="1" applyProtection="1">
      <alignment horizontal="right" shrinkToFit="1"/>
      <protection locked="0"/>
    </xf>
    <xf numFmtId="165" fontId="14" fillId="0" borderId="80" xfId="42" applyNumberFormat="1" applyFont="1" applyBorder="1" applyAlignment="1" applyProtection="1">
      <alignment horizontal="right" shrinkToFit="1"/>
      <protection locked="0"/>
    </xf>
    <xf numFmtId="165" fontId="75" fillId="0" borderId="0" xfId="42" applyNumberFormat="1" applyFont="1" applyBorder="1" applyAlignment="1" applyProtection="1">
      <alignment horizontal="center"/>
      <protection locked="0"/>
    </xf>
    <xf numFmtId="0" fontId="86" fillId="0" borderId="0" xfId="0" quotePrefix="1" applyFont="1" applyProtection="1">
      <protection locked="0"/>
    </xf>
    <xf numFmtId="165" fontId="55" fillId="0" borderId="16" xfId="42" applyNumberFormat="1" applyFont="1" applyBorder="1" applyAlignment="1">
      <alignment horizontal="center"/>
    </xf>
    <xf numFmtId="0" fontId="85" fillId="0" borderId="16" xfId="0" quotePrefix="1" applyFont="1" applyBorder="1"/>
    <xf numFmtId="167" fontId="61" fillId="0" borderId="13" xfId="0" applyNumberFormat="1" applyFont="1" applyBorder="1" applyAlignment="1" applyProtection="1">
      <alignment horizontal="center"/>
      <protection locked="0"/>
    </xf>
    <xf numFmtId="2" fontId="75" fillId="0" borderId="0" xfId="0" applyNumberFormat="1" applyFont="1" applyAlignment="1" applyProtection="1">
      <alignment horizontal="center"/>
      <protection locked="0"/>
    </xf>
    <xf numFmtId="2" fontId="55" fillId="0" borderId="16" xfId="42" applyNumberFormat="1" applyFont="1" applyBorder="1" applyAlignment="1">
      <alignment horizontal="center"/>
    </xf>
    <xf numFmtId="0" fontId="85" fillId="0" borderId="16" xfId="0" quotePrefix="1" applyFont="1" applyBorder="1" applyProtection="1">
      <protection locked="0"/>
    </xf>
    <xf numFmtId="0" fontId="86" fillId="0" borderId="16" xfId="0" quotePrefix="1" applyFont="1" applyBorder="1" applyProtection="1">
      <protection locked="0"/>
    </xf>
    <xf numFmtId="0" fontId="18" fillId="0" borderId="16" xfId="0" applyFont="1" applyBorder="1" applyProtection="1">
      <protection locked="0"/>
    </xf>
    <xf numFmtId="2" fontId="51" fillId="0" borderId="16" xfId="0" applyNumberFormat="1" applyFont="1" applyBorder="1" applyAlignment="1" applyProtection="1">
      <alignment horizontal="right" shrinkToFit="1"/>
      <protection locked="0"/>
    </xf>
    <xf numFmtId="2" fontId="14" fillId="0" borderId="65" xfId="0" applyNumberFormat="1" applyFont="1" applyBorder="1" applyAlignment="1" applyProtection="1">
      <alignment horizontal="right" shrinkToFit="1"/>
      <protection locked="0"/>
    </xf>
    <xf numFmtId="0" fontId="86" fillId="0" borderId="0" xfId="0" quotePrefix="1" applyFont="1" applyAlignment="1" applyProtection="1">
      <alignment horizontal="left"/>
      <protection locked="0"/>
    </xf>
    <xf numFmtId="2" fontId="55" fillId="0" borderId="29" xfId="42" applyNumberFormat="1" applyFont="1" applyBorder="1" applyAlignment="1">
      <alignment horizontal="center"/>
    </xf>
    <xf numFmtId="49" fontId="85" fillId="0" borderId="29" xfId="0" quotePrefix="1" applyNumberFormat="1" applyFont="1" applyBorder="1" applyAlignment="1" applyProtection="1">
      <alignment horizontal="left"/>
      <protection locked="0"/>
    </xf>
    <xf numFmtId="0" fontId="86" fillId="0" borderId="29" xfId="0" quotePrefix="1" applyFont="1" applyBorder="1"/>
    <xf numFmtId="2" fontId="51" fillId="0" borderId="29" xfId="42" applyNumberFormat="1" applyFont="1" applyBorder="1" applyAlignment="1">
      <alignment horizontal="right"/>
    </xf>
    <xf numFmtId="2" fontId="14" fillId="0" borderId="57" xfId="42" applyNumberFormat="1" applyFont="1" applyBorder="1" applyAlignment="1">
      <alignment horizontal="right"/>
    </xf>
    <xf numFmtId="0" fontId="18" fillId="0" borderId="10" xfId="0" applyFont="1" applyBorder="1" applyProtection="1">
      <protection locked="0"/>
    </xf>
    <xf numFmtId="0" fontId="75" fillId="0" borderId="11" xfId="0" applyFont="1" applyBorder="1" applyAlignment="1" applyProtection="1">
      <alignment horizontal="center"/>
      <protection locked="0"/>
    </xf>
    <xf numFmtId="0" fontId="98" fillId="0" borderId="41" xfId="0" quotePrefix="1" applyFont="1" applyBorder="1"/>
    <xf numFmtId="0" fontId="0" fillId="0" borderId="42" xfId="0" applyBorder="1"/>
    <xf numFmtId="0" fontId="1" fillId="0" borderId="40" xfId="0" applyFont="1" applyBorder="1"/>
    <xf numFmtId="0" fontId="1" fillId="0" borderId="84" xfId="0" applyFont="1" applyBorder="1"/>
    <xf numFmtId="0" fontId="1" fillId="0" borderId="85" xfId="0" applyFont="1" applyBorder="1"/>
    <xf numFmtId="0" fontId="16" fillId="0" borderId="85" xfId="0" applyFont="1" applyBorder="1" applyAlignment="1">
      <alignment horizontal="right"/>
    </xf>
    <xf numFmtId="165" fontId="95" fillId="0" borderId="85" xfId="42" applyNumberFormat="1" applyFont="1" applyBorder="1" applyAlignment="1">
      <alignment horizontal="center"/>
    </xf>
    <xf numFmtId="49" fontId="85" fillId="0" borderId="85" xfId="0" quotePrefix="1" applyNumberFormat="1" applyFont="1" applyBorder="1" applyAlignment="1" applyProtection="1">
      <alignment horizontal="left"/>
      <protection locked="0"/>
    </xf>
    <xf numFmtId="0" fontId="18" fillId="0" borderId="85" xfId="0" applyFont="1" applyBorder="1" applyProtection="1">
      <protection locked="0"/>
    </xf>
    <xf numFmtId="165" fontId="51" fillId="0" borderId="85" xfId="42" applyNumberFormat="1" applyFont="1" applyBorder="1" applyAlignment="1">
      <alignment horizontal="right" shrinkToFit="1"/>
    </xf>
    <xf numFmtId="165" fontId="14" fillId="0" borderId="86" xfId="42" applyNumberFormat="1" applyFont="1" applyBorder="1" applyAlignment="1">
      <alignment horizontal="right" shrinkToFit="1"/>
    </xf>
    <xf numFmtId="0" fontId="18" fillId="0" borderId="48" xfId="0" applyFont="1" applyBorder="1" applyProtection="1">
      <protection locked="0"/>
    </xf>
    <xf numFmtId="0" fontId="75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/>
    <xf numFmtId="0" fontId="1" fillId="0" borderId="45" xfId="0" applyFont="1" applyBorder="1" applyAlignment="1">
      <alignment horizontal="left"/>
    </xf>
    <xf numFmtId="169" fontId="1" fillId="0" borderId="46" xfId="0" applyNumberFormat="1" applyFont="1" applyBorder="1" applyAlignment="1">
      <alignment horizontal="center"/>
    </xf>
    <xf numFmtId="0" fontId="0" fillId="0" borderId="45" xfId="0" applyBorder="1"/>
    <xf numFmtId="0" fontId="14" fillId="0" borderId="45" xfId="0" applyFont="1" applyBorder="1"/>
    <xf numFmtId="169" fontId="14" fillId="0" borderId="0" xfId="0" applyNumberFormat="1" applyFont="1" applyAlignment="1">
      <alignment horizontal="center"/>
    </xf>
    <xf numFmtId="169" fontId="14" fillId="0" borderId="46" xfId="0" applyNumberFormat="1" applyFont="1" applyBorder="1" applyAlignment="1">
      <alignment horizontal="center"/>
    </xf>
    <xf numFmtId="49" fontId="46" fillId="0" borderId="11" xfId="0" applyNumberFormat="1" applyFont="1" applyBorder="1" applyAlignment="1">
      <alignment horizontal="left"/>
    </xf>
    <xf numFmtId="0" fontId="1" fillId="0" borderId="51" xfId="0" applyFont="1" applyBorder="1"/>
    <xf numFmtId="0" fontId="86" fillId="0" borderId="27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14" fillId="44" borderId="45" xfId="0" applyFont="1" applyFill="1" applyBorder="1" applyAlignment="1">
      <alignment horizontal="right"/>
    </xf>
    <xf numFmtId="169" fontId="14" fillId="44" borderId="0" xfId="0" applyNumberFormat="1" applyFont="1" applyFill="1" applyAlignment="1">
      <alignment horizontal="center"/>
    </xf>
    <xf numFmtId="169" fontId="14" fillId="44" borderId="87" xfId="0" applyNumberFormat="1" applyFont="1" applyFill="1" applyBorder="1" applyAlignment="1">
      <alignment horizontal="center"/>
    </xf>
    <xf numFmtId="0" fontId="0" fillId="0" borderId="88" xfId="0" applyBorder="1"/>
    <xf numFmtId="168" fontId="16" fillId="0" borderId="45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46" xfId="0" applyFont="1" applyBorder="1" applyAlignment="1">
      <alignment horizontal="center"/>
    </xf>
    <xf numFmtId="2" fontId="86" fillId="0" borderId="36" xfId="0" applyNumberFormat="1" applyFont="1" applyBorder="1" applyAlignment="1">
      <alignment horizontal="left"/>
    </xf>
    <xf numFmtId="168" fontId="0" fillId="0" borderId="45" xfId="0" applyNumberFormat="1" applyBorder="1" applyAlignment="1">
      <alignment horizontal="right"/>
    </xf>
    <xf numFmtId="165" fontId="0" fillId="0" borderId="46" xfId="42" applyNumberFormat="1" applyFont="1" applyBorder="1" applyAlignment="1">
      <alignment horizontal="center"/>
    </xf>
    <xf numFmtId="165" fontId="1" fillId="0" borderId="46" xfId="42" applyNumberFormat="1" applyFont="1" applyBorder="1"/>
    <xf numFmtId="49" fontId="86" fillId="0" borderId="16" xfId="0" quotePrefix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1" fillId="0" borderId="91" xfId="0" applyFont="1" applyBorder="1"/>
    <xf numFmtId="169" fontId="0" fillId="38" borderId="0" xfId="0" applyNumberFormat="1" applyFill="1" applyAlignment="1">
      <alignment horizontal="center"/>
    </xf>
    <xf numFmtId="0" fontId="1" fillId="0" borderId="90" xfId="0" applyFont="1" applyBorder="1"/>
    <xf numFmtId="0" fontId="1" fillId="0" borderId="89" xfId="0" applyFont="1" applyBorder="1"/>
    <xf numFmtId="0" fontId="0" fillId="0" borderId="49" xfId="0" applyBorder="1" applyAlignment="1">
      <alignment horizontal="right"/>
    </xf>
    <xf numFmtId="169" fontId="1" fillId="0" borderId="49" xfId="0" applyNumberFormat="1" applyFont="1" applyBorder="1" applyAlignment="1">
      <alignment horizontal="center"/>
    </xf>
    <xf numFmtId="165" fontId="0" fillId="0" borderId="50" xfId="42" applyNumberFormat="1" applyFont="1" applyBorder="1" applyAlignment="1">
      <alignment horizontal="center"/>
    </xf>
    <xf numFmtId="0" fontId="1" fillId="0" borderId="22" xfId="0" applyFont="1" applyBorder="1"/>
    <xf numFmtId="0" fontId="0" fillId="0" borderId="22" xfId="0" applyBorder="1"/>
    <xf numFmtId="0" fontId="1" fillId="0" borderId="94" xfId="0" applyFont="1" applyBorder="1"/>
    <xf numFmtId="0" fontId="51" fillId="0" borderId="0" xfId="42" applyNumberFormat="1" applyFont="1" applyBorder="1" applyAlignment="1">
      <alignment horizont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56" fillId="0" borderId="95" xfId="0" applyFont="1" applyBorder="1" applyAlignment="1">
      <alignment vertical="center"/>
    </xf>
    <xf numFmtId="0" fontId="42" fillId="0" borderId="42" xfId="0" applyFont="1" applyBorder="1" applyAlignment="1">
      <alignment horizontal="right"/>
    </xf>
    <xf numFmtId="0" fontId="44" fillId="0" borderId="42" xfId="0" applyFont="1" applyBorder="1" applyAlignment="1">
      <alignment horizontal="center"/>
    </xf>
    <xf numFmtId="0" fontId="56" fillId="0" borderId="40" xfId="0" applyFont="1" applyBorder="1" applyAlignment="1">
      <alignment vertical="center"/>
    </xf>
    <xf numFmtId="0" fontId="80" fillId="0" borderId="0" xfId="0" applyFont="1" applyAlignment="1">
      <alignment horizontal="right"/>
    </xf>
    <xf numFmtId="0" fontId="64" fillId="33" borderId="0" xfId="0" applyFont="1" applyFill="1"/>
    <xf numFmtId="0" fontId="66" fillId="33" borderId="0" xfId="0" applyFont="1" applyFill="1"/>
    <xf numFmtId="18" fontId="66" fillId="33" borderId="0" xfId="0" applyNumberFormat="1" applyFont="1" applyFill="1"/>
    <xf numFmtId="49" fontId="66" fillId="0" borderId="0" xfId="0" applyNumberFormat="1" applyFont="1"/>
    <xf numFmtId="0" fontId="80" fillId="0" borderId="0" xfId="0" applyFont="1" applyAlignment="1">
      <alignment horizontal="center"/>
    </xf>
    <xf numFmtId="14" fontId="66" fillId="33" borderId="0" xfId="0" applyNumberFormat="1" applyFont="1" applyFill="1" applyAlignment="1">
      <alignment shrinkToFit="1"/>
    </xf>
    <xf numFmtId="18" fontId="66" fillId="0" borderId="49" xfId="0" applyNumberFormat="1" applyFont="1" applyBorder="1" applyAlignment="1">
      <alignment horizontal="left" shrinkToFit="1"/>
    </xf>
    <xf numFmtId="0" fontId="1" fillId="0" borderId="49" xfId="0" applyFont="1" applyBorder="1"/>
    <xf numFmtId="0" fontId="16" fillId="0" borderId="49" xfId="0" applyFont="1" applyBorder="1" applyAlignment="1">
      <alignment horizontal="right"/>
    </xf>
    <xf numFmtId="166" fontId="1" fillId="33" borderId="49" xfId="0" applyNumberFormat="1" applyFont="1" applyFill="1" applyBorder="1" applyAlignment="1">
      <alignment horizontal="center"/>
    </xf>
    <xf numFmtId="0" fontId="1" fillId="0" borderId="96" xfId="0" applyFont="1" applyBorder="1"/>
    <xf numFmtId="0" fontId="1" fillId="0" borderId="48" xfId="0" applyFont="1" applyBorder="1"/>
    <xf numFmtId="0" fontId="80" fillId="0" borderId="49" xfId="0" applyFont="1" applyBorder="1" applyAlignment="1">
      <alignment horizontal="right"/>
    </xf>
    <xf numFmtId="2" fontId="45" fillId="0" borderId="49" xfId="0" applyNumberFormat="1" applyFont="1" applyBorder="1" applyAlignment="1">
      <alignment horizontal="center"/>
    </xf>
    <xf numFmtId="2" fontId="46" fillId="0" borderId="49" xfId="0" applyNumberFormat="1" applyFont="1" applyBorder="1" applyAlignment="1">
      <alignment horizontal="center"/>
    </xf>
    <xf numFmtId="0" fontId="1" fillId="45" borderId="83" xfId="0" applyFont="1" applyFill="1" applyBorder="1"/>
    <xf numFmtId="0" fontId="1" fillId="45" borderId="36" xfId="0" applyFont="1" applyFill="1" applyBorder="1"/>
    <xf numFmtId="0" fontId="16" fillId="45" borderId="36" xfId="0" applyFont="1" applyFill="1" applyBorder="1" applyAlignment="1">
      <alignment horizontal="right"/>
    </xf>
    <xf numFmtId="2" fontId="54" fillId="33" borderId="68" xfId="0" applyNumberFormat="1" applyFont="1" applyFill="1" applyBorder="1" applyAlignment="1">
      <alignment horizontal="center"/>
    </xf>
    <xf numFmtId="0" fontId="86" fillId="0" borderId="36" xfId="0" quotePrefix="1" applyFont="1" applyBorder="1" applyAlignment="1">
      <alignment horizontal="left"/>
    </xf>
    <xf numFmtId="0" fontId="1" fillId="45" borderId="93" xfId="0" applyFont="1" applyFill="1" applyBorder="1"/>
    <xf numFmtId="0" fontId="1" fillId="45" borderId="22" xfId="0" applyFont="1" applyFill="1" applyBorder="1"/>
    <xf numFmtId="0" fontId="16" fillId="45" borderId="22" xfId="0" applyFont="1" applyFill="1" applyBorder="1" applyAlignment="1">
      <alignment horizontal="right"/>
    </xf>
    <xf numFmtId="171" fontId="54" fillId="33" borderId="37" xfId="0" applyNumberFormat="1" applyFont="1" applyFill="1" applyBorder="1" applyAlignment="1">
      <alignment horizontal="center"/>
    </xf>
    <xf numFmtId="2" fontId="86" fillId="0" borderId="22" xfId="0" quotePrefix="1" applyNumberFormat="1" applyFont="1" applyBorder="1" applyAlignment="1">
      <alignment horizontal="left"/>
    </xf>
    <xf numFmtId="2" fontId="54" fillId="33" borderId="37" xfId="0" applyNumberFormat="1" applyFont="1" applyFill="1" applyBorder="1" applyAlignment="1">
      <alignment horizontal="center"/>
    </xf>
    <xf numFmtId="165" fontId="54" fillId="33" borderId="37" xfId="42" applyNumberFormat="1" applyFont="1" applyFill="1" applyBorder="1" applyAlignment="1">
      <alignment horizontal="center"/>
    </xf>
    <xf numFmtId="164" fontId="54" fillId="33" borderId="37" xfId="0" applyNumberFormat="1" applyFont="1" applyFill="1" applyBorder="1" applyAlignment="1">
      <alignment horizontal="center"/>
    </xf>
    <xf numFmtId="2" fontId="54" fillId="33" borderId="97" xfId="0" applyNumberFormat="1" applyFont="1" applyFill="1" applyBorder="1" applyAlignment="1">
      <alignment horizontal="center"/>
    </xf>
    <xf numFmtId="2" fontId="86" fillId="0" borderId="85" xfId="0" quotePrefix="1" applyNumberFormat="1" applyFont="1" applyBorder="1" applyAlignment="1">
      <alignment horizontal="left"/>
    </xf>
    <xf numFmtId="0" fontId="1" fillId="0" borderId="98" xfId="0" applyFont="1" applyBorder="1"/>
    <xf numFmtId="2" fontId="86" fillId="0" borderId="16" xfId="0" quotePrefix="1" applyNumberFormat="1" applyFont="1" applyBorder="1" applyAlignment="1">
      <alignment horizontal="left"/>
    </xf>
    <xf numFmtId="0" fontId="39" fillId="45" borderId="83" xfId="0" applyFont="1" applyFill="1" applyBorder="1" applyAlignment="1">
      <alignment vertical="center" textRotation="90"/>
    </xf>
    <xf numFmtId="0" fontId="1" fillId="45" borderId="36" xfId="0" applyFont="1" applyFill="1" applyBorder="1" applyAlignment="1">
      <alignment horizontal="right"/>
    </xf>
    <xf numFmtId="2" fontId="53" fillId="33" borderId="68" xfId="0" applyNumberFormat="1" applyFont="1" applyFill="1" applyBorder="1" applyAlignment="1">
      <alignment horizontal="center"/>
    </xf>
    <xf numFmtId="49" fontId="86" fillId="0" borderId="36" xfId="0" quotePrefix="1" applyNumberFormat="1" applyFont="1" applyBorder="1" applyAlignment="1" applyProtection="1">
      <alignment horizontal="left"/>
      <protection locked="0"/>
    </xf>
    <xf numFmtId="49" fontId="86" fillId="0" borderId="29" xfId="0" quotePrefix="1" applyNumberFormat="1" applyFont="1" applyBorder="1" applyAlignment="1" applyProtection="1">
      <alignment horizontal="left"/>
      <protection locked="0"/>
    </xf>
    <xf numFmtId="0" fontId="39" fillId="0" borderId="93" xfId="0" applyFont="1" applyBorder="1" applyAlignment="1">
      <alignment vertical="center" textRotation="90"/>
    </xf>
    <xf numFmtId="0" fontId="1" fillId="0" borderId="36" xfId="0" applyFont="1" applyBorder="1" applyAlignment="1">
      <alignment horizontal="right"/>
    </xf>
    <xf numFmtId="165" fontId="53" fillId="33" borderId="68" xfId="42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6" fillId="0" borderId="22" xfId="0" applyFont="1" applyBorder="1" applyAlignment="1">
      <alignment horizontal="right"/>
    </xf>
    <xf numFmtId="2" fontId="1" fillId="33" borderId="37" xfId="0" applyNumberFormat="1" applyFont="1" applyFill="1" applyBorder="1" applyAlignment="1">
      <alignment horizontal="center"/>
    </xf>
    <xf numFmtId="2" fontId="1" fillId="33" borderId="92" xfId="42" applyNumberFormat="1" applyFont="1" applyFill="1" applyBorder="1" applyAlignment="1">
      <alignment horizontal="center"/>
    </xf>
    <xf numFmtId="2" fontId="86" fillId="0" borderId="27" xfId="0" quotePrefix="1" applyNumberFormat="1" applyFont="1" applyBorder="1" applyAlignment="1">
      <alignment horizontal="left"/>
    </xf>
    <xf numFmtId="0" fontId="0" fillId="0" borderId="27" xfId="0" applyBorder="1"/>
    <xf numFmtId="2" fontId="1" fillId="33" borderId="37" xfId="42" applyNumberFormat="1" applyFont="1" applyFill="1" applyBorder="1" applyAlignment="1">
      <alignment horizontal="center"/>
    </xf>
    <xf numFmtId="0" fontId="39" fillId="0" borderId="45" xfId="0" applyFont="1" applyBorder="1" applyAlignment="1">
      <alignment vertical="center" textRotation="90"/>
    </xf>
    <xf numFmtId="0" fontId="0" fillId="0" borderId="0" xfId="0" applyAlignment="1">
      <alignment vertical="center" textRotation="90"/>
    </xf>
    <xf numFmtId="0" fontId="39" fillId="0" borderId="77" xfId="0" applyFont="1" applyBorder="1" applyAlignment="1">
      <alignment vertical="center" textRotation="90" wrapText="1"/>
    </xf>
    <xf numFmtId="169" fontId="53" fillId="33" borderId="56" xfId="0" applyNumberFormat="1" applyFont="1" applyFill="1" applyBorder="1" applyAlignment="1">
      <alignment horizontal="center"/>
    </xf>
    <xf numFmtId="0" fontId="0" fillId="0" borderId="29" xfId="0" applyBorder="1"/>
    <xf numFmtId="0" fontId="1" fillId="0" borderId="93" xfId="0" applyFont="1" applyBorder="1"/>
    <xf numFmtId="49" fontId="86" fillId="0" borderId="72" xfId="0" quotePrefix="1" applyNumberFormat="1" applyFont="1" applyBorder="1" applyAlignment="1" applyProtection="1">
      <alignment horizontal="left"/>
      <protection locked="0"/>
    </xf>
    <xf numFmtId="0" fontId="1" fillId="45" borderId="82" xfId="0" applyFont="1" applyFill="1" applyBorder="1"/>
    <xf numFmtId="0" fontId="1" fillId="45" borderId="72" xfId="0" applyFont="1" applyFill="1" applyBorder="1"/>
    <xf numFmtId="0" fontId="16" fillId="45" borderId="72" xfId="0" applyFont="1" applyFill="1" applyBorder="1" applyAlignment="1">
      <alignment horizontal="right"/>
    </xf>
    <xf numFmtId="169" fontId="53" fillId="33" borderId="33" xfId="0" applyNumberFormat="1" applyFont="1" applyFill="1" applyBorder="1" applyAlignment="1">
      <alignment horizontal="center"/>
    </xf>
    <xf numFmtId="0" fontId="1" fillId="0" borderId="99" xfId="0" applyFont="1" applyBorder="1"/>
    <xf numFmtId="2" fontId="86" fillId="0" borderId="36" xfId="0" quotePrefix="1" applyNumberFormat="1" applyFont="1" applyBorder="1" applyAlignment="1">
      <alignment horizontal="left"/>
    </xf>
    <xf numFmtId="0" fontId="39" fillId="0" borderId="83" xfId="0" applyFont="1" applyBorder="1" applyAlignment="1">
      <alignment vertical="center" textRotation="90"/>
    </xf>
    <xf numFmtId="2" fontId="1" fillId="33" borderId="68" xfId="0" applyNumberFormat="1" applyFont="1" applyFill="1" applyBorder="1" applyAlignment="1">
      <alignment horizontal="center"/>
    </xf>
    <xf numFmtId="165" fontId="53" fillId="33" borderId="37" xfId="42" applyNumberFormat="1" applyFont="1" applyFill="1" applyBorder="1" applyAlignment="1">
      <alignment horizontal="center"/>
    </xf>
    <xf numFmtId="49" fontId="86" fillId="0" borderId="21" xfId="0" quotePrefix="1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>
      <alignment horizontal="right"/>
    </xf>
    <xf numFmtId="0" fontId="39" fillId="0" borderId="82" xfId="0" applyFont="1" applyBorder="1" applyAlignment="1">
      <alignment vertical="center" textRotation="90"/>
    </xf>
    <xf numFmtId="165" fontId="53" fillId="33" borderId="33" xfId="42" applyNumberFormat="1" applyFont="1" applyFill="1" applyBorder="1" applyAlignment="1">
      <alignment horizontal="center"/>
    </xf>
    <xf numFmtId="0" fontId="55" fillId="0" borderId="36" xfId="0" applyFont="1" applyBorder="1" applyAlignment="1">
      <alignment horizontal="right"/>
    </xf>
    <xf numFmtId="169" fontId="1" fillId="33" borderId="68" xfId="0" applyNumberFormat="1" applyFont="1" applyFill="1" applyBorder="1" applyAlignment="1">
      <alignment horizontal="center"/>
    </xf>
    <xf numFmtId="0" fontId="39" fillId="0" borderId="22" xfId="0" applyFont="1" applyBorder="1" applyAlignment="1">
      <alignment horizontal="right"/>
    </xf>
    <xf numFmtId="169" fontId="0" fillId="33" borderId="33" xfId="0" applyNumberFormat="1" applyFill="1" applyBorder="1" applyAlignment="1">
      <alignment horizontal="center"/>
    </xf>
    <xf numFmtId="0" fontId="39" fillId="0" borderId="58" xfId="0" applyFont="1" applyBorder="1" applyAlignment="1">
      <alignment vertical="center" textRotation="90"/>
    </xf>
    <xf numFmtId="2" fontId="1" fillId="33" borderId="68" xfId="42" applyNumberFormat="1" applyFont="1" applyFill="1" applyBorder="1" applyAlignment="1">
      <alignment horizontal="center"/>
    </xf>
    <xf numFmtId="2" fontId="86" fillId="0" borderId="29" xfId="0" quotePrefix="1" applyNumberFormat="1" applyFont="1" applyBorder="1" applyAlignment="1">
      <alignment horizontal="left"/>
    </xf>
    <xf numFmtId="0" fontId="39" fillId="0" borderId="77" xfId="0" applyFont="1" applyBorder="1" applyAlignment="1">
      <alignment vertical="center" textRotation="90"/>
    </xf>
    <xf numFmtId="2" fontId="1" fillId="33" borderId="56" xfId="0" applyNumberFormat="1" applyFont="1" applyFill="1" applyBorder="1" applyAlignment="1">
      <alignment horizontal="center"/>
    </xf>
    <xf numFmtId="2" fontId="14" fillId="0" borderId="91" xfId="0" applyNumberFormat="1" applyFont="1" applyBorder="1" applyAlignment="1" applyProtection="1">
      <alignment horizontal="center" shrinkToFit="1"/>
      <protection locked="0"/>
    </xf>
    <xf numFmtId="2" fontId="53" fillId="33" borderId="62" xfId="0" applyNumberFormat="1" applyFont="1" applyFill="1" applyBorder="1" applyAlignment="1">
      <alignment horizontal="center"/>
    </xf>
    <xf numFmtId="0" fontId="39" fillId="0" borderId="47" xfId="0" applyFont="1" applyBorder="1" applyAlignment="1">
      <alignment vertical="center" textRotation="90"/>
    </xf>
    <xf numFmtId="165" fontId="1" fillId="33" borderId="97" xfId="42" applyNumberFormat="1" applyFont="1" applyFill="1" applyBorder="1" applyAlignment="1">
      <alignment horizontal="center"/>
    </xf>
    <xf numFmtId="2" fontId="14" fillId="0" borderId="98" xfId="0" applyNumberFormat="1" applyFont="1" applyBorder="1" applyAlignment="1" applyProtection="1">
      <alignment horizontal="center" shrinkToFit="1"/>
      <protection locked="0"/>
    </xf>
    <xf numFmtId="0" fontId="39" fillId="0" borderId="100" xfId="0" applyFont="1" applyBorder="1" applyAlignment="1">
      <alignment vertical="center" textRotation="90"/>
    </xf>
    <xf numFmtId="0" fontId="39" fillId="0" borderId="36" xfId="0" applyFont="1" applyBorder="1" applyAlignment="1">
      <alignment horizontal="right"/>
    </xf>
    <xf numFmtId="171" fontId="53" fillId="33" borderId="62" xfId="0" applyNumberFormat="1" applyFont="1" applyFill="1" applyBorder="1" applyAlignment="1">
      <alignment horizontal="center"/>
    </xf>
    <xf numFmtId="2" fontId="86" fillId="0" borderId="101" xfId="0" quotePrefix="1" applyNumberFormat="1" applyFont="1" applyBorder="1" applyAlignment="1">
      <alignment horizontal="left"/>
    </xf>
    <xf numFmtId="0" fontId="1" fillId="0" borderId="101" xfId="0" applyFont="1" applyBorder="1"/>
    <xf numFmtId="0" fontId="16" fillId="0" borderId="101" xfId="0" applyFont="1" applyBorder="1" applyAlignment="1">
      <alignment horizontal="right"/>
    </xf>
    <xf numFmtId="2" fontId="1" fillId="33" borderId="102" xfId="0" applyNumberFormat="1" applyFont="1" applyFill="1" applyBorder="1" applyAlignment="1">
      <alignment horizontal="center"/>
    </xf>
    <xf numFmtId="0" fontId="1" fillId="0" borderId="103" xfId="0" applyFont="1" applyBorder="1"/>
    <xf numFmtId="165" fontId="1" fillId="33" borderId="68" xfId="42" applyNumberFormat="1" applyFont="1" applyFill="1" applyBorder="1" applyAlignment="1">
      <alignment horizontal="center"/>
    </xf>
    <xf numFmtId="165" fontId="1" fillId="33" borderId="37" xfId="42" applyNumberFormat="1" applyFont="1" applyFill="1" applyBorder="1" applyAlignment="1">
      <alignment horizontal="center"/>
    </xf>
    <xf numFmtId="0" fontId="39" fillId="38" borderId="93" xfId="0" applyFont="1" applyFill="1" applyBorder="1" applyAlignment="1">
      <alignment vertical="center" textRotation="90"/>
    </xf>
    <xf numFmtId="0" fontId="1" fillId="38" borderId="36" xfId="0" applyFont="1" applyFill="1" applyBorder="1"/>
    <xf numFmtId="0" fontId="16" fillId="38" borderId="36" xfId="0" applyFont="1" applyFill="1" applyBorder="1" applyAlignment="1">
      <alignment horizontal="right"/>
    </xf>
    <xf numFmtId="2" fontId="53" fillId="33" borderId="64" xfId="0" applyNumberFormat="1" applyFont="1" applyFill="1" applyBorder="1" applyAlignment="1">
      <alignment horizontal="center"/>
    </xf>
    <xf numFmtId="2" fontId="1" fillId="39" borderId="56" xfId="42" applyNumberFormat="1" applyFont="1" applyFill="1" applyBorder="1" applyAlignment="1">
      <alignment horizontal="center"/>
    </xf>
    <xf numFmtId="2" fontId="1" fillId="39" borderId="37" xfId="42" applyNumberFormat="1" applyFont="1" applyFill="1" applyBorder="1" applyAlignment="1">
      <alignment horizontal="center"/>
    </xf>
    <xf numFmtId="165" fontId="53" fillId="39" borderId="64" xfId="0" applyNumberFormat="1" applyFont="1" applyFill="1" applyBorder="1" applyAlignment="1">
      <alignment horizontal="center"/>
    </xf>
    <xf numFmtId="2" fontId="1" fillId="33" borderId="56" xfId="42" applyNumberFormat="1" applyFont="1" applyFill="1" applyBorder="1" applyAlignment="1">
      <alignment horizontal="center"/>
    </xf>
    <xf numFmtId="0" fontId="39" fillId="45" borderId="58" xfId="0" applyFont="1" applyFill="1" applyBorder="1" applyAlignment="1">
      <alignment vertical="center" textRotation="90"/>
    </xf>
    <xf numFmtId="0" fontId="1" fillId="45" borderId="16" xfId="0" applyFont="1" applyFill="1" applyBorder="1"/>
    <xf numFmtId="0" fontId="16" fillId="45" borderId="16" xfId="0" applyFont="1" applyFill="1" applyBorder="1" applyAlignment="1">
      <alignment horizontal="right"/>
    </xf>
    <xf numFmtId="165" fontId="53" fillId="33" borderId="64" xfId="0" applyNumberFormat="1" applyFont="1" applyFill="1" applyBorder="1" applyAlignment="1">
      <alignment horizontal="center"/>
    </xf>
    <xf numFmtId="0" fontId="39" fillId="45" borderId="93" xfId="0" applyFont="1" applyFill="1" applyBorder="1" applyAlignment="1">
      <alignment vertical="center" textRotation="90"/>
    </xf>
    <xf numFmtId="165" fontId="53" fillId="33" borderId="62" xfId="0" applyNumberFormat="1" applyFont="1" applyFill="1" applyBorder="1" applyAlignment="1">
      <alignment horizontal="center"/>
    </xf>
    <xf numFmtId="0" fontId="39" fillId="0" borderId="100" xfId="0" applyFont="1" applyBorder="1" applyAlignment="1">
      <alignment vertical="center" textRotation="90" wrapText="1"/>
    </xf>
    <xf numFmtId="0" fontId="0" fillId="0" borderId="101" xfId="0" applyBorder="1"/>
    <xf numFmtId="0" fontId="39" fillId="0" borderId="93" xfId="0" applyFont="1" applyBorder="1" applyAlignment="1">
      <alignment vertical="center" textRotation="90" wrapText="1"/>
    </xf>
    <xf numFmtId="0" fontId="1" fillId="38" borderId="0" xfId="0" applyFont="1" applyFill="1"/>
    <xf numFmtId="0" fontId="39" fillId="45" borderId="47" xfId="0" applyFont="1" applyFill="1" applyBorder="1" applyAlignment="1">
      <alignment vertical="center" textRotation="90" wrapText="1"/>
    </xf>
    <xf numFmtId="0" fontId="1" fillId="45" borderId="85" xfId="0" applyFont="1" applyFill="1" applyBorder="1"/>
    <xf numFmtId="0" fontId="16" fillId="45" borderId="85" xfId="0" applyFont="1" applyFill="1" applyBorder="1" applyAlignment="1">
      <alignment horizontal="right"/>
    </xf>
    <xf numFmtId="2" fontId="1" fillId="43" borderId="97" xfId="0" applyNumberFormat="1" applyFont="1" applyFill="1" applyBorder="1" applyAlignment="1">
      <alignment horizontal="center"/>
    </xf>
    <xf numFmtId="0" fontId="0" fillId="0" borderId="85" xfId="0" applyBorder="1"/>
    <xf numFmtId="0" fontId="16" fillId="0" borderId="100" xfId="0" applyFont="1" applyBorder="1" applyAlignment="1">
      <alignment horizontal="right"/>
    </xf>
    <xf numFmtId="2" fontId="1" fillId="38" borderId="102" xfId="0" applyNumberFormat="1" applyFont="1" applyFill="1" applyBorder="1" applyAlignment="1">
      <alignment horizontal="center"/>
    </xf>
    <xf numFmtId="0" fontId="39" fillId="45" borderId="84" xfId="0" applyFont="1" applyFill="1" applyBorder="1" applyAlignment="1">
      <alignment vertical="center" textRotation="90" wrapText="1"/>
    </xf>
    <xf numFmtId="0" fontId="16" fillId="45" borderId="84" xfId="0" applyFont="1" applyFill="1" applyBorder="1" applyAlignment="1">
      <alignment horizontal="right"/>
    </xf>
    <xf numFmtId="165" fontId="1" fillId="38" borderId="97" xfId="42" applyNumberFormat="1" applyFont="1" applyFill="1" applyBorder="1" applyAlignment="1">
      <alignment horizontal="center"/>
    </xf>
    <xf numFmtId="0" fontId="1" fillId="0" borderId="100" xfId="0" applyFont="1" applyBorder="1"/>
    <xf numFmtId="2" fontId="0" fillId="46" borderId="102" xfId="0" applyNumberFormat="1" applyFill="1" applyBorder="1" applyAlignment="1">
      <alignment horizontal="center"/>
    </xf>
    <xf numFmtId="0" fontId="86" fillId="0" borderId="101" xfId="0" quotePrefix="1" applyFont="1" applyBorder="1"/>
    <xf numFmtId="0" fontId="0" fillId="33" borderId="0" xfId="0" applyFill="1"/>
    <xf numFmtId="171" fontId="55" fillId="38" borderId="37" xfId="0" applyNumberFormat="1" applyFont="1" applyFill="1" applyBorder="1" applyAlignment="1">
      <alignment horizontal="center"/>
    </xf>
    <xf numFmtId="2" fontId="0" fillId="46" borderId="37" xfId="0" applyNumberFormat="1" applyFill="1" applyBorder="1" applyAlignment="1">
      <alignment horizontal="center"/>
    </xf>
    <xf numFmtId="2" fontId="0" fillId="39" borderId="37" xfId="0" applyNumberFormat="1" applyFill="1" applyBorder="1" applyAlignment="1">
      <alignment horizontal="center"/>
    </xf>
    <xf numFmtId="2" fontId="53" fillId="39" borderId="37" xfId="0" quotePrefix="1" applyNumberFormat="1" applyFont="1" applyFill="1" applyBorder="1" applyAlignment="1" applyProtection="1">
      <alignment horizontal="center" vertical="top" wrapText="1"/>
      <protection locked="0"/>
    </xf>
    <xf numFmtId="2" fontId="53" fillId="39" borderId="97" xfId="0" quotePrefix="1" applyNumberFormat="1" applyFont="1" applyFill="1" applyBorder="1" applyAlignment="1" applyProtection="1">
      <alignment horizontal="center" vertical="top" wrapText="1"/>
      <protection locked="0"/>
    </xf>
    <xf numFmtId="0" fontId="16" fillId="0" borderId="104" xfId="0" applyFont="1" applyBorder="1" applyAlignment="1">
      <alignment horizontal="right"/>
    </xf>
    <xf numFmtId="2" fontId="0" fillId="47" borderId="102" xfId="0" applyNumberFormat="1" applyFill="1" applyBorder="1" applyAlignment="1">
      <alignment horizontal="center"/>
    </xf>
    <xf numFmtId="0" fontId="16" fillId="0" borderId="23" xfId="0" applyFont="1" applyBorder="1" applyAlignment="1">
      <alignment horizontal="right"/>
    </xf>
    <xf numFmtId="2" fontId="0" fillId="47" borderId="37" xfId="0" applyNumberFormat="1" applyFill="1" applyBorder="1" applyAlignment="1">
      <alignment horizontal="center"/>
    </xf>
    <xf numFmtId="0" fontId="86" fillId="0" borderId="22" xfId="0" quotePrefix="1" applyFont="1" applyBorder="1"/>
    <xf numFmtId="0" fontId="16" fillId="0" borderId="66" xfId="0" applyFont="1" applyBorder="1" applyAlignment="1">
      <alignment horizontal="right"/>
    </xf>
    <xf numFmtId="165" fontId="0" fillId="47" borderId="33" xfId="42" applyNumberFormat="1" applyFont="1" applyFill="1" applyBorder="1" applyAlignment="1">
      <alignment horizontal="center"/>
    </xf>
    <xf numFmtId="0" fontId="86" fillId="0" borderId="72" xfId="0" quotePrefix="1" applyFont="1" applyBorder="1"/>
    <xf numFmtId="0" fontId="1" fillId="38" borderId="83" xfId="0" applyFont="1" applyFill="1" applyBorder="1"/>
    <xf numFmtId="0" fontId="16" fillId="38" borderId="26" xfId="0" applyFont="1" applyFill="1" applyBorder="1" applyAlignment="1">
      <alignment horizontal="right"/>
    </xf>
    <xf numFmtId="2" fontId="0" fillId="39" borderId="68" xfId="0" applyNumberFormat="1" applyFill="1" applyBorder="1" applyAlignment="1">
      <alignment horizontal="center"/>
    </xf>
    <xf numFmtId="0" fontId="86" fillId="0" borderId="36" xfId="0" quotePrefix="1" applyFont="1" applyBorder="1"/>
    <xf numFmtId="165" fontId="0" fillId="39" borderId="33" xfId="42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right"/>
    </xf>
    <xf numFmtId="2" fontId="0" fillId="47" borderId="68" xfId="0" applyNumberFormat="1" applyFill="1" applyBorder="1" applyAlignment="1">
      <alignment horizontal="center"/>
    </xf>
    <xf numFmtId="0" fontId="1" fillId="48" borderId="83" xfId="0" applyFont="1" applyFill="1" applyBorder="1"/>
    <xf numFmtId="0" fontId="1" fillId="48" borderId="36" xfId="0" applyFont="1" applyFill="1" applyBorder="1"/>
    <xf numFmtId="0" fontId="16" fillId="48" borderId="26" xfId="0" applyFont="1" applyFill="1" applyBorder="1" applyAlignment="1">
      <alignment horizontal="right"/>
    </xf>
    <xf numFmtId="2" fontId="0" fillId="33" borderId="68" xfId="0" applyNumberFormat="1" applyFill="1" applyBorder="1" applyAlignment="1">
      <alignment horizontal="center"/>
    </xf>
    <xf numFmtId="0" fontId="80" fillId="0" borderId="22" xfId="0" applyFont="1" applyBorder="1" applyAlignment="1">
      <alignment horizontal="right"/>
    </xf>
    <xf numFmtId="2" fontId="0" fillId="43" borderId="68" xfId="0" applyNumberFormat="1" applyFill="1" applyBorder="1" applyAlignment="1">
      <alignment horizontal="center"/>
    </xf>
    <xf numFmtId="0" fontId="86" fillId="0" borderId="78" xfId="0" quotePrefix="1" applyFont="1" applyBorder="1"/>
    <xf numFmtId="2" fontId="0" fillId="43" borderId="37" xfId="0" applyNumberFormat="1" applyFill="1" applyBorder="1" applyAlignment="1">
      <alignment horizontal="center"/>
    </xf>
    <xf numFmtId="0" fontId="80" fillId="0" borderId="27" xfId="0" applyFont="1" applyBorder="1" applyAlignment="1">
      <alignment horizontal="right"/>
    </xf>
    <xf numFmtId="2" fontId="0" fillId="43" borderId="33" xfId="0" applyNumberFormat="1" applyFill="1" applyBorder="1" applyAlignment="1">
      <alignment horizontal="center"/>
    </xf>
    <xf numFmtId="0" fontId="1" fillId="0" borderId="28" xfId="0" applyFont="1" applyBorder="1"/>
    <xf numFmtId="0" fontId="80" fillId="0" borderId="29" xfId="0" applyFont="1" applyBorder="1" applyAlignment="1">
      <alignment horizontal="right"/>
    </xf>
    <xf numFmtId="0" fontId="1" fillId="0" borderId="30" xfId="0" applyFont="1" applyBorder="1"/>
    <xf numFmtId="0" fontId="1" fillId="0" borderId="105" xfId="0" applyFont="1" applyBorder="1"/>
    <xf numFmtId="0" fontId="1" fillId="0" borderId="106" xfId="0" applyFont="1" applyBorder="1"/>
    <xf numFmtId="0" fontId="80" fillId="0" borderId="16" xfId="0" applyFont="1" applyBorder="1" applyAlignment="1">
      <alignment horizontal="right"/>
    </xf>
    <xf numFmtId="2" fontId="0" fillId="39" borderId="33" xfId="0" applyNumberFormat="1" applyFill="1" applyBorder="1" applyAlignment="1">
      <alignment horizontal="center"/>
    </xf>
    <xf numFmtId="165" fontId="0" fillId="43" borderId="68" xfId="42" applyNumberFormat="1" applyFont="1" applyFill="1" applyBorder="1" applyAlignment="1">
      <alignment horizontal="center"/>
    </xf>
    <xf numFmtId="165" fontId="0" fillId="39" borderId="64" xfId="42" applyNumberFormat="1" applyFont="1" applyFill="1" applyBorder="1" applyAlignment="1">
      <alignment horizontal="center"/>
    </xf>
    <xf numFmtId="0" fontId="86" fillId="0" borderId="16" xfId="0" quotePrefix="1" applyFont="1" applyBorder="1"/>
    <xf numFmtId="165" fontId="72" fillId="0" borderId="0" xfId="42" applyNumberFormat="1" applyFont="1" applyBorder="1" applyAlignment="1">
      <alignment horizontal="center"/>
    </xf>
    <xf numFmtId="2" fontId="55" fillId="0" borderId="0" xfId="42" applyNumberFormat="1" applyFont="1" applyBorder="1" applyAlignment="1">
      <alignment horizontal="center"/>
    </xf>
    <xf numFmtId="165" fontId="16" fillId="0" borderId="0" xfId="42" applyNumberFormat="1" applyFont="1" applyBorder="1" applyAlignment="1">
      <alignment horizontal="center"/>
    </xf>
    <xf numFmtId="2" fontId="1" fillId="0" borderId="0" xfId="0" applyNumberFormat="1" applyFont="1"/>
    <xf numFmtId="165" fontId="1" fillId="0" borderId="0" xfId="42" applyNumberFormat="1" applyFont="1"/>
    <xf numFmtId="0" fontId="31" fillId="0" borderId="0" xfId="0" applyFont="1" applyAlignment="1">
      <alignment horizontal="center"/>
    </xf>
    <xf numFmtId="166" fontId="54" fillId="0" borderId="0" xfId="0" applyNumberFormat="1" applyFont="1" applyAlignment="1">
      <alignment horizontal="center"/>
    </xf>
    <xf numFmtId="0" fontId="86" fillId="0" borderId="0" xfId="0" quotePrefix="1" applyFont="1" applyAlignment="1">
      <alignment horizontal="left"/>
    </xf>
    <xf numFmtId="2" fontId="86" fillId="0" borderId="0" xfId="0" quotePrefix="1" applyNumberFormat="1" applyFont="1" applyAlignment="1">
      <alignment horizontal="left"/>
    </xf>
    <xf numFmtId="0" fontId="104" fillId="0" borderId="0" xfId="0" applyFont="1" applyAlignment="1">
      <alignment horizontal="left" vertical="top"/>
    </xf>
    <xf numFmtId="0" fontId="39" fillId="0" borderId="0" xfId="0" applyFont="1" applyAlignment="1">
      <alignment horizontal="center"/>
    </xf>
    <xf numFmtId="164" fontId="105" fillId="0" borderId="0" xfId="0" applyNumberFormat="1" applyFont="1" applyAlignment="1">
      <alignment horizontal="left"/>
    </xf>
    <xf numFmtId="164" fontId="105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2" fontId="54" fillId="0" borderId="0" xfId="42" applyNumberFormat="1" applyFont="1" applyBorder="1" applyAlignment="1">
      <alignment horizontal="center"/>
    </xf>
    <xf numFmtId="0" fontId="106" fillId="0" borderId="0" xfId="0" applyFont="1" applyAlignment="1">
      <alignment horizontal="left"/>
    </xf>
    <xf numFmtId="0" fontId="107" fillId="0" borderId="0" xfId="0" applyFont="1" applyAlignment="1">
      <alignment horizontal="center"/>
    </xf>
    <xf numFmtId="0" fontId="60" fillId="0" borderId="0" xfId="0" applyFont="1" applyAlignment="1">
      <alignment horizontal="left" vertical="top" wrapText="1"/>
    </xf>
    <xf numFmtId="0" fontId="61" fillId="0" borderId="0" xfId="0" applyFont="1" applyAlignment="1">
      <alignment horizontal="center" shrinkToFit="1"/>
    </xf>
    <xf numFmtId="0" fontId="5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64" fontId="75" fillId="0" borderId="0" xfId="0" applyNumberFormat="1" applyFont="1" applyAlignment="1">
      <alignment horizontal="center"/>
    </xf>
    <xf numFmtId="0" fontId="60" fillId="0" borderId="0" xfId="0" applyFont="1"/>
    <xf numFmtId="0" fontId="14" fillId="0" borderId="0" xfId="0" applyFont="1" applyAlignment="1">
      <alignment horizontal="center"/>
    </xf>
    <xf numFmtId="0" fontId="61" fillId="0" borderId="0" xfId="42" applyNumberFormat="1" applyFont="1" applyBorder="1" applyAlignment="1">
      <alignment horizontal="center" vertical="top" wrapText="1"/>
    </xf>
    <xf numFmtId="0" fontId="86" fillId="0" borderId="0" xfId="0" applyFont="1"/>
    <xf numFmtId="0" fontId="30" fillId="0" borderId="0" xfId="0" applyFont="1" applyAlignment="1">
      <alignment shrinkToFit="1"/>
    </xf>
    <xf numFmtId="0" fontId="39" fillId="0" borderId="0" xfId="0" applyFont="1"/>
    <xf numFmtId="0" fontId="67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60" fillId="0" borderId="0" xfId="0" applyFont="1" applyAlignment="1">
      <alignment vertical="top" wrapText="1"/>
    </xf>
    <xf numFmtId="0" fontId="0" fillId="0" borderId="0" xfId="0" applyProtection="1">
      <protection locked="0"/>
    </xf>
    <xf numFmtId="169" fontId="30" fillId="0" borderId="0" xfId="0" applyNumberFormat="1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top"/>
    </xf>
    <xf numFmtId="0" fontId="30" fillId="0" borderId="0" xfId="0" applyFont="1" applyAlignment="1">
      <alignment horizontal="center"/>
    </xf>
    <xf numFmtId="0" fontId="51" fillId="0" borderId="0" xfId="0" quotePrefix="1" applyFont="1" applyAlignment="1">
      <alignment horizontal="center"/>
    </xf>
    <xf numFmtId="49" fontId="86" fillId="0" borderId="0" xfId="0" quotePrefix="1" applyNumberFormat="1" applyFont="1" applyAlignment="1" applyProtection="1">
      <alignment vertical="top" wrapText="1"/>
      <protection locked="0"/>
    </xf>
    <xf numFmtId="0" fontId="109" fillId="0" borderId="0" xfId="0" applyFont="1" applyAlignment="1">
      <alignment horizontal="center"/>
    </xf>
    <xf numFmtId="164" fontId="5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51" fillId="0" borderId="0" xfId="0" applyFont="1" applyAlignment="1">
      <alignment horizontal="center" shrinkToFit="1"/>
    </xf>
    <xf numFmtId="164" fontId="34" fillId="0" borderId="0" xfId="0" applyNumberFormat="1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165" fontId="35" fillId="0" borderId="0" xfId="42" applyNumberFormat="1" applyFont="1" applyBorder="1" applyAlignment="1" applyProtection="1">
      <alignment horizontal="center"/>
      <protection locked="0"/>
    </xf>
    <xf numFmtId="0" fontId="61" fillId="0" borderId="0" xfId="0" applyFont="1" applyAlignment="1">
      <alignment horizontal="center" vertical="top" wrapText="1"/>
    </xf>
    <xf numFmtId="47" fontId="53" fillId="0" borderId="0" xfId="0" applyNumberFormat="1" applyFont="1" applyAlignment="1">
      <alignment horizontal="right"/>
    </xf>
    <xf numFmtId="1" fontId="53" fillId="0" borderId="0" xfId="0" applyNumberFormat="1" applyFont="1" applyAlignment="1">
      <alignment horizontal="center"/>
    </xf>
    <xf numFmtId="0" fontId="58" fillId="0" borderId="0" xfId="0" applyFont="1" applyAlignment="1">
      <alignment horizontal="right"/>
    </xf>
    <xf numFmtId="0" fontId="110" fillId="0" borderId="0" xfId="0" applyFont="1"/>
    <xf numFmtId="49" fontId="46" fillId="0" borderId="0" xfId="0" applyNumberFormat="1" applyFont="1" applyAlignment="1">
      <alignment horizontal="left"/>
    </xf>
    <xf numFmtId="2" fontId="65" fillId="0" borderId="0" xfId="0" applyNumberFormat="1" applyFont="1" applyAlignment="1">
      <alignment horizontal="center"/>
    </xf>
    <xf numFmtId="0" fontId="66" fillId="0" borderId="0" xfId="0" applyFont="1" applyAlignment="1">
      <alignment horizontal="center"/>
    </xf>
    <xf numFmtId="0" fontId="111" fillId="0" borderId="0" xfId="0" applyFont="1" applyAlignment="1">
      <alignment horizontal="right"/>
    </xf>
    <xf numFmtId="18" fontId="69" fillId="0" borderId="0" xfId="0" applyNumberFormat="1" applyFont="1" applyAlignment="1">
      <alignment horizontal="center" vertical="top" shrinkToFit="1"/>
    </xf>
    <xf numFmtId="14" fontId="66" fillId="0" borderId="0" xfId="0" applyNumberFormat="1" applyFont="1" applyAlignment="1">
      <alignment vertical="top" shrinkToFit="1"/>
    </xf>
    <xf numFmtId="14" fontId="66" fillId="0" borderId="0" xfId="0" applyNumberFormat="1" applyFont="1" applyAlignment="1">
      <alignment horizontal="center" vertical="top" shrinkToFit="1"/>
    </xf>
    <xf numFmtId="166" fontId="45" fillId="0" borderId="0" xfId="0" applyNumberFormat="1" applyFont="1" applyAlignment="1">
      <alignment horizontal="center"/>
    </xf>
    <xf numFmtId="166" fontId="72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11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10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center" vertical="top"/>
    </xf>
    <xf numFmtId="0" fontId="62" fillId="0" borderId="0" xfId="0" applyFont="1" applyAlignment="1">
      <alignment horizontal="right"/>
    </xf>
    <xf numFmtId="171" fontId="5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0" fillId="0" borderId="0" xfId="0" applyNumberFormat="1" applyAlignment="1" applyProtection="1">
      <alignment shrinkToFit="1"/>
      <protection locked="0"/>
    </xf>
    <xf numFmtId="165" fontId="0" fillId="0" borderId="0" xfId="42" applyNumberFormat="1" applyFont="1" applyBorder="1" applyAlignment="1" applyProtection="1">
      <alignment shrinkToFit="1"/>
      <protection locked="0"/>
    </xf>
    <xf numFmtId="169" fontId="113" fillId="0" borderId="0" xfId="0" applyNumberFormat="1" applyFont="1" applyAlignment="1">
      <alignment horizontal="center"/>
    </xf>
    <xf numFmtId="169" fontId="59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0" fontId="0" fillId="0" borderId="13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left"/>
    </xf>
    <xf numFmtId="18" fontId="18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173" fontId="18" fillId="0" borderId="0" xfId="0" applyNumberFormat="1" applyFont="1" applyAlignment="1">
      <alignment horizontal="center"/>
    </xf>
    <xf numFmtId="164" fontId="18" fillId="0" borderId="0" xfId="0" quotePrefix="1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2" fontId="53" fillId="49" borderId="0" xfId="0" applyNumberFormat="1" applyFont="1" applyFill="1" applyAlignment="1">
      <alignment horizontal="center"/>
    </xf>
    <xf numFmtId="49" fontId="66" fillId="0" borderId="16" xfId="0" applyNumberFormat="1" applyFont="1" applyBorder="1"/>
    <xf numFmtId="0" fontId="0" fillId="36" borderId="0" xfId="0" applyFill="1" applyAlignment="1">
      <alignment horizontal="center"/>
    </xf>
    <xf numFmtId="2" fontId="14" fillId="33" borderId="0" xfId="0" applyNumberFormat="1" applyFont="1" applyFill="1" applyAlignment="1">
      <alignment horizontal="center"/>
    </xf>
    <xf numFmtId="0" fontId="16" fillId="0" borderId="45" xfId="0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53" fillId="0" borderId="46" xfId="0" applyNumberFormat="1" applyFont="1" applyBorder="1" applyAlignment="1">
      <alignment horizontal="center"/>
    </xf>
    <xf numFmtId="165" fontId="84" fillId="0" borderId="0" xfId="42" applyNumberFormat="1" applyFont="1" applyFill="1" applyBorder="1" applyAlignment="1">
      <alignment horizontal="center"/>
    </xf>
    <xf numFmtId="165" fontId="43" fillId="0" borderId="0" xfId="42" applyNumberFormat="1" applyFont="1" applyFill="1" applyBorder="1" applyAlignment="1">
      <alignment horizontal="center"/>
    </xf>
    <xf numFmtId="165" fontId="35" fillId="0" borderId="0" xfId="42" applyNumberFormat="1" applyFont="1" applyFill="1" applyBorder="1" applyAlignment="1">
      <alignment horizontal="center"/>
    </xf>
    <xf numFmtId="9" fontId="18" fillId="0" borderId="0" xfId="42" applyFont="1" applyFill="1" applyBorder="1" applyAlignment="1">
      <alignment vertical="top" wrapText="1"/>
    </xf>
    <xf numFmtId="0" fontId="51" fillId="0" borderId="0" xfId="42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87" fillId="0" borderId="0" xfId="0" applyFont="1"/>
    <xf numFmtId="0" fontId="66" fillId="0" borderId="0" xfId="0" applyFont="1" applyAlignment="1">
      <alignment horizontal="left"/>
    </xf>
    <xf numFmtId="18" fontId="66" fillId="0" borderId="0" xfId="0" applyNumberFormat="1" applyFont="1" applyAlignment="1">
      <alignment horizontal="left" shrinkToFit="1"/>
    </xf>
    <xf numFmtId="14" fontId="66" fillId="0" borderId="0" xfId="0" applyNumberFormat="1" applyFont="1" applyAlignment="1">
      <alignment shrinkToFit="1"/>
    </xf>
    <xf numFmtId="0" fontId="99" fillId="0" borderId="0" xfId="0" applyFont="1" applyAlignment="1">
      <alignment horizontal="right"/>
    </xf>
    <xf numFmtId="166" fontId="46" fillId="0" borderId="0" xfId="0" applyNumberFormat="1" applyFont="1" applyAlignment="1">
      <alignment horizontal="center"/>
    </xf>
    <xf numFmtId="2" fontId="62" fillId="0" borderId="0" xfId="0" applyNumberFormat="1" applyFont="1" applyAlignment="1">
      <alignment horizontal="right" vertical="center"/>
    </xf>
    <xf numFmtId="0" fontId="40" fillId="0" borderId="0" xfId="0" applyFont="1"/>
    <xf numFmtId="171" fontId="62" fillId="0" borderId="0" xfId="0" applyNumberFormat="1" applyFont="1" applyAlignment="1">
      <alignment horizontal="right" vertical="center"/>
    </xf>
    <xf numFmtId="164" fontId="86" fillId="0" borderId="0" xfId="0" applyNumberFormat="1" applyFont="1"/>
    <xf numFmtId="165" fontId="62" fillId="0" borderId="0" xfId="42" applyNumberFormat="1" applyFont="1" applyFill="1" applyBorder="1" applyAlignment="1">
      <alignment horizontal="right" vertical="center"/>
    </xf>
    <xf numFmtId="164" fontId="62" fillId="0" borderId="0" xfId="0" applyNumberFormat="1" applyFont="1" applyAlignment="1">
      <alignment horizontal="right" vertical="center"/>
    </xf>
    <xf numFmtId="1" fontId="55" fillId="0" borderId="0" xfId="0" applyNumberFormat="1" applyFont="1" applyAlignment="1">
      <alignment horizontal="center"/>
    </xf>
    <xf numFmtId="165" fontId="47" fillId="0" borderId="0" xfId="42" applyNumberFormat="1" applyFont="1" applyFill="1" applyBorder="1" applyAlignment="1">
      <alignment horizontal="left"/>
    </xf>
    <xf numFmtId="1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4" fontId="95" fillId="0" borderId="0" xfId="0" applyNumberFormat="1" applyFont="1" applyAlignment="1">
      <alignment horizontal="center"/>
    </xf>
    <xf numFmtId="0" fontId="61" fillId="0" borderId="0" xfId="0" applyFont="1"/>
    <xf numFmtId="0" fontId="41" fillId="0" borderId="0" xfId="0" applyFont="1" applyAlignment="1">
      <alignment horizontal="left"/>
    </xf>
    <xf numFmtId="0" fontId="8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60" fillId="0" borderId="0" xfId="0" applyFont="1" applyAlignment="1">
      <alignment vertical="center" wrapText="1"/>
    </xf>
    <xf numFmtId="164" fontId="100" fillId="0" borderId="0" xfId="0" applyNumberFormat="1" applyFont="1" applyAlignment="1">
      <alignment horizontal="center"/>
    </xf>
    <xf numFmtId="0" fontId="102" fillId="0" borderId="0" xfId="0" applyFont="1" applyAlignment="1">
      <alignment horizontal="center"/>
    </xf>
    <xf numFmtId="0" fontId="93" fillId="0" borderId="0" xfId="0" applyFont="1" applyAlignment="1">
      <alignment wrapText="1"/>
    </xf>
    <xf numFmtId="172" fontId="75" fillId="0" borderId="0" xfId="0" applyNumberFormat="1" applyFont="1" applyAlignment="1">
      <alignment horizontal="center"/>
    </xf>
    <xf numFmtId="47" fontId="55" fillId="0" borderId="0" xfId="0" applyNumberFormat="1" applyFont="1" applyAlignment="1">
      <alignment horizontal="right"/>
    </xf>
    <xf numFmtId="1" fontId="75" fillId="0" borderId="0" xfId="0" applyNumberFormat="1" applyFont="1" applyAlignment="1">
      <alignment horizontal="center"/>
    </xf>
    <xf numFmtId="0" fontId="87" fillId="0" borderId="0" xfId="0" applyFont="1" applyAlignment="1">
      <alignment horizontal="right"/>
    </xf>
    <xf numFmtId="170" fontId="1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68" fontId="1" fillId="0" borderId="0" xfId="0" applyNumberFormat="1" applyFont="1"/>
    <xf numFmtId="164" fontId="0" fillId="0" borderId="0" xfId="0" applyNumberFormat="1" applyAlignment="1">
      <alignment horizontal="center"/>
    </xf>
    <xf numFmtId="0" fontId="38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9" fontId="16" fillId="0" borderId="0" xfId="42" applyFont="1" applyFill="1" applyBorder="1" applyAlignment="1">
      <alignment horizontal="center"/>
    </xf>
    <xf numFmtId="0" fontId="26" fillId="0" borderId="37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34" borderId="68" xfId="0" applyFont="1" applyFill="1" applyBorder="1" applyAlignment="1">
      <alignment wrapText="1"/>
    </xf>
    <xf numFmtId="0" fontId="23" fillId="34" borderId="68" xfId="0" applyFont="1" applyFill="1" applyBorder="1" applyAlignment="1">
      <alignment horizontal="center" wrapText="1"/>
    </xf>
    <xf numFmtId="0" fontId="23" fillId="0" borderId="68" xfId="0" applyFont="1" applyBorder="1" applyAlignment="1">
      <alignment horizontal="center" wrapText="1"/>
    </xf>
    <xf numFmtId="0" fontId="24" fillId="34" borderId="37" xfId="0" applyFont="1" applyFill="1" applyBorder="1" applyAlignment="1">
      <alignment wrapText="1"/>
    </xf>
    <xf numFmtId="0" fontId="24" fillId="34" borderId="37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wrapText="1"/>
    </xf>
    <xf numFmtId="0" fontId="24" fillId="0" borderId="37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wrapText="1"/>
    </xf>
    <xf numFmtId="0" fontId="24" fillId="35" borderId="37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wrapText="1"/>
    </xf>
    <xf numFmtId="0" fontId="23" fillId="34" borderId="37" xfId="0" applyFont="1" applyFill="1" applyBorder="1" applyAlignment="1">
      <alignment wrapText="1"/>
    </xf>
    <xf numFmtId="0" fontId="23" fillId="34" borderId="37" xfId="0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3" fillId="0" borderId="37" xfId="0" applyFont="1" applyBorder="1" applyAlignment="1">
      <alignment wrapText="1"/>
    </xf>
    <xf numFmtId="0" fontId="23" fillId="0" borderId="37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115" fillId="34" borderId="37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115" fillId="34" borderId="55" xfId="0" applyFont="1" applyFill="1" applyBorder="1" applyAlignment="1">
      <alignment horizontal="center" vertical="center" shrinkToFit="1"/>
    </xf>
    <xf numFmtId="0" fontId="115" fillId="34" borderId="56" xfId="0" applyFont="1" applyFill="1" applyBorder="1" applyAlignment="1">
      <alignment horizontal="center" vertical="center" shrinkToFit="1"/>
    </xf>
    <xf numFmtId="0" fontId="115" fillId="34" borderId="57" xfId="0" applyFont="1" applyFill="1" applyBorder="1" applyAlignment="1">
      <alignment horizontal="center" vertical="center" shrinkToFit="1"/>
    </xf>
    <xf numFmtId="0" fontId="115" fillId="34" borderId="31" xfId="0" applyFont="1" applyFill="1" applyBorder="1" applyAlignment="1">
      <alignment horizontal="center" vertical="center" shrinkToFit="1"/>
    </xf>
    <xf numFmtId="0" fontId="115" fillId="34" borderId="32" xfId="0" applyFont="1" applyFill="1" applyBorder="1" applyAlignment="1">
      <alignment horizontal="center" vertical="center" shrinkToFit="1"/>
    </xf>
    <xf numFmtId="0" fontId="115" fillId="34" borderId="19" xfId="0" applyFont="1" applyFill="1" applyBorder="1" applyAlignment="1">
      <alignment horizontal="center" vertical="center" shrinkToFit="1"/>
    </xf>
    <xf numFmtId="0" fontId="115" fillId="34" borderId="33" xfId="0" applyFont="1" applyFill="1" applyBorder="1" applyAlignment="1">
      <alignment horizontal="center" vertical="center" shrinkToFit="1"/>
    </xf>
    <xf numFmtId="0" fontId="115" fillId="34" borderId="20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0" fillId="51" borderId="0" xfId="0" applyFill="1"/>
    <xf numFmtId="0" fontId="84" fillId="0" borderId="37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54" fillId="0" borderId="37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41" fillId="0" borderId="13" xfId="0" applyFont="1" applyBorder="1"/>
    <xf numFmtId="0" fontId="41" fillId="0" borderId="14" xfId="0" applyFont="1" applyBorder="1" applyAlignment="1">
      <alignment horizontal="center"/>
    </xf>
    <xf numFmtId="0" fontId="41" fillId="0" borderId="37" xfId="0" applyFont="1" applyBorder="1"/>
    <xf numFmtId="0" fontId="41" fillId="0" borderId="37" xfId="0" applyFont="1" applyBorder="1" applyAlignment="1">
      <alignment horizontal="center"/>
    </xf>
    <xf numFmtId="0" fontId="41" fillId="0" borderId="15" xfId="0" applyFont="1" applyBorder="1"/>
    <xf numFmtId="0" fontId="41" fillId="0" borderId="16" xfId="0" applyFont="1" applyBorder="1" applyAlignment="1">
      <alignment horizontal="center"/>
    </xf>
    <xf numFmtId="0" fontId="41" fillId="0" borderId="16" xfId="0" applyFont="1" applyBorder="1"/>
    <xf numFmtId="0" fontId="41" fillId="0" borderId="17" xfId="0" applyFont="1" applyBorder="1"/>
    <xf numFmtId="0" fontId="0" fillId="0" borderId="46" xfId="0" applyBorder="1"/>
    <xf numFmtId="169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117" fillId="33" borderId="109" xfId="0" applyFont="1" applyFill="1" applyBorder="1" applyAlignment="1">
      <alignment horizontal="center"/>
    </xf>
    <xf numFmtId="0" fontId="31" fillId="33" borderId="0" xfId="0" applyFont="1" applyFill="1"/>
    <xf numFmtId="49" fontId="66" fillId="33" borderId="0" xfId="0" applyNumberFormat="1" applyFont="1" applyFill="1"/>
    <xf numFmtId="0" fontId="18" fillId="0" borderId="0" xfId="0" applyFont="1" applyAlignment="1">
      <alignment vertical="top"/>
    </xf>
    <xf numFmtId="0" fontId="0" fillId="33" borderId="0" xfId="0" applyFill="1" applyAlignment="1">
      <alignment horizontal="center"/>
    </xf>
    <xf numFmtId="0" fontId="0" fillId="0" borderId="12" xfId="0" applyBorder="1"/>
    <xf numFmtId="0" fontId="114" fillId="0" borderId="28" xfId="0" applyFont="1" applyBorder="1" applyAlignment="1">
      <alignment horizontal="center" wrapText="1"/>
    </xf>
    <xf numFmtId="0" fontId="114" fillId="0" borderId="29" xfId="0" applyFont="1" applyBorder="1" applyAlignment="1">
      <alignment horizontal="center" wrapText="1"/>
    </xf>
    <xf numFmtId="0" fontId="114" fillId="0" borderId="30" xfId="0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0" borderId="108" xfId="0" applyFill="1" applyBorder="1" applyAlignment="1">
      <alignment horizontal="center"/>
    </xf>
    <xf numFmtId="0" fontId="0" fillId="50" borderId="75" xfId="0" applyFill="1" applyBorder="1" applyAlignment="1">
      <alignment horizontal="center"/>
    </xf>
    <xf numFmtId="0" fontId="0" fillId="50" borderId="10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1" borderId="10" xfId="0" applyFill="1" applyBorder="1" applyAlignment="1">
      <alignment horizontal="center"/>
    </xf>
    <xf numFmtId="0" fontId="0" fillId="51" borderId="11" xfId="0" applyFill="1" applyBorder="1" applyAlignment="1">
      <alignment horizontal="center"/>
    </xf>
    <xf numFmtId="0" fontId="0" fillId="51" borderId="12" xfId="0" applyFill="1" applyBorder="1" applyAlignment="1">
      <alignment horizontal="center"/>
    </xf>
    <xf numFmtId="0" fontId="0" fillId="50" borderId="0" xfId="0" applyFill="1" applyAlignment="1">
      <alignment horizontal="center"/>
    </xf>
    <xf numFmtId="0" fontId="0" fillId="0" borderId="92" xfId="0" applyBorder="1" applyAlignment="1">
      <alignment horizontal="center"/>
    </xf>
    <xf numFmtId="0" fontId="0" fillId="33" borderId="108" xfId="0" applyFill="1" applyBorder="1" applyAlignment="1">
      <alignment horizontal="center"/>
    </xf>
    <xf numFmtId="0" fontId="0" fillId="33" borderId="75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07" xfId="0" applyFill="1" applyBorder="1" applyAlignment="1">
      <alignment horizontal="center"/>
    </xf>
    <xf numFmtId="0" fontId="20" fillId="0" borderId="13" xfId="0" applyFont="1" applyBorder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169" fontId="31" fillId="0" borderId="45" xfId="0" applyNumberFormat="1" applyFont="1" applyBorder="1" applyAlignment="1">
      <alignment horizontal="center"/>
    </xf>
    <xf numFmtId="169" fontId="31" fillId="0" borderId="0" xfId="0" applyNumberFormat="1" applyFont="1" applyAlignment="1">
      <alignment horizontal="center"/>
    </xf>
    <xf numFmtId="169" fontId="31" fillId="0" borderId="46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33" borderId="0" xfId="0" applyFill="1" applyAlignment="1">
      <alignment horizontal="center"/>
    </xf>
    <xf numFmtId="0" fontId="31" fillId="33" borderId="0" xfId="0" applyFont="1" applyFill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8" fontId="69" fillId="0" borderId="0" xfId="0" applyNumberFormat="1" applyFont="1" applyAlignment="1">
      <alignment horizontal="center" vertical="top" shrinkToFit="1"/>
    </xf>
    <xf numFmtId="0" fontId="4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right" shrinkToFit="1"/>
    </xf>
    <xf numFmtId="0" fontId="62" fillId="0" borderId="0" xfId="0" applyFont="1" applyAlignment="1">
      <alignment horizontal="right" shrinkToFit="1"/>
    </xf>
    <xf numFmtId="0" fontId="56" fillId="0" borderId="38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51" xfId="0" applyFont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1" fillId="0" borderId="51" xfId="0" applyFont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0" fillId="47" borderId="0" xfId="0" applyFill="1" applyAlignment="1">
      <alignment horizontal="center" textRotation="90" wrapText="1"/>
    </xf>
    <xf numFmtId="0" fontId="0" fillId="38" borderId="0" xfId="0" applyFill="1" applyAlignment="1">
      <alignment horizontal="center" textRotation="90" wrapText="1"/>
    </xf>
    <xf numFmtId="0" fontId="0" fillId="33" borderId="0" xfId="0" applyFill="1" applyAlignment="1">
      <alignment horizontal="center" textRotation="90" wrapText="1"/>
    </xf>
    <xf numFmtId="0" fontId="16" fillId="0" borderId="0" xfId="0" applyFont="1" applyAlignment="1">
      <alignment horizontal="center" textRotation="90" wrapText="1"/>
    </xf>
    <xf numFmtId="0" fontId="0" fillId="52" borderId="0" xfId="0" applyFill="1" applyAlignment="1">
      <alignment horizontal="center" textRotation="90" wrapText="1"/>
    </xf>
    <xf numFmtId="0" fontId="16" fillId="43" borderId="0" xfId="0" applyFont="1" applyFill="1" applyAlignment="1">
      <alignment horizontal="center" textRotation="90" wrapText="1"/>
    </xf>
    <xf numFmtId="0" fontId="0" fillId="43" borderId="0" xfId="0" applyFill="1" applyAlignment="1">
      <alignment horizontal="center" textRotation="90" wrapText="1"/>
    </xf>
    <xf numFmtId="0" fontId="0" fillId="39" borderId="0" xfId="0" applyFill="1" applyAlignment="1">
      <alignment horizontal="center" textRotation="90" wrapText="1"/>
    </xf>
    <xf numFmtId="0" fontId="0" fillId="41" borderId="0" xfId="0" applyFill="1" applyAlignment="1">
      <alignment horizontal="center" textRotation="90" wrapText="1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 wrapText="1"/>
    </xf>
    <xf numFmtId="0" fontId="1" fillId="47" borderId="0" xfId="0" applyFont="1" applyFill="1" applyAlignment="1">
      <alignment horizontal="center" textRotation="90" wrapText="1"/>
    </xf>
    <xf numFmtId="0" fontId="1" fillId="38" borderId="0" xfId="0" applyFont="1" applyFill="1" applyAlignment="1">
      <alignment horizontal="center" textRotation="90" wrapText="1"/>
    </xf>
    <xf numFmtId="0" fontId="1" fillId="33" borderId="0" xfId="0" applyFont="1" applyFill="1" applyAlignment="1">
      <alignment horizontal="center" textRotation="90" wrapText="1"/>
    </xf>
    <xf numFmtId="0" fontId="1" fillId="52" borderId="0" xfId="0" applyFont="1" applyFill="1" applyAlignment="1">
      <alignment horizontal="center" textRotation="90" wrapText="1"/>
    </xf>
    <xf numFmtId="0" fontId="1" fillId="43" borderId="0" xfId="0" applyFont="1" applyFill="1" applyAlignment="1">
      <alignment horizontal="center" textRotation="90" wrapText="1"/>
    </xf>
    <xf numFmtId="0" fontId="1" fillId="39" borderId="0" xfId="0" applyFont="1" applyFill="1" applyAlignment="1">
      <alignment horizontal="center" textRotation="90" wrapText="1"/>
    </xf>
    <xf numFmtId="0" fontId="1" fillId="41" borderId="0" xfId="0" applyFont="1" applyFill="1" applyAlignment="1">
      <alignment horizontal="center" textRotation="90" wrapText="1"/>
    </xf>
    <xf numFmtId="0" fontId="0" fillId="45" borderId="108" xfId="0" applyFill="1" applyBorder="1" applyAlignment="1">
      <alignment horizontal="center"/>
    </xf>
    <xf numFmtId="0" fontId="1" fillId="45" borderId="75" xfId="0" applyFont="1" applyFill="1" applyBorder="1" applyAlignment="1">
      <alignment horizontal="center"/>
    </xf>
    <xf numFmtId="0" fontId="1" fillId="45" borderId="107" xfId="0" applyFont="1" applyFill="1" applyBorder="1" applyAlignment="1">
      <alignment horizontal="center"/>
    </xf>
    <xf numFmtId="0" fontId="1" fillId="47" borderId="0" xfId="0" applyFont="1" applyFill="1"/>
    <xf numFmtId="0" fontId="16" fillId="0" borderId="0" xfId="0" quotePrefix="1" applyFont="1" applyAlignment="1">
      <alignment horizontal="center"/>
    </xf>
    <xf numFmtId="0" fontId="16" fillId="47" borderId="0" xfId="0" quotePrefix="1" applyFont="1" applyFill="1" applyAlignment="1">
      <alignment horizontal="center"/>
    </xf>
    <xf numFmtId="0" fontId="16" fillId="33" borderId="0" xfId="0" applyFont="1" applyFill="1"/>
    <xf numFmtId="0" fontId="1" fillId="47" borderId="0" xfId="0" applyFont="1" applyFill="1" applyAlignment="1">
      <alignment horizontal="center"/>
    </xf>
    <xf numFmtId="0" fontId="53" fillId="47" borderId="0" xfId="0" applyFont="1" applyFill="1"/>
    <xf numFmtId="165" fontId="0" fillId="0" borderId="0" xfId="42" applyNumberFormat="1" applyFont="1"/>
    <xf numFmtId="0" fontId="13" fillId="53" borderId="110" xfId="0" applyFont="1" applyFill="1" applyBorder="1"/>
    <xf numFmtId="0" fontId="13" fillId="53" borderId="111" xfId="0" applyFont="1" applyFill="1" applyBorder="1"/>
    <xf numFmtId="0" fontId="13" fillId="53" borderId="111" xfId="0" applyFont="1" applyFill="1" applyBorder="1" applyAlignment="1">
      <alignment horizontal="center"/>
    </xf>
    <xf numFmtId="14" fontId="49" fillId="0" borderId="0" xfId="0" applyNumberFormat="1" applyFont="1" applyAlignment="1">
      <alignment horizontal="center"/>
    </xf>
    <xf numFmtId="0" fontId="118" fillId="43" borderId="10" xfId="43" applyFont="1" applyFill="1" applyBorder="1" applyAlignment="1">
      <alignment horizontal="center" vertical="center"/>
    </xf>
    <xf numFmtId="166" fontId="19" fillId="43" borderId="11" xfId="43" applyNumberFormat="1" applyFill="1" applyBorder="1" applyAlignment="1">
      <alignment horizontal="center" vertical="center"/>
    </xf>
    <xf numFmtId="166" fontId="19" fillId="0" borderId="11" xfId="43" applyNumberFormat="1" applyBorder="1" applyAlignment="1">
      <alignment horizontal="center" vertical="center"/>
    </xf>
    <xf numFmtId="2" fontId="118" fillId="0" borderId="0" xfId="43" applyNumberFormat="1" applyFont="1" applyAlignment="1">
      <alignment horizontal="center" vertical="center"/>
    </xf>
    <xf numFmtId="171" fontId="19" fillId="0" borderId="0" xfId="43" applyNumberFormat="1" applyAlignment="1">
      <alignment horizontal="center" vertical="center"/>
    </xf>
    <xf numFmtId="2" fontId="19" fillId="0" borderId="0" xfId="43" applyNumberFormat="1" applyAlignment="1">
      <alignment horizontal="center" vertical="center"/>
    </xf>
    <xf numFmtId="165" fontId="118" fillId="33" borderId="11" xfId="42" applyNumberFormat="1" applyFont="1" applyFill="1" applyBorder="1" applyAlignment="1">
      <alignment horizontal="center" vertical="center"/>
    </xf>
    <xf numFmtId="164" fontId="118" fillId="0" borderId="14" xfId="43" applyNumberFormat="1" applyFont="1" applyBorder="1" applyAlignment="1">
      <alignment horizontal="center" vertical="center"/>
    </xf>
    <xf numFmtId="2" fontId="118" fillId="0" borderId="14" xfId="43" applyNumberFormat="1" applyFont="1" applyBorder="1" applyAlignment="1">
      <alignment horizontal="center" vertical="center"/>
    </xf>
    <xf numFmtId="2" fontId="118" fillId="0" borderId="13" xfId="43" applyNumberFormat="1" applyFont="1" applyBorder="1" applyAlignment="1">
      <alignment horizontal="center" vertical="center"/>
    </xf>
    <xf numFmtId="2" fontId="118" fillId="47" borderId="13" xfId="43" applyNumberFormat="1" applyFont="1" applyFill="1" applyBorder="1" applyAlignment="1">
      <alignment horizontal="center" vertical="center"/>
    </xf>
    <xf numFmtId="165" fontId="118" fillId="0" borderId="0" xfId="42" applyNumberFormat="1" applyFont="1" applyFill="1" applyAlignment="1">
      <alignment horizontal="center" vertical="center"/>
    </xf>
    <xf numFmtId="0" fontId="118" fillId="0" borderId="0" xfId="42" applyNumberFormat="1" applyFont="1" applyFill="1" applyAlignment="1">
      <alignment horizontal="center" vertical="center"/>
    </xf>
    <xf numFmtId="169" fontId="118" fillId="0" borderId="0" xfId="42" applyNumberFormat="1" applyFont="1" applyFill="1" applyAlignment="1">
      <alignment horizontal="center" vertical="center"/>
    </xf>
    <xf numFmtId="165" fontId="19" fillId="0" borderId="11" xfId="42" applyNumberFormat="1" applyFont="1" applyFill="1" applyBorder="1" applyAlignment="1">
      <alignment horizontal="center" vertical="center"/>
    </xf>
    <xf numFmtId="2" fontId="119" fillId="0" borderId="0" xfId="43" applyNumberFormat="1" applyFont="1" applyAlignment="1">
      <alignment horizontal="center" vertical="center"/>
    </xf>
    <xf numFmtId="2" fontId="19" fillId="0" borderId="0" xfId="42" applyNumberFormat="1" applyFont="1" applyFill="1" applyAlignment="1">
      <alignment horizontal="center" vertical="center"/>
    </xf>
    <xf numFmtId="165" fontId="19" fillId="0" borderId="0" xfId="42" applyNumberFormat="1" applyFont="1" applyFill="1" applyAlignment="1">
      <alignment horizontal="center" vertical="center"/>
    </xf>
    <xf numFmtId="2" fontId="19" fillId="0" borderId="13" xfId="42" applyNumberFormat="1" applyFont="1" applyFill="1" applyBorder="1" applyAlignment="1">
      <alignment horizontal="center" vertical="center"/>
    </xf>
    <xf numFmtId="165" fontId="19" fillId="0" borderId="13" xfId="42" applyNumberFormat="1" applyFont="1" applyFill="1" applyBorder="1" applyAlignment="1">
      <alignment horizontal="center" vertical="center"/>
    </xf>
    <xf numFmtId="169" fontId="19" fillId="0" borderId="13" xfId="42" applyNumberFormat="1" applyFont="1" applyFill="1" applyBorder="1" applyAlignment="1">
      <alignment horizontal="center" vertical="center"/>
    </xf>
    <xf numFmtId="2" fontId="19" fillId="0" borderId="13" xfId="43" applyNumberFormat="1" applyBorder="1" applyAlignment="1">
      <alignment horizontal="center" vertical="center"/>
    </xf>
    <xf numFmtId="2" fontId="0" fillId="0" borderId="13" xfId="42" applyNumberFormat="1" applyFont="1" applyFill="1" applyBorder="1" applyAlignment="1">
      <alignment horizontal="center" vertical="center"/>
    </xf>
    <xf numFmtId="165" fontId="0" fillId="0" borderId="13" xfId="42" applyNumberFormat="1" applyFont="1" applyFill="1" applyBorder="1" applyAlignment="1">
      <alignment horizontal="center" vertical="center"/>
    </xf>
    <xf numFmtId="2" fontId="0" fillId="0" borderId="13" xfId="43" applyNumberFormat="1" applyFont="1" applyBorder="1" applyAlignment="1">
      <alignment horizontal="center" vertical="center"/>
    </xf>
    <xf numFmtId="165" fontId="53" fillId="0" borderId="11" xfId="42" applyNumberFormat="1" applyFont="1" applyFill="1" applyBorder="1" applyAlignment="1">
      <alignment horizontal="center" vertical="center"/>
    </xf>
    <xf numFmtId="2" fontId="53" fillId="0" borderId="0" xfId="43" applyNumberFormat="1" applyFont="1" applyAlignment="1">
      <alignment horizontal="center"/>
    </xf>
    <xf numFmtId="2" fontId="53" fillId="0" borderId="11" xfId="42" applyNumberFormat="1" applyFont="1" applyFill="1" applyBorder="1" applyAlignment="1">
      <alignment horizontal="center"/>
    </xf>
    <xf numFmtId="2" fontId="53" fillId="0" borderId="14" xfId="43" applyNumberFormat="1" applyFont="1" applyBorder="1" applyAlignment="1">
      <alignment horizontal="center" vertical="center"/>
    </xf>
    <xf numFmtId="165" fontId="53" fillId="0" borderId="14" xfId="42" applyNumberFormat="1" applyFont="1" applyFill="1" applyBorder="1" applyAlignment="1">
      <alignment horizontal="center"/>
    </xf>
    <xf numFmtId="2" fontId="53" fillId="0" borderId="14" xfId="43" applyNumberFormat="1" applyFont="1" applyBorder="1" applyAlignment="1">
      <alignment horizontal="center"/>
    </xf>
    <xf numFmtId="165" fontId="53" fillId="0" borderId="14" xfId="42" applyNumberFormat="1" applyFont="1" applyFill="1" applyBorder="1" applyAlignment="1">
      <alignment horizontal="center" vertical="center"/>
    </xf>
    <xf numFmtId="2" fontId="53" fillId="0" borderId="53" xfId="43" quotePrefix="1" applyNumberFormat="1" applyFont="1" applyBorder="1" applyAlignment="1">
      <alignment horizontal="center" vertical="center"/>
    </xf>
    <xf numFmtId="2" fontId="0" fillId="0" borderId="53" xfId="42" quotePrefix="1" applyNumberFormat="1" applyFont="1" applyFill="1" applyBorder="1" applyAlignment="1">
      <alignment horizontal="center" vertical="center"/>
    </xf>
    <xf numFmtId="2" fontId="0" fillId="0" borderId="53" xfId="43" applyNumberFormat="1" applyFont="1" applyBorder="1" applyAlignment="1">
      <alignment horizontal="center" vertical="center"/>
    </xf>
    <xf numFmtId="165" fontId="0" fillId="0" borderId="53" xfId="42" applyNumberFormat="1" applyFont="1" applyFill="1" applyBorder="1" applyAlignment="1">
      <alignment horizontal="center" vertical="center"/>
    </xf>
    <xf numFmtId="171" fontId="118" fillId="0" borderId="0" xfId="43" applyNumberFormat="1" applyFont="1" applyAlignment="1">
      <alignment horizontal="center" vertical="center"/>
    </xf>
    <xf numFmtId="165" fontId="1" fillId="0" borderId="0" xfId="42" applyNumberFormat="1" applyFont="1" applyAlignment="1">
      <alignment horizontal="center"/>
    </xf>
    <xf numFmtId="165" fontId="0" fillId="0" borderId="0" xfId="42" applyNumberFormat="1" applyFont="1" applyAlignment="1">
      <alignment horizontal="center"/>
    </xf>
    <xf numFmtId="2" fontId="0" fillId="0" borderId="53" xfId="43" applyNumberFormat="1" applyFont="1" applyBorder="1" applyAlignment="1">
      <alignment horizontal="left" vertical="center"/>
    </xf>
    <xf numFmtId="0" fontId="118" fillId="0" borderId="13" xfId="43" applyFont="1" applyBorder="1" applyAlignment="1">
      <alignment horizontal="center" vertical="center"/>
    </xf>
    <xf numFmtId="165" fontId="118" fillId="0" borderId="0" xfId="42" applyNumberFormat="1" applyFont="1" applyAlignment="1">
      <alignment horizontal="center" vertical="center"/>
    </xf>
    <xf numFmtId="165" fontId="53" fillId="0" borderId="0" xfId="42" applyNumberFormat="1" applyFont="1" applyFill="1" applyAlignment="1">
      <alignment horizontal="center" vertical="center"/>
    </xf>
    <xf numFmtId="2" fontId="53" fillId="0" borderId="0" xfId="42" applyNumberFormat="1" applyFont="1" applyFill="1" applyAlignment="1">
      <alignment horizontal="center"/>
    </xf>
    <xf numFmtId="2" fontId="0" fillId="0" borderId="53" xfId="42" applyNumberFormat="1" applyFont="1" applyFill="1" applyBorder="1" applyAlignment="1">
      <alignment horizontal="center" vertical="center"/>
    </xf>
    <xf numFmtId="0" fontId="118" fillId="33" borderId="13" xfId="43" applyFont="1" applyFill="1" applyBorder="1" applyAlignment="1">
      <alignment horizontal="center" vertical="center"/>
    </xf>
    <xf numFmtId="166" fontId="19" fillId="33" borderId="0" xfId="43" applyNumberFormat="1" applyFill="1" applyAlignment="1">
      <alignment horizontal="center" vertical="center"/>
    </xf>
    <xf numFmtId="165" fontId="118" fillId="33" borderId="0" xfId="42" applyNumberFormat="1" applyFont="1" applyFill="1" applyAlignment="1">
      <alignment horizontal="center" vertical="center"/>
    </xf>
    <xf numFmtId="0" fontId="118" fillId="43" borderId="13" xfId="43" applyFont="1" applyFill="1" applyBorder="1" applyAlignment="1">
      <alignment horizontal="center" vertical="center"/>
    </xf>
    <xf numFmtId="2" fontId="118" fillId="0" borderId="13" xfId="43" quotePrefix="1" applyNumberFormat="1" applyFont="1" applyBorder="1" applyAlignment="1">
      <alignment horizontal="center" vertical="center"/>
    </xf>
    <xf numFmtId="2" fontId="19" fillId="0" borderId="0" xfId="43" quotePrefix="1" applyNumberFormat="1" applyAlignment="1">
      <alignment horizontal="center" vertical="center"/>
    </xf>
    <xf numFmtId="165" fontId="19" fillId="0" borderId="0" xfId="42" quotePrefix="1" applyNumberFormat="1" applyFont="1" applyFill="1" applyAlignment="1">
      <alignment horizontal="center" vertical="center"/>
    </xf>
    <xf numFmtId="2" fontId="119" fillId="0" borderId="0" xfId="43" quotePrefix="1" applyNumberFormat="1" applyFont="1" applyAlignment="1">
      <alignment horizontal="center" vertical="center"/>
    </xf>
    <xf numFmtId="2" fontId="19" fillId="0" borderId="13" xfId="42" quotePrefix="1" applyNumberFormat="1" applyFont="1" applyFill="1" applyBorder="1" applyAlignment="1">
      <alignment horizontal="center" vertical="center"/>
    </xf>
    <xf numFmtId="165" fontId="19" fillId="0" borderId="13" xfId="42" quotePrefix="1" applyNumberFormat="1" applyFont="1" applyFill="1" applyBorder="1" applyAlignment="1">
      <alignment horizontal="center" vertical="center"/>
    </xf>
    <xf numFmtId="2" fontId="19" fillId="0" borderId="13" xfId="43" quotePrefix="1" applyNumberFormat="1" applyBorder="1" applyAlignment="1">
      <alignment horizontal="center" vertical="center"/>
    </xf>
    <xf numFmtId="2" fontId="0" fillId="0" borderId="13" xfId="43" quotePrefix="1" applyNumberFormat="1" applyFont="1" applyBorder="1" applyAlignment="1">
      <alignment horizontal="center" vertical="center"/>
    </xf>
    <xf numFmtId="165" fontId="53" fillId="0" borderId="0" xfId="42" quotePrefix="1" applyNumberFormat="1" applyFont="1" applyFill="1" applyAlignment="1">
      <alignment horizontal="center" vertical="center"/>
    </xf>
    <xf numFmtId="2" fontId="53" fillId="0" borderId="14" xfId="43" quotePrefix="1" applyNumberFormat="1" applyFont="1" applyBorder="1" applyAlignment="1">
      <alignment horizontal="center" vertical="center"/>
    </xf>
    <xf numFmtId="165" fontId="53" fillId="33" borderId="14" xfId="42" applyNumberFormat="1" applyFont="1" applyFill="1" applyBorder="1" applyAlignment="1">
      <alignment horizontal="center"/>
    </xf>
    <xf numFmtId="165" fontId="53" fillId="0" borderId="14" xfId="42" quotePrefix="1" applyNumberFormat="1" applyFont="1" applyFill="1" applyBorder="1" applyAlignment="1">
      <alignment horizontal="center" vertical="center"/>
    </xf>
    <xf numFmtId="165" fontId="0" fillId="0" borderId="53" xfId="42" quotePrefix="1" applyNumberFormat="1" applyFont="1" applyFill="1" applyBorder="1" applyAlignment="1">
      <alignment horizontal="center" vertical="center"/>
    </xf>
    <xf numFmtId="166" fontId="1" fillId="0" borderId="0" xfId="0" applyNumberFormat="1" applyFont="1"/>
    <xf numFmtId="0" fontId="118" fillId="40" borderId="10" xfId="43" applyFont="1" applyFill="1" applyBorder="1" applyAlignment="1">
      <alignment horizontal="center" vertical="center"/>
    </xf>
    <xf numFmtId="166" fontId="19" fillId="40" borderId="12" xfId="43" applyNumberFormat="1" applyFill="1" applyBorder="1" applyAlignment="1">
      <alignment horizontal="center" vertical="center"/>
    </xf>
    <xf numFmtId="2" fontId="118" fillId="40" borderId="13" xfId="43" applyNumberFormat="1" applyFont="1" applyFill="1" applyBorder="1" applyAlignment="1">
      <alignment horizontal="center" vertical="center"/>
    </xf>
    <xf numFmtId="171" fontId="19" fillId="40" borderId="0" xfId="43" applyNumberFormat="1" applyFill="1" applyAlignment="1">
      <alignment horizontal="center" vertical="center"/>
    </xf>
    <xf numFmtId="2" fontId="19" fillId="40" borderId="0" xfId="43" applyNumberFormat="1" applyFill="1" applyAlignment="1">
      <alignment horizontal="center" vertical="center"/>
    </xf>
    <xf numFmtId="165" fontId="118" fillId="40" borderId="11" xfId="42" applyNumberFormat="1" applyFont="1" applyFill="1" applyBorder="1" applyAlignment="1">
      <alignment horizontal="center" vertical="center"/>
    </xf>
    <xf numFmtId="164" fontId="118" fillId="40" borderId="14" xfId="43" applyNumberFormat="1" applyFont="1" applyFill="1" applyBorder="1" applyAlignment="1">
      <alignment horizontal="center" vertical="center"/>
    </xf>
    <xf numFmtId="2" fontId="118" fillId="40" borderId="14" xfId="43" applyNumberFormat="1" applyFont="1" applyFill="1" applyBorder="1" applyAlignment="1">
      <alignment horizontal="center" vertical="center"/>
    </xf>
    <xf numFmtId="0" fontId="118" fillId="40" borderId="0" xfId="42" applyNumberFormat="1" applyFont="1" applyFill="1" applyAlignment="1">
      <alignment horizontal="center" vertical="center"/>
    </xf>
    <xf numFmtId="169" fontId="118" fillId="40" borderId="11" xfId="42" applyNumberFormat="1" applyFont="1" applyFill="1" applyBorder="1" applyAlignment="1">
      <alignment horizontal="center" vertical="center"/>
    </xf>
    <xf numFmtId="165" fontId="19" fillId="40" borderId="11" xfId="42" applyNumberFormat="1" applyFont="1" applyFill="1" applyBorder="1" applyAlignment="1">
      <alignment horizontal="center" vertical="center"/>
    </xf>
    <xf numFmtId="2" fontId="119" fillId="40" borderId="0" xfId="43" applyNumberFormat="1" applyFont="1" applyFill="1" applyAlignment="1">
      <alignment horizontal="center" vertical="center"/>
    </xf>
    <xf numFmtId="2" fontId="19" fillId="40" borderId="0" xfId="42" applyNumberFormat="1" applyFont="1" applyFill="1" applyAlignment="1">
      <alignment horizontal="center" vertical="center"/>
    </xf>
    <xf numFmtId="2" fontId="19" fillId="40" borderId="13" xfId="42" applyNumberFormat="1" applyFont="1" applyFill="1" applyBorder="1" applyAlignment="1">
      <alignment horizontal="center" vertical="center"/>
    </xf>
    <xf numFmtId="165" fontId="19" fillId="40" borderId="13" xfId="42" applyNumberFormat="1" applyFont="1" applyFill="1" applyBorder="1" applyAlignment="1">
      <alignment horizontal="center" vertical="center"/>
    </xf>
    <xf numFmtId="169" fontId="19" fillId="40" borderId="13" xfId="42" applyNumberFormat="1" applyFont="1" applyFill="1" applyBorder="1" applyAlignment="1">
      <alignment horizontal="center" vertical="center"/>
    </xf>
    <xf numFmtId="2" fontId="19" fillId="40" borderId="13" xfId="43" applyNumberFormat="1" applyFill="1" applyBorder="1" applyAlignment="1">
      <alignment horizontal="center" vertical="center"/>
    </xf>
    <xf numFmtId="2" fontId="0" fillId="40" borderId="13" xfId="42" applyNumberFormat="1" applyFont="1" applyFill="1" applyBorder="1" applyAlignment="1">
      <alignment horizontal="center" vertical="center"/>
    </xf>
    <xf numFmtId="165" fontId="0" fillId="40" borderId="13" xfId="42" applyNumberFormat="1" applyFont="1" applyFill="1" applyBorder="1" applyAlignment="1">
      <alignment horizontal="center" vertical="center"/>
    </xf>
    <xf numFmtId="2" fontId="0" fillId="40" borderId="13" xfId="43" applyNumberFormat="1" applyFont="1" applyFill="1" applyBorder="1" applyAlignment="1">
      <alignment horizontal="center" vertical="center"/>
    </xf>
    <xf numFmtId="165" fontId="53" fillId="40" borderId="11" xfId="42" applyNumberFormat="1" applyFont="1" applyFill="1" applyBorder="1" applyAlignment="1">
      <alignment horizontal="center" vertical="center"/>
    </xf>
    <xf numFmtId="2" fontId="53" fillId="40" borderId="0" xfId="43" applyNumberFormat="1" applyFont="1" applyFill="1" applyAlignment="1">
      <alignment horizontal="center"/>
    </xf>
    <xf numFmtId="2" fontId="53" fillId="40" borderId="11" xfId="42" applyNumberFormat="1" applyFont="1" applyFill="1" applyBorder="1" applyAlignment="1">
      <alignment horizontal="center"/>
    </xf>
    <xf numFmtId="2" fontId="53" fillId="40" borderId="14" xfId="43" applyNumberFormat="1" applyFont="1" applyFill="1" applyBorder="1" applyAlignment="1">
      <alignment horizontal="center" vertical="center"/>
    </xf>
    <xf numFmtId="165" fontId="53" fillId="40" borderId="14" xfId="42" applyNumberFormat="1" applyFont="1" applyFill="1" applyBorder="1" applyAlignment="1">
      <alignment horizontal="center"/>
    </xf>
    <xf numFmtId="2" fontId="53" fillId="40" borderId="14" xfId="43" applyNumberFormat="1" applyFont="1" applyFill="1" applyBorder="1" applyAlignment="1">
      <alignment horizontal="center"/>
    </xf>
    <xf numFmtId="165" fontId="53" fillId="40" borderId="14" xfId="42" applyNumberFormat="1" applyFont="1" applyFill="1" applyBorder="1" applyAlignment="1">
      <alignment horizontal="center" vertical="center"/>
    </xf>
    <xf numFmtId="2" fontId="53" fillId="40" borderId="53" xfId="43" quotePrefix="1" applyNumberFormat="1" applyFont="1" applyFill="1" applyBorder="1" applyAlignment="1">
      <alignment horizontal="center" vertical="center"/>
    </xf>
    <xf numFmtId="2" fontId="0" fillId="40" borderId="53" xfId="42" applyNumberFormat="1" applyFont="1" applyFill="1" applyBorder="1" applyAlignment="1">
      <alignment horizontal="center" vertical="center"/>
    </xf>
    <xf numFmtId="2" fontId="0" fillId="40" borderId="53" xfId="43" applyNumberFormat="1" applyFont="1" applyFill="1" applyBorder="1" applyAlignment="1">
      <alignment horizontal="center" vertical="center"/>
    </xf>
    <xf numFmtId="165" fontId="0" fillId="40" borderId="53" xfId="42" applyNumberFormat="1" applyFont="1" applyFill="1" applyBorder="1" applyAlignment="1">
      <alignment horizontal="center" vertical="center"/>
    </xf>
    <xf numFmtId="171" fontId="118" fillId="40" borderId="0" xfId="43" applyNumberFormat="1" applyFont="1" applyFill="1" applyAlignment="1">
      <alignment horizontal="center" vertical="center"/>
    </xf>
    <xf numFmtId="165" fontId="1" fillId="40" borderId="0" xfId="42" applyNumberFormat="1" applyFont="1" applyFill="1" applyAlignment="1">
      <alignment horizontal="center"/>
    </xf>
    <xf numFmtId="2" fontId="1" fillId="40" borderId="0" xfId="0" applyNumberFormat="1" applyFont="1" applyFill="1" applyAlignment="1">
      <alignment horizontal="center"/>
    </xf>
    <xf numFmtId="2" fontId="0" fillId="40" borderId="0" xfId="0" applyNumberFormat="1" applyFill="1" applyAlignment="1">
      <alignment horizontal="center"/>
    </xf>
    <xf numFmtId="165" fontId="0" fillId="40" borderId="0" xfId="42" applyNumberFormat="1" applyFont="1" applyFill="1" applyAlignment="1">
      <alignment horizontal="center"/>
    </xf>
    <xf numFmtId="2" fontId="0" fillId="40" borderId="53" xfId="43" applyNumberFormat="1" applyFont="1" applyFill="1" applyBorder="1" applyAlignment="1">
      <alignment horizontal="left" vertical="center"/>
    </xf>
    <xf numFmtId="0" fontId="118" fillId="40" borderId="13" xfId="43" applyFont="1" applyFill="1" applyBorder="1" applyAlignment="1">
      <alignment horizontal="center" vertical="center"/>
    </xf>
    <xf numFmtId="166" fontId="19" fillId="40" borderId="14" xfId="43" applyNumberFormat="1" applyFill="1" applyBorder="1" applyAlignment="1">
      <alignment horizontal="center" vertical="center"/>
    </xf>
    <xf numFmtId="165" fontId="118" fillId="40" borderId="0" xfId="42" applyNumberFormat="1" applyFont="1" applyFill="1" applyBorder="1" applyAlignment="1">
      <alignment horizontal="center" vertical="center"/>
    </xf>
    <xf numFmtId="0" fontId="118" fillId="40" borderId="0" xfId="42" applyNumberFormat="1" applyFont="1" applyFill="1" applyBorder="1" applyAlignment="1">
      <alignment horizontal="center" vertical="center"/>
    </xf>
    <xf numFmtId="165" fontId="19" fillId="40" borderId="0" xfId="42" applyNumberFormat="1" applyFont="1" applyFill="1" applyBorder="1" applyAlignment="1">
      <alignment horizontal="center" vertical="center"/>
    </xf>
    <xf numFmtId="165" fontId="53" fillId="40" borderId="0" xfId="42" applyNumberFormat="1" applyFont="1" applyFill="1" applyBorder="1" applyAlignment="1">
      <alignment horizontal="center" vertical="center"/>
    </xf>
    <xf numFmtId="2" fontId="53" fillId="40" borderId="0" xfId="42" applyNumberFormat="1" applyFont="1" applyFill="1" applyBorder="1" applyAlignment="1">
      <alignment horizontal="center"/>
    </xf>
    <xf numFmtId="2" fontId="0" fillId="40" borderId="53" xfId="42" quotePrefix="1" applyNumberFormat="1" applyFont="1" applyFill="1" applyBorder="1" applyAlignment="1">
      <alignment horizontal="center" vertical="center"/>
    </xf>
    <xf numFmtId="165" fontId="0" fillId="40" borderId="53" xfId="42" quotePrefix="1" applyNumberFormat="1" applyFont="1" applyFill="1" applyBorder="1" applyAlignment="1">
      <alignment horizontal="center" vertical="center"/>
    </xf>
    <xf numFmtId="166" fontId="19" fillId="33" borderId="14" xfId="43" applyNumberFormat="1" applyFill="1" applyBorder="1" applyAlignment="1">
      <alignment horizontal="center" vertical="center"/>
    </xf>
    <xf numFmtId="165" fontId="118" fillId="0" borderId="0" xfId="42" applyNumberFormat="1" applyFont="1" applyBorder="1" applyAlignment="1">
      <alignment horizontal="center" vertical="center"/>
    </xf>
    <xf numFmtId="165" fontId="118" fillId="0" borderId="0" xfId="42" applyNumberFormat="1" applyFont="1" applyFill="1" applyBorder="1" applyAlignment="1">
      <alignment horizontal="center" vertical="center"/>
    </xf>
    <xf numFmtId="169" fontId="118" fillId="0" borderId="0" xfId="42" applyNumberFormat="1" applyFont="1" applyFill="1" applyBorder="1" applyAlignment="1">
      <alignment horizontal="center" vertical="center"/>
    </xf>
    <xf numFmtId="165" fontId="19" fillId="0" borderId="0" xfId="42" applyNumberFormat="1" applyFont="1" applyFill="1" applyBorder="1" applyAlignment="1">
      <alignment horizontal="center" vertical="center"/>
    </xf>
    <xf numFmtId="165" fontId="53" fillId="0" borderId="0" xfId="42" applyNumberFormat="1" applyFont="1" applyFill="1" applyBorder="1" applyAlignment="1">
      <alignment horizontal="center" vertical="center"/>
    </xf>
    <xf numFmtId="2" fontId="53" fillId="0" borderId="0" xfId="42" applyNumberFormat="1" applyFont="1" applyFill="1" applyBorder="1" applyAlignment="1">
      <alignment horizontal="center"/>
    </xf>
    <xf numFmtId="0" fontId="118" fillId="0" borderId="15" xfId="43" applyFont="1" applyBorder="1" applyAlignment="1">
      <alignment horizontal="center" vertical="center"/>
    </xf>
    <xf numFmtId="166" fontId="19" fillId="0" borderId="17" xfId="43" applyNumberFormat="1" applyBorder="1" applyAlignment="1">
      <alignment horizontal="center" vertical="center"/>
    </xf>
    <xf numFmtId="165" fontId="118" fillId="0" borderId="16" xfId="42" applyNumberFormat="1" applyFont="1" applyBorder="1" applyAlignment="1">
      <alignment horizontal="center" vertical="center"/>
    </xf>
    <xf numFmtId="165" fontId="118" fillId="0" borderId="16" xfId="42" applyNumberFormat="1" applyFont="1" applyFill="1" applyBorder="1" applyAlignment="1">
      <alignment horizontal="center" vertical="center"/>
    </xf>
    <xf numFmtId="0" fontId="118" fillId="0" borderId="16" xfId="42" applyNumberFormat="1" applyFont="1" applyFill="1" applyBorder="1" applyAlignment="1">
      <alignment horizontal="center" vertical="center"/>
    </xf>
    <xf numFmtId="165" fontId="19" fillId="0" borderId="16" xfId="42" applyNumberFormat="1" applyFont="1" applyFill="1" applyBorder="1" applyAlignment="1">
      <alignment horizontal="center" vertical="center"/>
    </xf>
    <xf numFmtId="165" fontId="53" fillId="0" borderId="16" xfId="42" applyNumberFormat="1" applyFont="1" applyFill="1" applyBorder="1" applyAlignment="1">
      <alignment horizontal="center" vertical="center"/>
    </xf>
    <xf numFmtId="2" fontId="53" fillId="0" borderId="16" xfId="42" applyNumberFormat="1" applyFont="1" applyFill="1" applyBorder="1" applyAlignment="1">
      <alignment horizontal="center"/>
    </xf>
    <xf numFmtId="166" fontId="19" fillId="0" borderId="14" xfId="43" applyNumberFormat="1" applyBorder="1" applyAlignment="1">
      <alignment horizontal="center" vertical="center"/>
    </xf>
    <xf numFmtId="2" fontId="53" fillId="0" borderId="53" xfId="43" applyNumberFormat="1" applyFont="1" applyBorder="1" applyAlignment="1">
      <alignment horizontal="center" vertical="center"/>
    </xf>
    <xf numFmtId="166" fontId="19" fillId="0" borderId="14" xfId="43" applyNumberFormat="1" applyBorder="1" applyAlignment="1">
      <alignment horizontal="center" vertical="center" shrinkToFit="1"/>
    </xf>
    <xf numFmtId="0" fontId="118" fillId="0" borderId="10" xfId="43" applyFont="1" applyBorder="1" applyAlignment="1">
      <alignment horizontal="center" vertical="center"/>
    </xf>
    <xf numFmtId="166" fontId="19" fillId="0" borderId="12" xfId="43" applyNumberFormat="1" applyBorder="1" applyAlignment="1">
      <alignment horizontal="center" vertical="center" shrinkToFit="1"/>
    </xf>
    <xf numFmtId="165" fontId="118" fillId="0" borderId="11" xfId="42" applyNumberFormat="1" applyFont="1" applyBorder="1" applyAlignment="1">
      <alignment horizontal="center" vertical="center"/>
    </xf>
    <xf numFmtId="165" fontId="118" fillId="0" borderId="11" xfId="42" applyNumberFormat="1" applyFont="1" applyFill="1" applyBorder="1" applyAlignment="1">
      <alignment horizontal="center" vertical="center"/>
    </xf>
    <xf numFmtId="0" fontId="118" fillId="0" borderId="11" xfId="42" applyNumberFormat="1" applyFont="1" applyFill="1" applyBorder="1" applyAlignment="1">
      <alignment horizontal="center" vertical="center"/>
    </xf>
    <xf numFmtId="0" fontId="118" fillId="0" borderId="0" xfId="42" applyNumberFormat="1" applyFont="1" applyFill="1" applyBorder="1" applyAlignment="1">
      <alignment horizontal="center" vertical="center"/>
    </xf>
    <xf numFmtId="0" fontId="118" fillId="0" borderId="112" xfId="43" applyFont="1" applyBorder="1" applyAlignment="1">
      <alignment horizontal="center" vertical="center"/>
    </xf>
    <xf numFmtId="166" fontId="19" fillId="0" borderId="69" xfId="43" applyNumberFormat="1" applyBorder="1" applyAlignment="1">
      <alignment horizontal="center" vertical="center"/>
    </xf>
    <xf numFmtId="166" fontId="19" fillId="0" borderId="12" xfId="43" applyNumberFormat="1" applyBorder="1" applyAlignment="1">
      <alignment horizontal="center" vertical="center"/>
    </xf>
    <xf numFmtId="166" fontId="1" fillId="33" borderId="0" xfId="0" applyNumberFormat="1" applyFont="1" applyFill="1"/>
    <xf numFmtId="2" fontId="0" fillId="0" borderId="14" xfId="43" applyNumberFormat="1" applyFont="1" applyBorder="1" applyAlignment="1">
      <alignment horizontal="center" vertical="center"/>
    </xf>
    <xf numFmtId="2" fontId="19" fillId="0" borderId="53" xfId="42" applyNumberFormat="1" applyFont="1" applyFill="1" applyBorder="1" applyAlignment="1">
      <alignment horizontal="center" vertical="center"/>
    </xf>
    <xf numFmtId="171" fontId="19" fillId="0" borderId="53" xfId="43" applyNumberFormat="1" applyBorder="1" applyAlignment="1">
      <alignment horizontal="center" vertical="center"/>
    </xf>
    <xf numFmtId="2" fontId="0" fillId="0" borderId="14" xfId="43" applyNumberFormat="1" applyFont="1" applyBorder="1" applyAlignment="1">
      <alignment horizontal="left" vertical="center"/>
    </xf>
    <xf numFmtId="169" fontId="19" fillId="0" borderId="0" xfId="42" applyNumberFormat="1" applyFont="1" applyFill="1" applyBorder="1" applyAlignment="1">
      <alignment horizontal="center" vertical="center"/>
    </xf>
    <xf numFmtId="2" fontId="0" fillId="0" borderId="0" xfId="42" applyNumberFormat="1" applyFont="1" applyFill="1" applyBorder="1" applyAlignment="1">
      <alignment horizontal="center" vertical="center"/>
    </xf>
    <xf numFmtId="165" fontId="0" fillId="0" borderId="0" xfId="42" applyNumberFormat="1" applyFont="1" applyFill="1" applyBorder="1" applyAlignment="1">
      <alignment horizontal="center" vertical="center"/>
    </xf>
    <xf numFmtId="166" fontId="19" fillId="0" borderId="13" xfId="43" applyNumberFormat="1" applyBorder="1" applyAlignment="1">
      <alignment horizontal="center" vertical="center"/>
    </xf>
    <xf numFmtId="0" fontId="118" fillId="0" borderId="0" xfId="43" applyFont="1" applyAlignment="1">
      <alignment horizontal="center" vertical="center"/>
    </xf>
    <xf numFmtId="165" fontId="53" fillId="0" borderId="0" xfId="42" applyNumberFormat="1" applyFont="1" applyAlignment="1">
      <alignment horizontal="center" vertical="center"/>
    </xf>
    <xf numFmtId="164" fontId="19" fillId="0" borderId="0" xfId="43" applyNumberFormat="1" applyAlignment="1">
      <alignment horizontal="center" vertical="center"/>
    </xf>
    <xf numFmtId="165" fontId="19" fillId="0" borderId="0" xfId="42" applyNumberFormat="1" applyFont="1" applyAlignment="1">
      <alignment horizontal="center" vertical="center"/>
    </xf>
    <xf numFmtId="0" fontId="19" fillId="0" borderId="0" xfId="42" applyNumberFormat="1" applyFont="1" applyAlignment="1">
      <alignment horizontal="center" vertical="center"/>
    </xf>
    <xf numFmtId="2" fontId="19" fillId="0" borderId="0" xfId="42" applyNumberFormat="1" applyFont="1" applyAlignment="1">
      <alignment horizontal="center" vertical="center"/>
    </xf>
    <xf numFmtId="165" fontId="19" fillId="0" borderId="0" xfId="42" applyNumberFormat="1" applyFont="1" applyBorder="1" applyAlignment="1">
      <alignment horizontal="center" vertical="center"/>
    </xf>
    <xf numFmtId="169" fontId="53" fillId="0" borderId="0" xfId="43" applyNumberFormat="1" applyFont="1" applyAlignment="1">
      <alignment horizontal="center" vertical="center"/>
    </xf>
    <xf numFmtId="2" fontId="53" fillId="0" borderId="0" xfId="42" applyNumberFormat="1" applyFont="1" applyAlignment="1">
      <alignment horizontal="center"/>
    </xf>
    <xf numFmtId="2" fontId="53" fillId="0" borderId="0" xfId="43" applyNumberFormat="1" applyFont="1" applyAlignment="1">
      <alignment horizontal="center" vertical="center"/>
    </xf>
    <xf numFmtId="2" fontId="0" fillId="0" borderId="0" xfId="43" applyNumberFormat="1" applyFont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05-08 Gold Medal Times" xfId="43" xr:uid="{00000000-0005-0000-0000-000025000000}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71" formatCode="\+0.00;\-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71" formatCode="\+0.00;\-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9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0.0%"/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71" formatCode="\+0.00;\-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m:ss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m:ss.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008000"/>
      <color rgb="FF00CC99"/>
      <color rgb="FF33CC33"/>
      <color rgb="FFCC00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77935434145705E-2"/>
          <c:y val="3.0983101856721935E-2"/>
          <c:w val="0.86258866562216552"/>
          <c:h val="0.87032990878310135"/>
        </c:manualLayout>
      </c:layout>
      <c:scatterChart>
        <c:scatterStyle val="lineMarker"/>
        <c:varyColors val="0"/>
        <c:ser>
          <c:idx val="17"/>
          <c:order val="0"/>
          <c:tx>
            <c:strRef>
              <c:f>CurveSheet!$AK$29</c:f>
              <c:strCache>
                <c:ptCount val="1"/>
                <c:pt idx="0">
                  <c:v>Avg speed drive</c:v>
                </c:pt>
              </c:strCache>
            </c:strRef>
          </c:tx>
          <c:spPr>
            <a:ln w="15875" cap="rnd">
              <a:solidFill>
                <a:srgbClr val="FF5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CurveSheet!$AL$27:$AM$27</c:f>
              <c:numCache>
                <c:formatCode>0.000</c:formatCode>
                <c:ptCount val="2"/>
                <c:pt idx="0">
                  <c:v>0.38371705038371723</c:v>
                </c:pt>
                <c:pt idx="1">
                  <c:v>1.2846179512846181</c:v>
                </c:pt>
              </c:numCache>
            </c:numRef>
          </c:xVal>
          <c:yVal>
            <c:numRef>
              <c:f>CurveSheet!$AL$29:$AM$29</c:f>
              <c:numCache>
                <c:formatCode>0.000</c:formatCode>
                <c:ptCount val="2"/>
                <c:pt idx="0">
                  <c:v>4.0402030092592618</c:v>
                </c:pt>
                <c:pt idx="1">
                  <c:v>4.0402030092592618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0-40EE-809E-CAB0EAD4E7EB}"/>
            </c:ext>
          </c:extLst>
        </c:ser>
        <c:ser>
          <c:idx val="18"/>
          <c:order val="1"/>
          <c:tx>
            <c:strRef>
              <c:f>CurveSheet!$AK$30</c:f>
              <c:strCache>
                <c:ptCount val="1"/>
                <c:pt idx="0">
                  <c:v>Avg spd recovery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CurveSheet!$AM$27:$AN$27</c:f>
              <c:numCache>
                <c:formatCode>0.000</c:formatCode>
                <c:ptCount val="2"/>
                <c:pt idx="0">
                  <c:v>1.2846179512846181</c:v>
                </c:pt>
                <c:pt idx="1">
                  <c:v>2.1688355021688368</c:v>
                </c:pt>
              </c:numCache>
            </c:numRef>
          </c:xVal>
          <c:yVal>
            <c:numRef>
              <c:f>CurveSheet!$AL$30:$AM$30</c:f>
              <c:numCache>
                <c:formatCode>0.000</c:formatCode>
                <c:ptCount val="2"/>
                <c:pt idx="0">
                  <c:v>5.1371358490566053</c:v>
                </c:pt>
                <c:pt idx="1">
                  <c:v>5.1371358490566053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0-40EE-809E-CAB0EAD4E7EB}"/>
            </c:ext>
          </c:extLst>
        </c:ser>
        <c:ser>
          <c:idx val="16"/>
          <c:order val="2"/>
          <c:tx>
            <c:strRef>
              <c:f>CurveSheet!$AK$32</c:f>
              <c:strCache>
                <c:ptCount val="1"/>
                <c:pt idx="0">
                  <c:v>sys accel</c:v>
                </c:pt>
              </c:strCache>
            </c:strRef>
          </c:tx>
          <c:spPr>
            <a:ln w="12700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CurveSheet!$AL$33:$AL$47</c:f>
              <c:numCache>
                <c:formatCode>0.0000</c:formatCode>
                <c:ptCount val="15"/>
                <c:pt idx="0" formatCode="0.000">
                  <c:v>0.38</c:v>
                </c:pt>
                <c:pt idx="1">
                  <c:v>0.43957465941279605</c:v>
                </c:pt>
                <c:pt idx="2">
                  <c:v>0.49914931882559205</c:v>
                </c:pt>
                <c:pt idx="3">
                  <c:v>0.55872844644954933</c:v>
                </c:pt>
                <c:pt idx="4" formatCode="0.000">
                  <c:v>0.57999999999999996</c:v>
                </c:pt>
                <c:pt idx="5" formatCode="0.000">
                  <c:v>1.18</c:v>
                </c:pt>
                <c:pt idx="6">
                  <c:v>1.2011460815610815</c:v>
                </c:pt>
                <c:pt idx="7">
                  <c:v>1.2222921631221628</c:v>
                </c:pt>
                <c:pt idx="8">
                  <c:v>1.2434398306790113</c:v>
                </c:pt>
                <c:pt idx="9" formatCode="0.000">
                  <c:v>1.2846179512846181</c:v>
                </c:pt>
                <c:pt idx="10" formatCode="0.000">
                  <c:v>2.1688355021688368</c:v>
                </c:pt>
                <c:pt idx="11">
                  <c:v>2.2168421025074658</c:v>
                </c:pt>
                <c:pt idx="12">
                  <c:v>2.2648487028460949</c:v>
                </c:pt>
                <c:pt idx="13">
                  <c:v>2.3128589037697638</c:v>
                </c:pt>
                <c:pt idx="14" formatCode="0.000">
                  <c:v>2.33</c:v>
                </c:pt>
              </c:numCache>
            </c:numRef>
          </c:xVal>
          <c:yVal>
            <c:numRef>
              <c:f>CurveSheet!$AM$33:$AM$47</c:f>
              <c:numCache>
                <c:formatCode>0.0000</c:formatCode>
                <c:ptCount val="15"/>
                <c:pt idx="0" formatCode="0.000">
                  <c:v>4.4528927380952705</c:v>
                </c:pt>
                <c:pt idx="1">
                  <c:v>4.4395225615259477</c:v>
                </c:pt>
                <c:pt idx="2">
                  <c:v>4.4381219583693206</c:v>
                </c:pt>
                <c:pt idx="3">
                  <c:v>4.4486921702218671</c:v>
                </c:pt>
                <c:pt idx="4" formatCode="0.000">
                  <c:v>4.4528927380952705</c:v>
                </c:pt>
                <c:pt idx="5" formatCode="0.000">
                  <c:v>4.7401624999999807</c:v>
                </c:pt>
                <c:pt idx="6">
                  <c:v>4.7481625773379861</c:v>
                </c:pt>
                <c:pt idx="7">
                  <c:v>4.7519140433011051</c:v>
                </c:pt>
                <c:pt idx="8">
                  <c:v>4.751416701263639</c:v>
                </c:pt>
                <c:pt idx="9" formatCode="0.000">
                  <c:v>4.7401624999999807</c:v>
                </c:pt>
                <c:pt idx="10" formatCode="0.000">
                  <c:v>4.4528927380952705</c:v>
                </c:pt>
                <c:pt idx="11">
                  <c:v>4.4421187491317253</c:v>
                </c:pt>
                <c:pt idx="12">
                  <c:v>4.4409901116097332</c:v>
                </c:pt>
                <c:pt idx="13">
                  <c:v>4.4495078260356564</c:v>
                </c:pt>
                <c:pt idx="14" formatCode="0.000">
                  <c:v>4.4528927380952705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C0-40EE-809E-CAB0EAD4E7EB}"/>
            </c:ext>
          </c:extLst>
        </c:ser>
        <c:ser>
          <c:idx val="1"/>
          <c:order val="4"/>
          <c:tx>
            <c:strRef>
              <c:f>CurveSheet!$AK$9</c:f>
              <c:strCache>
                <c:ptCount val="1"/>
                <c:pt idx="0">
                  <c:v>full reach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0-40EE-809E-CAB0EAD4E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CurveSheet!$AL$9:$AM$9</c:f>
              <c:numCache>
                <c:formatCode>General</c:formatCode>
                <c:ptCount val="2"/>
                <c:pt idx="0">
                  <c:v>0.38</c:v>
                </c:pt>
                <c:pt idx="1">
                  <c:v>0.38</c:v>
                </c:pt>
              </c:numCache>
            </c:numRef>
          </c:xVal>
          <c:yVal>
            <c:numRef>
              <c:f>CurveSheet!$AL$10:$AM$10</c:f>
              <c:numCache>
                <c:formatCode>General</c:formatCode>
                <c:ptCount val="2"/>
                <c:pt idx="0">
                  <c:v>25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C0-40EE-809E-CAB0EAD4E7EB}"/>
            </c:ext>
          </c:extLst>
        </c:ser>
        <c:ser>
          <c:idx val="3"/>
          <c:order val="5"/>
          <c:tx>
            <c:strRef>
              <c:f>CurveSheet!$AK$11</c:f>
              <c:strCache>
                <c:ptCount val="1"/>
                <c:pt idx="0">
                  <c:v>entry</c:v>
                </c:pt>
              </c:strCache>
            </c:strRef>
          </c:tx>
          <c:spPr>
            <a:ln w="19050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5875" cap="rnd">
                <a:solidFill>
                  <a:srgbClr val="33CC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4C0-40EE-809E-CAB0EAD4E7EB}"/>
              </c:ext>
            </c:extLst>
          </c:dPt>
          <c:xVal>
            <c:numRef>
              <c:f>CurveSheet!$AL$11:$AM$11</c:f>
              <c:numCache>
                <c:formatCode>General</c:formatCode>
                <c:ptCount val="2"/>
                <c:pt idx="0">
                  <c:v>0.57999999999999996</c:v>
                </c:pt>
                <c:pt idx="1">
                  <c:v>0.57999999999999996</c:v>
                </c:pt>
              </c:numCache>
            </c:numRef>
          </c:xVal>
          <c:yVal>
            <c:numRef>
              <c:f>CurveSheet!$AL$12:$AM$12</c:f>
              <c:numCache>
                <c:formatCode>General</c:formatCode>
                <c:ptCount val="2"/>
                <c:pt idx="0">
                  <c:v>25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C0-40EE-809E-CAB0EAD4E7EB}"/>
            </c:ext>
          </c:extLst>
        </c:ser>
        <c:ser>
          <c:idx val="4"/>
          <c:order val="6"/>
          <c:tx>
            <c:strRef>
              <c:f>CurveSheet!$AK$13</c:f>
              <c:strCache>
                <c:ptCount val="1"/>
                <c:pt idx="0">
                  <c:v>perpendicular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C0-40EE-809E-CAB0EAD4E7EB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0-40EE-809E-CAB0EAD4E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CurveSheet!$AL$13:$AM$13</c:f>
              <c:numCache>
                <c:formatCode>General</c:formatCode>
                <c:ptCount val="2"/>
                <c:pt idx="0">
                  <c:v>0.93</c:v>
                </c:pt>
                <c:pt idx="1">
                  <c:v>0.93</c:v>
                </c:pt>
              </c:numCache>
            </c:numRef>
          </c:xVal>
          <c:yVal>
            <c:numRef>
              <c:f>CurveSheet!$AL$14:$AM$14</c:f>
              <c:numCache>
                <c:formatCode>General</c:formatCode>
                <c:ptCount val="2"/>
                <c:pt idx="0">
                  <c:v>25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4C0-40EE-809E-CAB0EAD4E7EB}"/>
            </c:ext>
          </c:extLst>
        </c:ser>
        <c:ser>
          <c:idx val="5"/>
          <c:order val="7"/>
          <c:tx>
            <c:strRef>
              <c:f>CurveSheet!$AK$15</c:f>
              <c:strCache>
                <c:ptCount val="1"/>
                <c:pt idx="0">
                  <c:v>extraction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CurveSheet!$AL$15:$AM$15</c:f>
              <c:numCache>
                <c:formatCode>General</c:formatCode>
                <c:ptCount val="2"/>
                <c:pt idx="0">
                  <c:v>1.18</c:v>
                </c:pt>
                <c:pt idx="1">
                  <c:v>1.18</c:v>
                </c:pt>
              </c:numCache>
            </c:numRef>
          </c:xVal>
          <c:yVal>
            <c:numRef>
              <c:f>CurveSheet!$AL$16:$AM$16</c:f>
              <c:numCache>
                <c:formatCode>General</c:formatCode>
                <c:ptCount val="2"/>
                <c:pt idx="0">
                  <c:v>25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4C0-40EE-809E-CAB0EAD4E7EB}"/>
            </c:ext>
          </c:extLst>
        </c:ser>
        <c:ser>
          <c:idx val="6"/>
          <c:order val="8"/>
          <c:tx>
            <c:strRef>
              <c:f>CurveSheet!$AK$17</c:f>
              <c:strCache>
                <c:ptCount val="1"/>
                <c:pt idx="0">
                  <c:v>feather 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CurveSheet!$AL$17:$AM$17</c:f>
              <c:numCache>
                <c:formatCode>General</c:formatCode>
                <c:ptCount val="2"/>
                <c:pt idx="0">
                  <c:v>1.28</c:v>
                </c:pt>
                <c:pt idx="1">
                  <c:v>1.28</c:v>
                </c:pt>
              </c:numCache>
            </c:numRef>
          </c:xVal>
          <c:yVal>
            <c:numRef>
              <c:f>CurveSheet!$AL$18:$AM$18</c:f>
              <c:numCache>
                <c:formatCode>General</c:formatCode>
                <c:ptCount val="2"/>
                <c:pt idx="0">
                  <c:v>25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4C0-40EE-809E-CAB0EAD4E7EB}"/>
            </c:ext>
          </c:extLst>
        </c:ser>
        <c:ser>
          <c:idx val="11"/>
          <c:order val="9"/>
          <c:tx>
            <c:strRef>
              <c:f>CurveSheet!$AK$25</c:f>
              <c:strCache>
                <c:ptCount val="1"/>
                <c:pt idx="0">
                  <c:v>peak speed</c:v>
                </c:pt>
              </c:strCache>
            </c:strRef>
          </c:tx>
          <c:spPr>
            <a:ln w="1905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94C0-40EE-809E-CAB0EAD4E7EB}"/>
              </c:ext>
            </c:extLst>
          </c:dPt>
          <c:xVal>
            <c:numRef>
              <c:f>CurveSheet!$AL$26:$AM$26</c:f>
              <c:numCache>
                <c:formatCode>0.00</c:formatCode>
                <c:ptCount val="2"/>
                <c:pt idx="0">
                  <c:v>1.8685352018685377</c:v>
                </c:pt>
                <c:pt idx="1">
                  <c:v>1.8685352018685377</c:v>
                </c:pt>
              </c:numCache>
            </c:numRef>
          </c:xVal>
          <c:yVal>
            <c:numRef>
              <c:f>CurveSheet!$AL$25:$AM$25</c:f>
              <c:numCache>
                <c:formatCode>General</c:formatCode>
                <c:ptCount val="2"/>
                <c:pt idx="0">
                  <c:v>-5</c:v>
                </c:pt>
                <c:pt idx="1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4C0-40EE-809E-CAB0EAD4E7EB}"/>
            </c:ext>
          </c:extLst>
        </c:ser>
        <c:ser>
          <c:idx val="2"/>
          <c:order val="10"/>
          <c:tx>
            <c:strRef>
              <c:f>CurveSheet!$AK$19</c:f>
              <c:strCache>
                <c:ptCount val="1"/>
                <c:pt idx="0">
                  <c:v>full reach 2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CurveSheet!$AL$19:$AM$19</c:f>
              <c:numCache>
                <c:formatCode>0.00</c:formatCode>
                <c:ptCount val="2"/>
                <c:pt idx="0">
                  <c:v>2.16</c:v>
                </c:pt>
                <c:pt idx="1">
                  <c:v>2.16</c:v>
                </c:pt>
              </c:numCache>
            </c:numRef>
          </c:xVal>
          <c:yVal>
            <c:numRef>
              <c:f>CurveSheet!$AL$22:$AM$22</c:f>
              <c:numCache>
                <c:formatCode>General</c:formatCode>
                <c:ptCount val="2"/>
                <c:pt idx="0">
                  <c:v>25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4C0-40EE-809E-CAB0EAD4E7EB}"/>
            </c:ext>
          </c:extLst>
        </c:ser>
        <c:ser>
          <c:idx val="7"/>
          <c:order val="11"/>
          <c:tx>
            <c:strRef>
              <c:f>CurveSheet!$AK$21</c:f>
              <c:strCache>
                <c:ptCount val="1"/>
                <c:pt idx="0">
                  <c:v>entry 2</c:v>
                </c:pt>
              </c:strCache>
            </c:strRef>
          </c:tx>
          <c:spPr>
            <a:ln w="15875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xVal>
            <c:numRef>
              <c:f>CurveSheet!$AL$21:$AM$21</c:f>
              <c:numCache>
                <c:formatCode>General</c:formatCode>
                <c:ptCount val="2"/>
                <c:pt idx="0">
                  <c:v>2.33</c:v>
                </c:pt>
                <c:pt idx="1">
                  <c:v>2.33</c:v>
                </c:pt>
              </c:numCache>
            </c:numRef>
          </c:xVal>
          <c:yVal>
            <c:numRef>
              <c:f>CurveSheet!$AL$22:$AM$22</c:f>
              <c:numCache>
                <c:formatCode>General</c:formatCode>
                <c:ptCount val="2"/>
                <c:pt idx="0">
                  <c:v>25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4C0-40EE-809E-CAB0EAD4E7EB}"/>
            </c:ext>
          </c:extLst>
        </c:ser>
        <c:ser>
          <c:idx val="8"/>
          <c:order val="12"/>
          <c:tx>
            <c:v>avg speed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-5</c:v>
              </c:pt>
              <c:pt idx="1">
                <c:v>30</c:v>
              </c:pt>
            </c:numLit>
          </c:xVal>
          <c:yVal>
            <c:numLit>
              <c:formatCode>General</c:formatCode>
              <c:ptCount val="2"/>
              <c:pt idx="0">
                <c:v>4.6126900920603804</c:v>
              </c:pt>
              <c:pt idx="1">
                <c:v>4.6126900920603804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5-94C0-40EE-809E-CAB0EAD4E7EB}"/>
            </c:ext>
          </c:extLst>
        </c:ser>
        <c:ser>
          <c:idx val="0"/>
          <c:order val="13"/>
          <c:tx>
            <c:strRef>
              <c:f>CurveSheet!$AC$1</c:f>
              <c:strCache>
                <c:ptCount val="1"/>
                <c:pt idx="0">
                  <c:v>boat speed</c:v>
                </c:pt>
              </c:strCache>
            </c:strRef>
          </c:tx>
          <c:spPr>
            <a:ln w="444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dPt>
            <c:idx val="148"/>
            <c:marker>
              <c:symbol val="none"/>
            </c:marker>
            <c:bubble3D val="0"/>
            <c:spPr>
              <a:ln w="44450" cap="rnd">
                <a:solidFill>
                  <a:srgbClr val="0000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4C0-40EE-809E-CAB0EAD4E7EB}"/>
              </c:ext>
            </c:extLst>
          </c:dPt>
          <c:xVal>
            <c:numRef>
              <c:f>CurveSheet!$AA$2:$AA$398</c:f>
              <c:numCache>
                <c:formatCode>0.00</c:formatCode>
                <c:ptCount val="397"/>
                <c:pt idx="0">
                  <c:v>0.30030030030030042</c:v>
                </c:pt>
                <c:pt idx="1">
                  <c:v>0.31698365031698378</c:v>
                </c:pt>
                <c:pt idx="2">
                  <c:v>0.33366700033366714</c:v>
                </c:pt>
                <c:pt idx="3">
                  <c:v>0.3503503503503505</c:v>
                </c:pt>
                <c:pt idx="4">
                  <c:v>0.36703370036703387</c:v>
                </c:pt>
                <c:pt idx="5">
                  <c:v>0.38371705038371723</c:v>
                </c:pt>
                <c:pt idx="6">
                  <c:v>0.40040040040040059</c:v>
                </c:pt>
                <c:pt idx="7">
                  <c:v>0.41708375041708395</c:v>
                </c:pt>
                <c:pt idx="8">
                  <c:v>0.43376710043376732</c:v>
                </c:pt>
                <c:pt idx="9">
                  <c:v>0.45045045045045068</c:v>
                </c:pt>
                <c:pt idx="10">
                  <c:v>0.46713380046713404</c:v>
                </c:pt>
                <c:pt idx="11">
                  <c:v>0.4838171504838174</c:v>
                </c:pt>
                <c:pt idx="12">
                  <c:v>0.50050050050050077</c:v>
                </c:pt>
                <c:pt idx="13">
                  <c:v>0.51718385051718407</c:v>
                </c:pt>
                <c:pt idx="14">
                  <c:v>0.53386720053386738</c:v>
                </c:pt>
                <c:pt idx="15">
                  <c:v>0.55055055055055069</c:v>
                </c:pt>
                <c:pt idx="16">
                  <c:v>0.567233900567234</c:v>
                </c:pt>
                <c:pt idx="17">
                  <c:v>0.5839172505839173</c:v>
                </c:pt>
                <c:pt idx="18">
                  <c:v>0.60060060060060061</c:v>
                </c:pt>
                <c:pt idx="19">
                  <c:v>0.61728395061728392</c:v>
                </c:pt>
                <c:pt idx="20">
                  <c:v>0.63396730063396722</c:v>
                </c:pt>
                <c:pt idx="21">
                  <c:v>0.65065065065065053</c:v>
                </c:pt>
                <c:pt idx="22">
                  <c:v>0.66733400066733384</c:v>
                </c:pt>
                <c:pt idx="23">
                  <c:v>0.68401735068401714</c:v>
                </c:pt>
                <c:pt idx="24">
                  <c:v>0.70070070070070045</c:v>
                </c:pt>
                <c:pt idx="25">
                  <c:v>0.71738405071738376</c:v>
                </c:pt>
                <c:pt idx="26">
                  <c:v>0.73406740073406707</c:v>
                </c:pt>
                <c:pt idx="27">
                  <c:v>0.75075075075075037</c:v>
                </c:pt>
                <c:pt idx="28">
                  <c:v>0.76743410076743368</c:v>
                </c:pt>
                <c:pt idx="29">
                  <c:v>0.78411745078411699</c:v>
                </c:pt>
                <c:pt idx="30">
                  <c:v>0.80080080080080029</c:v>
                </c:pt>
                <c:pt idx="31">
                  <c:v>0.8174841508174836</c:v>
                </c:pt>
                <c:pt idx="32">
                  <c:v>0.83416750083416691</c:v>
                </c:pt>
                <c:pt idx="33">
                  <c:v>0.85085085085085022</c:v>
                </c:pt>
                <c:pt idx="34">
                  <c:v>0.86753420086753352</c:v>
                </c:pt>
                <c:pt idx="35">
                  <c:v>0.88421755088421683</c:v>
                </c:pt>
                <c:pt idx="36">
                  <c:v>0.90090090090090014</c:v>
                </c:pt>
                <c:pt idx="37">
                  <c:v>0.91758425091758344</c:v>
                </c:pt>
                <c:pt idx="38">
                  <c:v>0.93426760093426675</c:v>
                </c:pt>
                <c:pt idx="39">
                  <c:v>0.95095095095095006</c:v>
                </c:pt>
                <c:pt idx="40">
                  <c:v>0.96763430096763337</c:v>
                </c:pt>
                <c:pt idx="41">
                  <c:v>0.98431765098431667</c:v>
                </c:pt>
                <c:pt idx="42">
                  <c:v>1.001001001001</c:v>
                </c:pt>
                <c:pt idx="43">
                  <c:v>1.0176843510176834</c:v>
                </c:pt>
                <c:pt idx="44">
                  <c:v>1.0343677010343668</c:v>
                </c:pt>
                <c:pt idx="45">
                  <c:v>1.0510510510510502</c:v>
                </c:pt>
                <c:pt idx="46">
                  <c:v>1.0677344010677337</c:v>
                </c:pt>
                <c:pt idx="47">
                  <c:v>1.0844177510844171</c:v>
                </c:pt>
                <c:pt idx="48">
                  <c:v>1.1011011011011005</c:v>
                </c:pt>
                <c:pt idx="49">
                  <c:v>1.1177844511177839</c:v>
                </c:pt>
                <c:pt idx="50">
                  <c:v>1.1344678011344673</c:v>
                </c:pt>
                <c:pt idx="51">
                  <c:v>1.1511511511511507</c:v>
                </c:pt>
                <c:pt idx="52">
                  <c:v>1.1678345011678342</c:v>
                </c:pt>
                <c:pt idx="53">
                  <c:v>1.1845178511845176</c:v>
                </c:pt>
                <c:pt idx="54">
                  <c:v>1.201201201201201</c:v>
                </c:pt>
                <c:pt idx="55">
                  <c:v>1.2178845512178844</c:v>
                </c:pt>
                <c:pt idx="56">
                  <c:v>1.2345679012345678</c:v>
                </c:pt>
                <c:pt idx="57">
                  <c:v>1.2512512512512513</c:v>
                </c:pt>
                <c:pt idx="58">
                  <c:v>1.2679346012679347</c:v>
                </c:pt>
                <c:pt idx="59">
                  <c:v>1.2846179512846181</c:v>
                </c:pt>
                <c:pt idx="60">
                  <c:v>1.3013013013013015</c:v>
                </c:pt>
                <c:pt idx="61">
                  <c:v>1.3179846513179849</c:v>
                </c:pt>
                <c:pt idx="62">
                  <c:v>1.3346680013346683</c:v>
                </c:pt>
                <c:pt idx="63">
                  <c:v>1.3513513513513518</c:v>
                </c:pt>
                <c:pt idx="64">
                  <c:v>1.3680347013680352</c:v>
                </c:pt>
                <c:pt idx="65">
                  <c:v>1.3847180513847186</c:v>
                </c:pt>
                <c:pt idx="66">
                  <c:v>1.401401401401402</c:v>
                </c:pt>
                <c:pt idx="67">
                  <c:v>1.4180847514180854</c:v>
                </c:pt>
                <c:pt idx="68">
                  <c:v>1.4347681014347688</c:v>
                </c:pt>
                <c:pt idx="69">
                  <c:v>1.4514514514514523</c:v>
                </c:pt>
                <c:pt idx="70">
                  <c:v>1.4681348014681357</c:v>
                </c:pt>
                <c:pt idx="71">
                  <c:v>1.4848181514848191</c:v>
                </c:pt>
                <c:pt idx="72">
                  <c:v>1.5015015015015025</c:v>
                </c:pt>
                <c:pt idx="73">
                  <c:v>1.5181848515181859</c:v>
                </c:pt>
                <c:pt idx="74">
                  <c:v>1.5348682015348694</c:v>
                </c:pt>
                <c:pt idx="75">
                  <c:v>1.5515515515515528</c:v>
                </c:pt>
                <c:pt idx="76">
                  <c:v>1.5682349015682362</c:v>
                </c:pt>
                <c:pt idx="77">
                  <c:v>1.5849182515849196</c:v>
                </c:pt>
                <c:pt idx="78">
                  <c:v>1.601601601601603</c:v>
                </c:pt>
                <c:pt idx="79">
                  <c:v>1.6182849516182864</c:v>
                </c:pt>
                <c:pt idx="80">
                  <c:v>1.6349683016349699</c:v>
                </c:pt>
                <c:pt idx="81">
                  <c:v>1.6516516516516533</c:v>
                </c:pt>
                <c:pt idx="82">
                  <c:v>1.6683350016683367</c:v>
                </c:pt>
                <c:pt idx="83">
                  <c:v>1.6850183516850201</c:v>
                </c:pt>
                <c:pt idx="84">
                  <c:v>1.7017017017017035</c:v>
                </c:pt>
                <c:pt idx="85">
                  <c:v>1.718385051718387</c:v>
                </c:pt>
                <c:pt idx="86">
                  <c:v>1.7350684017350704</c:v>
                </c:pt>
                <c:pt idx="87">
                  <c:v>1.7517517517517538</c:v>
                </c:pt>
                <c:pt idx="88">
                  <c:v>1.7684351017684372</c:v>
                </c:pt>
                <c:pt idx="89">
                  <c:v>1.7851184517851206</c:v>
                </c:pt>
                <c:pt idx="90">
                  <c:v>1.801801801801804</c:v>
                </c:pt>
                <c:pt idx="91">
                  <c:v>1.8184851518184875</c:v>
                </c:pt>
                <c:pt idx="92">
                  <c:v>1.8351685018351709</c:v>
                </c:pt>
                <c:pt idx="93">
                  <c:v>1.8518518518518543</c:v>
                </c:pt>
                <c:pt idx="94">
                  <c:v>1.8685352018685377</c:v>
                </c:pt>
                <c:pt idx="95">
                  <c:v>1.8852185518852211</c:v>
                </c:pt>
                <c:pt idx="96">
                  <c:v>1.9019019019019046</c:v>
                </c:pt>
                <c:pt idx="97">
                  <c:v>1.918585251918588</c:v>
                </c:pt>
                <c:pt idx="98">
                  <c:v>1.9352686019352714</c:v>
                </c:pt>
                <c:pt idx="99">
                  <c:v>1.9519519519519548</c:v>
                </c:pt>
                <c:pt idx="100">
                  <c:v>1.9686353019686382</c:v>
                </c:pt>
                <c:pt idx="101">
                  <c:v>1.9853186519853216</c:v>
                </c:pt>
                <c:pt idx="102">
                  <c:v>2.0020020020020048</c:v>
                </c:pt>
                <c:pt idx="103">
                  <c:v>2.018685352018688</c:v>
                </c:pt>
                <c:pt idx="104">
                  <c:v>2.0353687020353712</c:v>
                </c:pt>
                <c:pt idx="105">
                  <c:v>2.0520520520520544</c:v>
                </c:pt>
                <c:pt idx="106">
                  <c:v>2.0687354020687376</c:v>
                </c:pt>
                <c:pt idx="107">
                  <c:v>2.0854187520854208</c:v>
                </c:pt>
                <c:pt idx="108">
                  <c:v>2.102102102102104</c:v>
                </c:pt>
                <c:pt idx="109">
                  <c:v>2.1187854521187872</c:v>
                </c:pt>
                <c:pt idx="110">
                  <c:v>2.1354688021354704</c:v>
                </c:pt>
                <c:pt idx="111">
                  <c:v>2.1521521521521536</c:v>
                </c:pt>
                <c:pt idx="112">
                  <c:v>2.1688355021688368</c:v>
                </c:pt>
                <c:pt idx="113">
                  <c:v>2.18551885218552</c:v>
                </c:pt>
                <c:pt idx="114">
                  <c:v>2.2022022022022032</c:v>
                </c:pt>
                <c:pt idx="115">
                  <c:v>2.2188855522188864</c:v>
                </c:pt>
                <c:pt idx="116">
                  <c:v>2.2355689022355696</c:v>
                </c:pt>
                <c:pt idx="117">
                  <c:v>2.2522522522522528</c:v>
                </c:pt>
                <c:pt idx="118">
                  <c:v>2.268935602268936</c:v>
                </c:pt>
                <c:pt idx="119">
                  <c:v>2.2856189522856192</c:v>
                </c:pt>
                <c:pt idx="120">
                  <c:v>2.3023023023023024</c:v>
                </c:pt>
                <c:pt idx="121">
                  <c:v>2.3189856523189856</c:v>
                </c:pt>
                <c:pt idx="122">
                  <c:v>2.3356690023356688</c:v>
                </c:pt>
                <c:pt idx="123">
                  <c:v>2.352352352352352</c:v>
                </c:pt>
                <c:pt idx="124">
                  <c:v>2.3690357023690352</c:v>
                </c:pt>
                <c:pt idx="125">
                  <c:v>2.3857190523857184</c:v>
                </c:pt>
                <c:pt idx="126">
                  <c:v>2.4024024024024015</c:v>
                </c:pt>
                <c:pt idx="127">
                  <c:v>2.4190857524190847</c:v>
                </c:pt>
                <c:pt idx="128">
                  <c:v>2.4357691024357679</c:v>
                </c:pt>
                <c:pt idx="129">
                  <c:v>2.4524524524524511</c:v>
                </c:pt>
                <c:pt idx="130">
                  <c:v>2.4691358024691343</c:v>
                </c:pt>
                <c:pt idx="131">
                  <c:v>2.4858191524858175</c:v>
                </c:pt>
                <c:pt idx="132">
                  <c:v>2.5025025025025007</c:v>
                </c:pt>
                <c:pt idx="133">
                  <c:v>2.5191858525191839</c:v>
                </c:pt>
                <c:pt idx="134">
                  <c:v>2.5358692025358671</c:v>
                </c:pt>
                <c:pt idx="135">
                  <c:v>2.5525525525525503</c:v>
                </c:pt>
                <c:pt idx="136">
                  <c:v>2.5692359025692335</c:v>
                </c:pt>
                <c:pt idx="137">
                  <c:v>2.5859192525859167</c:v>
                </c:pt>
                <c:pt idx="138">
                  <c:v>2.6026026026025999</c:v>
                </c:pt>
                <c:pt idx="139">
                  <c:v>2.6192859526192831</c:v>
                </c:pt>
              </c:numCache>
            </c:numRef>
          </c:xVal>
          <c:yVal>
            <c:numRef>
              <c:f>CurveSheet!$AC$2:$AC$398</c:f>
              <c:numCache>
                <c:formatCode>0.00</c:formatCode>
                <c:ptCount val="397"/>
                <c:pt idx="0">
                  <c:v>5.0546624999999965</c:v>
                </c:pt>
                <c:pt idx="1">
                  <c:v>4.9450499999999957</c:v>
                </c:pt>
                <c:pt idx="2">
                  <c:v>4.8257249999999958</c:v>
                </c:pt>
                <c:pt idx="3">
                  <c:v>4.6980749999999958</c:v>
                </c:pt>
                <c:pt idx="4">
                  <c:v>4.5648749999999962</c:v>
                </c:pt>
                <c:pt idx="5">
                  <c:v>4.4298249999999966</c:v>
                </c:pt>
                <c:pt idx="6">
                  <c:v>4.2956999999999965</c:v>
                </c:pt>
                <c:pt idx="7">
                  <c:v>4.1615749999999965</c:v>
                </c:pt>
                <c:pt idx="8">
                  <c:v>4.0260624999999974</c:v>
                </c:pt>
                <c:pt idx="9">
                  <c:v>3.8905499999999975</c:v>
                </c:pt>
                <c:pt idx="10">
                  <c:v>3.7573499999999989</c:v>
                </c:pt>
                <c:pt idx="11">
                  <c:v>3.6297000000000001</c:v>
                </c:pt>
                <c:pt idx="12">
                  <c:v>3.5117625000000019</c:v>
                </c:pt>
                <c:pt idx="13">
                  <c:v>3.4095500000000034</c:v>
                </c:pt>
                <c:pt idx="14">
                  <c:v>3.3295375000000047</c:v>
                </c:pt>
                <c:pt idx="15">
                  <c:v>3.2772750000000062</c:v>
                </c:pt>
                <c:pt idx="16">
                  <c:v>3.2564625000000071</c:v>
                </c:pt>
                <c:pt idx="17">
                  <c:v>3.2652500000000075</c:v>
                </c:pt>
                <c:pt idx="18">
                  <c:v>3.2948500000000087</c:v>
                </c:pt>
                <c:pt idx="19">
                  <c:v>3.3346250000000093</c:v>
                </c:pt>
                <c:pt idx="20">
                  <c:v>3.3771750000000096</c:v>
                </c:pt>
                <c:pt idx="21">
                  <c:v>3.4178750000000093</c:v>
                </c:pt>
                <c:pt idx="22">
                  <c:v>3.4530250000000096</c:v>
                </c:pt>
                <c:pt idx="23">
                  <c:v>3.4812375000000095</c:v>
                </c:pt>
                <c:pt idx="24">
                  <c:v>3.5071375000000091</c:v>
                </c:pt>
                <c:pt idx="25">
                  <c:v>3.5376625000000086</c:v>
                </c:pt>
                <c:pt idx="26">
                  <c:v>3.5765125000000086</c:v>
                </c:pt>
                <c:pt idx="27">
                  <c:v>3.6227625000000088</c:v>
                </c:pt>
                <c:pt idx="28">
                  <c:v>3.673175000000009</c:v>
                </c:pt>
                <c:pt idx="29">
                  <c:v>3.7254375000000088</c:v>
                </c:pt>
                <c:pt idx="30">
                  <c:v>3.7777000000000096</c:v>
                </c:pt>
                <c:pt idx="31">
                  <c:v>3.8290375000000103</c:v>
                </c:pt>
                <c:pt idx="32">
                  <c:v>3.8789875000000102</c:v>
                </c:pt>
                <c:pt idx="33">
                  <c:v>3.9266250000000102</c:v>
                </c:pt>
                <c:pt idx="34">
                  <c:v>3.9714875000000105</c:v>
                </c:pt>
                <c:pt idx="35">
                  <c:v>4.0145000000000097</c:v>
                </c:pt>
                <c:pt idx="36">
                  <c:v>4.0575125000000103</c:v>
                </c:pt>
                <c:pt idx="37">
                  <c:v>4.1014500000000105</c:v>
                </c:pt>
                <c:pt idx="38">
                  <c:v>4.1467750000000088</c:v>
                </c:pt>
                <c:pt idx="39">
                  <c:v>4.1962625000000067</c:v>
                </c:pt>
                <c:pt idx="40">
                  <c:v>4.2531500000000051</c:v>
                </c:pt>
                <c:pt idx="41">
                  <c:v>4.3174375000000031</c:v>
                </c:pt>
                <c:pt idx="42">
                  <c:v>4.3858874999999999</c:v>
                </c:pt>
                <c:pt idx="43">
                  <c:v>4.4543374999999958</c:v>
                </c:pt>
                <c:pt idx="44">
                  <c:v>4.5190874999999915</c:v>
                </c:pt>
                <c:pt idx="45">
                  <c:v>4.5755124999999879</c:v>
                </c:pt>
                <c:pt idx="46">
                  <c:v>4.620374999999985</c:v>
                </c:pt>
                <c:pt idx="47">
                  <c:v>4.6541374999999823</c:v>
                </c:pt>
                <c:pt idx="48">
                  <c:v>4.6795749999999794</c:v>
                </c:pt>
                <c:pt idx="49">
                  <c:v>4.6989999999999794</c:v>
                </c:pt>
                <c:pt idx="50">
                  <c:v>4.7128749999999791</c:v>
                </c:pt>
                <c:pt idx="51">
                  <c:v>4.7216624999999794</c:v>
                </c:pt>
                <c:pt idx="52">
                  <c:v>4.7258249999999791</c:v>
                </c:pt>
                <c:pt idx="53">
                  <c:v>4.7267499999999805</c:v>
                </c:pt>
                <c:pt idx="54">
                  <c:v>4.7267499999999805</c:v>
                </c:pt>
                <c:pt idx="55">
                  <c:v>4.7276749999999801</c:v>
                </c:pt>
                <c:pt idx="56">
                  <c:v>4.7299874999999796</c:v>
                </c:pt>
                <c:pt idx="57">
                  <c:v>4.7336874999999798</c:v>
                </c:pt>
                <c:pt idx="58">
                  <c:v>4.7410874999999804</c:v>
                </c:pt>
                <c:pt idx="59">
                  <c:v>4.753574999999981</c:v>
                </c:pt>
                <c:pt idx="60">
                  <c:v>4.7683749999999812</c:v>
                </c:pt>
                <c:pt idx="61">
                  <c:v>4.7813249999999821</c:v>
                </c:pt>
                <c:pt idx="62">
                  <c:v>4.7924249999999828</c:v>
                </c:pt>
                <c:pt idx="63">
                  <c:v>4.8049124999999826</c:v>
                </c:pt>
                <c:pt idx="64">
                  <c:v>4.8192499999999816</c:v>
                </c:pt>
                <c:pt idx="65">
                  <c:v>4.8331249999999804</c:v>
                </c:pt>
                <c:pt idx="66">
                  <c:v>4.8465374999999788</c:v>
                </c:pt>
                <c:pt idx="67">
                  <c:v>4.8627249999999789</c:v>
                </c:pt>
                <c:pt idx="68">
                  <c:v>4.8830749999999776</c:v>
                </c:pt>
                <c:pt idx="69">
                  <c:v>4.9057374999999785</c:v>
                </c:pt>
                <c:pt idx="70">
                  <c:v>4.9274749999999772</c:v>
                </c:pt>
                <c:pt idx="71">
                  <c:v>4.9459749999999785</c:v>
                </c:pt>
                <c:pt idx="72">
                  <c:v>4.9607749999999777</c:v>
                </c:pt>
                <c:pt idx="73">
                  <c:v>4.9737249999999777</c:v>
                </c:pt>
                <c:pt idx="74">
                  <c:v>4.9885249999999779</c:v>
                </c:pt>
                <c:pt idx="75">
                  <c:v>5.0074874999999786</c:v>
                </c:pt>
                <c:pt idx="76">
                  <c:v>5.0319999999999796</c:v>
                </c:pt>
                <c:pt idx="77">
                  <c:v>5.0648374999999799</c:v>
                </c:pt>
                <c:pt idx="78">
                  <c:v>5.1073874999999802</c:v>
                </c:pt>
                <c:pt idx="79">
                  <c:v>5.1554874999999809</c:v>
                </c:pt>
                <c:pt idx="80">
                  <c:v>5.2017374999999797</c:v>
                </c:pt>
                <c:pt idx="81">
                  <c:v>5.2424374999999799</c:v>
                </c:pt>
                <c:pt idx="82">
                  <c:v>5.2798999999999774</c:v>
                </c:pt>
                <c:pt idx="83">
                  <c:v>5.3164374999999771</c:v>
                </c:pt>
                <c:pt idx="84">
                  <c:v>5.3525124999999774</c:v>
                </c:pt>
                <c:pt idx="85">
                  <c:v>5.3885874999999759</c:v>
                </c:pt>
                <c:pt idx="86">
                  <c:v>5.4255874999999776</c:v>
                </c:pt>
                <c:pt idx="87">
                  <c:v>5.4644374999999785</c:v>
                </c:pt>
                <c:pt idx="88">
                  <c:v>5.5037499999999797</c:v>
                </c:pt>
                <c:pt idx="89">
                  <c:v>5.5407499999999805</c:v>
                </c:pt>
                <c:pt idx="90">
                  <c:v>5.5717374999999798</c:v>
                </c:pt>
                <c:pt idx="91">
                  <c:v>5.5953249999999786</c:v>
                </c:pt>
                <c:pt idx="92">
                  <c:v>5.6138249999999772</c:v>
                </c:pt>
                <c:pt idx="93">
                  <c:v>5.6281624999999762</c:v>
                </c:pt>
                <c:pt idx="94">
                  <c:v>5.6350999999999756</c:v>
                </c:pt>
                <c:pt idx="95">
                  <c:v>5.6304749999999766</c:v>
                </c:pt>
                <c:pt idx="96">
                  <c:v>5.6147499999999795</c:v>
                </c:pt>
                <c:pt idx="97">
                  <c:v>5.590699999999984</c:v>
                </c:pt>
                <c:pt idx="98">
                  <c:v>5.5578624999999882</c:v>
                </c:pt>
                <c:pt idx="99">
                  <c:v>5.5139249999999933</c:v>
                </c:pt>
                <c:pt idx="100">
                  <c:v>5.4598124999999991</c:v>
                </c:pt>
                <c:pt idx="101">
                  <c:v>5.399687500000006</c:v>
                </c:pt>
                <c:pt idx="102">
                  <c:v>5.3354000000000141</c:v>
                </c:pt>
                <c:pt idx="103">
                  <c:v>5.264175000000022</c:v>
                </c:pt>
                <c:pt idx="104">
                  <c:v>5.1827750000000306</c:v>
                </c:pt>
                <c:pt idx="105">
                  <c:v>5.091200000000037</c:v>
                </c:pt>
                <c:pt idx="106">
                  <c:v>4.9913000000000425</c:v>
                </c:pt>
                <c:pt idx="107">
                  <c:v>4.8835375000000454</c:v>
                </c:pt>
                <c:pt idx="108">
                  <c:v>4.7669875000000461</c:v>
                </c:pt>
                <c:pt idx="109">
                  <c:v>4.6421125000000458</c:v>
                </c:pt>
                <c:pt idx="110">
                  <c:v>4.5112250000000449</c:v>
                </c:pt>
                <c:pt idx="111">
                  <c:v>4.3757125000000423</c:v>
                </c:pt>
                <c:pt idx="112">
                  <c:v>4.2351125000000396</c:v>
                </c:pt>
                <c:pt idx="113">
                  <c:v>4.0894250000000367</c:v>
                </c:pt>
                <c:pt idx="114">
                  <c:v>3.9423500000000349</c:v>
                </c:pt>
                <c:pt idx="115">
                  <c:v>3.8008250000000334</c:v>
                </c:pt>
                <c:pt idx="116">
                  <c:v>3.6722500000000324</c:v>
                </c:pt>
                <c:pt idx="117">
                  <c:v>3.5631000000000324</c:v>
                </c:pt>
                <c:pt idx="118">
                  <c:v>3.4770750000000326</c:v>
                </c:pt>
                <c:pt idx="119">
                  <c:v>3.414637500000032</c:v>
                </c:pt>
                <c:pt idx="120">
                  <c:v>3.3725500000000319</c:v>
                </c:pt>
                <c:pt idx="121">
                  <c:v>3.34572500000003</c:v>
                </c:pt>
                <c:pt idx="122">
                  <c:v>3.3290750000000293</c:v>
                </c:pt>
                <c:pt idx="123">
                  <c:v>3.3184375000000284</c:v>
                </c:pt>
                <c:pt idx="124">
                  <c:v>3.3119625000000283</c:v>
                </c:pt>
                <c:pt idx="125">
                  <c:v>3.3101125000000287</c:v>
                </c:pt>
                <c:pt idx="126">
                  <c:v>3.3152000000000288</c:v>
                </c:pt>
                <c:pt idx="127">
                  <c:v>3.3300000000000289</c:v>
                </c:pt>
                <c:pt idx="128">
                  <c:v>3.3568250000000304</c:v>
                </c:pt>
                <c:pt idx="129">
                  <c:v>3.3956750000000309</c:v>
                </c:pt>
                <c:pt idx="130">
                  <c:v>3.4442375000000314</c:v>
                </c:pt>
                <c:pt idx="131">
                  <c:v>3.4988125000000316</c:v>
                </c:pt>
                <c:pt idx="132">
                  <c:v>3.5557000000000323</c:v>
                </c:pt>
                <c:pt idx="133">
                  <c:v>3.6107375000000341</c:v>
                </c:pt>
                <c:pt idx="134">
                  <c:v>3.6597625000000349</c:v>
                </c:pt>
                <c:pt idx="135">
                  <c:v>3.7023125000000365</c:v>
                </c:pt>
                <c:pt idx="136">
                  <c:v>3.7416250000000368</c:v>
                </c:pt>
                <c:pt idx="137">
                  <c:v>3.7823250000000379</c:v>
                </c:pt>
                <c:pt idx="138">
                  <c:v>3.8267250000000383</c:v>
                </c:pt>
                <c:pt idx="139">
                  <c:v>3.875287500000038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4C0-40EE-809E-CAB0EAD4E7EB}"/>
            </c:ext>
          </c:extLst>
        </c:ser>
        <c:ser>
          <c:idx val="19"/>
          <c:order val="14"/>
          <c:tx>
            <c:v>hands over knees</c:v>
          </c:tx>
          <c:spPr>
            <a:ln w="12700" cap="rnd">
              <a:solidFill>
                <a:srgbClr val="002060">
                  <a:alpha val="91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002060">
                    <a:alpha val="91000"/>
                  </a:srgb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4C0-40EE-809E-CAB0EAD4E7EB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25</c:v>
              </c:pt>
              <c:pt idx="1">
                <c:v>-5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B-94C0-40EE-809E-CAB0EAD4E7EB}"/>
            </c:ext>
          </c:extLst>
        </c:ser>
        <c:ser>
          <c:idx val="20"/>
          <c:order val="15"/>
          <c:tx>
            <c:v>knees 90</c:v>
          </c:tx>
          <c:spPr>
            <a:ln w="12700" cap="rnd">
              <a:solidFill>
                <a:srgbClr val="002060">
                  <a:alpha val="91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25</c:v>
              </c:pt>
              <c:pt idx="1">
                <c:v>-5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C-94C0-40EE-809E-CAB0EAD4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513080"/>
        <c:axId val="401510128"/>
        <c:extLst/>
      </c:scatterChart>
      <c:scatterChart>
        <c:scatterStyle val="lineMarker"/>
        <c:varyColors val="0"/>
        <c:ser>
          <c:idx val="9"/>
          <c:order val="3"/>
          <c:tx>
            <c:strRef>
              <c:f>CurveSheet!$AD$1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25400" cap="rnd">
              <a:solidFill>
                <a:srgbClr val="33CC3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CurveSheet!$AA$2:$AA$398</c:f>
              <c:numCache>
                <c:formatCode>0.00</c:formatCode>
                <c:ptCount val="397"/>
                <c:pt idx="0">
                  <c:v>0.30030030030030042</c:v>
                </c:pt>
                <c:pt idx="1">
                  <c:v>0.31698365031698378</c:v>
                </c:pt>
                <c:pt idx="2">
                  <c:v>0.33366700033366714</c:v>
                </c:pt>
                <c:pt idx="3">
                  <c:v>0.3503503503503505</c:v>
                </c:pt>
                <c:pt idx="4">
                  <c:v>0.36703370036703387</c:v>
                </c:pt>
                <c:pt idx="5">
                  <c:v>0.38371705038371723</c:v>
                </c:pt>
                <c:pt idx="6">
                  <c:v>0.40040040040040059</c:v>
                </c:pt>
                <c:pt idx="7">
                  <c:v>0.41708375041708395</c:v>
                </c:pt>
                <c:pt idx="8">
                  <c:v>0.43376710043376732</c:v>
                </c:pt>
                <c:pt idx="9">
                  <c:v>0.45045045045045068</c:v>
                </c:pt>
                <c:pt idx="10">
                  <c:v>0.46713380046713404</c:v>
                </c:pt>
                <c:pt idx="11">
                  <c:v>0.4838171504838174</c:v>
                </c:pt>
                <c:pt idx="12">
                  <c:v>0.50050050050050077</c:v>
                </c:pt>
                <c:pt idx="13">
                  <c:v>0.51718385051718407</c:v>
                </c:pt>
                <c:pt idx="14">
                  <c:v>0.53386720053386738</c:v>
                </c:pt>
                <c:pt idx="15">
                  <c:v>0.55055055055055069</c:v>
                </c:pt>
                <c:pt idx="16">
                  <c:v>0.567233900567234</c:v>
                </c:pt>
                <c:pt idx="17">
                  <c:v>0.5839172505839173</c:v>
                </c:pt>
                <c:pt idx="18">
                  <c:v>0.60060060060060061</c:v>
                </c:pt>
                <c:pt idx="19">
                  <c:v>0.61728395061728392</c:v>
                </c:pt>
                <c:pt idx="20">
                  <c:v>0.63396730063396722</c:v>
                </c:pt>
                <c:pt idx="21">
                  <c:v>0.65065065065065053</c:v>
                </c:pt>
                <c:pt idx="22">
                  <c:v>0.66733400066733384</c:v>
                </c:pt>
                <c:pt idx="23">
                  <c:v>0.68401735068401714</c:v>
                </c:pt>
                <c:pt idx="24">
                  <c:v>0.70070070070070045</c:v>
                </c:pt>
                <c:pt idx="25">
                  <c:v>0.71738405071738376</c:v>
                </c:pt>
                <c:pt idx="26">
                  <c:v>0.73406740073406707</c:v>
                </c:pt>
                <c:pt idx="27">
                  <c:v>0.75075075075075037</c:v>
                </c:pt>
                <c:pt idx="28">
                  <c:v>0.76743410076743368</c:v>
                </c:pt>
                <c:pt idx="29">
                  <c:v>0.78411745078411699</c:v>
                </c:pt>
                <c:pt idx="30">
                  <c:v>0.80080080080080029</c:v>
                </c:pt>
                <c:pt idx="31">
                  <c:v>0.8174841508174836</c:v>
                </c:pt>
                <c:pt idx="32">
                  <c:v>0.83416750083416691</c:v>
                </c:pt>
                <c:pt idx="33">
                  <c:v>0.85085085085085022</c:v>
                </c:pt>
                <c:pt idx="34">
                  <c:v>0.86753420086753352</c:v>
                </c:pt>
                <c:pt idx="35">
                  <c:v>0.88421755088421683</c:v>
                </c:pt>
                <c:pt idx="36">
                  <c:v>0.90090090090090014</c:v>
                </c:pt>
                <c:pt idx="37">
                  <c:v>0.91758425091758344</c:v>
                </c:pt>
                <c:pt idx="38">
                  <c:v>0.93426760093426675</c:v>
                </c:pt>
                <c:pt idx="39">
                  <c:v>0.95095095095095006</c:v>
                </c:pt>
                <c:pt idx="40">
                  <c:v>0.96763430096763337</c:v>
                </c:pt>
                <c:pt idx="41">
                  <c:v>0.98431765098431667</c:v>
                </c:pt>
                <c:pt idx="42">
                  <c:v>1.001001001001</c:v>
                </c:pt>
                <c:pt idx="43">
                  <c:v>1.0176843510176834</c:v>
                </c:pt>
                <c:pt idx="44">
                  <c:v>1.0343677010343668</c:v>
                </c:pt>
                <c:pt idx="45">
                  <c:v>1.0510510510510502</c:v>
                </c:pt>
                <c:pt idx="46">
                  <c:v>1.0677344010677337</c:v>
                </c:pt>
                <c:pt idx="47">
                  <c:v>1.0844177510844171</c:v>
                </c:pt>
                <c:pt idx="48">
                  <c:v>1.1011011011011005</c:v>
                </c:pt>
                <c:pt idx="49">
                  <c:v>1.1177844511177839</c:v>
                </c:pt>
                <c:pt idx="50">
                  <c:v>1.1344678011344673</c:v>
                </c:pt>
                <c:pt idx="51">
                  <c:v>1.1511511511511507</c:v>
                </c:pt>
                <c:pt idx="52">
                  <c:v>1.1678345011678342</c:v>
                </c:pt>
                <c:pt idx="53">
                  <c:v>1.1845178511845176</c:v>
                </c:pt>
                <c:pt idx="54">
                  <c:v>1.201201201201201</c:v>
                </c:pt>
                <c:pt idx="55">
                  <c:v>1.2178845512178844</c:v>
                </c:pt>
                <c:pt idx="56">
                  <c:v>1.2345679012345678</c:v>
                </c:pt>
                <c:pt idx="57">
                  <c:v>1.2512512512512513</c:v>
                </c:pt>
                <c:pt idx="58">
                  <c:v>1.2679346012679347</c:v>
                </c:pt>
                <c:pt idx="59">
                  <c:v>1.2846179512846181</c:v>
                </c:pt>
                <c:pt idx="60">
                  <c:v>1.3013013013013015</c:v>
                </c:pt>
                <c:pt idx="61">
                  <c:v>1.3179846513179849</c:v>
                </c:pt>
                <c:pt idx="62">
                  <c:v>1.3346680013346683</c:v>
                </c:pt>
                <c:pt idx="63">
                  <c:v>1.3513513513513518</c:v>
                </c:pt>
                <c:pt idx="64">
                  <c:v>1.3680347013680352</c:v>
                </c:pt>
                <c:pt idx="65">
                  <c:v>1.3847180513847186</c:v>
                </c:pt>
                <c:pt idx="66">
                  <c:v>1.401401401401402</c:v>
                </c:pt>
                <c:pt idx="67">
                  <c:v>1.4180847514180854</c:v>
                </c:pt>
                <c:pt idx="68">
                  <c:v>1.4347681014347688</c:v>
                </c:pt>
                <c:pt idx="69">
                  <c:v>1.4514514514514523</c:v>
                </c:pt>
                <c:pt idx="70">
                  <c:v>1.4681348014681357</c:v>
                </c:pt>
                <c:pt idx="71">
                  <c:v>1.4848181514848191</c:v>
                </c:pt>
                <c:pt idx="72">
                  <c:v>1.5015015015015025</c:v>
                </c:pt>
                <c:pt idx="73">
                  <c:v>1.5181848515181859</c:v>
                </c:pt>
                <c:pt idx="74">
                  <c:v>1.5348682015348694</c:v>
                </c:pt>
                <c:pt idx="75">
                  <c:v>1.5515515515515528</c:v>
                </c:pt>
                <c:pt idx="76">
                  <c:v>1.5682349015682362</c:v>
                </c:pt>
                <c:pt idx="77">
                  <c:v>1.5849182515849196</c:v>
                </c:pt>
                <c:pt idx="78">
                  <c:v>1.601601601601603</c:v>
                </c:pt>
                <c:pt idx="79">
                  <c:v>1.6182849516182864</c:v>
                </c:pt>
                <c:pt idx="80">
                  <c:v>1.6349683016349699</c:v>
                </c:pt>
                <c:pt idx="81">
                  <c:v>1.6516516516516533</c:v>
                </c:pt>
                <c:pt idx="82">
                  <c:v>1.6683350016683367</c:v>
                </c:pt>
                <c:pt idx="83">
                  <c:v>1.6850183516850201</c:v>
                </c:pt>
                <c:pt idx="84">
                  <c:v>1.7017017017017035</c:v>
                </c:pt>
                <c:pt idx="85">
                  <c:v>1.718385051718387</c:v>
                </c:pt>
                <c:pt idx="86">
                  <c:v>1.7350684017350704</c:v>
                </c:pt>
                <c:pt idx="87">
                  <c:v>1.7517517517517538</c:v>
                </c:pt>
                <c:pt idx="88">
                  <c:v>1.7684351017684372</c:v>
                </c:pt>
                <c:pt idx="89">
                  <c:v>1.7851184517851206</c:v>
                </c:pt>
                <c:pt idx="90">
                  <c:v>1.801801801801804</c:v>
                </c:pt>
                <c:pt idx="91">
                  <c:v>1.8184851518184875</c:v>
                </c:pt>
                <c:pt idx="92">
                  <c:v>1.8351685018351709</c:v>
                </c:pt>
                <c:pt idx="93">
                  <c:v>1.8518518518518543</c:v>
                </c:pt>
                <c:pt idx="94">
                  <c:v>1.8685352018685377</c:v>
                </c:pt>
                <c:pt idx="95">
                  <c:v>1.8852185518852211</c:v>
                </c:pt>
                <c:pt idx="96">
                  <c:v>1.9019019019019046</c:v>
                </c:pt>
                <c:pt idx="97">
                  <c:v>1.918585251918588</c:v>
                </c:pt>
                <c:pt idx="98">
                  <c:v>1.9352686019352714</c:v>
                </c:pt>
                <c:pt idx="99">
                  <c:v>1.9519519519519548</c:v>
                </c:pt>
                <c:pt idx="100">
                  <c:v>1.9686353019686382</c:v>
                </c:pt>
                <c:pt idx="101">
                  <c:v>1.9853186519853216</c:v>
                </c:pt>
                <c:pt idx="102">
                  <c:v>2.0020020020020048</c:v>
                </c:pt>
                <c:pt idx="103">
                  <c:v>2.018685352018688</c:v>
                </c:pt>
                <c:pt idx="104">
                  <c:v>2.0353687020353712</c:v>
                </c:pt>
                <c:pt idx="105">
                  <c:v>2.0520520520520544</c:v>
                </c:pt>
                <c:pt idx="106">
                  <c:v>2.0687354020687376</c:v>
                </c:pt>
                <c:pt idx="107">
                  <c:v>2.0854187520854208</c:v>
                </c:pt>
                <c:pt idx="108">
                  <c:v>2.102102102102104</c:v>
                </c:pt>
                <c:pt idx="109">
                  <c:v>2.1187854521187872</c:v>
                </c:pt>
                <c:pt idx="110">
                  <c:v>2.1354688021354704</c:v>
                </c:pt>
                <c:pt idx="111">
                  <c:v>2.1521521521521536</c:v>
                </c:pt>
                <c:pt idx="112">
                  <c:v>2.1688355021688368</c:v>
                </c:pt>
                <c:pt idx="113">
                  <c:v>2.18551885218552</c:v>
                </c:pt>
                <c:pt idx="114">
                  <c:v>2.2022022022022032</c:v>
                </c:pt>
                <c:pt idx="115">
                  <c:v>2.2188855522188864</c:v>
                </c:pt>
                <c:pt idx="116">
                  <c:v>2.2355689022355696</c:v>
                </c:pt>
                <c:pt idx="117">
                  <c:v>2.2522522522522528</c:v>
                </c:pt>
                <c:pt idx="118">
                  <c:v>2.268935602268936</c:v>
                </c:pt>
                <c:pt idx="119">
                  <c:v>2.2856189522856192</c:v>
                </c:pt>
                <c:pt idx="120">
                  <c:v>2.3023023023023024</c:v>
                </c:pt>
                <c:pt idx="121">
                  <c:v>2.3189856523189856</c:v>
                </c:pt>
                <c:pt idx="122">
                  <c:v>2.3356690023356688</c:v>
                </c:pt>
                <c:pt idx="123">
                  <c:v>2.352352352352352</c:v>
                </c:pt>
                <c:pt idx="124">
                  <c:v>2.3690357023690352</c:v>
                </c:pt>
                <c:pt idx="125">
                  <c:v>2.3857190523857184</c:v>
                </c:pt>
                <c:pt idx="126">
                  <c:v>2.4024024024024015</c:v>
                </c:pt>
                <c:pt idx="127">
                  <c:v>2.4190857524190847</c:v>
                </c:pt>
                <c:pt idx="128">
                  <c:v>2.4357691024357679</c:v>
                </c:pt>
                <c:pt idx="129">
                  <c:v>2.4524524524524511</c:v>
                </c:pt>
                <c:pt idx="130">
                  <c:v>2.4691358024691343</c:v>
                </c:pt>
                <c:pt idx="131">
                  <c:v>2.4858191524858175</c:v>
                </c:pt>
                <c:pt idx="132">
                  <c:v>2.5025025025025007</c:v>
                </c:pt>
                <c:pt idx="133">
                  <c:v>2.5191858525191839</c:v>
                </c:pt>
                <c:pt idx="134">
                  <c:v>2.5358692025358671</c:v>
                </c:pt>
                <c:pt idx="135">
                  <c:v>2.5525525525525503</c:v>
                </c:pt>
                <c:pt idx="136">
                  <c:v>2.5692359025692335</c:v>
                </c:pt>
                <c:pt idx="137">
                  <c:v>2.5859192525859167</c:v>
                </c:pt>
                <c:pt idx="138">
                  <c:v>2.6026026026025999</c:v>
                </c:pt>
                <c:pt idx="139">
                  <c:v>2.6192859526192831</c:v>
                </c:pt>
              </c:numCache>
            </c:numRef>
          </c:xVal>
          <c:yVal>
            <c:numRef>
              <c:f>CurveSheet!$AD$2:$AD$398</c:f>
              <c:numCache>
                <c:formatCode>0.00</c:formatCode>
                <c:ptCount val="397"/>
                <c:pt idx="2">
                  <c:v>-7.1246182500000268</c:v>
                </c:pt>
                <c:pt idx="3">
                  <c:v>-7.5958965000000198</c:v>
                </c:pt>
                <c:pt idx="4">
                  <c:v>-7.9100819999999077</c:v>
                </c:pt>
                <c:pt idx="5">
                  <c:v>-8.039452500000051</c:v>
                </c:pt>
                <c:pt idx="6">
                  <c:v>-8.0579339999999711</c:v>
                </c:pt>
                <c:pt idx="7">
                  <c:v>-8.0671747499999586</c:v>
                </c:pt>
                <c:pt idx="8">
                  <c:v>-8.0948969999999747</c:v>
                </c:pt>
                <c:pt idx="9">
                  <c:v>-8.0764154999999462</c:v>
                </c:pt>
                <c:pt idx="10">
                  <c:v>-7.9193227499999752</c:v>
                </c:pt>
                <c:pt idx="11">
                  <c:v>-7.5681742499998981</c:v>
                </c:pt>
                <c:pt idx="12">
                  <c:v>-6.949043999999895</c:v>
                </c:pt>
                <c:pt idx="13">
                  <c:v>-5.997246749999916</c:v>
                </c:pt>
                <c:pt idx="14">
                  <c:v>-4.6850602499999532</c:v>
                </c:pt>
                <c:pt idx="15">
                  <c:v>-3.0586882499999155</c:v>
                </c:pt>
                <c:pt idx="16">
                  <c:v>-1.2844642499999468</c:v>
                </c:pt>
                <c:pt idx="17">
                  <c:v>0.35114850000005204</c:v>
                </c:pt>
                <c:pt idx="18">
                  <c:v>1.5616867500000466</c:v>
                </c:pt>
                <c:pt idx="19">
                  <c:v>2.2362615000000288</c:v>
                </c:pt>
                <c:pt idx="20">
                  <c:v>2.4580395000000186</c:v>
                </c:pt>
                <c:pt idx="21">
                  <c:v>2.3656320000000384</c:v>
                </c:pt>
                <c:pt idx="22">
                  <c:v>2.0791687499999778</c:v>
                </c:pt>
                <c:pt idx="23">
                  <c:v>1.7834647500000094</c:v>
                </c:pt>
                <c:pt idx="24">
                  <c:v>1.6910572500000027</c:v>
                </c:pt>
                <c:pt idx="25">
                  <c:v>1.9035944999999783</c:v>
                </c:pt>
                <c:pt idx="26">
                  <c:v>2.3101875000000076</c:v>
                </c:pt>
                <c:pt idx="27">
                  <c:v>2.7075397500000231</c:v>
                </c:pt>
                <c:pt idx="28">
                  <c:v>2.9755215000000028</c:v>
                </c:pt>
                <c:pt idx="29">
                  <c:v>3.0956512500000248</c:v>
                </c:pt>
                <c:pt idx="30">
                  <c:v>3.1141327500000529</c:v>
                </c:pt>
                <c:pt idx="31">
                  <c:v>3.0679290000000092</c:v>
                </c:pt>
                <c:pt idx="32">
                  <c:v>2.9755215000000295</c:v>
                </c:pt>
                <c:pt idx="33">
                  <c:v>2.8461509999999932</c:v>
                </c:pt>
                <c:pt idx="34">
                  <c:v>2.7075397499999965</c:v>
                </c:pt>
                <c:pt idx="35">
                  <c:v>2.6151322499999901</c:v>
                </c:pt>
                <c:pt idx="36">
                  <c:v>2.5966507500000686</c:v>
                </c:pt>
                <c:pt idx="37">
                  <c:v>2.6428544999999519</c:v>
                </c:pt>
                <c:pt idx="38">
                  <c:v>2.7722249999999349</c:v>
                </c:pt>
                <c:pt idx="39">
                  <c:v>3.0309659999999004</c:v>
                </c:pt>
                <c:pt idx="40">
                  <c:v>3.4098367499999145</c:v>
                </c:pt>
                <c:pt idx="41">
                  <c:v>3.7887074999998753</c:v>
                </c:pt>
                <c:pt idx="42">
                  <c:v>4.0197262499998256</c:v>
                </c:pt>
                <c:pt idx="43">
                  <c:v>4.0289669999997324</c:v>
                </c:pt>
                <c:pt idx="44">
                  <c:v>3.7887074999997434</c:v>
                </c:pt>
                <c:pt idx="45">
                  <c:v>3.3174292499997526</c:v>
                </c:pt>
                <c:pt idx="46">
                  <c:v>2.6982989999998583</c:v>
                </c:pt>
                <c:pt idx="47">
                  <c:v>2.0791687499998042</c:v>
                </c:pt>
                <c:pt idx="48">
                  <c:v>1.5709274999998639</c:v>
                </c:pt>
                <c:pt idx="49">
                  <c:v>1.1735752499999308</c:v>
                </c:pt>
                <c:pt idx="50">
                  <c:v>0.84090825000001546</c:v>
                </c:pt>
                <c:pt idx="51">
                  <c:v>0.53596349999995541</c:v>
                </c:pt>
                <c:pt idx="52">
                  <c:v>0.27722250000004489</c:v>
                </c:pt>
                <c:pt idx="53">
                  <c:v>0.10164825000007324</c:v>
                </c:pt>
                <c:pt idx="54">
                  <c:v>3.6962999999949196E-2</c:v>
                </c:pt>
                <c:pt idx="55">
                  <c:v>6.4685250000017569E-2</c:v>
                </c:pt>
                <c:pt idx="56">
                  <c:v>0.13861124999996918</c:v>
                </c:pt>
                <c:pt idx="57">
                  <c:v>0.26798175000000435</c:v>
                </c:pt>
                <c:pt idx="58">
                  <c:v>0.47127825000004431</c:v>
                </c:pt>
                <c:pt idx="59">
                  <c:v>0.6930562500000057</c:v>
                </c:pt>
                <c:pt idx="60">
                  <c:v>0.80394525000001293</c:v>
                </c:pt>
                <c:pt idx="61">
                  <c:v>0.77622300000005107</c:v>
                </c:pt>
                <c:pt idx="62">
                  <c:v>0.73001925000000811</c:v>
                </c:pt>
                <c:pt idx="63">
                  <c:v>0.75774150000002327</c:v>
                </c:pt>
                <c:pt idx="64">
                  <c:v>0.81318599999994701</c:v>
                </c:pt>
                <c:pt idx="65">
                  <c:v>0.83166749999992162</c:v>
                </c:pt>
                <c:pt idx="66">
                  <c:v>0.86863049999997732</c:v>
                </c:pt>
                <c:pt idx="67">
                  <c:v>0.99800099999990599</c:v>
                </c:pt>
                <c:pt idx="68">
                  <c:v>1.1828159999999714</c:v>
                </c:pt>
                <c:pt idx="69">
                  <c:v>1.2937049999999255</c:v>
                </c:pt>
                <c:pt idx="70">
                  <c:v>1.2567420000000826</c:v>
                </c:pt>
                <c:pt idx="71">
                  <c:v>1.099649249999926</c:v>
                </c:pt>
                <c:pt idx="72">
                  <c:v>0.92407500000000764</c:v>
                </c:pt>
                <c:pt idx="73">
                  <c:v>0.85014900000000271</c:v>
                </c:pt>
                <c:pt idx="74">
                  <c:v>0.93331574999999489</c:v>
                </c:pt>
                <c:pt idx="75">
                  <c:v>1.16433450000005</c:v>
                </c:pt>
                <c:pt idx="76">
                  <c:v>1.5247237500000339</c:v>
                </c:pt>
                <c:pt idx="77">
                  <c:v>1.9960020000000249</c:v>
                </c:pt>
                <c:pt idx="78">
                  <c:v>2.4672802500000159</c:v>
                </c:pt>
                <c:pt idx="79">
                  <c:v>2.7352619999999672</c:v>
                </c:pt>
                <c:pt idx="80">
                  <c:v>2.6982990000000178</c:v>
                </c:pt>
                <c:pt idx="81">
                  <c:v>2.4857617499998841</c:v>
                </c:pt>
                <c:pt idx="82">
                  <c:v>2.2917059999999378</c:v>
                </c:pt>
                <c:pt idx="83">
                  <c:v>2.1992984999999585</c:v>
                </c:pt>
                <c:pt idx="84">
                  <c:v>2.1715762499999967</c:v>
                </c:pt>
                <c:pt idx="85">
                  <c:v>2.1808169999999838</c:v>
                </c:pt>
                <c:pt idx="86">
                  <c:v>2.2362614999999608</c:v>
                </c:pt>
                <c:pt idx="87">
                  <c:v>2.3009467500000849</c:v>
                </c:pt>
                <c:pt idx="88">
                  <c:v>2.3009467500000316</c:v>
                </c:pt>
                <c:pt idx="89">
                  <c:v>2.1438540000000348</c:v>
                </c:pt>
                <c:pt idx="90">
                  <c:v>1.8296684999999873</c:v>
                </c:pt>
                <c:pt idx="91">
                  <c:v>1.4600384999999099</c:v>
                </c:pt>
                <c:pt idx="92">
                  <c:v>1.1273714999999411</c:v>
                </c:pt>
                <c:pt idx="93">
                  <c:v>0.7947044999999725</c:v>
                </c:pt>
                <c:pt idx="94">
                  <c:v>0.33266699999996868</c:v>
                </c:pt>
                <c:pt idx="95">
                  <c:v>-0.26798174999995111</c:v>
                </c:pt>
                <c:pt idx="96">
                  <c:v>-0.88711199999984547</c:v>
                </c:pt>
                <c:pt idx="97">
                  <c:v>-1.4507977499997629</c:v>
                </c:pt>
                <c:pt idx="98">
                  <c:v>-2.0144834999996801</c:v>
                </c:pt>
                <c:pt idx="99">
                  <c:v>-2.6151322499997063</c:v>
                </c:pt>
                <c:pt idx="100">
                  <c:v>-3.1603364999996488</c:v>
                </c:pt>
                <c:pt idx="101">
                  <c:v>-3.5669294999995693</c:v>
                </c:pt>
                <c:pt idx="102">
                  <c:v>-3.9088372499995239</c:v>
                </c:pt>
                <c:pt idx="103">
                  <c:v>-4.3339117499995314</c:v>
                </c:pt>
                <c:pt idx="104">
                  <c:v>-4.879115999999641</c:v>
                </c:pt>
                <c:pt idx="105">
                  <c:v>-5.4520424999996591</c:v>
                </c:pt>
                <c:pt idx="106">
                  <c:v>-5.978765249999741</c:v>
                </c:pt>
                <c:pt idx="107">
                  <c:v>-6.4777657499999135</c:v>
                </c:pt>
                <c:pt idx="108">
                  <c:v>-6.9767662499999794</c:v>
                </c:pt>
                <c:pt idx="109">
                  <c:v>-7.4388037500000426</c:v>
                </c:pt>
                <c:pt idx="110">
                  <c:v>-7.8176745000001659</c:v>
                </c:pt>
                <c:pt idx="111">
                  <c:v>-8.1318600000002181</c:v>
                </c:pt>
                <c:pt idx="112">
                  <c:v>-8.4275640000002419</c:v>
                </c:pt>
                <c:pt idx="113">
                  <c:v>-8.6585827500001926</c:v>
                </c:pt>
                <c:pt idx="114">
                  <c:v>-8.6770642500002477</c:v>
                </c:pt>
                <c:pt idx="115">
                  <c:v>-8.3351565000001546</c:v>
                </c:pt>
                <c:pt idx="116">
                  <c:v>-7.5774150000001201</c:v>
                </c:pt>
                <c:pt idx="117">
                  <c:v>-6.4685250000000591</c:v>
                </c:pt>
                <c:pt idx="118">
                  <c:v>-5.1470977500000483</c:v>
                </c:pt>
                <c:pt idx="119">
                  <c:v>-3.8071890000000352</c:v>
                </c:pt>
                <c:pt idx="120">
                  <c:v>-2.6243730000001011</c:v>
                </c:pt>
                <c:pt idx="121">
                  <c:v>-1.7095387500000421</c:v>
                </c:pt>
                <c:pt idx="122">
                  <c:v>-1.0811677500000989</c:v>
                </c:pt>
                <c:pt idx="123">
                  <c:v>-0.67457475000004008</c:v>
                </c:pt>
                <c:pt idx="124">
                  <c:v>-0.37887075000001669</c:v>
                </c:pt>
                <c:pt idx="125">
                  <c:v>-6.4685249999965194E-2</c:v>
                </c:pt>
                <c:pt idx="126">
                  <c:v>0.36038924999998861</c:v>
                </c:pt>
                <c:pt idx="127">
                  <c:v>0.93331575000006051</c:v>
                </c:pt>
                <c:pt idx="128">
                  <c:v>1.6078905000000474</c:v>
                </c:pt>
                <c:pt idx="129">
                  <c:v>2.2824652500000875</c:v>
                </c:pt>
                <c:pt idx="130">
                  <c:v>2.8369102500000247</c:v>
                </c:pt>
                <c:pt idx="131">
                  <c:v>3.1972995000000668</c:v>
                </c:pt>
                <c:pt idx="132">
                  <c:v>3.3266700000000768</c:v>
                </c:pt>
                <c:pt idx="133">
                  <c:v>3.2157810000000948</c:v>
                </c:pt>
                <c:pt idx="134">
                  <c:v>2.9293177500001386</c:v>
                </c:pt>
                <c:pt idx="135">
                  <c:v>2.6151322500000607</c:v>
                </c:pt>
                <c:pt idx="136">
                  <c:v>2.4487987500000741</c:v>
                </c:pt>
                <c:pt idx="137">
                  <c:v>2.4857617500000502</c:v>
                </c:pt>
                <c:pt idx="138">
                  <c:v>2.6705767500000648</c:v>
                </c:pt>
                <c:pt idx="139">
                  <c:v>2.9200770000000182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4C0-40EE-809E-CAB0EAD4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12920"/>
        <c:axId val="431110952"/>
      </c:scatterChart>
      <c:valAx>
        <c:axId val="401513080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1">
                    <a:solidFill>
                      <a:sysClr val="windowText" lastClr="000000"/>
                    </a:solidFill>
                  </a:rPr>
                  <a:t>TIME</a:t>
                </a:r>
                <a:r>
                  <a:rPr lang="en-CA" sz="1200" b="1" baseline="0">
                    <a:solidFill>
                      <a:sysClr val="windowText" lastClr="000000"/>
                    </a:solidFill>
                  </a:rPr>
                  <a:t> (sec)</a:t>
                </a:r>
                <a:endParaRPr lang="en-CA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1955830878789868"/>
              <c:y val="0.94312201849091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A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510128"/>
        <c:crosses val="autoZero"/>
        <c:crossBetween val="midCat"/>
        <c:majorUnit val="0.5"/>
      </c:valAx>
      <c:valAx>
        <c:axId val="401510128"/>
        <c:scaling>
          <c:orientation val="minMax"/>
          <c:max val="6"/>
          <c:min val="3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4472C4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1">
                    <a:solidFill>
                      <a:srgbClr val="0000FF"/>
                    </a:solidFill>
                  </a:rPr>
                  <a:t>BOAT </a:t>
                </a:r>
                <a:r>
                  <a:rPr lang="en-CA" sz="1200" b="1" baseline="0">
                    <a:solidFill>
                      <a:srgbClr val="0000FF"/>
                    </a:solidFill>
                  </a:rPr>
                  <a:t> SPEED  (m/s)</a:t>
                </a:r>
                <a:endParaRPr lang="en-CA" sz="1200" b="1">
                  <a:solidFill>
                    <a:srgbClr val="0000FF"/>
                  </a:solidFill>
                </a:endParaRPr>
              </a:p>
            </c:rich>
          </c:tx>
          <c:layout>
            <c:manualLayout>
              <c:xMode val="edge"/>
              <c:yMode val="edge"/>
              <c:x val="3.5216725554362827E-4"/>
              <c:y val="0.34543898369778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4472C4"/>
                  </a:solidFill>
                  <a:latin typeface="+mn-lt"/>
                  <a:ea typeface="+mn-ea"/>
                  <a:cs typeface="+mn-cs"/>
                </a:defRPr>
              </a:pPr>
              <a:endParaRPr lang="en-CA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15875" cap="flat" cmpd="sng" algn="ctr">
            <a:solidFill>
              <a:srgbClr val="0000F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513080"/>
        <c:crosses val="autoZero"/>
        <c:crossBetween val="midCat"/>
      </c:valAx>
      <c:valAx>
        <c:axId val="431110952"/>
        <c:scaling>
          <c:orientation val="minMax"/>
          <c:max val="25"/>
          <c:min val="-12.5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15875" cap="flat" cmpd="sng" algn="ctr">
            <a:solidFill>
              <a:srgbClr val="33CC3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33CC3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12920"/>
        <c:crosses val="max"/>
        <c:crossBetween val="midCat"/>
        <c:majorUnit val="6.25"/>
        <c:minorUnit val="1.25"/>
      </c:valAx>
      <c:valAx>
        <c:axId val="43111292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3111095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84112406024817254"/>
          <c:y val="1.432231949649815E-2"/>
          <c:w val="0.15133118863250752"/>
          <c:h val="0.2613690657649055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45136</xdr:colOff>
      <xdr:row>1</xdr:row>
      <xdr:rowOff>34018</xdr:rowOff>
    </xdr:from>
    <xdr:to>
      <xdr:col>11</xdr:col>
      <xdr:colOff>586767</xdr:colOff>
      <xdr:row>22</xdr:row>
      <xdr:rowOff>153993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1E3BF1-E959-46DB-BACA-11252206D7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12704</xdr:colOff>
      <xdr:row>45</xdr:row>
      <xdr:rowOff>4536</xdr:rowOff>
    </xdr:from>
    <xdr:to>
      <xdr:col>1</xdr:col>
      <xdr:colOff>158750</xdr:colOff>
      <xdr:row>46</xdr:row>
      <xdr:rowOff>174625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6A957C0-7E1B-4995-8831-993A8CA28B91}"/>
            </a:ext>
          </a:extLst>
        </xdr:cNvPr>
        <xdr:cNvSpPr txBox="1">
          <a:spLocks/>
        </xdr:cNvSpPr>
      </xdr:nvSpPr>
      <xdr:spPr>
        <a:xfrm rot="16200000">
          <a:off x="534083" y="8768672"/>
          <a:ext cx="355146" cy="146046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CATCH</a:t>
          </a:r>
        </a:p>
      </xdr:txBody>
    </xdr:sp>
    <xdr:clientData/>
  </xdr:twoCellAnchor>
  <xdr:twoCellAnchor>
    <xdr:from>
      <xdr:col>1</xdr:col>
      <xdr:colOff>257575</xdr:colOff>
      <xdr:row>172</xdr:row>
      <xdr:rowOff>18584</xdr:rowOff>
    </xdr:from>
    <xdr:to>
      <xdr:col>1</xdr:col>
      <xdr:colOff>491788</xdr:colOff>
      <xdr:row>179</xdr:row>
      <xdr:rowOff>183006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A426B8B-8D33-4354-861E-B3A554F9D54B}"/>
            </a:ext>
          </a:extLst>
        </xdr:cNvPr>
        <xdr:cNvSpPr txBox="1"/>
      </xdr:nvSpPr>
      <xdr:spPr>
        <a:xfrm rot="16200000">
          <a:off x="265257" y="33397388"/>
          <a:ext cx="1470708" cy="23421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Full Phase Cycle</a:t>
          </a:r>
          <a:r>
            <a:rPr lang="en-CA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(Feth-F</a:t>
          </a:r>
          <a:r>
            <a:rPr lang="en-CA" sz="8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ull R)</a:t>
          </a:r>
          <a:endParaRPr lang="en-CA" sz="10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253486</xdr:colOff>
      <xdr:row>179</xdr:row>
      <xdr:rowOff>194049</xdr:rowOff>
    </xdr:from>
    <xdr:to>
      <xdr:col>1</xdr:col>
      <xdr:colOff>491474</xdr:colOff>
      <xdr:row>182</xdr:row>
      <xdr:rowOff>188950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552D0A3-0FBF-4EC3-BC16-442E0BC35441}"/>
            </a:ext>
          </a:extLst>
        </xdr:cNvPr>
        <xdr:cNvSpPr txBox="1"/>
      </xdr:nvSpPr>
      <xdr:spPr>
        <a:xfrm rot="16200000">
          <a:off x="709765" y="34430542"/>
          <a:ext cx="577287" cy="23798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Accel.</a:t>
          </a:r>
        </a:p>
      </xdr:txBody>
    </xdr:sp>
    <xdr:clientData/>
  </xdr:twoCellAnchor>
  <xdr:twoCellAnchor>
    <xdr:from>
      <xdr:col>1</xdr:col>
      <xdr:colOff>254159</xdr:colOff>
      <xdr:row>182</xdr:row>
      <xdr:rowOff>188952</xdr:rowOff>
    </xdr:from>
    <xdr:to>
      <xdr:col>1</xdr:col>
      <xdr:colOff>492147</xdr:colOff>
      <xdr:row>186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84D982F-B7B2-49B9-8A51-8644486BFEDF}"/>
            </a:ext>
          </a:extLst>
        </xdr:cNvPr>
        <xdr:cNvSpPr txBox="1"/>
      </xdr:nvSpPr>
      <xdr:spPr>
        <a:xfrm rot="16200000">
          <a:off x="715279" y="35002990"/>
          <a:ext cx="567605" cy="23798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Peak</a:t>
          </a:r>
        </a:p>
      </xdr:txBody>
    </xdr:sp>
    <xdr:clientData/>
  </xdr:twoCellAnchor>
  <xdr:twoCellAnchor>
    <xdr:from>
      <xdr:col>1</xdr:col>
      <xdr:colOff>255278</xdr:colOff>
      <xdr:row>186</xdr:row>
      <xdr:rowOff>0</xdr:rowOff>
    </xdr:from>
    <xdr:to>
      <xdr:col>1</xdr:col>
      <xdr:colOff>493266</xdr:colOff>
      <xdr:row>188</xdr:row>
      <xdr:rowOff>179657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906787A-2883-49EB-98F0-3D004E1287BD}"/>
            </a:ext>
          </a:extLst>
        </xdr:cNvPr>
        <xdr:cNvSpPr txBox="1"/>
      </xdr:nvSpPr>
      <xdr:spPr>
        <a:xfrm rot="16200000">
          <a:off x="722594" y="35564399"/>
          <a:ext cx="555214" cy="23798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Decel.</a:t>
          </a:r>
        </a:p>
      </xdr:txBody>
    </xdr:sp>
    <xdr:clientData/>
  </xdr:twoCellAnchor>
  <xdr:twoCellAnchor>
    <xdr:from>
      <xdr:col>1</xdr:col>
      <xdr:colOff>252680</xdr:colOff>
      <xdr:row>154</xdr:row>
      <xdr:rowOff>4379</xdr:rowOff>
    </xdr:from>
    <xdr:to>
      <xdr:col>1</xdr:col>
      <xdr:colOff>495610</xdr:colOff>
      <xdr:row>165</xdr:row>
      <xdr:rowOff>191699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EAAB9EE-B684-4E8E-B0F4-340897572B3D}"/>
            </a:ext>
          </a:extLst>
        </xdr:cNvPr>
        <xdr:cNvSpPr txBox="1"/>
      </xdr:nvSpPr>
      <xdr:spPr>
        <a:xfrm rot="16200000">
          <a:off x="-141336" y="30328667"/>
          <a:ext cx="2282820" cy="2429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Full Cycle</a:t>
          </a:r>
        </a:p>
      </xdr:txBody>
    </xdr:sp>
    <xdr:clientData/>
  </xdr:twoCellAnchor>
  <xdr:twoCellAnchor>
    <xdr:from>
      <xdr:col>1</xdr:col>
      <xdr:colOff>258038</xdr:colOff>
      <xdr:row>165</xdr:row>
      <xdr:rowOff>191697</xdr:rowOff>
    </xdr:from>
    <xdr:to>
      <xdr:col>1</xdr:col>
      <xdr:colOff>496026</xdr:colOff>
      <xdr:row>168</xdr:row>
      <xdr:rowOff>167268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1AFE786-A6A8-45BD-94ED-E87279560C7C}"/>
            </a:ext>
          </a:extLst>
        </xdr:cNvPr>
        <xdr:cNvSpPr txBox="1"/>
      </xdr:nvSpPr>
      <xdr:spPr>
        <a:xfrm rot="16200000">
          <a:off x="729425" y="31746082"/>
          <a:ext cx="547071" cy="23798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1st / 2nd</a:t>
          </a:r>
        </a:p>
      </xdr:txBody>
    </xdr:sp>
    <xdr:clientData/>
  </xdr:twoCellAnchor>
  <xdr:twoCellAnchor>
    <xdr:from>
      <xdr:col>1</xdr:col>
      <xdr:colOff>16566</xdr:colOff>
      <xdr:row>172</xdr:row>
      <xdr:rowOff>18584</xdr:rowOff>
    </xdr:from>
    <xdr:to>
      <xdr:col>1</xdr:col>
      <xdr:colOff>254554</xdr:colOff>
      <xdr:row>188</xdr:row>
      <xdr:rowOff>179660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8CF0830-2C7D-4493-9F69-AE12A5635DD7}"/>
            </a:ext>
          </a:extLst>
        </xdr:cNvPr>
        <xdr:cNvSpPr txBox="1"/>
      </xdr:nvSpPr>
      <xdr:spPr>
        <a:xfrm rot="16200000">
          <a:off x="-829442" y="34251078"/>
          <a:ext cx="3181862" cy="23798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RECOVERY</a:t>
          </a:r>
          <a:r>
            <a:rPr lang="en-CA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  </a:t>
          </a:r>
          <a:r>
            <a:rPr lang="en-CA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(Feather</a:t>
          </a:r>
          <a:r>
            <a:rPr lang="en-CA" sz="8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to Full Reach 2)</a:t>
          </a:r>
          <a:endParaRPr lang="en-CA" sz="1100" b="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</xdr:col>
      <xdr:colOff>16565</xdr:colOff>
      <xdr:row>169</xdr:row>
      <xdr:rowOff>16561</xdr:rowOff>
    </xdr:from>
    <xdr:ext cx="480393" cy="54359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7034A6C-424F-4951-9780-97D9EEE3CF12}"/>
            </a:ext>
          </a:extLst>
        </xdr:cNvPr>
        <xdr:cNvSpPr txBox="1"/>
      </xdr:nvSpPr>
      <xdr:spPr>
        <a:xfrm rot="16200000">
          <a:off x="610891" y="32215450"/>
          <a:ext cx="543599" cy="48039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RELEASE</a:t>
          </a:r>
        </a:p>
      </xdr:txBody>
    </xdr:sp>
    <xdr:clientData/>
  </xdr:oneCellAnchor>
  <xdr:twoCellAnchor>
    <xdr:from>
      <xdr:col>1</xdr:col>
      <xdr:colOff>14941</xdr:colOff>
      <xdr:row>150</xdr:row>
      <xdr:rowOff>30656</xdr:rowOff>
    </xdr:from>
    <xdr:to>
      <xdr:col>1</xdr:col>
      <xdr:colOff>254553</xdr:colOff>
      <xdr:row>168</xdr:row>
      <xdr:rowOff>166452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657A38-FC4E-4E3A-BD57-20CED2344B7B}"/>
            </a:ext>
          </a:extLst>
        </xdr:cNvPr>
        <xdr:cNvSpPr txBox="1"/>
      </xdr:nvSpPr>
      <xdr:spPr>
        <a:xfrm rot="16200000">
          <a:off x="-1021722" y="30235591"/>
          <a:ext cx="3564796" cy="2396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BLADE</a:t>
          </a:r>
          <a:r>
            <a:rPr lang="en-CA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BURIED </a:t>
          </a:r>
          <a:r>
            <a:rPr lang="en-CA" sz="8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(entry to blade exit)</a:t>
          </a:r>
          <a:endParaRPr lang="en-CA" sz="11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20561</xdr:colOff>
      <xdr:row>142</xdr:row>
      <xdr:rowOff>20002</xdr:rowOff>
    </xdr:from>
    <xdr:to>
      <xdr:col>1</xdr:col>
      <xdr:colOff>499142</xdr:colOff>
      <xdr:row>149</xdr:row>
      <xdr:rowOff>152400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FBED110-7151-412B-9AC9-25ADAD2EA93F}"/>
            </a:ext>
          </a:extLst>
        </xdr:cNvPr>
        <xdr:cNvSpPr txBox="1"/>
      </xdr:nvSpPr>
      <xdr:spPr>
        <a:xfrm rot="16200000">
          <a:off x="152832" y="27532003"/>
          <a:ext cx="1465898" cy="47858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CATCH                         </a:t>
          </a:r>
          <a:r>
            <a:rPr lang="en-CA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(Full</a:t>
          </a:r>
          <a:r>
            <a:rPr lang="en-CA" sz="8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Reach to Entry)</a:t>
          </a:r>
          <a:endParaRPr lang="en-CA" sz="800" b="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16565</xdr:colOff>
      <xdr:row>189</xdr:row>
      <xdr:rowOff>15486</xdr:rowOff>
    </xdr:from>
    <xdr:to>
      <xdr:col>1</xdr:col>
      <xdr:colOff>492515</xdr:colOff>
      <xdr:row>191</xdr:row>
      <xdr:rowOff>179657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B2B6510-4E63-4651-939A-EDB706558901}"/>
            </a:ext>
          </a:extLst>
        </xdr:cNvPr>
        <xdr:cNvSpPr txBox="1"/>
      </xdr:nvSpPr>
      <xdr:spPr>
        <a:xfrm rot="16200000">
          <a:off x="607883" y="36027383"/>
          <a:ext cx="545171" cy="475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/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STROKE CYCLE</a:t>
          </a:r>
        </a:p>
      </xdr:txBody>
    </xdr:sp>
    <xdr:clientData/>
  </xdr:twoCellAnchor>
  <xdr:twoCellAnchor>
    <xdr:from>
      <xdr:col>1</xdr:col>
      <xdr:colOff>257344</xdr:colOff>
      <xdr:row>150</xdr:row>
      <xdr:rowOff>25399</xdr:rowOff>
    </xdr:from>
    <xdr:to>
      <xdr:col>1</xdr:col>
      <xdr:colOff>500274</xdr:colOff>
      <xdr:row>153</xdr:row>
      <xdr:rowOff>179551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3C361FD-84A6-40E3-A9F2-DBDF398FDD54}"/>
            </a:ext>
          </a:extLst>
        </xdr:cNvPr>
        <xdr:cNvSpPr txBox="1"/>
      </xdr:nvSpPr>
      <xdr:spPr>
        <a:xfrm rot="16200000">
          <a:off x="641912" y="28809103"/>
          <a:ext cx="725652" cy="2429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Dr. Hump</a:t>
          </a:r>
        </a:p>
      </xdr:txBody>
    </xdr:sp>
    <xdr:clientData/>
  </xdr:twoCellAnchor>
  <xdr:twoCellAnchor>
    <xdr:from>
      <xdr:col>1</xdr:col>
      <xdr:colOff>13371</xdr:colOff>
      <xdr:row>47</xdr:row>
      <xdr:rowOff>16712</xdr:rowOff>
    </xdr:from>
    <xdr:to>
      <xdr:col>1</xdr:col>
      <xdr:colOff>166691</xdr:colOff>
      <xdr:row>50</xdr:row>
      <xdr:rowOff>163285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5C4498F-2FBC-4AA7-B135-801990CC92FB}"/>
            </a:ext>
          </a:extLst>
        </xdr:cNvPr>
        <xdr:cNvSpPr txBox="1">
          <a:spLocks/>
        </xdr:cNvSpPr>
      </xdr:nvSpPr>
      <xdr:spPr>
        <a:xfrm rot="16200000">
          <a:off x="365088" y="9320624"/>
          <a:ext cx="701744" cy="153320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BLADE</a:t>
          </a:r>
          <a:r>
            <a:rPr lang="en-CA" sz="9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BURD</a:t>
          </a:r>
          <a:endParaRPr lang="en-CA" sz="9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18811</xdr:colOff>
      <xdr:row>53</xdr:row>
      <xdr:rowOff>20053</xdr:rowOff>
    </xdr:from>
    <xdr:to>
      <xdr:col>1</xdr:col>
      <xdr:colOff>164857</xdr:colOff>
      <xdr:row>55</xdr:row>
      <xdr:rowOff>166760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476A5B2-0406-4857-81DE-D02B4180AAA6}"/>
            </a:ext>
          </a:extLst>
        </xdr:cNvPr>
        <xdr:cNvSpPr txBox="1">
          <a:spLocks/>
        </xdr:cNvSpPr>
      </xdr:nvSpPr>
      <xdr:spPr>
        <a:xfrm rot="16200000">
          <a:off x="459352" y="10345484"/>
          <a:ext cx="516821" cy="146046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RELEASE</a:t>
          </a:r>
        </a:p>
      </xdr:txBody>
    </xdr:sp>
    <xdr:clientData/>
  </xdr:twoCellAnchor>
  <xdr:twoCellAnchor>
    <xdr:from>
      <xdr:col>1</xdr:col>
      <xdr:colOff>24395</xdr:colOff>
      <xdr:row>56</xdr:row>
      <xdr:rowOff>33495</xdr:rowOff>
    </xdr:from>
    <xdr:to>
      <xdr:col>1</xdr:col>
      <xdr:colOff>159100</xdr:colOff>
      <xdr:row>59</xdr:row>
      <xdr:rowOff>134471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C2337E9-77D6-43FA-834A-BAD66CBB6BDD}"/>
            </a:ext>
          </a:extLst>
        </xdr:cNvPr>
        <xdr:cNvSpPr txBox="1">
          <a:spLocks/>
        </xdr:cNvSpPr>
      </xdr:nvSpPr>
      <xdr:spPr>
        <a:xfrm rot="16200000">
          <a:off x="389603" y="10989430"/>
          <a:ext cx="656148" cy="134705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RECOVERY</a:t>
          </a:r>
        </a:p>
      </xdr:txBody>
    </xdr:sp>
    <xdr:clientData/>
  </xdr:twoCellAnchor>
  <xdr:twoCellAnchor>
    <xdr:from>
      <xdr:col>1</xdr:col>
      <xdr:colOff>5631</xdr:colOff>
      <xdr:row>39</xdr:row>
      <xdr:rowOff>189722</xdr:rowOff>
    </xdr:from>
    <xdr:to>
      <xdr:col>1</xdr:col>
      <xdr:colOff>354443</xdr:colOff>
      <xdr:row>43</xdr:row>
      <xdr:rowOff>3109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7F33997-3A9D-4DE2-B1E0-0ACFF30014DB}"/>
            </a:ext>
          </a:extLst>
        </xdr:cNvPr>
        <xdr:cNvSpPr txBox="1">
          <a:spLocks/>
        </xdr:cNvSpPr>
      </xdr:nvSpPr>
      <xdr:spPr>
        <a:xfrm rot="16200000">
          <a:off x="518272" y="7830481"/>
          <a:ext cx="575387" cy="348812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RIGGING</a:t>
          </a:r>
        </a:p>
        <a:p>
          <a:pPr algn="ctr"/>
          <a:r>
            <a:rPr lang="en-CA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ANALYSIS</a:t>
          </a:r>
        </a:p>
      </xdr:txBody>
    </xdr:sp>
    <xdr:clientData/>
  </xdr:twoCellAnchor>
  <xdr:twoCellAnchor>
    <xdr:from>
      <xdr:col>0</xdr:col>
      <xdr:colOff>623956</xdr:colOff>
      <xdr:row>136</xdr:row>
      <xdr:rowOff>11044</xdr:rowOff>
    </xdr:from>
    <xdr:to>
      <xdr:col>1</xdr:col>
      <xdr:colOff>480390</xdr:colOff>
      <xdr:row>141</xdr:row>
      <xdr:rowOff>187739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1E36EA6-EECC-4D56-8BFA-22C6082E95E8}"/>
            </a:ext>
          </a:extLst>
        </xdr:cNvPr>
        <xdr:cNvSpPr txBox="1">
          <a:spLocks/>
        </xdr:cNvSpPr>
      </xdr:nvSpPr>
      <xdr:spPr>
        <a:xfrm rot="16200000">
          <a:off x="300540" y="26209803"/>
          <a:ext cx="1129195" cy="482363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RIGGING</a:t>
          </a:r>
        </a:p>
        <a:p>
          <a:pPr algn="ctr"/>
          <a:r>
            <a:rPr lang="en-CA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ANALYSIS</a:t>
          </a:r>
        </a:p>
      </xdr:txBody>
    </xdr:sp>
    <xdr:clientData/>
  </xdr:twoCellAnchor>
  <xdr:oneCellAnchor>
    <xdr:from>
      <xdr:col>3</xdr:col>
      <xdr:colOff>220438</xdr:colOff>
      <xdr:row>1</xdr:row>
      <xdr:rowOff>182080</xdr:rowOff>
    </xdr:from>
    <xdr:ext cx="130490" cy="662475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687B9E8-AAAD-4C5A-BD87-0CE816D2665C}"/>
            </a:ext>
          </a:extLst>
        </xdr:cNvPr>
        <xdr:cNvSpPr txBox="1"/>
      </xdr:nvSpPr>
      <xdr:spPr>
        <a:xfrm rot="16200000">
          <a:off x="1935645" y="665787"/>
          <a:ext cx="662475" cy="130490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FF0000"/>
              </a:solidFill>
            </a:rPr>
            <a:t> ENTRY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171041</xdr:colOff>
      <xdr:row>1</xdr:row>
      <xdr:rowOff>176665</xdr:rowOff>
    </xdr:from>
    <xdr:ext cx="128058" cy="96172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7C17D79-E4B0-48A7-BE20-0D9EAF11F4DF}"/>
            </a:ext>
          </a:extLst>
        </xdr:cNvPr>
        <xdr:cNvSpPr txBox="1"/>
      </xdr:nvSpPr>
      <xdr:spPr>
        <a:xfrm rot="16200000">
          <a:off x="2987262" y="811215"/>
          <a:ext cx="961729" cy="128058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FF0000"/>
              </a:solidFill>
            </a:rPr>
            <a:t> EXTRACTION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380622</xdr:colOff>
      <xdr:row>1</xdr:row>
      <xdr:rowOff>163500</xdr:rowOff>
    </xdr:from>
    <xdr:ext cx="139351" cy="45307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F0E122D-FC12-4952-91F4-DA07D70678FC}"/>
            </a:ext>
          </a:extLst>
        </xdr:cNvPr>
        <xdr:cNvSpPr txBox="1"/>
      </xdr:nvSpPr>
      <xdr:spPr>
        <a:xfrm rot="16200000">
          <a:off x="3456818" y="538075"/>
          <a:ext cx="453074" cy="13935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FF0000"/>
              </a:solidFill>
            </a:rPr>
            <a:t>FEATHER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429536</xdr:colOff>
      <xdr:row>60</xdr:row>
      <xdr:rowOff>41519</xdr:rowOff>
    </xdr:from>
    <xdr:to>
      <xdr:col>0</xdr:col>
      <xdr:colOff>575582</xdr:colOff>
      <xdr:row>63</xdr:row>
      <xdr:rowOff>6740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C5E05D7-FEC3-454D-A2E9-71C2CAEFB461}"/>
            </a:ext>
          </a:extLst>
        </xdr:cNvPr>
        <xdr:cNvSpPr txBox="1">
          <a:spLocks/>
        </xdr:cNvSpPr>
      </xdr:nvSpPr>
      <xdr:spPr>
        <a:xfrm rot="16200000">
          <a:off x="242363" y="11664135"/>
          <a:ext cx="520392" cy="146046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Time</a:t>
          </a:r>
        </a:p>
      </xdr:txBody>
    </xdr:sp>
    <xdr:clientData/>
  </xdr:twoCellAnchor>
  <xdr:twoCellAnchor>
    <xdr:from>
      <xdr:col>1</xdr:col>
      <xdr:colOff>15552</xdr:colOff>
      <xdr:row>194</xdr:row>
      <xdr:rowOff>7776</xdr:rowOff>
    </xdr:from>
    <xdr:to>
      <xdr:col>1</xdr:col>
      <xdr:colOff>228600</xdr:colOff>
      <xdr:row>201</xdr:row>
      <xdr:rowOff>179613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AF7F226-0B7F-4940-82F1-47558454104C}"/>
            </a:ext>
          </a:extLst>
        </xdr:cNvPr>
        <xdr:cNvSpPr txBox="1"/>
      </xdr:nvSpPr>
      <xdr:spPr>
        <a:xfrm rot="16200000">
          <a:off x="3501" y="37580985"/>
          <a:ext cx="1489008" cy="21304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system</a:t>
          </a:r>
          <a:endParaRPr lang="en-CA" sz="1100" b="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475240</xdr:colOff>
      <xdr:row>261</xdr:row>
      <xdr:rowOff>179572</xdr:rowOff>
    </xdr:from>
    <xdr:to>
      <xdr:col>6</xdr:col>
      <xdr:colOff>30345</xdr:colOff>
      <xdr:row>262</xdr:row>
      <xdr:rowOff>188760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A3D9B2A-9EE4-4773-A806-FCAC337B3E8C}"/>
            </a:ext>
          </a:extLst>
        </xdr:cNvPr>
        <xdr:cNvSpPr txBox="1"/>
      </xdr:nvSpPr>
      <xdr:spPr>
        <a:xfrm>
          <a:off x="3708297" y="50079686"/>
          <a:ext cx="181034" cy="226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CA" sz="1100"/>
            <a:t>kg</a:t>
          </a:r>
        </a:p>
      </xdr:txBody>
    </xdr:sp>
    <xdr:clientData/>
  </xdr:twoCellAnchor>
  <xdr:oneCellAnchor>
    <xdr:from>
      <xdr:col>8</xdr:col>
      <xdr:colOff>241995</xdr:colOff>
      <xdr:row>1</xdr:row>
      <xdr:rowOff>157945</xdr:rowOff>
    </xdr:from>
    <xdr:ext cx="100821" cy="618591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ABFC4A6B-015F-4CA4-9155-960632D53F8C}"/>
            </a:ext>
          </a:extLst>
        </xdr:cNvPr>
        <xdr:cNvSpPr txBox="1"/>
      </xdr:nvSpPr>
      <xdr:spPr>
        <a:xfrm rot="16200000">
          <a:off x="5093953" y="634544"/>
          <a:ext cx="618591" cy="10082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FF0000"/>
              </a:solidFill>
            </a:rPr>
            <a:t>FULL REACH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590880</xdr:colOff>
      <xdr:row>2</xdr:row>
      <xdr:rowOff>16895</xdr:rowOff>
    </xdr:from>
    <xdr:ext cx="130490" cy="662475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6712FF52-13E7-47DC-A3C0-5098AAE4E66B}"/>
            </a:ext>
          </a:extLst>
        </xdr:cNvPr>
        <xdr:cNvSpPr txBox="1"/>
      </xdr:nvSpPr>
      <xdr:spPr>
        <a:xfrm rot="16200000">
          <a:off x="5435730" y="685659"/>
          <a:ext cx="662475" cy="130490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FF0000"/>
              </a:solidFill>
            </a:rPr>
            <a:t> ENTRY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571471</xdr:colOff>
      <xdr:row>14</xdr:row>
      <xdr:rowOff>68639</xdr:rowOff>
    </xdr:from>
    <xdr:to>
      <xdr:col>11</xdr:col>
      <xdr:colOff>218598</xdr:colOff>
      <xdr:row>14</xdr:row>
      <xdr:rowOff>70771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66FFD27E-3D91-4745-B773-5CD1DC56DB01}"/>
            </a:ext>
          </a:extLst>
        </xdr:cNvPr>
        <xdr:cNvCxnSpPr/>
      </xdr:nvCxnSpPr>
      <xdr:spPr>
        <a:xfrm>
          <a:off x="1197400" y="2724753"/>
          <a:ext cx="6009827" cy="2132"/>
        </a:xfrm>
        <a:prstGeom prst="line">
          <a:avLst/>
        </a:prstGeom>
        <a:ln w="158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516744</xdr:colOff>
      <xdr:row>1</xdr:row>
      <xdr:rowOff>172151</xdr:rowOff>
    </xdr:from>
    <xdr:ext cx="100821" cy="618591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752E43F-0597-4669-98E8-159FF5043573}"/>
            </a:ext>
          </a:extLst>
        </xdr:cNvPr>
        <xdr:cNvSpPr txBox="1"/>
      </xdr:nvSpPr>
      <xdr:spPr>
        <a:xfrm rot="16200000">
          <a:off x="1613130" y="648750"/>
          <a:ext cx="618591" cy="10082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FF0000"/>
              </a:solidFill>
            </a:rPr>
            <a:t>FULL REACH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276097</xdr:colOff>
      <xdr:row>2</xdr:row>
      <xdr:rowOff>23121</xdr:rowOff>
    </xdr:from>
    <xdr:ext cx="158618" cy="10543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5E9624A-5EDE-41D0-A20C-F63A18B90423}"/>
            </a:ext>
          </a:extLst>
        </xdr:cNvPr>
        <xdr:cNvSpPr txBox="1"/>
      </xdr:nvSpPr>
      <xdr:spPr>
        <a:xfrm rot="16200000">
          <a:off x="2435355" y="873763"/>
          <a:ext cx="1054360" cy="158618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FF0000"/>
              </a:solidFill>
            </a:rPr>
            <a:t>OAR PERPENDICULAR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312056</xdr:colOff>
      <xdr:row>1</xdr:row>
      <xdr:rowOff>172103</xdr:rowOff>
    </xdr:from>
    <xdr:ext cx="304799" cy="33589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4BBE057F-ACA9-446E-A3EC-C35D518D9095}"/>
            </a:ext>
          </a:extLst>
        </xdr:cNvPr>
        <xdr:cNvSpPr txBox="1"/>
      </xdr:nvSpPr>
      <xdr:spPr>
        <a:xfrm rot="16200000">
          <a:off x="4781420" y="405367"/>
          <a:ext cx="335899" cy="304799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>
          <a:noAutofit/>
        </a:bodyPr>
        <a:lstStyle/>
        <a:p>
          <a:pPr algn="r">
            <a:lnSpc>
              <a:spcPct val="85000"/>
            </a:lnSpc>
          </a:pPr>
          <a:r>
            <a:rPr lang="en-CA" sz="900" b="1" baseline="0">
              <a:solidFill>
                <a:srgbClr val="FF0000"/>
              </a:solidFill>
            </a:rPr>
            <a:t>PEAK SPEED</a:t>
          </a:r>
          <a:endParaRPr lang="en-CA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47293</xdr:colOff>
      <xdr:row>16</xdr:row>
      <xdr:rowOff>184822</xdr:rowOff>
    </xdr:from>
    <xdr:ext cx="359602" cy="55506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C1F9523A-287C-47A6-8667-D206E6812215}"/>
            </a:ext>
          </a:extLst>
        </xdr:cNvPr>
        <xdr:cNvSpPr txBox="1"/>
      </xdr:nvSpPr>
      <xdr:spPr>
        <a:xfrm rot="16200000">
          <a:off x="-50441" y="3308785"/>
          <a:ext cx="555069" cy="35960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002060"/>
              </a:solidFill>
            </a:rPr>
            <a:t>KNEES AT </a:t>
          </a:r>
        </a:p>
        <a:p>
          <a:pPr algn="r"/>
          <a:r>
            <a:rPr lang="en-CA" sz="900" b="1" baseline="0">
              <a:solidFill>
                <a:srgbClr val="002060"/>
              </a:solidFill>
            </a:rPr>
            <a:t>90 DEG.</a:t>
          </a:r>
          <a:endParaRPr lang="en-CA" sz="900" b="1">
            <a:solidFill>
              <a:srgbClr val="002060"/>
            </a:solidFill>
          </a:endParaRPr>
        </a:p>
      </xdr:txBody>
    </xdr:sp>
    <xdr:clientData/>
  </xdr:oneCellAnchor>
  <xdr:oneCellAnchor>
    <xdr:from>
      <xdr:col>0</xdr:col>
      <xdr:colOff>151645</xdr:colOff>
      <xdr:row>19</xdr:row>
      <xdr:rowOff>189075</xdr:rowOff>
    </xdr:from>
    <xdr:ext cx="288361" cy="7094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D4386B23-CE9A-4857-A323-6CF33FF6A584}"/>
            </a:ext>
          </a:extLst>
        </xdr:cNvPr>
        <xdr:cNvSpPr txBox="1"/>
      </xdr:nvSpPr>
      <xdr:spPr>
        <a:xfrm rot="16200000">
          <a:off x="-58888" y="3986451"/>
          <a:ext cx="709427" cy="28836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CA" sz="900" b="1" baseline="0">
              <a:solidFill>
                <a:srgbClr val="002060"/>
              </a:solidFill>
            </a:rPr>
            <a:t>HANDS OVER </a:t>
          </a:r>
        </a:p>
        <a:p>
          <a:pPr algn="r"/>
          <a:r>
            <a:rPr lang="en-CA" sz="900" b="1" baseline="0">
              <a:solidFill>
                <a:srgbClr val="002060"/>
              </a:solidFill>
            </a:rPr>
            <a:t> KNEES</a:t>
          </a:r>
          <a:endParaRPr lang="en-CA" sz="900" b="1">
            <a:solidFill>
              <a:srgbClr val="002060"/>
            </a:solidFill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0.95241</cdr:x>
      <cdr:y>0.43211</cdr:y>
    </cdr:from>
    <cdr:to>
      <cdr:x>0.9881</cdr:x>
      <cdr:y>0.77538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437F2A-75CD-45B6-8503-DF32CB3247FD}"/>
            </a:ext>
          </a:extLst>
        </cdr:cNvPr>
        <cdr:cNvSpPr txBox="1"/>
      </cdr:nvSpPr>
      <cdr:spPr>
        <a:xfrm xmlns:a="http://schemas.openxmlformats.org/drawingml/2006/main" rot="16200000">
          <a:off x="6985323" y="2610170"/>
          <a:ext cx="156527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000" b="1">
              <a:solidFill>
                <a:srgbClr val="33CC33"/>
              </a:solidFill>
            </a:rPr>
            <a:t>ACCEL.</a:t>
          </a:r>
          <a:r>
            <a:rPr lang="en-CA" sz="1000" b="1" baseline="0">
              <a:solidFill>
                <a:srgbClr val="33CC33"/>
              </a:solidFill>
            </a:rPr>
            <a:t>       (m/S</a:t>
          </a:r>
          <a:r>
            <a:rPr lang="en-CA" sz="1000" b="1" baseline="30000">
              <a:solidFill>
                <a:srgbClr val="33CC33"/>
              </a:solidFill>
            </a:rPr>
            <a:t>2</a:t>
          </a:r>
          <a:r>
            <a:rPr lang="en-CA" sz="1000" b="1" baseline="0">
              <a:solidFill>
                <a:srgbClr val="33CC33"/>
              </a:solidFill>
            </a:rPr>
            <a:t>)</a:t>
          </a:r>
          <a:endParaRPr lang="en-CA" sz="1000" b="1">
            <a:solidFill>
              <a:srgbClr val="33CC33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615AA0-30BD-4B4D-93C6-B5CC4F2BB99C}" name="Table4" displayName="Table4" ref="B502:BP620" totalsRowShown="0">
  <tableColumns count="67">
    <tableColumn id="1" xr3:uid="{2C8A7F75-C6A1-4F1E-BA53-B148C329FEBA}" name="category" dataDxfId="66" dataCellStyle="Normal_05-08 Gold Medal Times"/>
    <tableColumn id="2" xr3:uid="{C67BF06C-BF3B-4BEA-92DC-85CA36F4209B}" name="GMS" dataDxfId="65" dataCellStyle="Normal_05-08 Gold Medal Times"/>
    <tableColumn id="3" xr3:uid="{2174E81F-58B6-4748-9E3D-53D442EE43A7}" name="Column1" dataDxfId="64" dataCellStyle="Normal_05-08 Gold Medal Times">
      <calculatedColumnFormula>Table4[[#This Row],[GMS]]/4</calculatedColumnFormula>
    </tableColumn>
    <tableColumn id="4" xr3:uid="{08089804-AC38-427C-A789-89EC5ACA13DE}" name="Drive Tm" dataDxfId="63" dataCellStyle="Normal_05-08 Gold Medal Times"/>
    <tableColumn id="5" xr3:uid="{32FE7EF1-24B8-4B5F-8D55-7063F84F5A5D}" name="BladeSlip" dataDxfId="62" dataCellStyle="Normal_05-08 Gold Medal Times"/>
    <tableColumn id="6" xr3:uid="{C6DA915E-460A-45B7-BAEA-AA04866B07CE}" name="EffStkLnth" dataDxfId="61" dataCellStyle="Normal_05-08 Gold Medal Times"/>
    <tableColumn id="7" xr3:uid="{BB291F93-0477-4B3F-A892-6332FC903EF2}" name="StkPos" dataDxfId="60"/>
    <tableColumn id="8" xr3:uid="{F10B66B6-FB74-4CBD-9FA3-7A3CA3FB41B3}" name="Rate" dataDxfId="59" dataCellStyle="Normal_05-08 Gold Medal Times"/>
    <tableColumn id="9" xr3:uid="{B142F12B-C1EF-4BF2-BAFC-C99D78AFAD37}" name="Ratio" dataDxfId="58" dataCellStyle="Normal_05-08 Gold Medal Times"/>
    <tableColumn id="10" xr3:uid="{8836C116-D5AF-4CB2-BF04-6B1281365B67}" name="MinBoatSpd" dataDxfId="57" dataCellStyle="Normal_05-08 Gold Medal Times"/>
    <tableColumn id="11" xr3:uid="{F2B9493E-978D-48F4-B605-8E424F6B2FD8}" name="Entry Time" dataDxfId="56" dataCellStyle="Normal_05-08 Gold Medal Times"/>
    <tableColumn id="12" xr3:uid="{9B58C7D4-CF8C-46A6-B0F5-3651F9801B55}" name="Catch%" dataDxfId="55"/>
    <tableColumn id="13" xr3:uid="{A651FA34-5C48-453E-B876-A52B15EDE69E}" name="EntBtMv" dataDxfId="54"/>
    <tableColumn id="14" xr3:uid="{103C00AD-38E4-42F2-BC68-356CE275941F}" name="DrHump" dataDxfId="53"/>
    <tableColumn id="15" xr3:uid="{D368E29E-26C5-40B0-8D74-2A870CD3993F}" name="DrvAcc" dataDxfId="52" dataCellStyle="Normal_05-08 Gold Medal Times"/>
    <tableColumn id="16" xr3:uid="{6D97332B-B00E-4E02-85C9-5E1DDB8D59C2}" name="DrvAccEff" dataDxfId="51"/>
    <tableColumn id="17" xr3:uid="{6B0A46BC-E9C2-4357-8B82-0C0635CEC0E3}" name="DrvSpdIncreas" dataDxfId="50" dataCellStyle="Normal_05-08 Gold Medal Times"/>
    <tableColumn id="18" xr3:uid="{676A3667-7C01-4C3A-A6D4-2B26735ED71A}" name="PerpFinAcc" dataDxfId="49" dataCellStyle="Normal_05-08 Gold Medal Times"/>
    <tableColumn id="19" xr3:uid="{7FA6CC42-2A18-4DB4-BBDB-BB57F23D0CAC}" name="Bladeburtime" dataDxfId="48"/>
    <tableColumn id="20" xr3:uid="{1399FBBF-43A0-45CE-97F6-04DCDB1B3ACC}" name="BldBurdpercofstk" dataDxfId="47"/>
    <tableColumn id="21" xr3:uid="{D922AA6B-6C62-4D96-B96F-1ACDF668A352}" name="DrvBoatMovesDist" dataDxfId="46"/>
    <tableColumn id="22" xr3:uid="{A9C68C9D-FE1E-4AAA-91C9-7303C3EC47E0}" name="DrvBoatMoves%" dataDxfId="45"/>
    <tableColumn id="23" xr3:uid="{E233AEA0-2FDE-4C93-80B7-89398641EEFB}" name="FinDrvSlump" dataDxfId="44"/>
    <tableColumn id="24" xr3:uid="{65128805-F467-49CA-8753-C1BE8DFD7116}" name="RelEff" dataDxfId="43" dataCellStyle="Normal_05-08 Gold Medal Times"/>
    <tableColumn id="25" xr3:uid="{549F6764-3C6E-4A1D-8D8A-D6EBFCF9C003}" name="RelSpeedincr" dataDxfId="42"/>
    <tableColumn id="26" xr3:uid="{023EC321-C135-45C6-BF1B-FE7E57F7F35B}" name="RelPercOfTotal" dataDxfId="41"/>
    <tableColumn id="27" xr3:uid="{07D8B50E-9548-4399-BF08-12A2512097C3}" name="RecAcc" dataDxfId="40" dataCellStyle="Normal_05-08 Gold Medal Times"/>
    <tableColumn id="28" xr3:uid="{AA5E233B-2969-4E01-A5EE-428333514358}" name="RecAccEff" dataDxfId="39"/>
    <tableColumn id="29" xr3:uid="{2C66F133-EF42-4AC2-A315-0081E22DA1DB}" name="PkSpd%" dataDxfId="38"/>
    <tableColumn id="30" xr3:uid="{808B58C8-F7D6-49DA-8E90-F27E2BD33F75}" name="MaxSpd" dataDxfId="37" dataCellStyle="Normal_05-08 Gold Medal Times"/>
    <tableColumn id="31" xr3:uid="{3D034468-90F3-435A-8473-A7888FA9D6EC}" name="SpdVaries" dataDxfId="36"/>
    <tableColumn id="32" xr3:uid="{7F9B7DCD-0F05-4970-8401-2D3107BB6140}" name="Decel" dataDxfId="35" dataCellStyle="Normal_05-08 Gold Medal Times"/>
    <tableColumn id="33" xr3:uid="{6E394787-BBCD-4B56-BBF7-70F0368C6560}" name="DecelEff" dataDxfId="34"/>
    <tableColumn id="34" xr3:uid="{CD38B021-A212-4F93-9E04-2DB6FB249106}" name="RecMoveDist" dataDxfId="33" dataCellStyle="Normal_05-08 Gold Medal Times"/>
    <tableColumn id="35" xr3:uid="{9B21CF6E-B05D-4B11-B633-CBA6F5609E1C}" name="RecMove%" dataDxfId="32"/>
    <tableColumn id="36" xr3:uid="{9C5CEC28-69A1-48EF-90AF-13645A510E9D}" name="BoatMoves" dataDxfId="31" dataCellStyle="Normal_05-08 Gold Medal Times"/>
    <tableColumn id="37" xr3:uid="{D3E1AD87-6A47-48F5-B575-ECFAD2FAA2B0}" name="boatspeed" dataDxfId="30"/>
    <tableColumn id="38" xr3:uid="{3CF755DE-5D52-4E08-9EC5-540078223A09}" name="RecTie" dataDxfId="29" dataCellStyle="Normal_05-08 Gold Medal Times"/>
    <tableColumn id="39" xr3:uid="{2A9F273D-AB7E-4CD8-86BE-0F25A53FE5AF}" name="Rec Time %" dataDxfId="28"/>
    <tableColumn id="40" xr3:uid="{A7BBFA78-9FAE-4A0F-93C4-2FFC683A30ED}" name="Dec-time" dataDxfId="27" dataCellStyle="Normal_05-08 Gold Medal Times"/>
    <tableColumn id="41" xr3:uid="{04F96620-087B-4291-A00C-C5EFD6897858}" name="DelTm%" dataDxfId="26"/>
    <tableColumn id="42" xr3:uid="{1D8A090A-3D7A-4631-9AFD-C7A055EBFB16}" name="Ref2" dataDxfId="25" dataCellStyle="Normal_05-08 Gold Medal Times"/>
    <tableColumn id="43" xr3:uid="{B0142289-4781-4AEF-B194-A511795A2234}" name="Ref3" dataDxfId="24" dataCellStyle="Normal_05-08 Gold Medal Times"/>
    <tableColumn id="44" xr3:uid="{050E0640-5140-497A-A761-4B49C0619745}" name="Ref4" dataDxfId="23" dataCellStyle="Normal_05-08 Gold Medal Times"/>
    <tableColumn id="45" xr3:uid="{A3693C28-0874-46F9-AA95-4D711A4D3EAB}" name="Ref5" dataDxfId="22" dataCellStyle="Normal_05-08 Gold Medal Times"/>
    <tableColumn id="46" xr3:uid="{1D9490AF-3D6A-4339-90D8-AD8B6FE1EDA8}" name="Ref6" dataDxfId="21" dataCellStyle="Normal_05-08 Gold Medal Times"/>
    <tableColumn id="47" xr3:uid="{A0ABAB27-3B8C-459B-869A-01D4F33D355E}" name="Ref7" dataDxfId="20" dataCellStyle="Normal_05-08 Gold Medal Times"/>
    <tableColumn id="48" xr3:uid="{CA515529-5F85-4520-B232-5A39F9F731F8}" name="Ref8" dataDxfId="19" dataCellStyle="Normal_05-08 Gold Medal Times"/>
    <tableColumn id="49" xr3:uid="{59FEBCAC-B47D-42A5-A8F2-332395F0EE1F}" name="Ref9" dataDxfId="18" dataCellStyle="Normal_05-08 Gold Medal Times"/>
    <tableColumn id="50" xr3:uid="{EEDA1B6C-3DC5-4C5B-81BE-3DF2B0EA839F}" name="Ref10" dataDxfId="17" dataCellStyle="Normal_05-08 Gold Medal Times"/>
    <tableColumn id="51" xr3:uid="{5CEF475E-265C-49E1-B578-E11B226D365D}" name="Ref11" dataDxfId="16" dataCellStyle="Normal_05-08 Gold Medal Times"/>
    <tableColumn id="52" xr3:uid="{B10CD437-3356-41BD-8183-B54D9CC9B279}" name="Ref12" dataDxfId="15"/>
    <tableColumn id="53" xr3:uid="{5586876A-AB66-4036-81D9-929CD4EA8AC2}" name="Ref13" dataDxfId="14"/>
    <tableColumn id="54" xr3:uid="{96EC70F2-F1CC-486E-8B14-8F0985D3FAB5}" name="Ref14" dataDxfId="13"/>
    <tableColumn id="55" xr3:uid="{6F005EE2-9A72-4BB9-AF53-C54802B31484}" name="Ref15" dataDxfId="12"/>
    <tableColumn id="56" xr3:uid="{C45E4EAA-B577-4EB5-9315-393F5DAAEE77}" name="Ref16" dataDxfId="11"/>
    <tableColumn id="57" xr3:uid="{05BD22B7-E4C0-493F-B507-51173C075BAC}" name="Ref17" dataDxfId="10"/>
    <tableColumn id="58" xr3:uid="{CC6F99AA-0753-4AA6-8B87-D8E211903C18}" name="Ref18" dataDxfId="9"/>
    <tableColumn id="59" xr3:uid="{20385846-9C0C-44F7-8BCB-62BE03396A67}" name="Ref19" dataDxfId="8"/>
    <tableColumn id="60" xr3:uid="{A37C0541-0317-4AE7-8F3D-33710F7B4934}" name="Ref20" dataDxfId="7"/>
    <tableColumn id="61" xr3:uid="{64A7D5BA-4A8D-46EA-AEC0-D0898C103110}" name="Ref21" dataDxfId="6" dataCellStyle="Normal_05-08 Gold Medal Times"/>
    <tableColumn id="62" xr3:uid="{E6960BBD-49AF-4CC5-8EDD-4AD58919AA48}" name="Ref22" dataDxfId="5"/>
    <tableColumn id="63" xr3:uid="{6D1FC30A-DDA7-4D58-B2A5-7B8940522CB4}" name="Ref23" dataDxfId="4"/>
    <tableColumn id="64" xr3:uid="{1BF9A0A3-9ABC-4ED9-B265-68E602F58267}" name="Ref24" dataDxfId="3"/>
    <tableColumn id="65" xr3:uid="{4FF986EB-1C89-444E-BF7F-9E03CACC657E}" name="Ref25" dataDxfId="2"/>
    <tableColumn id="66" xr3:uid="{1C6330F0-16BB-410D-953F-A9C76AE21778}" name="Ref26" dataDxfId="1"/>
    <tableColumn id="67" xr3:uid="{3D42100E-5D86-4A16-8CF8-5AC338A6E549}" name="Ref27" dataDxfId="0" dataCellStyle="Normal_05-08 Gold Medal Ti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3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4"/>
  <sheetViews>
    <sheetView workbookViewId="0">
      <selection activeCell="A6" sqref="A6:D6"/>
    </sheetView>
  </sheetViews>
  <sheetFormatPr defaultRowHeight="14.6" x14ac:dyDescent="0.4"/>
  <cols>
    <col min="1" max="1" width="21.3046875" bestFit="1" customWidth="1"/>
    <col min="2" max="2" width="13.4609375" style="1" bestFit="1" customWidth="1"/>
    <col min="3" max="3" width="17.07421875" style="1" bestFit="1" customWidth="1"/>
    <col min="4" max="4" width="16.07421875" bestFit="1" customWidth="1"/>
    <col min="5" max="5" width="20" bestFit="1" customWidth="1"/>
    <col min="6" max="6" width="16.4609375" bestFit="1" customWidth="1"/>
    <col min="7" max="7" width="17.4609375" bestFit="1" customWidth="1"/>
    <col min="8" max="8" width="15.07421875" bestFit="1" customWidth="1"/>
    <col min="12" max="12" width="12" customWidth="1"/>
    <col min="15" max="15" width="14.3046875" customWidth="1"/>
  </cols>
  <sheetData>
    <row r="1" spans="1:10" ht="22.1" customHeight="1" x14ac:dyDescent="0.4">
      <c r="A1" s="835" t="s">
        <v>75</v>
      </c>
      <c r="B1" s="836"/>
      <c r="C1" s="836"/>
      <c r="D1" s="836"/>
      <c r="E1" s="836"/>
      <c r="F1" s="836"/>
      <c r="G1" s="836"/>
      <c r="H1" s="837"/>
    </row>
    <row r="2" spans="1:10" ht="18" customHeight="1" x14ac:dyDescent="0.4">
      <c r="A2" s="15" t="s">
        <v>76</v>
      </c>
      <c r="B2" s="769" t="s">
        <v>77</v>
      </c>
      <c r="C2" s="769" t="s">
        <v>78</v>
      </c>
      <c r="D2" s="769" t="s">
        <v>79</v>
      </c>
      <c r="E2" s="769" t="s">
        <v>80</v>
      </c>
      <c r="F2" s="769" t="s">
        <v>81</v>
      </c>
      <c r="G2" s="769" t="s">
        <v>82</v>
      </c>
      <c r="H2" s="16" t="s">
        <v>83</v>
      </c>
    </row>
    <row r="3" spans="1:10" ht="21" customHeight="1" x14ac:dyDescent="0.4">
      <c r="A3" s="15" t="s">
        <v>84</v>
      </c>
      <c r="B3" s="769" t="s">
        <v>85</v>
      </c>
      <c r="C3" s="769">
        <v>7.57</v>
      </c>
      <c r="D3" s="769" t="s">
        <v>86</v>
      </c>
      <c r="E3" s="769" t="s">
        <v>87</v>
      </c>
      <c r="F3" s="769" t="s">
        <v>88</v>
      </c>
      <c r="G3" s="769" t="s">
        <v>89</v>
      </c>
      <c r="H3" s="16" t="s">
        <v>90</v>
      </c>
    </row>
    <row r="4" spans="1:10" ht="20.149999999999999" customHeight="1" thickBot="1" x14ac:dyDescent="0.45">
      <c r="A4" s="17" t="s">
        <v>91</v>
      </c>
      <c r="B4" s="18" t="s">
        <v>92</v>
      </c>
      <c r="C4" s="18" t="s">
        <v>92</v>
      </c>
      <c r="D4" s="18" t="s">
        <v>92</v>
      </c>
      <c r="E4" s="18" t="s">
        <v>92</v>
      </c>
      <c r="F4" s="18" t="s">
        <v>92</v>
      </c>
      <c r="G4" s="18" t="s">
        <v>93</v>
      </c>
      <c r="H4" s="19" t="s">
        <v>93</v>
      </c>
    </row>
    <row r="5" spans="1:10" ht="15" customHeight="1" thickBot="1" x14ac:dyDescent="0.45">
      <c r="A5" s="770"/>
      <c r="B5" s="771"/>
      <c r="C5" s="771"/>
      <c r="D5" s="771"/>
      <c r="E5" s="771"/>
      <c r="F5" s="771"/>
      <c r="G5" s="771"/>
      <c r="H5" s="771"/>
    </row>
    <row r="6" spans="1:10" ht="18.649999999999999" customHeight="1" x14ac:dyDescent="0.55000000000000004">
      <c r="A6" s="838" t="s">
        <v>94</v>
      </c>
      <c r="B6" s="839"/>
      <c r="C6" s="839"/>
      <c r="D6" s="840"/>
      <c r="E6" s="838" t="s">
        <v>759</v>
      </c>
      <c r="F6" s="839"/>
      <c r="G6" s="839"/>
      <c r="H6" s="840"/>
    </row>
    <row r="7" spans="1:10" x14ac:dyDescent="0.4">
      <c r="A7" s="7" t="s">
        <v>94</v>
      </c>
      <c r="B7" s="8" t="s">
        <v>95</v>
      </c>
      <c r="C7" s="8" t="s">
        <v>96</v>
      </c>
      <c r="D7" s="9" t="s">
        <v>97</v>
      </c>
      <c r="E7" s="7" t="s">
        <v>94</v>
      </c>
      <c r="F7" s="8" t="s">
        <v>95</v>
      </c>
      <c r="G7" s="8" t="s">
        <v>96</v>
      </c>
      <c r="H7" s="9" t="s">
        <v>97</v>
      </c>
    </row>
    <row r="8" spans="1:10" x14ac:dyDescent="0.4">
      <c r="A8" s="7" t="s">
        <v>76</v>
      </c>
      <c r="B8" s="10" t="s">
        <v>98</v>
      </c>
      <c r="C8" s="10" t="s">
        <v>99</v>
      </c>
      <c r="D8" s="11" t="s">
        <v>100</v>
      </c>
      <c r="E8" s="7" t="s">
        <v>76</v>
      </c>
      <c r="F8" s="10" t="s">
        <v>98</v>
      </c>
      <c r="G8" s="10" t="s">
        <v>99</v>
      </c>
      <c r="H8" s="11" t="s">
        <v>100</v>
      </c>
    </row>
    <row r="9" spans="1:10" x14ac:dyDescent="0.4">
      <c r="A9" s="7" t="s">
        <v>84</v>
      </c>
      <c r="B9" s="10" t="s">
        <v>101</v>
      </c>
      <c r="C9" s="10" t="s">
        <v>102</v>
      </c>
      <c r="D9" s="11" t="s">
        <v>103</v>
      </c>
      <c r="E9" s="7" t="s">
        <v>84</v>
      </c>
      <c r="F9" s="772" t="s">
        <v>760</v>
      </c>
      <c r="G9" s="10" t="s">
        <v>761</v>
      </c>
      <c r="H9" s="11" t="s">
        <v>762</v>
      </c>
    </row>
    <row r="10" spans="1:10" ht="15" thickBot="1" x14ac:dyDescent="0.45">
      <c r="A10" s="12" t="s">
        <v>91</v>
      </c>
      <c r="B10" s="13" t="s">
        <v>104</v>
      </c>
      <c r="C10" s="13" t="s">
        <v>104</v>
      </c>
      <c r="D10" s="14" t="s">
        <v>105</v>
      </c>
      <c r="E10" s="12" t="s">
        <v>91</v>
      </c>
      <c r="F10" s="13"/>
      <c r="G10" s="13"/>
      <c r="H10" s="14"/>
    </row>
    <row r="11" spans="1:10" ht="15" thickBot="1" x14ac:dyDescent="0.45">
      <c r="A11" s="8"/>
      <c r="B11" s="10"/>
      <c r="C11" s="10"/>
      <c r="D11" s="10"/>
    </row>
    <row r="12" spans="1:10" ht="15" customHeight="1" thickBot="1" x14ac:dyDescent="0.45">
      <c r="A12" s="841" t="s">
        <v>763</v>
      </c>
      <c r="B12" s="842"/>
      <c r="C12" s="842"/>
      <c r="D12" s="842"/>
      <c r="E12" s="842"/>
      <c r="F12" s="842"/>
      <c r="G12" s="843"/>
    </row>
    <row r="13" spans="1:10" ht="30.9" x14ac:dyDescent="0.4">
      <c r="A13" s="773" t="s">
        <v>18</v>
      </c>
      <c r="B13" s="774" t="s">
        <v>19</v>
      </c>
      <c r="C13" s="774" t="s">
        <v>20</v>
      </c>
      <c r="D13" s="3"/>
      <c r="E13" s="775" t="s">
        <v>18</v>
      </c>
      <c r="F13" s="775" t="s">
        <v>19</v>
      </c>
      <c r="G13" s="775" t="s">
        <v>20</v>
      </c>
      <c r="H13" s="3"/>
      <c r="I13" s="844" t="s">
        <v>764</v>
      </c>
      <c r="J13" s="844"/>
    </row>
    <row r="14" spans="1:10" ht="30.45" x14ac:dyDescent="0.4">
      <c r="A14" s="776" t="s">
        <v>21</v>
      </c>
      <c r="B14" s="777">
        <v>7.4</v>
      </c>
      <c r="C14" s="777" t="s">
        <v>22</v>
      </c>
      <c r="D14" s="3"/>
      <c r="E14" s="778" t="s">
        <v>23</v>
      </c>
      <c r="F14" s="779">
        <v>7.4</v>
      </c>
      <c r="G14" s="779" t="s">
        <v>22</v>
      </c>
      <c r="H14" s="3"/>
      <c r="I14" s="1" t="s">
        <v>765</v>
      </c>
      <c r="J14" s="1">
        <v>7.24</v>
      </c>
    </row>
    <row r="15" spans="1:10" ht="30.45" x14ac:dyDescent="0.4">
      <c r="A15" s="780" t="s">
        <v>24</v>
      </c>
      <c r="B15" s="781">
        <v>8</v>
      </c>
      <c r="C15" s="781" t="s">
        <v>25</v>
      </c>
      <c r="D15" s="3"/>
      <c r="E15" s="778" t="s">
        <v>26</v>
      </c>
      <c r="F15" s="779">
        <v>8</v>
      </c>
      <c r="G15" s="779" t="s">
        <v>25</v>
      </c>
      <c r="H15" s="3"/>
    </row>
    <row r="16" spans="1:10" ht="30.45" x14ac:dyDescent="0.4">
      <c r="A16" s="776" t="s">
        <v>27</v>
      </c>
      <c r="B16" s="777">
        <v>8.3000000000000007</v>
      </c>
      <c r="C16" s="777" t="s">
        <v>28</v>
      </c>
      <c r="D16" s="3"/>
      <c r="E16" s="778" t="s">
        <v>29</v>
      </c>
      <c r="F16" s="779">
        <v>8.3000000000000007</v>
      </c>
      <c r="G16" s="779" t="s">
        <v>28</v>
      </c>
      <c r="H16" s="3"/>
      <c r="J16" s="2"/>
    </row>
    <row r="17" spans="1:8" ht="30.45" x14ac:dyDescent="0.4">
      <c r="A17" s="780" t="s">
        <v>30</v>
      </c>
      <c r="B17" s="781">
        <v>8.1999999999999993</v>
      </c>
      <c r="C17" s="781" t="s">
        <v>31</v>
      </c>
      <c r="D17" s="3"/>
      <c r="E17" s="778" t="s">
        <v>766</v>
      </c>
      <c r="F17" s="779">
        <v>8</v>
      </c>
      <c r="G17" s="779" t="s">
        <v>42</v>
      </c>
      <c r="H17" s="3"/>
    </row>
    <row r="18" spans="1:8" ht="30.45" x14ac:dyDescent="0.4">
      <c r="A18" s="776" t="s">
        <v>33</v>
      </c>
      <c r="B18" s="777">
        <v>9</v>
      </c>
      <c r="C18" s="777" t="s">
        <v>34</v>
      </c>
      <c r="D18" s="3"/>
      <c r="E18" s="778" t="s">
        <v>32</v>
      </c>
      <c r="F18" s="779">
        <v>8.1999999999999993</v>
      </c>
      <c r="G18" s="779" t="s">
        <v>31</v>
      </c>
      <c r="H18" s="3"/>
    </row>
    <row r="19" spans="1:8" ht="30.45" x14ac:dyDescent="0.4">
      <c r="A19" s="778" t="s">
        <v>36</v>
      </c>
      <c r="B19" s="782"/>
      <c r="C19" s="782"/>
      <c r="D19" s="3"/>
      <c r="E19" s="778" t="s">
        <v>35</v>
      </c>
      <c r="F19" s="779">
        <v>9</v>
      </c>
      <c r="G19" s="779" t="s">
        <v>34</v>
      </c>
      <c r="H19" s="3"/>
    </row>
    <row r="20" spans="1:8" ht="15.45" x14ac:dyDescent="0.4">
      <c r="A20" s="4"/>
      <c r="B20" s="5"/>
      <c r="C20" s="5"/>
      <c r="D20" s="3"/>
      <c r="E20" s="3"/>
      <c r="F20" s="3"/>
      <c r="G20" s="3"/>
      <c r="H20" s="3"/>
    </row>
    <row r="21" spans="1:8" ht="15.9" thickBot="1" x14ac:dyDescent="0.45">
      <c r="A21" s="4" t="s">
        <v>36</v>
      </c>
      <c r="B21" s="5"/>
      <c r="C21" s="5"/>
      <c r="D21" s="3"/>
      <c r="E21" s="3"/>
      <c r="F21" s="3"/>
      <c r="G21" s="3"/>
      <c r="H21" s="3"/>
    </row>
    <row r="22" spans="1:8" ht="30.9" x14ac:dyDescent="0.4">
      <c r="A22" s="783" t="s">
        <v>18</v>
      </c>
      <c r="B22" s="784" t="s">
        <v>19</v>
      </c>
      <c r="C22" s="784" t="s">
        <v>20</v>
      </c>
      <c r="D22" s="3"/>
      <c r="E22" s="785" t="s">
        <v>767</v>
      </c>
      <c r="F22" s="786" t="s">
        <v>768</v>
      </c>
      <c r="G22" s="3"/>
      <c r="H22" s="3"/>
    </row>
    <row r="23" spans="1:8" ht="30.45" x14ac:dyDescent="0.4">
      <c r="A23" s="776" t="s">
        <v>37</v>
      </c>
      <c r="B23" s="777">
        <v>9.6999999999999993</v>
      </c>
      <c r="C23" s="777" t="s">
        <v>22</v>
      </c>
      <c r="D23" s="3"/>
      <c r="E23" s="787">
        <v>9</v>
      </c>
      <c r="F23" s="788" t="s">
        <v>22</v>
      </c>
      <c r="G23" s="3"/>
      <c r="H23" s="3"/>
    </row>
    <row r="24" spans="1:8" ht="15.45" x14ac:dyDescent="0.4">
      <c r="A24" s="780" t="s">
        <v>38</v>
      </c>
      <c r="B24" s="781">
        <v>9.27</v>
      </c>
      <c r="C24" s="781" t="s">
        <v>39</v>
      </c>
      <c r="D24" s="3"/>
      <c r="E24" s="787">
        <v>9.4600000000000009</v>
      </c>
      <c r="F24" s="788" t="s">
        <v>25</v>
      </c>
      <c r="G24" s="3"/>
      <c r="H24" s="3"/>
    </row>
    <row r="25" spans="1:8" ht="30.45" x14ac:dyDescent="0.4">
      <c r="A25" s="776" t="s">
        <v>40</v>
      </c>
      <c r="B25" s="777">
        <v>10.4</v>
      </c>
      <c r="C25" s="777" t="s">
        <v>25</v>
      </c>
      <c r="D25" s="3"/>
      <c r="E25" s="787">
        <v>9.75</v>
      </c>
      <c r="F25" s="788" t="s">
        <v>28</v>
      </c>
      <c r="G25" s="3"/>
      <c r="H25" s="3"/>
    </row>
    <row r="26" spans="1:8" ht="30.9" thickBot="1" x14ac:dyDescent="0.45">
      <c r="A26" s="780" t="s">
        <v>41</v>
      </c>
      <c r="B26" s="781">
        <v>10.199999999999999</v>
      </c>
      <c r="C26" s="781" t="s">
        <v>42</v>
      </c>
      <c r="D26" s="3"/>
      <c r="E26" s="789">
        <v>10</v>
      </c>
      <c r="F26" s="790" t="s">
        <v>44</v>
      </c>
      <c r="G26" s="3"/>
      <c r="H26" s="3"/>
    </row>
    <row r="27" spans="1:8" ht="30.45" x14ac:dyDescent="0.4">
      <c r="A27" s="776" t="s">
        <v>43</v>
      </c>
      <c r="B27" s="777">
        <v>10</v>
      </c>
      <c r="C27" s="777" t="s">
        <v>44</v>
      </c>
      <c r="D27" s="3"/>
      <c r="E27" s="6"/>
      <c r="F27" s="3"/>
      <c r="G27" s="3"/>
      <c r="H27" s="3"/>
    </row>
    <row r="28" spans="1:8" ht="15.45" x14ac:dyDescent="0.4">
      <c r="A28" s="780" t="s">
        <v>45</v>
      </c>
      <c r="B28" s="781">
        <v>10.199999999999999</v>
      </c>
      <c r="C28" s="781" t="s">
        <v>46</v>
      </c>
      <c r="D28" s="3"/>
      <c r="E28" s="6"/>
      <c r="F28" s="3"/>
      <c r="G28" s="3"/>
      <c r="H28" s="3"/>
    </row>
    <row r="29" spans="1:8" ht="15.45" x14ac:dyDescent="0.4">
      <c r="A29" s="4" t="s">
        <v>36</v>
      </c>
      <c r="B29" s="5"/>
      <c r="C29" s="5"/>
      <c r="D29" s="3"/>
      <c r="E29" s="3"/>
      <c r="F29" s="3"/>
      <c r="G29" s="3"/>
      <c r="H29" s="3"/>
    </row>
    <row r="30" spans="1:8" ht="15.45" x14ac:dyDescent="0.4">
      <c r="A30" s="4"/>
      <c r="B30" s="5"/>
      <c r="C30" s="5"/>
      <c r="D30" s="3"/>
      <c r="E30" s="3"/>
      <c r="F30" s="3"/>
      <c r="G30" s="3"/>
      <c r="H30" s="3"/>
    </row>
    <row r="31" spans="1:8" ht="15.45" x14ac:dyDescent="0.4">
      <c r="A31" s="4" t="s">
        <v>36</v>
      </c>
      <c r="B31" s="5"/>
      <c r="C31" s="5"/>
      <c r="D31" s="3"/>
      <c r="E31" s="3"/>
      <c r="F31" s="3"/>
      <c r="G31" s="3"/>
      <c r="H31" s="3"/>
    </row>
    <row r="32" spans="1:8" ht="30.9" x14ac:dyDescent="0.4">
      <c r="A32" s="783" t="s">
        <v>18</v>
      </c>
      <c r="B32" s="784" t="s">
        <v>19</v>
      </c>
      <c r="C32" s="784" t="s">
        <v>20</v>
      </c>
      <c r="D32" s="3"/>
      <c r="E32" s="783" t="s">
        <v>18</v>
      </c>
      <c r="F32" s="784" t="s">
        <v>19</v>
      </c>
      <c r="G32" s="784" t="s">
        <v>20</v>
      </c>
      <c r="H32" s="3"/>
    </row>
    <row r="33" spans="1:8" ht="15.45" x14ac:dyDescent="0.4">
      <c r="A33" s="776" t="s">
        <v>47</v>
      </c>
      <c r="B33" s="777">
        <v>12.6</v>
      </c>
      <c r="C33" s="777" t="s">
        <v>22</v>
      </c>
      <c r="D33" s="3"/>
      <c r="E33" s="776"/>
      <c r="F33" s="777"/>
      <c r="G33" s="777"/>
      <c r="H33" s="3"/>
    </row>
    <row r="34" spans="1:8" ht="30.45" x14ac:dyDescent="0.4">
      <c r="A34" s="780" t="s">
        <v>48</v>
      </c>
      <c r="B34" s="781">
        <v>12.3</v>
      </c>
      <c r="C34" s="781" t="s">
        <v>25</v>
      </c>
      <c r="D34" s="3"/>
      <c r="E34" s="780" t="s">
        <v>769</v>
      </c>
      <c r="F34" s="781">
        <v>12</v>
      </c>
      <c r="G34" s="781" t="s">
        <v>25</v>
      </c>
      <c r="H34" s="3"/>
    </row>
    <row r="35" spans="1:8" ht="30.45" x14ac:dyDescent="0.4">
      <c r="A35" s="776" t="s">
        <v>49</v>
      </c>
      <c r="B35" s="777">
        <v>12</v>
      </c>
      <c r="C35" s="777" t="s">
        <v>25</v>
      </c>
      <c r="D35" s="3"/>
      <c r="E35" s="776" t="s">
        <v>770</v>
      </c>
      <c r="F35" s="777">
        <v>12.3</v>
      </c>
      <c r="G35" s="777" t="s">
        <v>771</v>
      </c>
      <c r="H35" s="3"/>
    </row>
    <row r="36" spans="1:8" ht="30.45" x14ac:dyDescent="0.4">
      <c r="A36" s="780" t="s">
        <v>50</v>
      </c>
      <c r="B36" s="781">
        <v>12.3</v>
      </c>
      <c r="C36" s="781" t="s">
        <v>42</v>
      </c>
      <c r="D36" s="3"/>
      <c r="E36" s="780" t="s">
        <v>772</v>
      </c>
      <c r="F36" s="781">
        <v>12.9</v>
      </c>
      <c r="G36" s="781" t="s">
        <v>773</v>
      </c>
      <c r="H36" s="3"/>
    </row>
    <row r="37" spans="1:8" ht="30.45" x14ac:dyDescent="0.4">
      <c r="A37" s="776" t="s">
        <v>51</v>
      </c>
      <c r="B37" s="777">
        <v>12.9</v>
      </c>
      <c r="C37" s="777" t="s">
        <v>44</v>
      </c>
      <c r="D37" s="3"/>
      <c r="E37" s="3"/>
      <c r="F37" s="3"/>
      <c r="G37" s="3"/>
      <c r="H37" s="3"/>
    </row>
    <row r="38" spans="1:8" ht="30.45" x14ac:dyDescent="0.4">
      <c r="A38" s="780" t="s">
        <v>52</v>
      </c>
      <c r="B38" s="781">
        <v>13</v>
      </c>
      <c r="C38" s="781" t="s">
        <v>46</v>
      </c>
      <c r="D38" s="3"/>
      <c r="E38" s="3"/>
      <c r="F38" s="3"/>
      <c r="G38" s="3"/>
      <c r="H38" s="3"/>
    </row>
    <row r="39" spans="1:8" ht="15.45" x14ac:dyDescent="0.4">
      <c r="A39" s="4" t="s">
        <v>36</v>
      </c>
      <c r="B39" s="5"/>
      <c r="C39" s="5"/>
      <c r="D39" s="3"/>
      <c r="E39" s="3"/>
      <c r="F39" s="3"/>
      <c r="G39" s="3"/>
      <c r="H39" s="3"/>
    </row>
    <row r="40" spans="1:8" ht="15.45" x14ac:dyDescent="0.4">
      <c r="A40" s="4"/>
      <c r="B40" s="5"/>
      <c r="C40" s="5"/>
      <c r="D40" s="3"/>
      <c r="E40" s="3"/>
      <c r="F40" s="3"/>
      <c r="G40" s="3"/>
      <c r="H40" s="3"/>
    </row>
    <row r="41" spans="1:8" ht="15.45" x14ac:dyDescent="0.4">
      <c r="A41" s="4" t="s">
        <v>36</v>
      </c>
      <c r="B41" s="5"/>
      <c r="C41" s="5"/>
      <c r="D41" s="3"/>
      <c r="E41" s="3"/>
      <c r="F41" s="3"/>
      <c r="G41" s="3"/>
      <c r="H41" s="3"/>
    </row>
    <row r="42" spans="1:8" ht="30.9" x14ac:dyDescent="0.4">
      <c r="A42" s="783" t="s">
        <v>18</v>
      </c>
      <c r="B42" s="784" t="s">
        <v>19</v>
      </c>
      <c r="C42" s="784" t="s">
        <v>20</v>
      </c>
      <c r="D42" s="3"/>
      <c r="E42" s="791" t="s">
        <v>18</v>
      </c>
      <c r="F42" s="791" t="s">
        <v>19</v>
      </c>
      <c r="G42" s="791" t="s">
        <v>20</v>
      </c>
      <c r="H42" s="3"/>
    </row>
    <row r="43" spans="1:8" ht="30.45" x14ac:dyDescent="0.4">
      <c r="A43" s="776" t="s">
        <v>53</v>
      </c>
      <c r="B43" s="777">
        <v>12.3</v>
      </c>
      <c r="C43" s="777" t="s">
        <v>22</v>
      </c>
      <c r="D43" s="3"/>
      <c r="E43" s="778" t="s">
        <v>54</v>
      </c>
      <c r="F43" s="779">
        <v>12.3</v>
      </c>
      <c r="G43" s="779" t="s">
        <v>25</v>
      </c>
      <c r="H43" s="3"/>
    </row>
    <row r="44" spans="1:8" ht="30.45" x14ac:dyDescent="0.4">
      <c r="A44" s="780" t="s">
        <v>55</v>
      </c>
      <c r="B44" s="781">
        <v>12.3</v>
      </c>
      <c r="C44" s="781" t="s">
        <v>25</v>
      </c>
      <c r="D44" s="3"/>
      <c r="E44" s="778" t="s">
        <v>56</v>
      </c>
      <c r="F44" s="779">
        <v>13</v>
      </c>
      <c r="G44" s="779" t="s">
        <v>57</v>
      </c>
      <c r="H44" s="3"/>
    </row>
    <row r="45" spans="1:8" ht="30.45" x14ac:dyDescent="0.4">
      <c r="A45" s="776" t="s">
        <v>58</v>
      </c>
      <c r="B45" s="777">
        <v>13</v>
      </c>
      <c r="C45" s="777" t="s">
        <v>42</v>
      </c>
      <c r="D45" s="3"/>
      <c r="E45" s="778" t="s">
        <v>59</v>
      </c>
      <c r="F45" s="779">
        <v>13</v>
      </c>
      <c r="G45" s="779" t="s">
        <v>44</v>
      </c>
      <c r="H45" s="3"/>
    </row>
    <row r="46" spans="1:8" ht="30.45" x14ac:dyDescent="0.4">
      <c r="A46" s="780" t="s">
        <v>60</v>
      </c>
      <c r="B46" s="781">
        <v>13</v>
      </c>
      <c r="C46" s="781" t="s">
        <v>44</v>
      </c>
      <c r="D46" s="3"/>
      <c r="E46" s="3"/>
      <c r="F46" s="3"/>
      <c r="G46" s="3"/>
      <c r="H46" s="3"/>
    </row>
    <row r="47" spans="1:8" ht="15.45" x14ac:dyDescent="0.4">
      <c r="A47" s="4" t="s">
        <v>36</v>
      </c>
      <c r="B47" s="5"/>
      <c r="C47" s="5"/>
      <c r="D47" s="3"/>
      <c r="E47" s="3"/>
      <c r="F47" s="3"/>
      <c r="G47" s="3"/>
      <c r="H47" s="3"/>
    </row>
    <row r="48" spans="1:8" ht="15.45" x14ac:dyDescent="0.4">
      <c r="A48" s="4"/>
      <c r="B48" s="5"/>
      <c r="C48" s="5"/>
      <c r="D48" s="3"/>
      <c r="E48" s="3"/>
      <c r="F48" s="3"/>
      <c r="G48" s="3"/>
      <c r="H48" s="3"/>
    </row>
    <row r="49" spans="1:36" ht="15.45" x14ac:dyDescent="0.4">
      <c r="A49" s="4" t="s">
        <v>36</v>
      </c>
      <c r="B49" s="5"/>
      <c r="C49" s="5"/>
      <c r="D49" s="3"/>
      <c r="E49" s="3"/>
      <c r="F49" s="3"/>
      <c r="G49" s="3"/>
      <c r="H49" s="3"/>
    </row>
    <row r="50" spans="1:36" ht="30.9" x14ac:dyDescent="0.4">
      <c r="A50" s="783" t="s">
        <v>18</v>
      </c>
      <c r="B50" s="784" t="s">
        <v>19</v>
      </c>
      <c r="C50" s="784" t="s">
        <v>20</v>
      </c>
      <c r="D50" s="3"/>
      <c r="E50" s="792" t="s">
        <v>18</v>
      </c>
      <c r="F50" s="792" t="s">
        <v>19</v>
      </c>
      <c r="G50" s="792" t="s">
        <v>20</v>
      </c>
      <c r="H50" s="3"/>
    </row>
    <row r="51" spans="1:36" ht="30.45" x14ac:dyDescent="0.4">
      <c r="A51" s="776" t="s">
        <v>61</v>
      </c>
      <c r="B51" s="777">
        <v>17.399999999999999</v>
      </c>
      <c r="C51" s="777" t="s">
        <v>62</v>
      </c>
      <c r="D51" s="3"/>
      <c r="E51" s="782" t="s">
        <v>63</v>
      </c>
      <c r="F51" s="779">
        <v>17.399999999999999</v>
      </c>
      <c r="G51" s="779" t="s">
        <v>62</v>
      </c>
      <c r="H51" s="3"/>
    </row>
    <row r="52" spans="1:36" ht="30.45" x14ac:dyDescent="0.4">
      <c r="A52" s="780" t="s">
        <v>64</v>
      </c>
      <c r="B52" s="781">
        <v>17.399999999999999</v>
      </c>
      <c r="C52" s="781" t="s">
        <v>65</v>
      </c>
      <c r="D52" s="3"/>
      <c r="E52" s="782" t="s">
        <v>66</v>
      </c>
      <c r="F52" s="779">
        <v>17.399999999999999</v>
      </c>
      <c r="G52" s="779" t="s">
        <v>65</v>
      </c>
      <c r="H52" s="3"/>
    </row>
    <row r="53" spans="1:36" ht="30.45" x14ac:dyDescent="0.4">
      <c r="A53" s="776" t="s">
        <v>67</v>
      </c>
      <c r="B53" s="777">
        <v>17.7</v>
      </c>
      <c r="C53" s="777" t="s">
        <v>68</v>
      </c>
      <c r="D53" s="3"/>
      <c r="E53" s="782" t="s">
        <v>69</v>
      </c>
      <c r="F53" s="779">
        <v>17.7</v>
      </c>
      <c r="G53" s="779" t="s">
        <v>68</v>
      </c>
      <c r="H53" s="3"/>
    </row>
    <row r="54" spans="1:36" ht="30.45" x14ac:dyDescent="0.4">
      <c r="A54" s="780" t="s">
        <v>70</v>
      </c>
      <c r="B54" s="781">
        <v>17.600000000000001</v>
      </c>
      <c r="C54" s="781" t="s">
        <v>71</v>
      </c>
      <c r="D54" s="3"/>
      <c r="E54" s="782" t="s">
        <v>72</v>
      </c>
      <c r="F54" s="779">
        <v>17.600000000000001</v>
      </c>
      <c r="G54" s="779" t="s">
        <v>71</v>
      </c>
      <c r="H54" s="3"/>
    </row>
    <row r="55" spans="1:36" ht="30.45" x14ac:dyDescent="0.4">
      <c r="A55" s="776" t="s">
        <v>73</v>
      </c>
      <c r="B55" s="777">
        <v>18.100000000000001</v>
      </c>
      <c r="C55" s="777" t="s">
        <v>74</v>
      </c>
      <c r="D55" s="3"/>
      <c r="H55" s="3"/>
    </row>
    <row r="56" spans="1:36" ht="15.45" x14ac:dyDescent="0.4">
      <c r="A56" s="3"/>
      <c r="B56" s="6"/>
      <c r="C56" s="6"/>
      <c r="D56" s="3"/>
      <c r="E56" s="3"/>
      <c r="F56" s="3"/>
      <c r="G56" s="3"/>
      <c r="H56" s="3"/>
    </row>
    <row r="57" spans="1:36" ht="15" thickBot="1" x14ac:dyDescent="0.45">
      <c r="Z57" s="849"/>
      <c r="AA57" s="849"/>
      <c r="AB57" s="849"/>
      <c r="AC57" s="849"/>
      <c r="AD57" s="849"/>
    </row>
    <row r="58" spans="1:36" ht="15" thickBot="1" x14ac:dyDescent="0.45">
      <c r="A58" s="850" t="s">
        <v>774</v>
      </c>
      <c r="B58" s="851"/>
      <c r="C58" s="851"/>
      <c r="D58" s="851"/>
      <c r="E58" s="851"/>
      <c r="F58" s="851"/>
      <c r="G58" s="852"/>
      <c r="H58" s="852"/>
      <c r="I58" s="852"/>
      <c r="J58" s="852"/>
      <c r="K58" s="852"/>
      <c r="L58" s="851"/>
      <c r="M58" s="852"/>
      <c r="N58" s="852"/>
      <c r="O58" s="852"/>
      <c r="P58" s="852"/>
      <c r="Q58" s="852"/>
      <c r="R58" s="851"/>
      <c r="S58" s="852"/>
      <c r="T58" s="852"/>
      <c r="U58" s="852"/>
      <c r="V58" s="852"/>
      <c r="W58" s="852"/>
      <c r="X58" s="851"/>
      <c r="Y58" s="851"/>
      <c r="Z58" s="851"/>
      <c r="AA58" s="851"/>
      <c r="AB58" s="851"/>
      <c r="AC58" s="851"/>
      <c r="AD58" s="851"/>
      <c r="AE58" s="852"/>
      <c r="AF58" s="852"/>
      <c r="AG58" s="852"/>
      <c r="AH58" s="852"/>
      <c r="AI58" s="852"/>
      <c r="AJ58" s="853"/>
    </row>
    <row r="59" spans="1:36" s="793" customFormat="1" ht="23.15" x14ac:dyDescent="0.6">
      <c r="A59" s="854" t="s">
        <v>106</v>
      </c>
      <c r="B59" s="855"/>
      <c r="C59" s="855"/>
      <c r="D59" s="855"/>
      <c r="E59" s="856"/>
      <c r="G59" s="794" t="s">
        <v>775</v>
      </c>
      <c r="H59" s="794" t="s">
        <v>108</v>
      </c>
      <c r="I59" s="794" t="s">
        <v>109</v>
      </c>
      <c r="J59" s="794" t="s">
        <v>776</v>
      </c>
      <c r="K59" s="794" t="s">
        <v>111</v>
      </c>
      <c r="M59" s="794" t="s">
        <v>775</v>
      </c>
      <c r="N59" s="794" t="s">
        <v>108</v>
      </c>
      <c r="O59" s="794" t="s">
        <v>109</v>
      </c>
      <c r="P59" s="794" t="s">
        <v>776</v>
      </c>
      <c r="Q59" s="794" t="s">
        <v>111</v>
      </c>
      <c r="S59" s="794" t="s">
        <v>775</v>
      </c>
      <c r="T59" s="794" t="s">
        <v>108</v>
      </c>
      <c r="U59" s="794" t="s">
        <v>109</v>
      </c>
      <c r="V59" s="794" t="s">
        <v>776</v>
      </c>
      <c r="W59" s="794" t="s">
        <v>111</v>
      </c>
      <c r="Y59" s="794" t="s">
        <v>775</v>
      </c>
      <c r="Z59" s="794" t="s">
        <v>108</v>
      </c>
      <c r="AA59" s="794" t="s">
        <v>109</v>
      </c>
      <c r="AB59" s="794" t="s">
        <v>776</v>
      </c>
      <c r="AC59" s="794" t="s">
        <v>111</v>
      </c>
      <c r="AE59" s="794" t="s">
        <v>775</v>
      </c>
      <c r="AF59" s="794" t="s">
        <v>108</v>
      </c>
      <c r="AG59" s="794" t="s">
        <v>109</v>
      </c>
      <c r="AH59" s="794" t="s">
        <v>776</v>
      </c>
      <c r="AI59" s="794" t="s">
        <v>111</v>
      </c>
    </row>
    <row r="60" spans="1:36" s="793" customFormat="1" ht="15" thickBot="1" x14ac:dyDescent="0.45">
      <c r="A60" s="795" t="s">
        <v>107</v>
      </c>
      <c r="B60" s="796" t="s">
        <v>108</v>
      </c>
      <c r="C60" s="796" t="s">
        <v>109</v>
      </c>
      <c r="D60" s="796" t="s">
        <v>110</v>
      </c>
      <c r="E60" s="797" t="s">
        <v>111</v>
      </c>
      <c r="G60" s="794" t="s">
        <v>142</v>
      </c>
      <c r="H60" s="794" t="s">
        <v>143</v>
      </c>
      <c r="I60" s="794" t="s">
        <v>144</v>
      </c>
      <c r="J60" s="794" t="s">
        <v>145</v>
      </c>
      <c r="K60" s="794" t="s">
        <v>777</v>
      </c>
      <c r="M60" s="794" t="s">
        <v>155</v>
      </c>
      <c r="N60" s="794" t="s">
        <v>143</v>
      </c>
      <c r="O60" s="794" t="s">
        <v>144</v>
      </c>
      <c r="P60" s="794" t="s">
        <v>145</v>
      </c>
      <c r="Q60" s="794" t="s">
        <v>777</v>
      </c>
      <c r="S60" s="794" t="s">
        <v>165</v>
      </c>
      <c r="T60" s="794" t="s">
        <v>778</v>
      </c>
      <c r="U60" s="794" t="s">
        <v>167</v>
      </c>
      <c r="V60" s="794" t="s">
        <v>168</v>
      </c>
      <c r="W60" s="794" t="s">
        <v>146</v>
      </c>
      <c r="Y60" s="794" t="s">
        <v>779</v>
      </c>
      <c r="Z60" s="794" t="s">
        <v>780</v>
      </c>
      <c r="AA60" s="794" t="s">
        <v>781</v>
      </c>
      <c r="AB60" s="794" t="s">
        <v>782</v>
      </c>
      <c r="AC60" s="794" t="s">
        <v>146</v>
      </c>
      <c r="AE60" s="794" t="s">
        <v>783</v>
      </c>
      <c r="AF60" s="794" t="s">
        <v>784</v>
      </c>
      <c r="AG60" s="794" t="s">
        <v>785</v>
      </c>
      <c r="AH60" s="794" t="s">
        <v>786</v>
      </c>
      <c r="AI60" s="794" t="s">
        <v>119</v>
      </c>
    </row>
    <row r="61" spans="1:36" s="793" customFormat="1" x14ac:dyDescent="0.4">
      <c r="A61" s="798" t="s">
        <v>112</v>
      </c>
      <c r="B61" s="799" t="s">
        <v>787</v>
      </c>
      <c r="C61" s="799" t="s">
        <v>788</v>
      </c>
      <c r="D61" s="799" t="s">
        <v>115</v>
      </c>
      <c r="E61" s="800" t="s">
        <v>116</v>
      </c>
      <c r="G61" s="794" t="s">
        <v>142</v>
      </c>
      <c r="H61" s="794" t="s">
        <v>789</v>
      </c>
      <c r="I61" s="794" t="s">
        <v>790</v>
      </c>
      <c r="J61" s="794" t="s">
        <v>147</v>
      </c>
      <c r="K61" s="794" t="s">
        <v>777</v>
      </c>
      <c r="M61" s="794" t="s">
        <v>155</v>
      </c>
      <c r="N61" s="794" t="s">
        <v>789</v>
      </c>
      <c r="O61" s="794" t="s">
        <v>790</v>
      </c>
      <c r="P61" s="794" t="s">
        <v>147</v>
      </c>
      <c r="Q61" s="794" t="s">
        <v>777</v>
      </c>
      <c r="S61" s="794" t="s">
        <v>165</v>
      </c>
      <c r="T61" s="794" t="s">
        <v>780</v>
      </c>
      <c r="U61" s="794" t="s">
        <v>781</v>
      </c>
      <c r="V61" s="794" t="s">
        <v>782</v>
      </c>
      <c r="W61" s="794" t="s">
        <v>146</v>
      </c>
      <c r="Y61" s="794" t="s">
        <v>779</v>
      </c>
      <c r="Z61" s="794" t="s">
        <v>778</v>
      </c>
      <c r="AA61" s="794" t="s">
        <v>167</v>
      </c>
      <c r="AB61" s="794" t="s">
        <v>168</v>
      </c>
      <c r="AC61" s="794" t="s">
        <v>146</v>
      </c>
      <c r="AE61" s="794" t="s">
        <v>783</v>
      </c>
      <c r="AF61" s="794" t="s">
        <v>791</v>
      </c>
      <c r="AG61" s="794" t="s">
        <v>792</v>
      </c>
      <c r="AH61" s="794" t="s">
        <v>793</v>
      </c>
      <c r="AI61" s="794" t="s">
        <v>119</v>
      </c>
    </row>
    <row r="62" spans="1:36" s="793" customFormat="1" x14ac:dyDescent="0.4">
      <c r="A62" s="801" t="s">
        <v>112</v>
      </c>
      <c r="B62" s="794" t="s">
        <v>113</v>
      </c>
      <c r="C62" s="794" t="s">
        <v>114</v>
      </c>
      <c r="D62" s="794" t="s">
        <v>115</v>
      </c>
      <c r="E62" s="802" t="s">
        <v>794</v>
      </c>
      <c r="G62" s="794" t="s">
        <v>142</v>
      </c>
      <c r="H62" s="794" t="s">
        <v>795</v>
      </c>
      <c r="I62" s="794" t="s">
        <v>796</v>
      </c>
      <c r="J62" s="794" t="s">
        <v>797</v>
      </c>
      <c r="K62" s="794" t="s">
        <v>798</v>
      </c>
      <c r="M62" s="794" t="s">
        <v>155</v>
      </c>
      <c r="N62" s="794" t="s">
        <v>795</v>
      </c>
      <c r="O62" s="794" t="s">
        <v>796</v>
      </c>
      <c r="P62" s="794" t="s">
        <v>797</v>
      </c>
      <c r="Q62" s="794" t="s">
        <v>798</v>
      </c>
      <c r="S62" s="794" t="s">
        <v>165</v>
      </c>
      <c r="T62" s="794" t="s">
        <v>799</v>
      </c>
      <c r="U62" s="794" t="s">
        <v>169</v>
      </c>
      <c r="V62" s="794" t="s">
        <v>166</v>
      </c>
      <c r="W62" s="794" t="s">
        <v>146</v>
      </c>
      <c r="Y62" s="794" t="s">
        <v>779</v>
      </c>
      <c r="Z62" s="794" t="s">
        <v>800</v>
      </c>
      <c r="AA62" s="794" t="s">
        <v>170</v>
      </c>
      <c r="AB62" s="794" t="s">
        <v>171</v>
      </c>
      <c r="AC62" s="794" t="s">
        <v>172</v>
      </c>
      <c r="AE62" s="794" t="s">
        <v>783</v>
      </c>
      <c r="AF62" s="794" t="s">
        <v>801</v>
      </c>
      <c r="AG62" s="794" t="s">
        <v>802</v>
      </c>
      <c r="AH62" s="794" t="s">
        <v>803</v>
      </c>
      <c r="AI62" s="794" t="s">
        <v>148</v>
      </c>
    </row>
    <row r="63" spans="1:36" s="793" customFormat="1" x14ac:dyDescent="0.4">
      <c r="A63" s="801" t="s">
        <v>112</v>
      </c>
      <c r="B63" s="794" t="s">
        <v>117</v>
      </c>
      <c r="C63" s="794" t="s">
        <v>118</v>
      </c>
      <c r="D63" s="794" t="s">
        <v>115</v>
      </c>
      <c r="E63" s="802" t="s">
        <v>146</v>
      </c>
      <c r="G63" s="794" t="s">
        <v>142</v>
      </c>
      <c r="H63" s="794" t="s">
        <v>804</v>
      </c>
      <c r="I63" s="794" t="s">
        <v>805</v>
      </c>
      <c r="J63" s="794" t="s">
        <v>147</v>
      </c>
      <c r="K63" s="794" t="s">
        <v>806</v>
      </c>
      <c r="M63" s="794" t="s">
        <v>155</v>
      </c>
      <c r="N63" s="794" t="s">
        <v>804</v>
      </c>
      <c r="O63" s="794" t="s">
        <v>805</v>
      </c>
      <c r="P63" s="794" t="s">
        <v>147</v>
      </c>
      <c r="Q63" s="794" t="s">
        <v>806</v>
      </c>
      <c r="S63" s="794" t="s">
        <v>165</v>
      </c>
      <c r="T63" s="794" t="s">
        <v>800</v>
      </c>
      <c r="U63" s="794" t="s">
        <v>170</v>
      </c>
      <c r="V63" s="794" t="s">
        <v>171</v>
      </c>
      <c r="W63" s="794" t="s">
        <v>172</v>
      </c>
      <c r="Y63" s="794" t="s">
        <v>779</v>
      </c>
      <c r="Z63" s="794" t="s">
        <v>807</v>
      </c>
      <c r="AA63" s="794" t="s">
        <v>808</v>
      </c>
      <c r="AB63" s="794" t="s">
        <v>782</v>
      </c>
      <c r="AC63" s="794" t="s">
        <v>809</v>
      </c>
      <c r="AE63" s="794" t="s">
        <v>783</v>
      </c>
      <c r="AF63" s="794" t="s">
        <v>810</v>
      </c>
      <c r="AG63" s="794" t="s">
        <v>811</v>
      </c>
      <c r="AH63" s="794" t="s">
        <v>803</v>
      </c>
      <c r="AI63" s="794" t="s">
        <v>149</v>
      </c>
    </row>
    <row r="64" spans="1:36" s="793" customFormat="1" x14ac:dyDescent="0.4">
      <c r="A64" s="801" t="s">
        <v>112</v>
      </c>
      <c r="B64" s="794" t="s">
        <v>120</v>
      </c>
      <c r="C64" s="794" t="s">
        <v>121</v>
      </c>
      <c r="D64" s="794" t="s">
        <v>122</v>
      </c>
      <c r="E64" s="802" t="s">
        <v>123</v>
      </c>
      <c r="G64" s="794" t="s">
        <v>142</v>
      </c>
      <c r="H64" s="794" t="s">
        <v>812</v>
      </c>
      <c r="I64" s="794" t="s">
        <v>813</v>
      </c>
      <c r="J64" s="794" t="s">
        <v>145</v>
      </c>
      <c r="K64" s="794" t="s">
        <v>814</v>
      </c>
      <c r="M64" s="794" t="s">
        <v>155</v>
      </c>
      <c r="N64" s="794" t="s">
        <v>812</v>
      </c>
      <c r="O64" s="794" t="s">
        <v>813</v>
      </c>
      <c r="P64" s="794" t="s">
        <v>145</v>
      </c>
      <c r="Q64" s="794" t="s">
        <v>814</v>
      </c>
      <c r="S64" s="794" t="s">
        <v>165</v>
      </c>
      <c r="T64" s="794" t="s">
        <v>807</v>
      </c>
      <c r="U64" s="794" t="s">
        <v>808</v>
      </c>
      <c r="V64" s="794" t="s">
        <v>782</v>
      </c>
      <c r="W64" s="794" t="s">
        <v>809</v>
      </c>
      <c r="Y64" s="794" t="s">
        <v>779</v>
      </c>
      <c r="Z64" s="794" t="s">
        <v>815</v>
      </c>
      <c r="AA64" s="794" t="s">
        <v>173</v>
      </c>
      <c r="AB64" s="794" t="s">
        <v>168</v>
      </c>
      <c r="AC64" s="794" t="s">
        <v>809</v>
      </c>
      <c r="AE64" s="794" t="s">
        <v>783</v>
      </c>
      <c r="AF64" s="794" t="s">
        <v>816</v>
      </c>
      <c r="AG64" s="794" t="s">
        <v>817</v>
      </c>
      <c r="AH64" s="794" t="s">
        <v>793</v>
      </c>
      <c r="AI64" s="794" t="s">
        <v>818</v>
      </c>
    </row>
    <row r="65" spans="1:41" s="793" customFormat="1" x14ac:dyDescent="0.4">
      <c r="A65" s="801" t="s">
        <v>112</v>
      </c>
      <c r="B65" s="794" t="s">
        <v>125</v>
      </c>
      <c r="C65" s="794" t="s">
        <v>126</v>
      </c>
      <c r="D65" s="794" t="s">
        <v>127</v>
      </c>
      <c r="E65" s="802" t="s">
        <v>124</v>
      </c>
      <c r="G65" s="794" t="s">
        <v>142</v>
      </c>
      <c r="H65" s="794" t="s">
        <v>819</v>
      </c>
      <c r="I65" s="794" t="s">
        <v>820</v>
      </c>
      <c r="J65" s="794" t="s">
        <v>150</v>
      </c>
      <c r="K65" s="794" t="s">
        <v>149</v>
      </c>
      <c r="M65" s="794" t="s">
        <v>155</v>
      </c>
      <c r="N65" s="794" t="s">
        <v>819</v>
      </c>
      <c r="O65" s="794" t="s">
        <v>820</v>
      </c>
      <c r="P65" s="794" t="s">
        <v>150</v>
      </c>
      <c r="Q65" s="794" t="s">
        <v>149</v>
      </c>
      <c r="S65" s="794" t="s">
        <v>165</v>
      </c>
      <c r="T65" s="794" t="s">
        <v>815</v>
      </c>
      <c r="U65" s="794" t="s">
        <v>173</v>
      </c>
      <c r="V65" s="794" t="s">
        <v>168</v>
      </c>
      <c r="W65" s="794" t="s">
        <v>149</v>
      </c>
      <c r="Y65" s="794" t="s">
        <v>779</v>
      </c>
      <c r="Z65" s="794" t="s">
        <v>821</v>
      </c>
      <c r="AA65" s="794" t="s">
        <v>174</v>
      </c>
      <c r="AB65" s="794" t="s">
        <v>175</v>
      </c>
      <c r="AC65" s="794" t="s">
        <v>130</v>
      </c>
    </row>
    <row r="66" spans="1:41" s="793" customFormat="1" x14ac:dyDescent="0.4">
      <c r="A66" s="801" t="s">
        <v>112</v>
      </c>
      <c r="B66" s="794" t="s">
        <v>128</v>
      </c>
      <c r="C66" s="794" t="s">
        <v>129</v>
      </c>
      <c r="D66" s="794" t="s">
        <v>127</v>
      </c>
      <c r="E66" s="802" t="s">
        <v>130</v>
      </c>
      <c r="G66" s="794" t="s">
        <v>142</v>
      </c>
      <c r="H66" s="794" t="s">
        <v>822</v>
      </c>
      <c r="I66" s="794" t="s">
        <v>152</v>
      </c>
      <c r="J66" s="794" t="s">
        <v>151</v>
      </c>
      <c r="K66" s="794" t="s">
        <v>130</v>
      </c>
      <c r="M66" s="794" t="s">
        <v>155</v>
      </c>
      <c r="N66" s="794" t="s">
        <v>823</v>
      </c>
      <c r="O66" s="794" t="s">
        <v>153</v>
      </c>
      <c r="P66" s="794" t="s">
        <v>151</v>
      </c>
      <c r="Q66" s="794" t="s">
        <v>154</v>
      </c>
      <c r="S66" s="794" t="s">
        <v>165</v>
      </c>
      <c r="T66" s="794" t="s">
        <v>821</v>
      </c>
      <c r="U66" s="794" t="s">
        <v>174</v>
      </c>
      <c r="V66" s="794" t="s">
        <v>175</v>
      </c>
      <c r="W66" s="794" t="s">
        <v>130</v>
      </c>
      <c r="Y66" s="794" t="s">
        <v>779</v>
      </c>
      <c r="Z66" s="794" t="s">
        <v>824</v>
      </c>
      <c r="AA66" s="794" t="s">
        <v>176</v>
      </c>
      <c r="AB66" s="794" t="s">
        <v>177</v>
      </c>
      <c r="AC66" s="794" t="s">
        <v>178</v>
      </c>
    </row>
    <row r="67" spans="1:41" s="793" customFormat="1" ht="15" thickBot="1" x14ac:dyDescent="0.45">
      <c r="A67" s="803" t="s">
        <v>112</v>
      </c>
      <c r="B67" s="804" t="s">
        <v>131</v>
      </c>
      <c r="C67" s="804" t="s">
        <v>132</v>
      </c>
      <c r="D67" s="804" t="s">
        <v>127</v>
      </c>
      <c r="E67" s="805" t="s">
        <v>133</v>
      </c>
      <c r="G67" s="794" t="s">
        <v>142</v>
      </c>
      <c r="H67" s="794" t="s">
        <v>823</v>
      </c>
      <c r="I67" s="794" t="s">
        <v>153</v>
      </c>
      <c r="J67" s="794" t="s">
        <v>151</v>
      </c>
      <c r="K67" s="794" t="s">
        <v>154</v>
      </c>
      <c r="M67" s="806"/>
      <c r="N67" s="807"/>
      <c r="O67" s="808"/>
      <c r="Q67" s="809"/>
      <c r="S67" s="794" t="s">
        <v>165</v>
      </c>
      <c r="T67" s="794" t="s">
        <v>824</v>
      </c>
      <c r="U67" s="794" t="s">
        <v>176</v>
      </c>
      <c r="V67" s="794" t="s">
        <v>177</v>
      </c>
      <c r="W67" s="794" t="s">
        <v>178</v>
      </c>
    </row>
    <row r="69" spans="1:41" ht="15" thickBot="1" x14ac:dyDescent="0.45"/>
    <row r="70" spans="1:41" s="810" customFormat="1" x14ac:dyDescent="0.4">
      <c r="A70" s="845" t="s">
        <v>162</v>
      </c>
      <c r="B70" s="846"/>
      <c r="C70" s="846"/>
      <c r="D70" s="846"/>
      <c r="E70" s="847"/>
      <c r="G70" s="845" t="s">
        <v>825</v>
      </c>
      <c r="H70" s="846"/>
      <c r="I70" s="846"/>
      <c r="J70" s="846"/>
      <c r="K70" s="847"/>
      <c r="M70" s="845" t="s">
        <v>826</v>
      </c>
      <c r="N70" s="846"/>
      <c r="O70" s="846"/>
      <c r="P70" s="846"/>
      <c r="Q70" s="847"/>
      <c r="S70" s="845" t="s">
        <v>827</v>
      </c>
      <c r="T70" s="846"/>
      <c r="U70" s="846"/>
      <c r="V70" s="846"/>
      <c r="W70" s="847"/>
      <c r="Y70" s="845" t="s">
        <v>828</v>
      </c>
      <c r="Z70" s="846"/>
      <c r="AA70" s="846"/>
      <c r="AB70" s="846"/>
      <c r="AC70" s="847"/>
      <c r="AE70" s="845" t="s">
        <v>829</v>
      </c>
      <c r="AF70" s="846"/>
      <c r="AG70" s="846"/>
      <c r="AH70" s="846"/>
      <c r="AI70" s="847"/>
      <c r="AK70" s="845"/>
      <c r="AL70" s="846"/>
      <c r="AM70" s="846"/>
      <c r="AN70" s="846"/>
      <c r="AO70" s="847"/>
    </row>
    <row r="71" spans="1:41" s="652" customFormat="1" ht="15.9" x14ac:dyDescent="0.45">
      <c r="A71" s="811" t="s">
        <v>108</v>
      </c>
      <c r="B71" s="811" t="s">
        <v>830</v>
      </c>
      <c r="C71" s="811" t="s">
        <v>711</v>
      </c>
      <c r="D71" s="811" t="s">
        <v>831</v>
      </c>
      <c r="E71" s="811" t="s">
        <v>832</v>
      </c>
      <c r="G71" s="811" t="s">
        <v>108</v>
      </c>
      <c r="H71" s="811" t="s">
        <v>830</v>
      </c>
      <c r="I71" s="811" t="s">
        <v>711</v>
      </c>
      <c r="J71" s="811" t="s">
        <v>831</v>
      </c>
      <c r="K71" s="811" t="s">
        <v>832</v>
      </c>
      <c r="M71" s="811" t="s">
        <v>108</v>
      </c>
      <c r="N71" s="811" t="s">
        <v>830</v>
      </c>
      <c r="O71" s="811" t="s">
        <v>711</v>
      </c>
      <c r="P71" s="811" t="s">
        <v>831</v>
      </c>
      <c r="Q71" s="811" t="s">
        <v>832</v>
      </c>
      <c r="S71" s="812" t="s">
        <v>108</v>
      </c>
      <c r="T71" s="812" t="s">
        <v>830</v>
      </c>
      <c r="U71" s="812" t="s">
        <v>711</v>
      </c>
      <c r="V71" s="812" t="s">
        <v>831</v>
      </c>
      <c r="W71" s="812" t="s">
        <v>832</v>
      </c>
      <c r="Y71" s="811" t="s">
        <v>108</v>
      </c>
      <c r="Z71" s="811" t="s">
        <v>830</v>
      </c>
      <c r="AA71" s="811" t="s">
        <v>711</v>
      </c>
      <c r="AB71" s="811" t="s">
        <v>831</v>
      </c>
      <c r="AC71" s="811" t="s">
        <v>832</v>
      </c>
      <c r="AE71" s="811" t="s">
        <v>108</v>
      </c>
      <c r="AF71" s="811" t="s">
        <v>830</v>
      </c>
      <c r="AG71" s="811" t="s">
        <v>711</v>
      </c>
      <c r="AH71" s="811" t="s">
        <v>831</v>
      </c>
      <c r="AI71" s="811" t="s">
        <v>832</v>
      </c>
      <c r="AK71" s="813"/>
      <c r="AL71" s="633"/>
      <c r="AM71" s="633"/>
      <c r="AN71" s="633"/>
      <c r="AO71" s="814"/>
    </row>
    <row r="72" spans="1:41" s="38" customFormat="1" ht="15.9" x14ac:dyDescent="0.45">
      <c r="A72" s="815" t="s">
        <v>140</v>
      </c>
      <c r="B72" s="815" t="s">
        <v>833</v>
      </c>
      <c r="C72" s="815">
        <v>7.4</v>
      </c>
      <c r="D72" s="815">
        <v>26</v>
      </c>
      <c r="E72" s="815" t="s">
        <v>834</v>
      </c>
      <c r="G72" s="816" t="s">
        <v>835</v>
      </c>
      <c r="H72" s="816" t="s">
        <v>836</v>
      </c>
      <c r="I72" s="816">
        <v>9</v>
      </c>
      <c r="J72" s="816">
        <v>33.5</v>
      </c>
      <c r="K72" s="816" t="s">
        <v>837</v>
      </c>
      <c r="M72" s="816" t="s">
        <v>838</v>
      </c>
      <c r="N72" s="816" t="s">
        <v>839</v>
      </c>
      <c r="O72" s="816">
        <v>12.9</v>
      </c>
      <c r="P72" s="816">
        <v>45</v>
      </c>
      <c r="Q72" s="816" t="s">
        <v>840</v>
      </c>
      <c r="S72" s="817" t="s">
        <v>841</v>
      </c>
      <c r="T72" s="817" t="s">
        <v>842</v>
      </c>
      <c r="U72" s="817">
        <v>12.81</v>
      </c>
      <c r="V72" s="817">
        <v>44.4</v>
      </c>
      <c r="W72" s="817" t="s">
        <v>840</v>
      </c>
      <c r="Y72" s="816" t="s">
        <v>843</v>
      </c>
      <c r="Z72" s="816" t="s">
        <v>783</v>
      </c>
      <c r="AA72" s="816">
        <v>16.07</v>
      </c>
      <c r="AB72" s="816">
        <v>51.4</v>
      </c>
      <c r="AC72" s="816" t="s">
        <v>844</v>
      </c>
      <c r="AE72" s="816" t="s">
        <v>845</v>
      </c>
      <c r="AF72" s="816" t="s">
        <v>833</v>
      </c>
      <c r="AG72" s="816">
        <v>6.36</v>
      </c>
      <c r="AH72" s="816"/>
      <c r="AI72" s="816" t="s">
        <v>846</v>
      </c>
      <c r="AK72" s="41"/>
      <c r="AL72" s="41"/>
      <c r="AM72" s="41"/>
      <c r="AN72" s="41"/>
      <c r="AO72" s="41"/>
    </row>
    <row r="73" spans="1:41" s="38" customFormat="1" ht="15.9" x14ac:dyDescent="0.45">
      <c r="A73" s="815" t="s">
        <v>139</v>
      </c>
      <c r="B73" s="815" t="s">
        <v>833</v>
      </c>
      <c r="C73" s="815">
        <v>7.2</v>
      </c>
      <c r="D73" s="815">
        <v>27.5</v>
      </c>
      <c r="E73" s="815" t="s">
        <v>834</v>
      </c>
      <c r="G73" s="816" t="s">
        <v>847</v>
      </c>
      <c r="H73" s="816" t="s">
        <v>836</v>
      </c>
      <c r="I73" s="816">
        <v>9.4</v>
      </c>
      <c r="J73" s="816">
        <v>33</v>
      </c>
      <c r="K73" s="816" t="s">
        <v>848</v>
      </c>
      <c r="M73" s="816" t="s">
        <v>849</v>
      </c>
      <c r="N73" s="816" t="s">
        <v>839</v>
      </c>
      <c r="O73" s="816">
        <v>11.5</v>
      </c>
      <c r="P73" s="816">
        <v>39.700000000000003</v>
      </c>
      <c r="Q73" s="816" t="s">
        <v>850</v>
      </c>
      <c r="S73" s="817" t="s">
        <v>851</v>
      </c>
      <c r="T73" s="817" t="s">
        <v>842</v>
      </c>
      <c r="U73" s="817">
        <v>12.1</v>
      </c>
      <c r="V73" s="817">
        <v>44.3</v>
      </c>
      <c r="W73" s="817" t="s">
        <v>852</v>
      </c>
      <c r="Y73" s="816" t="s">
        <v>853</v>
      </c>
      <c r="Z73" s="816" t="s">
        <v>783</v>
      </c>
      <c r="AA73" s="816">
        <v>16.5</v>
      </c>
      <c r="AB73" s="816">
        <v>58</v>
      </c>
      <c r="AC73" s="816" t="s">
        <v>854</v>
      </c>
      <c r="AE73" s="816" t="s">
        <v>855</v>
      </c>
      <c r="AF73" s="816" t="s">
        <v>836</v>
      </c>
      <c r="AG73" s="816">
        <v>9.16</v>
      </c>
      <c r="AH73" s="816"/>
      <c r="AI73" s="816" t="s">
        <v>856</v>
      </c>
      <c r="AK73" s="41"/>
      <c r="AL73" s="41"/>
      <c r="AM73" s="41"/>
      <c r="AN73" s="41"/>
      <c r="AO73" s="41"/>
    </row>
    <row r="74" spans="1:41" s="38" customFormat="1" ht="15.9" x14ac:dyDescent="0.45">
      <c r="A74" s="815" t="s">
        <v>135</v>
      </c>
      <c r="B74" s="815" t="s">
        <v>833</v>
      </c>
      <c r="C74" s="815">
        <v>7.774</v>
      </c>
      <c r="D74" s="815">
        <v>28</v>
      </c>
      <c r="E74" s="815" t="s">
        <v>848</v>
      </c>
      <c r="G74" s="816" t="s">
        <v>857</v>
      </c>
      <c r="H74" s="816" t="s">
        <v>836</v>
      </c>
      <c r="I74" s="816">
        <v>9.6</v>
      </c>
      <c r="J74" s="816">
        <v>36.200000000000003</v>
      </c>
      <c r="K74" s="816" t="s">
        <v>57</v>
      </c>
      <c r="M74" s="816" t="s">
        <v>858</v>
      </c>
      <c r="N74" s="816" t="s">
        <v>839</v>
      </c>
      <c r="O74" s="816">
        <v>11.78</v>
      </c>
      <c r="P74" s="816">
        <v>40.299999999999997</v>
      </c>
      <c r="Q74" s="816" t="s">
        <v>859</v>
      </c>
      <c r="S74" s="817" t="s">
        <v>860</v>
      </c>
      <c r="T74" s="817" t="s">
        <v>842</v>
      </c>
      <c r="U74" s="817">
        <v>11.7</v>
      </c>
      <c r="V74" s="817">
        <v>48</v>
      </c>
      <c r="W74" s="817" t="s">
        <v>854</v>
      </c>
      <c r="Y74" s="816" t="s">
        <v>861</v>
      </c>
      <c r="Z74" s="816" t="s">
        <v>783</v>
      </c>
      <c r="AA74" s="816">
        <v>16.8</v>
      </c>
      <c r="AB74" s="816">
        <v>59</v>
      </c>
      <c r="AC74" s="816" t="s">
        <v>854</v>
      </c>
      <c r="AE74" s="816" t="s">
        <v>862</v>
      </c>
      <c r="AF74" s="816" t="s">
        <v>842</v>
      </c>
      <c r="AG74" s="816">
        <v>12.81</v>
      </c>
      <c r="AH74" s="816"/>
      <c r="AI74" s="816" t="s">
        <v>840</v>
      </c>
    </row>
    <row r="75" spans="1:41" s="38" customFormat="1" ht="15.9" x14ac:dyDescent="0.45">
      <c r="A75" s="815" t="s">
        <v>863</v>
      </c>
      <c r="B75" s="815" t="s">
        <v>833</v>
      </c>
      <c r="C75" s="815">
        <v>8.0399999999999991</v>
      </c>
      <c r="D75" s="815">
        <v>27</v>
      </c>
      <c r="E75" s="815" t="s">
        <v>864</v>
      </c>
      <c r="G75" s="816" t="s">
        <v>865</v>
      </c>
      <c r="H75" s="816" t="s">
        <v>836</v>
      </c>
      <c r="I75" s="816">
        <v>9.56</v>
      </c>
      <c r="J75" s="816">
        <v>34</v>
      </c>
      <c r="K75" s="816" t="s">
        <v>57</v>
      </c>
      <c r="M75" s="816" t="s">
        <v>866</v>
      </c>
      <c r="N75" s="816" t="s">
        <v>839</v>
      </c>
      <c r="O75" s="816">
        <v>11.78</v>
      </c>
      <c r="P75" s="816">
        <v>40.299999999999997</v>
      </c>
      <c r="Q75" s="816" t="s">
        <v>867</v>
      </c>
      <c r="S75" s="818"/>
      <c r="T75" s="41"/>
      <c r="U75" s="41"/>
      <c r="V75" s="41"/>
      <c r="W75" s="819"/>
      <c r="Y75" s="816" t="s">
        <v>868</v>
      </c>
      <c r="Z75" s="816" t="s">
        <v>783</v>
      </c>
      <c r="AA75" s="816">
        <v>17.440000000000001</v>
      </c>
      <c r="AB75" s="816">
        <v>54.4</v>
      </c>
      <c r="AC75" s="816" t="s">
        <v>840</v>
      </c>
      <c r="AE75" s="816" t="s">
        <v>869</v>
      </c>
      <c r="AF75" s="816" t="s">
        <v>842</v>
      </c>
      <c r="AG75" s="816">
        <v>12.1</v>
      </c>
      <c r="AH75" s="816"/>
      <c r="AI75" s="816" t="s">
        <v>852</v>
      </c>
    </row>
    <row r="76" spans="1:41" s="38" customFormat="1" ht="15.9" x14ac:dyDescent="0.45">
      <c r="A76" s="815" t="s">
        <v>870</v>
      </c>
      <c r="B76" s="815" t="s">
        <v>833</v>
      </c>
      <c r="C76" s="815">
        <v>7.96</v>
      </c>
      <c r="D76" s="815">
        <v>29.5</v>
      </c>
      <c r="E76" s="815">
        <v>70.849999999999994</v>
      </c>
      <c r="G76" s="816" t="s">
        <v>871</v>
      </c>
      <c r="H76" s="816" t="s">
        <v>836</v>
      </c>
      <c r="I76" s="816">
        <v>10.14</v>
      </c>
      <c r="J76" s="816">
        <v>39.700000000000003</v>
      </c>
      <c r="K76" s="816" t="s">
        <v>840</v>
      </c>
      <c r="M76" s="816" t="s">
        <v>860</v>
      </c>
      <c r="N76" s="816" t="s">
        <v>839</v>
      </c>
      <c r="O76" s="816">
        <v>11.7</v>
      </c>
      <c r="P76" s="816">
        <v>48</v>
      </c>
      <c r="Q76" s="816" t="s">
        <v>854</v>
      </c>
      <c r="S76" s="818"/>
      <c r="T76" s="41"/>
      <c r="U76" s="41"/>
      <c r="V76" s="41"/>
      <c r="W76" s="819"/>
      <c r="Y76" s="816" t="s">
        <v>872</v>
      </c>
      <c r="Z76" s="816" t="s">
        <v>783</v>
      </c>
      <c r="AA76" s="816">
        <v>17.72</v>
      </c>
      <c r="AB76" s="816">
        <v>60</v>
      </c>
      <c r="AC76" s="816" t="s">
        <v>873</v>
      </c>
      <c r="AE76" s="816" t="s">
        <v>874</v>
      </c>
      <c r="AF76" s="816" t="s">
        <v>842</v>
      </c>
      <c r="AG76" s="816">
        <v>11.7</v>
      </c>
      <c r="AH76" s="816"/>
      <c r="AI76" s="816" t="s">
        <v>854</v>
      </c>
    </row>
    <row r="77" spans="1:41" s="38" customFormat="1" ht="15.9" x14ac:dyDescent="0.45">
      <c r="A77" s="815" t="s">
        <v>141</v>
      </c>
      <c r="B77" s="815" t="s">
        <v>833</v>
      </c>
      <c r="C77" s="815">
        <v>7.86</v>
      </c>
      <c r="D77" s="815">
        <v>28</v>
      </c>
      <c r="E77" s="815" t="s">
        <v>852</v>
      </c>
      <c r="G77" s="816" t="s">
        <v>875</v>
      </c>
      <c r="H77" s="816" t="s">
        <v>836</v>
      </c>
      <c r="I77" s="816">
        <v>10</v>
      </c>
      <c r="J77" s="816">
        <v>37.200000000000003</v>
      </c>
      <c r="K77" s="816" t="s">
        <v>873</v>
      </c>
      <c r="M77" s="816" t="s">
        <v>876</v>
      </c>
      <c r="N77" s="816" t="s">
        <v>839</v>
      </c>
      <c r="O77" s="816">
        <v>11.89</v>
      </c>
      <c r="P77" s="816">
        <v>42.2</v>
      </c>
      <c r="Q77" s="816" t="s">
        <v>852</v>
      </c>
      <c r="S77" s="818"/>
      <c r="T77" s="41"/>
      <c r="U77" s="41"/>
      <c r="V77" s="41"/>
      <c r="W77" s="819"/>
      <c r="Y77" s="816" t="s">
        <v>877</v>
      </c>
      <c r="Z77" s="816" t="s">
        <v>783</v>
      </c>
      <c r="AA77" s="816">
        <v>17.63</v>
      </c>
      <c r="AB77" s="816">
        <v>60</v>
      </c>
      <c r="AC77" s="816" t="s">
        <v>873</v>
      </c>
    </row>
    <row r="78" spans="1:41" s="38" customFormat="1" ht="15.9" x14ac:dyDescent="0.45">
      <c r="A78" s="815" t="s">
        <v>137</v>
      </c>
      <c r="B78" s="815" t="s">
        <v>833</v>
      </c>
      <c r="C78" s="815">
        <v>8</v>
      </c>
      <c r="D78" s="815">
        <v>29</v>
      </c>
      <c r="E78" s="815" t="s">
        <v>57</v>
      </c>
      <c r="G78" s="816" t="s">
        <v>878</v>
      </c>
      <c r="H78" s="816" t="s">
        <v>836</v>
      </c>
      <c r="I78" s="816">
        <v>10.01</v>
      </c>
      <c r="J78" s="816">
        <v>38.5</v>
      </c>
      <c r="K78" s="816" t="s">
        <v>873</v>
      </c>
      <c r="M78" s="816" t="s">
        <v>879</v>
      </c>
      <c r="N78" s="816" t="s">
        <v>839</v>
      </c>
      <c r="O78" s="816">
        <v>12.66</v>
      </c>
      <c r="P78" s="816">
        <v>43.5</v>
      </c>
      <c r="Q78" s="816" t="s">
        <v>57</v>
      </c>
      <c r="S78" s="818"/>
      <c r="T78" s="41"/>
      <c r="U78" s="41"/>
      <c r="V78" s="41"/>
      <c r="W78" s="819"/>
    </row>
    <row r="79" spans="1:41" s="38" customFormat="1" ht="15.9" x14ac:dyDescent="0.45">
      <c r="A79" s="815" t="s">
        <v>880</v>
      </c>
      <c r="B79" s="815" t="s">
        <v>833</v>
      </c>
      <c r="C79" s="815">
        <v>8.1</v>
      </c>
      <c r="D79" s="815">
        <v>26.6</v>
      </c>
      <c r="E79" s="815" t="s">
        <v>881</v>
      </c>
      <c r="G79" s="816" t="s">
        <v>882</v>
      </c>
      <c r="H79" s="816" t="s">
        <v>836</v>
      </c>
      <c r="I79" s="816">
        <v>10.050000000000001</v>
      </c>
      <c r="J79" s="816">
        <v>35</v>
      </c>
      <c r="K79" s="816" t="s">
        <v>883</v>
      </c>
      <c r="M79" s="816" t="s">
        <v>841</v>
      </c>
      <c r="N79" s="816" t="s">
        <v>839</v>
      </c>
      <c r="O79" s="816">
        <v>12.81</v>
      </c>
      <c r="P79" s="816">
        <v>44.4</v>
      </c>
      <c r="Q79" s="816" t="s">
        <v>840</v>
      </c>
      <c r="S79" s="818"/>
      <c r="T79" s="41"/>
      <c r="U79" s="41"/>
      <c r="V79" s="41"/>
      <c r="W79" s="819"/>
    </row>
    <row r="80" spans="1:41" s="38" customFormat="1" ht="15.9" x14ac:dyDescent="0.45">
      <c r="A80" s="815" t="s">
        <v>134</v>
      </c>
      <c r="B80" s="815" t="s">
        <v>833</v>
      </c>
      <c r="C80" s="815">
        <v>8.33</v>
      </c>
      <c r="D80" s="815">
        <v>29</v>
      </c>
      <c r="E80" s="815" t="s">
        <v>840</v>
      </c>
      <c r="G80" s="816" t="s">
        <v>884</v>
      </c>
      <c r="H80" s="816"/>
      <c r="I80" s="816">
        <v>9.9</v>
      </c>
      <c r="J80" s="816">
        <v>35.700000000000003</v>
      </c>
      <c r="K80" s="816" t="s">
        <v>57</v>
      </c>
      <c r="M80" s="816" t="s">
        <v>885</v>
      </c>
      <c r="N80" s="816" t="s">
        <v>839</v>
      </c>
      <c r="O80" s="816">
        <v>12.72</v>
      </c>
      <c r="P80" s="816">
        <v>43.8</v>
      </c>
      <c r="Q80" s="816" t="s">
        <v>840</v>
      </c>
      <c r="S80" s="818"/>
      <c r="T80" s="41"/>
      <c r="U80" s="41"/>
      <c r="V80" s="41"/>
      <c r="W80" s="819"/>
    </row>
    <row r="81" spans="1:23" s="38" customFormat="1" ht="16.3" thickBot="1" x14ac:dyDescent="0.5">
      <c r="A81" s="815" t="s">
        <v>136</v>
      </c>
      <c r="B81" s="815" t="s">
        <v>833</v>
      </c>
      <c r="C81" s="815">
        <v>8.33</v>
      </c>
      <c r="D81" s="815">
        <v>29</v>
      </c>
      <c r="E81" s="815" t="s">
        <v>840</v>
      </c>
      <c r="G81" s="820"/>
      <c r="H81" s="821"/>
      <c r="I81" s="821"/>
      <c r="J81" s="820"/>
      <c r="K81" s="820"/>
      <c r="M81" s="816" t="s">
        <v>886</v>
      </c>
      <c r="N81" s="816" t="s">
        <v>839</v>
      </c>
      <c r="O81" s="816">
        <v>12.8</v>
      </c>
      <c r="P81" s="816">
        <v>44.7</v>
      </c>
      <c r="Q81" s="816" t="s">
        <v>840</v>
      </c>
      <c r="S81" s="822"/>
      <c r="T81" s="823"/>
      <c r="U81" s="823"/>
      <c r="V81" s="824"/>
      <c r="W81" s="825"/>
    </row>
    <row r="82" spans="1:23" s="38" customFormat="1" ht="15.9" x14ac:dyDescent="0.45">
      <c r="A82" s="815" t="s">
        <v>887</v>
      </c>
      <c r="B82" s="815" t="s">
        <v>833</v>
      </c>
      <c r="C82" s="815">
        <v>8.33</v>
      </c>
      <c r="D82" s="815">
        <v>28.6</v>
      </c>
      <c r="E82" s="815" t="s">
        <v>888</v>
      </c>
      <c r="M82" s="816" t="s">
        <v>889</v>
      </c>
      <c r="N82" s="816" t="s">
        <v>839</v>
      </c>
      <c r="O82" s="816">
        <v>12.72</v>
      </c>
      <c r="P82" s="816">
        <v>43.8</v>
      </c>
      <c r="Q82" s="816" t="s">
        <v>840</v>
      </c>
    </row>
    <row r="83" spans="1:23" s="38" customFormat="1" ht="15.9" x14ac:dyDescent="0.45">
      <c r="A83" s="815" t="s">
        <v>138</v>
      </c>
      <c r="B83" s="815" t="s">
        <v>833</v>
      </c>
      <c r="C83" s="815">
        <v>8.44</v>
      </c>
      <c r="D83" s="815">
        <v>29</v>
      </c>
      <c r="E83" s="815" t="s">
        <v>890</v>
      </c>
      <c r="M83" s="816" t="s">
        <v>851</v>
      </c>
      <c r="N83" s="816" t="s">
        <v>839</v>
      </c>
      <c r="O83" s="816">
        <v>12.1</v>
      </c>
      <c r="P83" s="816">
        <v>44.3</v>
      </c>
      <c r="Q83" s="816">
        <v>70.849999999999994</v>
      </c>
    </row>
    <row r="84" spans="1:23" s="38" customFormat="1" ht="15.9" x14ac:dyDescent="0.45">
      <c r="A84" s="815" t="s">
        <v>891</v>
      </c>
      <c r="B84" s="815" t="s">
        <v>833</v>
      </c>
      <c r="C84" s="815">
        <v>7.79</v>
      </c>
      <c r="D84" s="815">
        <v>28</v>
      </c>
      <c r="E84" s="815" t="s">
        <v>57</v>
      </c>
    </row>
    <row r="85" spans="1:23" s="38" customFormat="1" ht="15.9" x14ac:dyDescent="0.45">
      <c r="A85" s="815" t="s">
        <v>892</v>
      </c>
      <c r="B85" s="815" t="s">
        <v>833</v>
      </c>
      <c r="C85" s="815">
        <v>8.34</v>
      </c>
      <c r="D85" s="815">
        <v>28.4</v>
      </c>
      <c r="E85" s="815" t="s">
        <v>888</v>
      </c>
    </row>
    <row r="88" spans="1:23" x14ac:dyDescent="0.4">
      <c r="A88" s="848" t="s">
        <v>893</v>
      </c>
      <c r="B88" s="848"/>
      <c r="C88" s="848"/>
      <c r="D88" s="848"/>
      <c r="E88" s="848"/>
    </row>
    <row r="90" spans="1:23" x14ac:dyDescent="0.4">
      <c r="A90" t="s">
        <v>112</v>
      </c>
      <c r="B90" s="1" t="s">
        <v>834</v>
      </c>
      <c r="C90" s="1">
        <v>6.9649999999999999</v>
      </c>
    </row>
    <row r="91" spans="1:23" x14ac:dyDescent="0.4">
      <c r="A91" t="s">
        <v>112</v>
      </c>
      <c r="B91" s="1" t="s">
        <v>867</v>
      </c>
      <c r="C91" s="1">
        <v>7.9</v>
      </c>
    </row>
    <row r="92" spans="1:23" x14ac:dyDescent="0.4">
      <c r="A92" t="s">
        <v>112</v>
      </c>
      <c r="B92" s="1" t="s">
        <v>57</v>
      </c>
      <c r="C92" s="1">
        <v>7.9050000000000002</v>
      </c>
    </row>
    <row r="93" spans="1:23" x14ac:dyDescent="0.4">
      <c r="A93" t="s">
        <v>112</v>
      </c>
      <c r="B93" s="1" t="s">
        <v>873</v>
      </c>
      <c r="C93" s="1">
        <v>8.1199999999999992</v>
      </c>
    </row>
    <row r="94" spans="1:23" x14ac:dyDescent="0.4">
      <c r="A94" t="s">
        <v>112</v>
      </c>
      <c r="B94" s="1" t="s">
        <v>894</v>
      </c>
      <c r="C94" s="1">
        <v>8.33</v>
      </c>
    </row>
  </sheetData>
  <mergeCells count="16">
    <mergeCell ref="AK70:AO70"/>
    <mergeCell ref="A88:E88"/>
    <mergeCell ref="Z57:AD57"/>
    <mergeCell ref="A58:AJ58"/>
    <mergeCell ref="A59:E59"/>
    <mergeCell ref="A70:E70"/>
    <mergeCell ref="G70:K70"/>
    <mergeCell ref="M70:Q70"/>
    <mergeCell ref="S70:W70"/>
    <mergeCell ref="Y70:AC70"/>
    <mergeCell ref="AE70:AI70"/>
    <mergeCell ref="A1:H1"/>
    <mergeCell ref="A6:D6"/>
    <mergeCell ref="E6:H6"/>
    <mergeCell ref="A12:G12"/>
    <mergeCell ref="I13:J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55"/>
  <sheetViews>
    <sheetView tabSelected="1" zoomScale="55" zoomScaleNormal="55" workbookViewId="0">
      <selection activeCell="R18" sqref="R18"/>
    </sheetView>
  </sheetViews>
  <sheetFormatPr defaultRowHeight="14.6" x14ac:dyDescent="0.4"/>
  <cols>
    <col min="2" max="2" width="10.53515625" customWidth="1"/>
    <col min="3" max="3" width="11.921875" customWidth="1"/>
    <col min="4" max="4" width="9.15234375" customWidth="1"/>
    <col min="5" max="5" width="8.61328125" customWidth="1"/>
    <col min="9" max="9" width="3.3046875" customWidth="1"/>
    <col min="10" max="15" width="1.69140625" customWidth="1"/>
    <col min="16" max="16" width="3.4609375" customWidth="1"/>
    <col min="17" max="17" width="8.3046875" customWidth="1"/>
  </cols>
  <sheetData>
    <row r="1" spans="1:23" ht="15" thickBot="1" x14ac:dyDescent="0.45">
      <c r="A1" s="861" t="s">
        <v>191</v>
      </c>
      <c r="B1" s="861"/>
      <c r="C1" s="861"/>
      <c r="F1" s="1" t="s">
        <v>183</v>
      </c>
      <c r="J1" s="844" t="s">
        <v>190</v>
      </c>
      <c r="K1" s="844"/>
      <c r="L1" s="844"/>
      <c r="M1" s="844"/>
      <c r="N1" s="844"/>
      <c r="O1" s="844"/>
    </row>
    <row r="2" spans="1:23" ht="18.899999999999999" thickBot="1" x14ac:dyDescent="0.55000000000000004">
      <c r="A2" s="860" t="s">
        <v>185</v>
      </c>
      <c r="B2" s="860"/>
      <c r="C2" s="860"/>
      <c r="E2" s="1" t="s">
        <v>753</v>
      </c>
      <c r="F2" s="829">
        <v>59.94</v>
      </c>
      <c r="G2" s="844" t="s">
        <v>186</v>
      </c>
      <c r="H2" s="844"/>
      <c r="J2" s="1" t="s">
        <v>188</v>
      </c>
      <c r="K2" s="1" t="s">
        <v>188</v>
      </c>
      <c r="L2" s="1" t="s">
        <v>188</v>
      </c>
      <c r="M2" s="1" t="s">
        <v>188</v>
      </c>
      <c r="N2" s="1" t="s">
        <v>188</v>
      </c>
      <c r="O2" s="1" t="s">
        <v>188</v>
      </c>
      <c r="Q2" s="830"/>
      <c r="R2" s="862" t="s">
        <v>714</v>
      </c>
      <c r="S2" s="862"/>
      <c r="T2" s="862"/>
      <c r="U2" s="862"/>
      <c r="V2" s="830"/>
    </row>
    <row r="3" spans="1:23" x14ac:dyDescent="0.4">
      <c r="A3" s="45" t="s">
        <v>179</v>
      </c>
      <c r="B3" s="45" t="s">
        <v>180</v>
      </c>
      <c r="C3" s="45" t="s">
        <v>181</v>
      </c>
      <c r="E3" s="46" t="s">
        <v>6</v>
      </c>
      <c r="F3" s="46" t="s">
        <v>182</v>
      </c>
      <c r="G3" s="46" t="s">
        <v>192</v>
      </c>
      <c r="H3" s="46" t="s">
        <v>12</v>
      </c>
      <c r="J3" s="48" t="s">
        <v>187</v>
      </c>
      <c r="K3" s="47" t="s">
        <v>189</v>
      </c>
      <c r="L3" s="47"/>
      <c r="M3" s="47" t="s">
        <v>189</v>
      </c>
      <c r="N3" s="47" t="s">
        <v>189</v>
      </c>
      <c r="O3" s="47" t="s">
        <v>189</v>
      </c>
      <c r="Q3" s="714" t="s">
        <v>753</v>
      </c>
      <c r="R3" s="46" t="s">
        <v>182</v>
      </c>
      <c r="S3" s="46" t="s">
        <v>184</v>
      </c>
      <c r="T3" s="46" t="s">
        <v>12</v>
      </c>
      <c r="U3" s="46" t="s">
        <v>713</v>
      </c>
      <c r="V3" s="714" t="s">
        <v>753</v>
      </c>
    </row>
    <row r="4" spans="1:23" x14ac:dyDescent="0.4">
      <c r="A4" s="61">
        <v>0</v>
      </c>
      <c r="B4" s="61">
        <v>0</v>
      </c>
      <c r="C4" s="61" t="s">
        <v>193</v>
      </c>
      <c r="D4" s="62"/>
      <c r="E4">
        <v>0</v>
      </c>
      <c r="F4" s="21">
        <v>0</v>
      </c>
      <c r="G4" s="1">
        <f>ABS(A4)</f>
        <v>0</v>
      </c>
      <c r="J4" s="2"/>
      <c r="K4" s="2"/>
      <c r="L4" s="2"/>
      <c r="M4" s="2"/>
      <c r="N4" s="2"/>
      <c r="O4" s="2"/>
      <c r="Q4" s="420"/>
      <c r="R4" s="21"/>
      <c r="S4" s="21"/>
      <c r="T4" s="2"/>
      <c r="V4" s="826"/>
    </row>
    <row r="5" spans="1:23" x14ac:dyDescent="0.4">
      <c r="A5" s="61">
        <v>0.1</v>
      </c>
      <c r="B5" s="61">
        <v>0</v>
      </c>
      <c r="C5" s="61" t="s">
        <v>270</v>
      </c>
      <c r="D5" s="62"/>
      <c r="E5" s="49">
        <f>TRUNC(F5,2)</f>
        <v>0.01</v>
      </c>
      <c r="F5" s="102">
        <f>((1/F$2)+F4)</f>
        <v>1.6683350016683352E-2</v>
      </c>
      <c r="G5" s="1">
        <f t="shared" ref="G5" si="0">ABS(A5)</f>
        <v>0.1</v>
      </c>
      <c r="H5" s="2">
        <f>(G5-G4)/(F5-F4)</f>
        <v>5.9939999999999998</v>
      </c>
      <c r="J5" s="2"/>
      <c r="K5" s="2"/>
      <c r="L5" s="2"/>
      <c r="M5" s="2"/>
      <c r="N5" s="2"/>
      <c r="O5" s="2"/>
      <c r="Q5" s="857" t="s">
        <v>896</v>
      </c>
      <c r="R5" s="858"/>
      <c r="S5" s="858"/>
      <c r="T5" s="858"/>
      <c r="U5" s="858"/>
      <c r="V5" s="859"/>
    </row>
    <row r="6" spans="1:23" x14ac:dyDescent="0.4">
      <c r="A6" s="61">
        <v>0.18</v>
      </c>
      <c r="B6" s="61">
        <v>0</v>
      </c>
      <c r="C6" s="61" t="s">
        <v>194</v>
      </c>
      <c r="D6" s="62"/>
      <c r="E6" s="49">
        <f t="shared" ref="E6:E69" si="1">TRUNC(F6,2)</f>
        <v>0.03</v>
      </c>
      <c r="F6" s="21">
        <f t="shared" ref="F6:F37" si="2">IF(A6="","",(1/F$2)+F5)</f>
        <v>3.3366700033366704E-2</v>
      </c>
      <c r="G6" s="1">
        <f t="shared" ref="G6:G69" si="3">ABS(A6)</f>
        <v>0.18</v>
      </c>
      <c r="H6" s="2">
        <f>(G6-G5)/(F6-F5)</f>
        <v>4.7951999999999986</v>
      </c>
      <c r="J6" s="2"/>
      <c r="K6" s="2"/>
      <c r="L6" s="2"/>
      <c r="M6" s="2"/>
      <c r="N6" s="2"/>
      <c r="O6" s="2"/>
      <c r="Q6" s="420"/>
      <c r="R6" s="21"/>
      <c r="S6" s="21"/>
      <c r="T6" s="2"/>
      <c r="V6" s="826"/>
    </row>
    <row r="7" spans="1:23" x14ac:dyDescent="0.4">
      <c r="A7" s="61">
        <v>0.28000000000000003</v>
      </c>
      <c r="B7" s="61">
        <v>0</v>
      </c>
      <c r="C7" s="61" t="s">
        <v>271</v>
      </c>
      <c r="D7" s="62"/>
      <c r="E7" s="49">
        <f t="shared" si="1"/>
        <v>0.05</v>
      </c>
      <c r="F7" s="21">
        <f t="shared" si="2"/>
        <v>5.005005005005006E-2</v>
      </c>
      <c r="G7" s="1">
        <f t="shared" si="3"/>
        <v>0.28000000000000003</v>
      </c>
      <c r="H7" s="2">
        <f t="shared" ref="H7:H69" si="4">(G7-G6)/(F7-F6)</f>
        <v>5.9939999999999998</v>
      </c>
      <c r="J7" s="2">
        <f>ABS(AVERAGE(H5,H6,H8,H9))</f>
        <v>5.5444499999999994</v>
      </c>
      <c r="K7" s="2"/>
      <c r="L7" s="2"/>
      <c r="M7" s="2"/>
      <c r="N7" s="2"/>
      <c r="O7" s="2"/>
      <c r="Q7" s="420"/>
      <c r="R7" s="21"/>
      <c r="S7" s="21"/>
      <c r="T7" s="2"/>
      <c r="V7" s="826"/>
    </row>
    <row r="8" spans="1:23" x14ac:dyDescent="0.4">
      <c r="A8" s="61">
        <v>0.37</v>
      </c>
      <c r="B8" s="61">
        <v>0.01</v>
      </c>
      <c r="C8" s="61" t="s">
        <v>195</v>
      </c>
      <c r="D8" s="62"/>
      <c r="E8" s="49">
        <f t="shared" si="1"/>
        <v>0.06</v>
      </c>
      <c r="F8" s="21">
        <f t="shared" si="2"/>
        <v>6.6733400066733409E-2</v>
      </c>
      <c r="G8" s="1">
        <f t="shared" si="3"/>
        <v>0.37</v>
      </c>
      <c r="H8" s="2">
        <f t="shared" si="4"/>
        <v>5.3945999999999987</v>
      </c>
      <c r="J8" s="2">
        <f>ABS(AVERAGE(H6,H7,H9,H10))</f>
        <v>5.3946000000000005</v>
      </c>
      <c r="K8" s="2">
        <f t="shared" ref="K8:K69" si="5">AVERAGE(J7:J9)</f>
        <v>5.4944999999999995</v>
      </c>
      <c r="L8" s="2"/>
      <c r="M8" s="2"/>
      <c r="N8" s="2"/>
      <c r="O8" s="2"/>
      <c r="Q8" s="420"/>
      <c r="R8" s="21"/>
      <c r="S8" s="21"/>
      <c r="T8" s="2"/>
      <c r="V8" s="826"/>
    </row>
    <row r="9" spans="1:23" x14ac:dyDescent="0.4">
      <c r="A9" s="61">
        <v>0.47</v>
      </c>
      <c r="B9" s="61">
        <v>0.01</v>
      </c>
      <c r="C9" s="61" t="s">
        <v>272</v>
      </c>
      <c r="D9" s="62"/>
      <c r="E9" s="49">
        <f t="shared" si="1"/>
        <v>0.08</v>
      </c>
      <c r="F9" s="21">
        <f t="shared" si="2"/>
        <v>8.3416750083416757E-2</v>
      </c>
      <c r="G9" s="1">
        <f t="shared" si="3"/>
        <v>0.47</v>
      </c>
      <c r="H9" s="2">
        <f t="shared" si="4"/>
        <v>5.9939999999999989</v>
      </c>
      <c r="J9" s="2">
        <f>ABS(AVERAGE(H7,H8,H10,H11))</f>
        <v>5.5444500000000012</v>
      </c>
      <c r="K9" s="2">
        <f>AVERAGE(J8:J10)</f>
        <v>5.5944000000000003</v>
      </c>
      <c r="L9" s="2"/>
      <c r="M9" s="2"/>
      <c r="N9" s="2"/>
      <c r="O9" s="2"/>
      <c r="Q9" s="420"/>
      <c r="R9" s="21"/>
      <c r="S9" s="21"/>
      <c r="T9" s="2"/>
      <c r="V9" s="826"/>
    </row>
    <row r="10" spans="1:23" x14ac:dyDescent="0.4">
      <c r="A10" s="61">
        <v>0.55000000000000004</v>
      </c>
      <c r="B10" s="61">
        <v>0.01</v>
      </c>
      <c r="C10" s="61" t="s">
        <v>196</v>
      </c>
      <c r="D10" s="62"/>
      <c r="E10" s="49">
        <f t="shared" si="1"/>
        <v>0.1</v>
      </c>
      <c r="F10" s="21">
        <f t="shared" si="2"/>
        <v>0.10010010010010011</v>
      </c>
      <c r="G10" s="1">
        <f t="shared" si="3"/>
        <v>0.55000000000000004</v>
      </c>
      <c r="H10" s="2">
        <f>(G10-G9)/(F10-F9)</f>
        <v>4.7952000000000048</v>
      </c>
      <c r="J10" s="2">
        <f>ABS(AVERAGE(H8,H9,H11,H12))</f>
        <v>5.8441499999999973</v>
      </c>
      <c r="K10" s="2">
        <f>AVERAGE(J9:J11)</f>
        <v>5.6942999999999984</v>
      </c>
      <c r="L10" s="2">
        <f>ABS(AVERAGE(K8,K9,K11,K12))</f>
        <v>5.5819124999999987</v>
      </c>
      <c r="M10" s="2"/>
      <c r="N10" s="2"/>
      <c r="O10" s="2"/>
      <c r="Q10" s="420"/>
      <c r="R10" s="21"/>
      <c r="S10" s="21"/>
      <c r="T10" s="2"/>
      <c r="U10" s="102"/>
      <c r="V10" s="826"/>
    </row>
    <row r="11" spans="1:23" x14ac:dyDescent="0.4">
      <c r="A11" s="61">
        <v>0.65</v>
      </c>
      <c r="B11" s="61">
        <v>0.01</v>
      </c>
      <c r="C11" s="61" t="s">
        <v>273</v>
      </c>
      <c r="D11" s="62"/>
      <c r="E11" s="49">
        <f t="shared" si="1"/>
        <v>0.11</v>
      </c>
      <c r="F11" s="21">
        <f t="shared" si="2"/>
        <v>0.11678345011678345</v>
      </c>
      <c r="G11" s="1">
        <f t="shared" si="3"/>
        <v>0.65</v>
      </c>
      <c r="H11" s="2">
        <f t="shared" si="4"/>
        <v>5.9939999999999989</v>
      </c>
      <c r="J11" s="2">
        <f>ABS(AVERAGE(H9,H10,H12,H13))</f>
        <v>5.6942999999999984</v>
      </c>
      <c r="K11" s="2">
        <f t="shared" si="5"/>
        <v>5.6443499999999984</v>
      </c>
      <c r="L11" s="2">
        <f t="shared" ref="L11:L74" si="6">ABS(AVERAGE(K9,K10,K12,K13))</f>
        <v>5.6318624999999987</v>
      </c>
      <c r="M11" s="2">
        <f>AVERAGE(L10:L12)</f>
        <v>5.6235374999999985</v>
      </c>
      <c r="N11" s="2"/>
      <c r="O11" s="21"/>
      <c r="Q11" s="420"/>
      <c r="R11" s="21"/>
      <c r="S11" s="21"/>
      <c r="T11" s="2"/>
      <c r="U11" s="102"/>
      <c r="V11" s="826"/>
    </row>
    <row r="12" spans="1:23" x14ac:dyDescent="0.4">
      <c r="A12" s="61">
        <v>0.75</v>
      </c>
      <c r="B12" s="61">
        <v>0.01</v>
      </c>
      <c r="C12" s="61" t="s">
        <v>197</v>
      </c>
      <c r="D12" s="62"/>
      <c r="E12" s="49">
        <f t="shared" si="1"/>
        <v>0.13</v>
      </c>
      <c r="F12" s="21">
        <f t="shared" si="2"/>
        <v>0.13346680013346682</v>
      </c>
      <c r="G12" s="1">
        <f t="shared" si="3"/>
        <v>0.75</v>
      </c>
      <c r="H12" s="2">
        <f t="shared" si="4"/>
        <v>5.9939999999999944</v>
      </c>
      <c r="J12" s="2">
        <f t="shared" ref="J12:J69" si="7">ABS(AVERAGE(H10,H11,H13,H14))</f>
        <v>5.3946000000000005</v>
      </c>
      <c r="K12" s="2">
        <f t="shared" si="5"/>
        <v>5.5943999999999976</v>
      </c>
      <c r="L12" s="2">
        <f t="shared" si="6"/>
        <v>5.6568374999999982</v>
      </c>
      <c r="M12" s="2">
        <f t="shared" ref="M12:O27" si="8">AVERAGE(L11:L13)</f>
        <v>5.6318624999999978</v>
      </c>
      <c r="N12" s="2">
        <f>AVERAGE(M11:M13)</f>
        <v>5.6207624999999979</v>
      </c>
      <c r="O12" s="21"/>
      <c r="Q12" s="420"/>
      <c r="R12" s="21"/>
      <c r="S12" s="21"/>
      <c r="T12" s="2"/>
      <c r="U12" s="102"/>
      <c r="V12" s="826"/>
    </row>
    <row r="13" spans="1:23" x14ac:dyDescent="0.4">
      <c r="A13" s="61">
        <v>0.85</v>
      </c>
      <c r="B13" s="61">
        <v>0.01</v>
      </c>
      <c r="C13" s="61" t="s">
        <v>274</v>
      </c>
      <c r="D13" s="62"/>
      <c r="E13" s="49">
        <f t="shared" si="1"/>
        <v>0.15</v>
      </c>
      <c r="F13" s="21">
        <f t="shared" si="2"/>
        <v>0.15015015015015018</v>
      </c>
      <c r="G13" s="1">
        <f t="shared" si="3"/>
        <v>0.85</v>
      </c>
      <c r="H13" s="2">
        <f t="shared" si="4"/>
        <v>5.9939999999999944</v>
      </c>
      <c r="J13" s="2">
        <f t="shared" si="7"/>
        <v>5.6942999999999966</v>
      </c>
      <c r="K13" s="2">
        <f t="shared" si="5"/>
        <v>5.6443499999999984</v>
      </c>
      <c r="L13" s="2">
        <f t="shared" si="6"/>
        <v>5.6068874999999965</v>
      </c>
      <c r="M13" s="2">
        <f t="shared" si="8"/>
        <v>5.6068874999999965</v>
      </c>
      <c r="N13" s="2">
        <f t="shared" si="8"/>
        <v>5.601337499999997</v>
      </c>
      <c r="O13" s="2">
        <f>AVERAGE(N12:N14)</f>
        <v>5.5962499999999968</v>
      </c>
      <c r="Q13" s="827">
        <f t="shared" ref="Q13:R74" si="9">E13</f>
        <v>0.15</v>
      </c>
      <c r="R13" s="21">
        <f t="shared" si="9"/>
        <v>0.15015015015015018</v>
      </c>
      <c r="S13" s="21">
        <f>(F13-F12)*O13+S12</f>
        <v>9.336419753086421E-2</v>
      </c>
      <c r="T13" s="2">
        <f t="shared" ref="T13:T15" si="10">O13</f>
        <v>5.5962499999999968</v>
      </c>
      <c r="U13" s="102"/>
      <c r="V13" s="828">
        <f>E13</f>
        <v>0.15</v>
      </c>
      <c r="W13" s="56"/>
    </row>
    <row r="14" spans="1:23" x14ac:dyDescent="0.4">
      <c r="A14" s="61">
        <v>0.93</v>
      </c>
      <c r="B14" s="61">
        <v>0.03</v>
      </c>
      <c r="C14" s="61" t="s">
        <v>198</v>
      </c>
      <c r="D14" s="62"/>
      <c r="E14" s="49">
        <f t="shared" si="1"/>
        <v>0.16</v>
      </c>
      <c r="F14" s="21">
        <f t="shared" si="2"/>
        <v>0.16683350016683354</v>
      </c>
      <c r="G14" s="1">
        <f t="shared" si="3"/>
        <v>0.93</v>
      </c>
      <c r="H14" s="2">
        <f t="shared" si="4"/>
        <v>4.7952000000000004</v>
      </c>
      <c r="J14" s="2">
        <f t="shared" si="7"/>
        <v>5.8441499999999964</v>
      </c>
      <c r="K14" s="2">
        <f t="shared" si="5"/>
        <v>5.6443499999999958</v>
      </c>
      <c r="L14" s="2">
        <f t="shared" si="6"/>
        <v>5.5569374999999965</v>
      </c>
      <c r="M14" s="2">
        <f t="shared" si="8"/>
        <v>5.5652624999999958</v>
      </c>
      <c r="N14" s="2">
        <f t="shared" si="8"/>
        <v>5.5666499999999957</v>
      </c>
      <c r="O14" s="2">
        <f t="shared" si="8"/>
        <v>5.5647999999999955</v>
      </c>
      <c r="Q14" s="827">
        <f t="shared" si="9"/>
        <v>0.16</v>
      </c>
      <c r="R14" s="21">
        <f t="shared" si="9"/>
        <v>0.16683350016683354</v>
      </c>
      <c r="S14" s="21">
        <f t="shared" ref="S14:S15" si="11">(F14-F13)*O14+S13</f>
        <v>0.1862037037037037</v>
      </c>
      <c r="T14" s="2">
        <f t="shared" si="10"/>
        <v>5.5647999999999955</v>
      </c>
      <c r="U14" s="102"/>
      <c r="V14" s="828">
        <f t="shared" ref="V14:V77" si="12">E14</f>
        <v>0.16</v>
      </c>
      <c r="W14" s="56"/>
    </row>
    <row r="15" spans="1:23" x14ac:dyDescent="0.4">
      <c r="A15" s="61">
        <v>1.03</v>
      </c>
      <c r="B15" s="61">
        <v>0.03</v>
      </c>
      <c r="C15" s="61" t="s">
        <v>275</v>
      </c>
      <c r="D15" s="62"/>
      <c r="E15" s="49">
        <f t="shared" si="1"/>
        <v>0.18</v>
      </c>
      <c r="F15" s="21">
        <f t="shared" si="2"/>
        <v>0.18351685018351691</v>
      </c>
      <c r="G15" s="1">
        <f t="shared" si="3"/>
        <v>1.03</v>
      </c>
      <c r="H15" s="2">
        <f t="shared" si="4"/>
        <v>5.9939999999999944</v>
      </c>
      <c r="J15" s="2">
        <f t="shared" si="7"/>
        <v>5.3945999999999952</v>
      </c>
      <c r="K15" s="2">
        <f t="shared" si="5"/>
        <v>5.544449999999995</v>
      </c>
      <c r="L15" s="2">
        <f t="shared" si="6"/>
        <v>5.531962499999997</v>
      </c>
      <c r="M15" s="2">
        <f t="shared" si="8"/>
        <v>5.5277999999999965</v>
      </c>
      <c r="N15" s="2">
        <f t="shared" si="8"/>
        <v>5.5264124999999957</v>
      </c>
      <c r="O15" s="2">
        <f t="shared" si="8"/>
        <v>5.5245624999999956</v>
      </c>
      <c r="Q15" s="827">
        <f t="shared" si="9"/>
        <v>0.18</v>
      </c>
      <c r="R15" s="21">
        <f t="shared" si="9"/>
        <v>0.18351685018351691</v>
      </c>
      <c r="S15" s="21">
        <f t="shared" si="11"/>
        <v>0.27837191358024693</v>
      </c>
      <c r="T15" s="2">
        <f t="shared" si="10"/>
        <v>5.5245624999999956</v>
      </c>
      <c r="U15" s="21">
        <f t="shared" ref="U15" si="13">(AVERAGE(T14:T16)-AVERAGE(T13:T15))/(R15-R14)</f>
        <v>-2.3656319999999504</v>
      </c>
      <c r="V15" s="828">
        <f t="shared" si="12"/>
        <v>0.18</v>
      </c>
    </row>
    <row r="16" spans="1:23" x14ac:dyDescent="0.4">
      <c r="A16" s="61">
        <v>1.1200000000000001</v>
      </c>
      <c r="B16" s="61">
        <v>0.03</v>
      </c>
      <c r="C16" s="61" t="s">
        <v>199</v>
      </c>
      <c r="D16" s="62"/>
      <c r="E16" s="49">
        <f t="shared" si="1"/>
        <v>0.2</v>
      </c>
      <c r="F16" s="21">
        <f t="shared" si="2"/>
        <v>0.20020020020020027</v>
      </c>
      <c r="G16" s="1">
        <f t="shared" si="3"/>
        <v>1.1200000000000001</v>
      </c>
      <c r="H16" s="2">
        <f t="shared" si="4"/>
        <v>5.3946000000000005</v>
      </c>
      <c r="J16" s="2">
        <f t="shared" si="7"/>
        <v>5.3945999999999952</v>
      </c>
      <c r="K16" s="2">
        <f t="shared" si="5"/>
        <v>5.444549999999996</v>
      </c>
      <c r="L16" s="2">
        <f t="shared" si="6"/>
        <v>5.4944999999999959</v>
      </c>
      <c r="M16" s="2">
        <f t="shared" si="8"/>
        <v>5.4861749999999967</v>
      </c>
      <c r="N16" s="2">
        <f t="shared" si="8"/>
        <v>5.4806249999999963</v>
      </c>
      <c r="O16" s="2">
        <f t="shared" si="8"/>
        <v>5.4778499999999966</v>
      </c>
      <c r="Q16" s="827">
        <f t="shared" si="9"/>
        <v>0.2</v>
      </c>
      <c r="R16" s="21">
        <f t="shared" si="9"/>
        <v>0.20020020020020027</v>
      </c>
      <c r="S16" s="21">
        <f t="shared" ref="S16:S79" si="14">(F16-F15)*O16+S15</f>
        <v>0.36976080246913584</v>
      </c>
      <c r="T16" s="2">
        <f t="shared" ref="T16:T79" si="15">O16</f>
        <v>5.4778499999999966</v>
      </c>
      <c r="U16" s="21">
        <f t="shared" ref="U16:U79" si="16">(AVERAGE(T15:T17)-AVERAGE(T14:T16))/(R16-R15)</f>
        <v>-2.7999472500000473</v>
      </c>
      <c r="V16" s="828">
        <f t="shared" si="12"/>
        <v>0.2</v>
      </c>
    </row>
    <row r="17" spans="1:22" x14ac:dyDescent="0.4">
      <c r="A17" s="61">
        <v>1.21</v>
      </c>
      <c r="B17" s="61">
        <v>0.03</v>
      </c>
      <c r="C17" s="61" t="s">
        <v>276</v>
      </c>
      <c r="D17" s="62"/>
      <c r="E17" s="49">
        <f t="shared" si="1"/>
        <v>0.21</v>
      </c>
      <c r="F17" s="21">
        <f t="shared" si="2"/>
        <v>0.21688355021688363</v>
      </c>
      <c r="G17" s="1">
        <f t="shared" si="3"/>
        <v>1.21</v>
      </c>
      <c r="H17" s="2">
        <f t="shared" si="4"/>
        <v>5.3945999999999872</v>
      </c>
      <c r="J17" s="2">
        <f t="shared" si="7"/>
        <v>5.5444499999999977</v>
      </c>
      <c r="K17" s="2">
        <f t="shared" si="5"/>
        <v>5.394599999999997</v>
      </c>
      <c r="L17" s="2">
        <f t="shared" si="6"/>
        <v>5.4320624999999962</v>
      </c>
      <c r="M17" s="2">
        <f t="shared" si="8"/>
        <v>5.4278999999999966</v>
      </c>
      <c r="N17" s="2">
        <f t="shared" si="8"/>
        <v>5.4265124999999967</v>
      </c>
      <c r="O17" s="2">
        <f t="shared" si="8"/>
        <v>5.4246624999999966</v>
      </c>
      <c r="Q17" s="827">
        <f t="shared" si="9"/>
        <v>0.21</v>
      </c>
      <c r="R17" s="21">
        <f t="shared" si="9"/>
        <v>0.21688355021688363</v>
      </c>
      <c r="S17" s="21">
        <f t="shared" si="14"/>
        <v>0.46026234567901236</v>
      </c>
      <c r="T17" s="2">
        <f t="shared" si="15"/>
        <v>5.4246624999999966</v>
      </c>
      <c r="U17" s="21">
        <f t="shared" si="16"/>
        <v>-3.1603364999999259</v>
      </c>
      <c r="V17" s="828">
        <f t="shared" si="12"/>
        <v>0.21</v>
      </c>
    </row>
    <row r="18" spans="1:22" x14ac:dyDescent="0.4">
      <c r="A18" s="61">
        <v>1.3</v>
      </c>
      <c r="B18" s="61">
        <v>0.03</v>
      </c>
      <c r="C18" s="61" t="s">
        <v>200</v>
      </c>
      <c r="D18" s="62"/>
      <c r="E18" s="49">
        <f t="shared" si="1"/>
        <v>0.23</v>
      </c>
      <c r="F18" s="21">
        <f t="shared" si="2"/>
        <v>0.23356690023356699</v>
      </c>
      <c r="G18" s="1">
        <f t="shared" si="3"/>
        <v>1.3</v>
      </c>
      <c r="H18" s="2">
        <f t="shared" si="4"/>
        <v>5.3946000000000005</v>
      </c>
      <c r="J18" s="2">
        <f t="shared" si="7"/>
        <v>5.2447499999999962</v>
      </c>
      <c r="K18" s="2">
        <f t="shared" si="5"/>
        <v>5.394599999999997</v>
      </c>
      <c r="L18" s="2">
        <f t="shared" si="6"/>
        <v>5.3571374999999968</v>
      </c>
      <c r="M18" s="2">
        <f t="shared" si="8"/>
        <v>5.3654624999999969</v>
      </c>
      <c r="N18" s="2">
        <f t="shared" si="8"/>
        <v>5.3668499999999968</v>
      </c>
      <c r="O18" s="2">
        <f t="shared" si="8"/>
        <v>5.3663874999999974</v>
      </c>
      <c r="Q18" s="827">
        <f t="shared" si="9"/>
        <v>0.23</v>
      </c>
      <c r="R18" s="21">
        <f t="shared" si="9"/>
        <v>0.23356690023356699</v>
      </c>
      <c r="S18" s="21">
        <f t="shared" si="14"/>
        <v>0.54979166666666668</v>
      </c>
      <c r="T18" s="2">
        <f t="shared" si="15"/>
        <v>5.3663874999999974</v>
      </c>
      <c r="U18" s="21">
        <f t="shared" si="16"/>
        <v>-3.4745219999999741</v>
      </c>
      <c r="V18" s="828">
        <f t="shared" si="12"/>
        <v>0.23</v>
      </c>
    </row>
    <row r="19" spans="1:22" x14ac:dyDescent="0.4">
      <c r="A19" s="61">
        <v>1.39</v>
      </c>
      <c r="B19" s="61">
        <v>0.04</v>
      </c>
      <c r="C19" s="61" t="s">
        <v>277</v>
      </c>
      <c r="D19" s="62"/>
      <c r="E19" s="49">
        <f t="shared" si="1"/>
        <v>0.25</v>
      </c>
      <c r="F19" s="21">
        <f t="shared" si="2"/>
        <v>0.25025025025025033</v>
      </c>
      <c r="G19" s="1">
        <f t="shared" si="3"/>
        <v>1.39</v>
      </c>
      <c r="H19" s="2">
        <f t="shared" si="4"/>
        <v>5.3945999999999961</v>
      </c>
      <c r="J19" s="2">
        <f t="shared" si="7"/>
        <v>5.394599999999997</v>
      </c>
      <c r="K19" s="2">
        <f t="shared" si="5"/>
        <v>5.344649999999997</v>
      </c>
      <c r="L19" s="2">
        <f t="shared" si="6"/>
        <v>5.3071874999999968</v>
      </c>
      <c r="M19" s="2">
        <f t="shared" si="8"/>
        <v>5.3071874999999968</v>
      </c>
      <c r="N19" s="2">
        <f t="shared" si="8"/>
        <v>5.305799999999997</v>
      </c>
      <c r="O19" s="2">
        <f t="shared" si="8"/>
        <v>5.3039499999999968</v>
      </c>
      <c r="Q19" s="827">
        <f t="shared" si="9"/>
        <v>0.25</v>
      </c>
      <c r="R19" s="21">
        <f t="shared" si="9"/>
        <v>0.25025025025025033</v>
      </c>
      <c r="S19" s="21">
        <f t="shared" si="14"/>
        <v>0.63827932098765416</v>
      </c>
      <c r="T19" s="2">
        <f t="shared" si="15"/>
        <v>5.3039499999999968</v>
      </c>
      <c r="U19" s="21">
        <f t="shared" si="16"/>
        <v>-3.8071890000000033</v>
      </c>
      <c r="V19" s="828">
        <f t="shared" si="12"/>
        <v>0.25</v>
      </c>
    </row>
    <row r="20" spans="1:22" x14ac:dyDescent="0.4">
      <c r="A20" s="61">
        <v>1.47</v>
      </c>
      <c r="B20" s="61">
        <v>0.04</v>
      </c>
      <c r="C20" s="61" t="s">
        <v>201</v>
      </c>
      <c r="D20" s="62"/>
      <c r="E20" s="49">
        <f t="shared" si="1"/>
        <v>0.26</v>
      </c>
      <c r="F20" s="21">
        <f t="shared" si="2"/>
        <v>0.26693360026693369</v>
      </c>
      <c r="G20" s="1">
        <f t="shared" si="3"/>
        <v>1.47</v>
      </c>
      <c r="H20" s="2">
        <f t="shared" si="4"/>
        <v>4.7952000000000004</v>
      </c>
      <c r="J20" s="2">
        <f t="shared" si="7"/>
        <v>5.3945999999999961</v>
      </c>
      <c r="K20" s="2">
        <f t="shared" si="5"/>
        <v>5.2447499999999962</v>
      </c>
      <c r="L20" s="2">
        <f t="shared" si="6"/>
        <v>5.2572374999999969</v>
      </c>
      <c r="M20" s="2">
        <f t="shared" si="8"/>
        <v>5.2447499999999962</v>
      </c>
      <c r="N20" s="2">
        <f t="shared" si="8"/>
        <v>5.2391999999999967</v>
      </c>
      <c r="O20" s="2">
        <f t="shared" si="8"/>
        <v>5.2341124999999975</v>
      </c>
      <c r="Q20" s="827">
        <f t="shared" si="9"/>
        <v>0.26</v>
      </c>
      <c r="R20" s="21">
        <f t="shared" si="9"/>
        <v>0.26693360026693369</v>
      </c>
      <c r="S20" s="21">
        <f t="shared" si="14"/>
        <v>0.72560185185185166</v>
      </c>
      <c r="T20" s="2">
        <f t="shared" si="15"/>
        <v>5.2341124999999975</v>
      </c>
      <c r="U20" s="21">
        <f t="shared" si="16"/>
        <v>-4.2877079999999772</v>
      </c>
      <c r="V20" s="828">
        <f t="shared" si="12"/>
        <v>0.26</v>
      </c>
    </row>
    <row r="21" spans="1:22" x14ac:dyDescent="0.4">
      <c r="A21" s="61">
        <v>1.57</v>
      </c>
      <c r="B21" s="61">
        <v>0.04</v>
      </c>
      <c r="C21" s="61" t="s">
        <v>278</v>
      </c>
      <c r="D21" s="62"/>
      <c r="E21" s="49">
        <f t="shared" si="1"/>
        <v>0.28000000000000003</v>
      </c>
      <c r="F21" s="21">
        <f t="shared" si="2"/>
        <v>0.28361695028361705</v>
      </c>
      <c r="G21" s="1">
        <f t="shared" si="3"/>
        <v>1.57</v>
      </c>
      <c r="H21" s="2">
        <f t="shared" si="4"/>
        <v>5.9940000000000007</v>
      </c>
      <c r="J21" s="2">
        <f t="shared" si="7"/>
        <v>4.9450499999999957</v>
      </c>
      <c r="K21" s="2">
        <f t="shared" si="5"/>
        <v>5.1947999999999972</v>
      </c>
      <c r="L21" s="2">
        <f t="shared" si="6"/>
        <v>5.1698249999999968</v>
      </c>
      <c r="M21" s="2">
        <f t="shared" si="8"/>
        <v>5.1656624999999972</v>
      </c>
      <c r="N21" s="2">
        <f t="shared" si="8"/>
        <v>5.1573374999999961</v>
      </c>
      <c r="O21" s="2">
        <f t="shared" si="8"/>
        <v>5.1517874999999966</v>
      </c>
      <c r="Q21" s="827">
        <f t="shared" si="9"/>
        <v>0.28000000000000003</v>
      </c>
      <c r="R21" s="21">
        <f t="shared" si="9"/>
        <v>0.28361695028361705</v>
      </c>
      <c r="S21" s="21">
        <f t="shared" si="14"/>
        <v>0.8115509259259257</v>
      </c>
      <c r="T21" s="2">
        <f t="shared" si="15"/>
        <v>5.1517874999999966</v>
      </c>
      <c r="U21" s="21">
        <f t="shared" si="16"/>
        <v>-4.9807642500000382</v>
      </c>
      <c r="V21" s="828">
        <f t="shared" si="12"/>
        <v>0.28000000000000003</v>
      </c>
    </row>
    <row r="22" spans="1:22" x14ac:dyDescent="0.4">
      <c r="A22" s="61">
        <v>1.65</v>
      </c>
      <c r="B22" s="61">
        <v>0.04</v>
      </c>
      <c r="C22" s="61" t="s">
        <v>202</v>
      </c>
      <c r="D22" s="62"/>
      <c r="E22" s="49">
        <f t="shared" si="1"/>
        <v>0.3</v>
      </c>
      <c r="F22" s="21">
        <f t="shared" si="2"/>
        <v>0.30030030030030042</v>
      </c>
      <c r="G22" s="1">
        <f t="shared" si="3"/>
        <v>1.65</v>
      </c>
      <c r="H22" s="2">
        <f t="shared" si="4"/>
        <v>4.795199999999987</v>
      </c>
      <c r="J22" s="2">
        <f t="shared" si="7"/>
        <v>5.2447500000000007</v>
      </c>
      <c r="K22" s="2">
        <f t="shared" si="5"/>
        <v>5.0948999999999964</v>
      </c>
      <c r="L22" s="2">
        <f t="shared" si="6"/>
        <v>5.0699249999999969</v>
      </c>
      <c r="M22" s="2">
        <f t="shared" si="8"/>
        <v>5.0615999999999968</v>
      </c>
      <c r="N22" s="2">
        <f t="shared" si="8"/>
        <v>5.058824999999997</v>
      </c>
      <c r="O22" s="2">
        <f t="shared" si="8"/>
        <v>5.0546624999999965</v>
      </c>
      <c r="Q22" s="827">
        <f t="shared" si="9"/>
        <v>0.3</v>
      </c>
      <c r="R22" s="21">
        <f t="shared" si="9"/>
        <v>0.30030030030030042</v>
      </c>
      <c r="S22" s="21">
        <f t="shared" si="14"/>
        <v>0.89587962962962941</v>
      </c>
      <c r="T22" s="2">
        <f t="shared" si="15"/>
        <v>5.0546624999999965</v>
      </c>
      <c r="U22" s="21">
        <f t="shared" si="16"/>
        <v>-5.7754687500000665</v>
      </c>
      <c r="V22" s="828">
        <f t="shared" si="12"/>
        <v>0.3</v>
      </c>
    </row>
    <row r="23" spans="1:22" x14ac:dyDescent="0.4">
      <c r="A23" s="61">
        <v>1.73</v>
      </c>
      <c r="B23" s="61">
        <v>0.04</v>
      </c>
      <c r="C23" s="61" t="s">
        <v>279</v>
      </c>
      <c r="D23" s="62"/>
      <c r="E23" s="49">
        <f t="shared" si="1"/>
        <v>0.31</v>
      </c>
      <c r="F23" s="21">
        <f t="shared" si="2"/>
        <v>0.31698365031698378</v>
      </c>
      <c r="G23" s="1">
        <f t="shared" si="3"/>
        <v>1.73</v>
      </c>
      <c r="H23" s="2">
        <f t="shared" si="4"/>
        <v>4.7952000000000004</v>
      </c>
      <c r="J23" s="2">
        <f t="shared" si="7"/>
        <v>5.0948999999999938</v>
      </c>
      <c r="K23" s="2">
        <f t="shared" si="5"/>
        <v>4.9949999999999966</v>
      </c>
      <c r="L23" s="2">
        <f t="shared" si="6"/>
        <v>4.9450499999999966</v>
      </c>
      <c r="M23" s="2">
        <f t="shared" si="8"/>
        <v>4.9492124999999962</v>
      </c>
      <c r="N23" s="2">
        <f t="shared" si="8"/>
        <v>4.9478249999999973</v>
      </c>
      <c r="O23" s="2">
        <f t="shared" si="8"/>
        <v>4.9450499999999957</v>
      </c>
      <c r="Q23" s="827">
        <f t="shared" si="9"/>
        <v>0.31</v>
      </c>
      <c r="R23" s="21">
        <f t="shared" si="9"/>
        <v>0.31698365031698378</v>
      </c>
      <c r="S23" s="21">
        <f t="shared" si="14"/>
        <v>0.97837962962962943</v>
      </c>
      <c r="T23" s="2">
        <f t="shared" si="15"/>
        <v>4.9450499999999957</v>
      </c>
      <c r="U23" s="21">
        <f t="shared" si="16"/>
        <v>-6.514728749999958</v>
      </c>
      <c r="V23" s="828">
        <f t="shared" si="12"/>
        <v>0.31</v>
      </c>
    </row>
    <row r="24" spans="1:22" x14ac:dyDescent="0.4">
      <c r="A24" s="61">
        <v>1.82</v>
      </c>
      <c r="B24" s="61">
        <v>0.04</v>
      </c>
      <c r="C24" s="61" t="s">
        <v>203</v>
      </c>
      <c r="D24" s="62"/>
      <c r="E24" s="49">
        <f t="shared" si="1"/>
        <v>0.33</v>
      </c>
      <c r="F24" s="21">
        <f t="shared" si="2"/>
        <v>0.33366700033366714</v>
      </c>
      <c r="G24" s="1">
        <f t="shared" si="3"/>
        <v>1.82</v>
      </c>
      <c r="H24" s="2">
        <f t="shared" si="4"/>
        <v>5.3946000000000005</v>
      </c>
      <c r="J24" s="2">
        <f t="shared" si="7"/>
        <v>4.6453499999999943</v>
      </c>
      <c r="K24" s="2">
        <f t="shared" si="5"/>
        <v>4.8451499999999967</v>
      </c>
      <c r="L24" s="2">
        <f t="shared" si="6"/>
        <v>4.8326624999999961</v>
      </c>
      <c r="M24" s="2">
        <f t="shared" si="8"/>
        <v>4.832662499999997</v>
      </c>
      <c r="N24" s="2">
        <f t="shared" si="8"/>
        <v>4.8284999999999956</v>
      </c>
      <c r="O24" s="2">
        <f t="shared" si="8"/>
        <v>4.8257249999999958</v>
      </c>
      <c r="Q24" s="827">
        <f t="shared" si="9"/>
        <v>0.33</v>
      </c>
      <c r="R24" s="21">
        <f t="shared" si="9"/>
        <v>0.33366700033366714</v>
      </c>
      <c r="S24" s="21">
        <f t="shared" si="14"/>
        <v>1.0588888888888888</v>
      </c>
      <c r="T24" s="2">
        <f t="shared" si="15"/>
        <v>4.8257249999999958</v>
      </c>
      <c r="U24" s="21">
        <f t="shared" si="16"/>
        <v>-7.1246182500000268</v>
      </c>
      <c r="V24" s="828">
        <f t="shared" si="12"/>
        <v>0.33</v>
      </c>
    </row>
    <row r="25" spans="1:22" x14ac:dyDescent="0.4">
      <c r="A25" s="61">
        <v>1.89</v>
      </c>
      <c r="B25" s="61">
        <v>0.04</v>
      </c>
      <c r="C25" s="61" t="s">
        <v>280</v>
      </c>
      <c r="D25" s="62"/>
      <c r="E25" s="49">
        <f t="shared" si="1"/>
        <v>0.35</v>
      </c>
      <c r="F25" s="21">
        <f t="shared" si="2"/>
        <v>0.3503503503503505</v>
      </c>
      <c r="G25" s="1">
        <f t="shared" si="3"/>
        <v>1.89</v>
      </c>
      <c r="H25" s="2">
        <f t="shared" si="4"/>
        <v>4.1957999999999869</v>
      </c>
      <c r="J25" s="2">
        <f t="shared" si="7"/>
        <v>4.7952000000000012</v>
      </c>
      <c r="K25" s="2">
        <f t="shared" si="5"/>
        <v>4.6453499999999961</v>
      </c>
      <c r="L25" s="2">
        <f t="shared" si="6"/>
        <v>4.7202749999999964</v>
      </c>
      <c r="M25" s="2">
        <f t="shared" si="8"/>
        <v>4.7036249999999962</v>
      </c>
      <c r="N25" s="2">
        <f t="shared" si="8"/>
        <v>4.7008499999999964</v>
      </c>
      <c r="O25" s="2">
        <f t="shared" si="8"/>
        <v>4.6980749999999958</v>
      </c>
      <c r="Q25" s="827">
        <f t="shared" si="9"/>
        <v>0.35</v>
      </c>
      <c r="R25" s="21">
        <f t="shared" si="9"/>
        <v>0.3503503503503505</v>
      </c>
      <c r="S25" s="21">
        <f t="shared" si="14"/>
        <v>1.1372685185185183</v>
      </c>
      <c r="T25" s="2">
        <f t="shared" si="15"/>
        <v>4.6980749999999958</v>
      </c>
      <c r="U25" s="21">
        <f t="shared" si="16"/>
        <v>-7.5958965000000198</v>
      </c>
      <c r="V25" s="828">
        <f t="shared" si="12"/>
        <v>0.35</v>
      </c>
    </row>
    <row r="26" spans="1:22" x14ac:dyDescent="0.4">
      <c r="A26" s="61">
        <v>1.97</v>
      </c>
      <c r="B26" s="61">
        <v>0.06</v>
      </c>
      <c r="C26" s="61" t="s">
        <v>204</v>
      </c>
      <c r="D26" s="62"/>
      <c r="E26" s="49">
        <f t="shared" si="1"/>
        <v>0.36</v>
      </c>
      <c r="F26" s="21">
        <f t="shared" si="2"/>
        <v>0.36703370036703387</v>
      </c>
      <c r="G26" s="1">
        <f t="shared" si="3"/>
        <v>1.97</v>
      </c>
      <c r="H26" s="2">
        <f t="shared" si="4"/>
        <v>4.7952000000000004</v>
      </c>
      <c r="J26" s="2">
        <f t="shared" si="7"/>
        <v>4.4954999999999936</v>
      </c>
      <c r="K26" s="2">
        <f t="shared" si="5"/>
        <v>4.5953999999999953</v>
      </c>
      <c r="L26" s="2">
        <f t="shared" si="6"/>
        <v>4.5579374999999969</v>
      </c>
      <c r="M26" s="2">
        <f t="shared" si="8"/>
        <v>4.5662624999999961</v>
      </c>
      <c r="N26" s="2">
        <f t="shared" si="8"/>
        <v>4.5648749999999962</v>
      </c>
      <c r="O26" s="2">
        <f t="shared" si="8"/>
        <v>4.5648749999999962</v>
      </c>
      <c r="Q26" s="827">
        <f t="shared" si="9"/>
        <v>0.36</v>
      </c>
      <c r="R26" s="21">
        <f t="shared" si="9"/>
        <v>0.36703370036703387</v>
      </c>
      <c r="S26" s="21">
        <f t="shared" si="14"/>
        <v>1.2134259259259257</v>
      </c>
      <c r="T26" s="2">
        <f t="shared" si="15"/>
        <v>4.5648749999999962</v>
      </c>
      <c r="U26" s="21">
        <f t="shared" si="16"/>
        <v>-7.9100819999999077</v>
      </c>
      <c r="V26" s="828">
        <f t="shared" si="12"/>
        <v>0.36</v>
      </c>
    </row>
    <row r="27" spans="1:22" x14ac:dyDescent="0.4">
      <c r="A27" s="61">
        <v>2.04</v>
      </c>
      <c r="B27" s="61">
        <v>0.06</v>
      </c>
      <c r="C27" s="61" t="s">
        <v>281</v>
      </c>
      <c r="D27" s="62"/>
      <c r="E27" s="49">
        <f t="shared" si="1"/>
        <v>0.38</v>
      </c>
      <c r="F27" s="21">
        <f t="shared" si="2"/>
        <v>0.38371705038371723</v>
      </c>
      <c r="G27" s="1">
        <f t="shared" si="3"/>
        <v>2.04</v>
      </c>
      <c r="H27" s="2">
        <f t="shared" si="4"/>
        <v>4.1958000000000002</v>
      </c>
      <c r="J27" s="2">
        <f t="shared" si="7"/>
        <v>4.4954999999999936</v>
      </c>
      <c r="K27" s="2">
        <f t="shared" si="5"/>
        <v>4.4455499999999963</v>
      </c>
      <c r="L27" s="2">
        <f t="shared" si="6"/>
        <v>4.4205749999999959</v>
      </c>
      <c r="M27" s="2">
        <f t="shared" si="8"/>
        <v>4.4247374999999964</v>
      </c>
      <c r="N27" s="2">
        <f t="shared" si="8"/>
        <v>4.4288999999999961</v>
      </c>
      <c r="O27" s="2">
        <f t="shared" si="8"/>
        <v>4.4298249999999966</v>
      </c>
      <c r="Q27" s="827">
        <f t="shared" si="9"/>
        <v>0.38</v>
      </c>
      <c r="R27" s="21">
        <f t="shared" si="9"/>
        <v>0.38371705038371723</v>
      </c>
      <c r="S27" s="21">
        <f t="shared" si="14"/>
        <v>1.2873302469135801</v>
      </c>
      <c r="T27" s="2">
        <f t="shared" si="15"/>
        <v>4.4298249999999966</v>
      </c>
      <c r="U27" s="21">
        <f t="shared" si="16"/>
        <v>-8.039452500000051</v>
      </c>
      <c r="V27" s="828">
        <f t="shared" si="12"/>
        <v>0.38</v>
      </c>
    </row>
    <row r="28" spans="1:22" x14ac:dyDescent="0.4">
      <c r="A28" s="61">
        <v>2.11</v>
      </c>
      <c r="B28" s="61">
        <v>0.06</v>
      </c>
      <c r="C28" s="61" t="s">
        <v>205</v>
      </c>
      <c r="D28" s="62"/>
      <c r="E28" s="49">
        <f t="shared" si="1"/>
        <v>0.4</v>
      </c>
      <c r="F28" s="21">
        <f t="shared" si="2"/>
        <v>0.40040040040040059</v>
      </c>
      <c r="G28" s="1">
        <f t="shared" si="3"/>
        <v>2.11</v>
      </c>
      <c r="H28" s="2">
        <f t="shared" si="4"/>
        <v>4.1957999999999869</v>
      </c>
      <c r="J28" s="2">
        <f t="shared" si="7"/>
        <v>4.34565</v>
      </c>
      <c r="K28" s="2">
        <f t="shared" si="5"/>
        <v>4.2956999999999956</v>
      </c>
      <c r="L28" s="2">
        <f t="shared" si="6"/>
        <v>4.2956999999999965</v>
      </c>
      <c r="M28" s="2">
        <f t="shared" ref="M28:O91" si="17">AVERAGE(L27:L29)</f>
        <v>4.2956999999999965</v>
      </c>
      <c r="N28" s="2">
        <f t="shared" si="17"/>
        <v>4.2956999999999965</v>
      </c>
      <c r="O28" s="2">
        <f t="shared" si="17"/>
        <v>4.2956999999999965</v>
      </c>
      <c r="Q28" s="827">
        <f t="shared" si="9"/>
        <v>0.4</v>
      </c>
      <c r="R28" s="21">
        <f t="shared" si="9"/>
        <v>0.40040040040040059</v>
      </c>
      <c r="S28" s="21">
        <f t="shared" si="14"/>
        <v>1.3589969135802469</v>
      </c>
      <c r="T28" s="2">
        <f t="shared" si="15"/>
        <v>4.2956999999999965</v>
      </c>
      <c r="U28" s="21">
        <f t="shared" si="16"/>
        <v>-8.0579339999999711</v>
      </c>
      <c r="V28" s="828">
        <f t="shared" si="12"/>
        <v>0.4</v>
      </c>
    </row>
    <row r="29" spans="1:22" x14ac:dyDescent="0.4">
      <c r="A29" s="61">
        <v>2.19</v>
      </c>
      <c r="B29" s="61">
        <v>0.06</v>
      </c>
      <c r="C29" s="61" t="s">
        <v>282</v>
      </c>
      <c r="D29" s="62"/>
      <c r="E29" s="49">
        <f t="shared" si="1"/>
        <v>0.41</v>
      </c>
      <c r="F29" s="21">
        <f t="shared" si="2"/>
        <v>0.41708375041708395</v>
      </c>
      <c r="G29" s="1">
        <f t="shared" si="3"/>
        <v>2.19</v>
      </c>
      <c r="H29" s="2">
        <f t="shared" si="4"/>
        <v>4.7952000000000004</v>
      </c>
      <c r="J29" s="2">
        <f t="shared" si="7"/>
        <v>4.0459499999999933</v>
      </c>
      <c r="K29" s="2">
        <f t="shared" si="5"/>
        <v>4.1458499999999967</v>
      </c>
      <c r="L29" s="2">
        <f t="shared" si="6"/>
        <v>4.1708249999999962</v>
      </c>
      <c r="M29" s="2">
        <f t="shared" si="17"/>
        <v>4.1666624999999966</v>
      </c>
      <c r="N29" s="2">
        <f t="shared" si="17"/>
        <v>4.162499999999997</v>
      </c>
      <c r="O29" s="2">
        <f t="shared" si="17"/>
        <v>4.1615749999999965</v>
      </c>
      <c r="Q29" s="827">
        <f t="shared" si="9"/>
        <v>0.41</v>
      </c>
      <c r="R29" s="21">
        <f t="shared" si="9"/>
        <v>0.41708375041708395</v>
      </c>
      <c r="S29" s="21">
        <f t="shared" si="14"/>
        <v>1.428425925925926</v>
      </c>
      <c r="T29" s="2">
        <f t="shared" si="15"/>
        <v>4.1615749999999965</v>
      </c>
      <c r="U29" s="21">
        <f t="shared" si="16"/>
        <v>-8.0671747499999586</v>
      </c>
      <c r="V29" s="828">
        <f t="shared" si="12"/>
        <v>0.41</v>
      </c>
    </row>
    <row r="30" spans="1:22" x14ac:dyDescent="0.4">
      <c r="A30" s="61">
        <v>2.25</v>
      </c>
      <c r="B30" s="61">
        <v>0.06</v>
      </c>
      <c r="C30" s="61" t="s">
        <v>206</v>
      </c>
      <c r="D30" s="62"/>
      <c r="E30" s="49">
        <f t="shared" si="1"/>
        <v>0.43</v>
      </c>
      <c r="F30" s="21">
        <f t="shared" si="2"/>
        <v>0.43376710043376732</v>
      </c>
      <c r="G30" s="1">
        <f t="shared" si="3"/>
        <v>2.25</v>
      </c>
      <c r="H30" s="2">
        <f t="shared" si="4"/>
        <v>3.5964000000000005</v>
      </c>
      <c r="J30" s="2">
        <f t="shared" si="7"/>
        <v>4.0459499999999968</v>
      </c>
      <c r="K30" s="2">
        <f t="shared" si="5"/>
        <v>3.9959999999999969</v>
      </c>
      <c r="L30" s="2">
        <f t="shared" si="6"/>
        <v>4.0334624999999971</v>
      </c>
      <c r="M30" s="2">
        <f t="shared" si="17"/>
        <v>4.0251374999999969</v>
      </c>
      <c r="N30" s="2">
        <f t="shared" si="17"/>
        <v>4.0265249999999968</v>
      </c>
      <c r="O30" s="2">
        <f t="shared" si="17"/>
        <v>4.0260624999999974</v>
      </c>
      <c r="Q30" s="827">
        <f t="shared" si="9"/>
        <v>0.43</v>
      </c>
      <c r="R30" s="21">
        <f t="shared" si="9"/>
        <v>0.43376710043376732</v>
      </c>
      <c r="S30" s="21">
        <f t="shared" si="14"/>
        <v>1.4955941358024691</v>
      </c>
      <c r="T30" s="2">
        <f t="shared" si="15"/>
        <v>4.0260624999999974</v>
      </c>
      <c r="U30" s="21">
        <f t="shared" si="16"/>
        <v>-8.0948969999999747</v>
      </c>
      <c r="V30" s="828">
        <f t="shared" si="12"/>
        <v>0.43</v>
      </c>
    </row>
    <row r="31" spans="1:22" x14ac:dyDescent="0.4">
      <c r="A31" s="61">
        <v>2.3199999999999998</v>
      </c>
      <c r="B31" s="61">
        <v>0.06</v>
      </c>
      <c r="C31" s="61" t="s">
        <v>283</v>
      </c>
      <c r="D31" s="62"/>
      <c r="E31" s="49">
        <f t="shared" si="1"/>
        <v>0.45</v>
      </c>
      <c r="F31" s="21">
        <f t="shared" si="2"/>
        <v>0.45045045045045068</v>
      </c>
      <c r="G31" s="1">
        <f t="shared" si="3"/>
        <v>2.3199999999999998</v>
      </c>
      <c r="H31" s="2">
        <f t="shared" si="4"/>
        <v>4.1957999999999869</v>
      </c>
      <c r="J31" s="2">
        <f t="shared" si="7"/>
        <v>3.8961000000000006</v>
      </c>
      <c r="K31" s="2">
        <f t="shared" si="5"/>
        <v>3.9460499999999974</v>
      </c>
      <c r="L31" s="2">
        <f t="shared" si="6"/>
        <v>3.8711249999999979</v>
      </c>
      <c r="M31" s="2">
        <f t="shared" si="17"/>
        <v>3.8877749999999978</v>
      </c>
      <c r="N31" s="2">
        <f t="shared" si="17"/>
        <v>3.8891624999999976</v>
      </c>
      <c r="O31" s="2">
        <f t="shared" si="17"/>
        <v>3.8905499999999975</v>
      </c>
      <c r="Q31" s="827">
        <f t="shared" si="9"/>
        <v>0.45</v>
      </c>
      <c r="R31" s="21">
        <f t="shared" si="9"/>
        <v>0.45045045045045068</v>
      </c>
      <c r="S31" s="21">
        <f t="shared" si="14"/>
        <v>1.5605015432098766</v>
      </c>
      <c r="T31" s="2">
        <f t="shared" si="15"/>
        <v>3.8905499999999975</v>
      </c>
      <c r="U31" s="21">
        <f t="shared" si="16"/>
        <v>-8.0764154999999462</v>
      </c>
      <c r="V31" s="828">
        <f t="shared" si="12"/>
        <v>0.45</v>
      </c>
    </row>
    <row r="32" spans="1:22" x14ac:dyDescent="0.4">
      <c r="A32" s="61">
        <v>2.37</v>
      </c>
      <c r="B32" s="61">
        <v>0.06</v>
      </c>
      <c r="C32" s="61" t="s">
        <v>207</v>
      </c>
      <c r="D32" s="62"/>
      <c r="E32" s="49">
        <f t="shared" si="1"/>
        <v>0.46</v>
      </c>
      <c r="F32" s="21">
        <f t="shared" si="2"/>
        <v>0.46713380046713404</v>
      </c>
      <c r="G32" s="1">
        <f t="shared" si="3"/>
        <v>2.37</v>
      </c>
      <c r="H32" s="2">
        <f t="shared" si="4"/>
        <v>2.9970000000000137</v>
      </c>
      <c r="J32" s="2">
        <f t="shared" si="7"/>
        <v>3.8960999999999939</v>
      </c>
      <c r="K32" s="2">
        <f t="shared" si="5"/>
        <v>3.7462499999999976</v>
      </c>
      <c r="L32" s="2">
        <f t="shared" si="6"/>
        <v>3.7587374999999992</v>
      </c>
      <c r="M32" s="2">
        <f t="shared" si="17"/>
        <v>3.7545749999999991</v>
      </c>
      <c r="N32" s="2">
        <f t="shared" si="17"/>
        <v>3.755962499999999</v>
      </c>
      <c r="O32" s="2">
        <f t="shared" si="17"/>
        <v>3.7573499999999989</v>
      </c>
      <c r="Q32" s="827">
        <f t="shared" si="9"/>
        <v>0.46</v>
      </c>
      <c r="R32" s="21">
        <f t="shared" si="9"/>
        <v>0.46713380046713404</v>
      </c>
      <c r="S32" s="21">
        <f t="shared" si="14"/>
        <v>1.6231867283950618</v>
      </c>
      <c r="T32" s="2">
        <f t="shared" si="15"/>
        <v>3.7573499999999989</v>
      </c>
      <c r="U32" s="21">
        <f t="shared" si="16"/>
        <v>-7.9193227499999752</v>
      </c>
      <c r="V32" s="828">
        <f t="shared" si="12"/>
        <v>0.46</v>
      </c>
    </row>
    <row r="33" spans="1:22" x14ac:dyDescent="0.4">
      <c r="A33" s="61">
        <v>2.44</v>
      </c>
      <c r="B33" s="61">
        <v>0.06</v>
      </c>
      <c r="C33" s="61" t="s">
        <v>284</v>
      </c>
      <c r="D33" s="62"/>
      <c r="E33" s="49">
        <f t="shared" si="1"/>
        <v>0.48</v>
      </c>
      <c r="F33" s="21">
        <f t="shared" si="2"/>
        <v>0.4838171504838174</v>
      </c>
      <c r="G33" s="1">
        <f t="shared" si="3"/>
        <v>2.44</v>
      </c>
      <c r="H33" s="2">
        <f t="shared" si="4"/>
        <v>4.1957999999999869</v>
      </c>
      <c r="J33" s="2">
        <f t="shared" si="7"/>
        <v>3.4465499999999993</v>
      </c>
      <c r="K33" s="2">
        <f t="shared" si="5"/>
        <v>3.5963999999999992</v>
      </c>
      <c r="L33" s="2">
        <f t="shared" si="6"/>
        <v>3.6338625000000007</v>
      </c>
      <c r="M33" s="2">
        <f t="shared" si="17"/>
        <v>3.6255375000000005</v>
      </c>
      <c r="N33" s="2">
        <f t="shared" si="17"/>
        <v>3.6269250000000004</v>
      </c>
      <c r="O33" s="2">
        <f t="shared" si="17"/>
        <v>3.6297000000000001</v>
      </c>
      <c r="Q33" s="827">
        <f t="shared" si="9"/>
        <v>0.48</v>
      </c>
      <c r="R33" s="21">
        <f t="shared" si="9"/>
        <v>0.4838171504838174</v>
      </c>
      <c r="S33" s="21">
        <f t="shared" si="14"/>
        <v>1.6837422839506175</v>
      </c>
      <c r="T33" s="2">
        <f t="shared" si="15"/>
        <v>3.6297000000000001</v>
      </c>
      <c r="U33" s="21">
        <f t="shared" si="16"/>
        <v>-7.5681742499998981</v>
      </c>
      <c r="V33" s="828">
        <f t="shared" si="12"/>
        <v>0.48</v>
      </c>
    </row>
    <row r="34" spans="1:22" x14ac:dyDescent="0.4">
      <c r="A34" s="61">
        <v>2.5</v>
      </c>
      <c r="B34" s="61">
        <v>0.06</v>
      </c>
      <c r="C34" s="61" t="s">
        <v>208</v>
      </c>
      <c r="D34" s="62"/>
      <c r="E34" s="49">
        <f t="shared" si="1"/>
        <v>0.5</v>
      </c>
      <c r="F34" s="21">
        <f t="shared" si="2"/>
        <v>0.50050050050050077</v>
      </c>
      <c r="G34" s="1">
        <f t="shared" si="3"/>
        <v>2.5</v>
      </c>
      <c r="H34" s="2">
        <f t="shared" si="4"/>
        <v>3.5964000000000005</v>
      </c>
      <c r="J34" s="2">
        <f t="shared" si="7"/>
        <v>3.4465500000000029</v>
      </c>
      <c r="K34" s="2">
        <f t="shared" si="5"/>
        <v>3.4965000000000028</v>
      </c>
      <c r="L34" s="2">
        <f t="shared" si="6"/>
        <v>3.4840125000000017</v>
      </c>
      <c r="M34" s="2">
        <f t="shared" si="17"/>
        <v>3.500662500000002</v>
      </c>
      <c r="N34" s="2">
        <f t="shared" si="17"/>
        <v>3.506212500000002</v>
      </c>
      <c r="O34" s="2">
        <f t="shared" si="17"/>
        <v>3.5117625000000019</v>
      </c>
      <c r="Q34" s="827">
        <f t="shared" si="9"/>
        <v>0.5</v>
      </c>
      <c r="R34" s="21">
        <f t="shared" si="9"/>
        <v>0.50050050050050077</v>
      </c>
      <c r="S34" s="21">
        <f t="shared" si="14"/>
        <v>1.7423302469135806</v>
      </c>
      <c r="T34" s="2">
        <f t="shared" si="15"/>
        <v>3.5117625000000019</v>
      </c>
      <c r="U34" s="21">
        <f t="shared" si="16"/>
        <v>-6.949043999999895</v>
      </c>
      <c r="V34" s="828">
        <f t="shared" si="12"/>
        <v>0.5</v>
      </c>
    </row>
    <row r="35" spans="1:22" x14ac:dyDescent="0.4">
      <c r="A35" s="61">
        <v>2.5499999999999998</v>
      </c>
      <c r="B35" s="61">
        <v>0.06</v>
      </c>
      <c r="C35" s="61" t="s">
        <v>285</v>
      </c>
      <c r="D35" s="62"/>
      <c r="E35" s="49">
        <f t="shared" si="1"/>
        <v>0.51</v>
      </c>
      <c r="F35" s="21">
        <f t="shared" si="2"/>
        <v>0.51718385051718407</v>
      </c>
      <c r="G35" s="1">
        <f t="shared" si="3"/>
        <v>2.5499999999999998</v>
      </c>
      <c r="H35" s="2">
        <f t="shared" si="4"/>
        <v>2.9969999999999972</v>
      </c>
      <c r="J35" s="2">
        <f t="shared" si="7"/>
        <v>3.5964000000000063</v>
      </c>
      <c r="K35" s="2">
        <f t="shared" si="5"/>
        <v>3.3466500000000052</v>
      </c>
      <c r="L35" s="2">
        <f t="shared" si="6"/>
        <v>3.3841125000000027</v>
      </c>
      <c r="M35" s="2">
        <f t="shared" si="17"/>
        <v>3.3924375000000033</v>
      </c>
      <c r="N35" s="2">
        <f t="shared" si="17"/>
        <v>3.4021500000000038</v>
      </c>
      <c r="O35" s="2">
        <f t="shared" si="17"/>
        <v>3.4095500000000034</v>
      </c>
      <c r="Q35" s="827">
        <f t="shared" si="9"/>
        <v>0.51</v>
      </c>
      <c r="R35" s="21">
        <f t="shared" si="9"/>
        <v>0.51718385051718407</v>
      </c>
      <c r="S35" s="21">
        <f t="shared" si="14"/>
        <v>1.7992129629629632</v>
      </c>
      <c r="T35" s="2">
        <f t="shared" si="15"/>
        <v>3.4095500000000034</v>
      </c>
      <c r="U35" s="21">
        <f t="shared" si="16"/>
        <v>-5.997246749999916</v>
      </c>
      <c r="V35" s="828">
        <f t="shared" si="12"/>
        <v>0.51</v>
      </c>
    </row>
    <row r="36" spans="1:22" x14ac:dyDescent="0.4">
      <c r="A36" s="61">
        <v>2.61</v>
      </c>
      <c r="B36" s="61">
        <v>0.06</v>
      </c>
      <c r="C36" s="61" t="s">
        <v>209</v>
      </c>
      <c r="D36" s="62"/>
      <c r="E36" s="49">
        <f t="shared" si="1"/>
        <v>0.53</v>
      </c>
      <c r="F36" s="21">
        <f t="shared" si="2"/>
        <v>0.53386720053386738</v>
      </c>
      <c r="G36" s="1">
        <f t="shared" si="3"/>
        <v>2.61</v>
      </c>
      <c r="H36" s="2">
        <f t="shared" si="4"/>
        <v>3.5964000000000125</v>
      </c>
      <c r="J36" s="2">
        <f t="shared" si="7"/>
        <v>2.997000000000007</v>
      </c>
      <c r="K36" s="2">
        <f t="shared" si="5"/>
        <v>3.2467500000000045</v>
      </c>
      <c r="L36" s="2">
        <f t="shared" si="6"/>
        <v>3.3091875000000055</v>
      </c>
      <c r="M36" s="2">
        <f t="shared" si="17"/>
        <v>3.3133500000000051</v>
      </c>
      <c r="N36" s="2">
        <f t="shared" si="17"/>
        <v>3.3202875000000049</v>
      </c>
      <c r="O36" s="2">
        <f t="shared" si="17"/>
        <v>3.3295375000000047</v>
      </c>
      <c r="Q36" s="827">
        <f t="shared" si="9"/>
        <v>0.53</v>
      </c>
      <c r="R36" s="21">
        <f t="shared" si="9"/>
        <v>0.53386720053386738</v>
      </c>
      <c r="S36" s="21">
        <f t="shared" si="14"/>
        <v>1.854760802469136</v>
      </c>
      <c r="T36" s="2">
        <f t="shared" si="15"/>
        <v>3.3295375000000047</v>
      </c>
      <c r="U36" s="21">
        <f t="shared" si="16"/>
        <v>-4.6850602499999532</v>
      </c>
      <c r="V36" s="828">
        <f t="shared" si="12"/>
        <v>0.53</v>
      </c>
    </row>
    <row r="37" spans="1:22" x14ac:dyDescent="0.4">
      <c r="A37" s="61">
        <v>2.66</v>
      </c>
      <c r="B37" s="61">
        <v>0.06</v>
      </c>
      <c r="C37" s="61" t="s">
        <v>286</v>
      </c>
      <c r="D37" s="62"/>
      <c r="E37" s="49">
        <f t="shared" si="1"/>
        <v>0.55000000000000004</v>
      </c>
      <c r="F37" s="21">
        <f t="shared" si="2"/>
        <v>0.55055055055055069</v>
      </c>
      <c r="G37" s="1">
        <f t="shared" si="3"/>
        <v>2.66</v>
      </c>
      <c r="H37" s="2">
        <f t="shared" si="4"/>
        <v>2.9970000000000239</v>
      </c>
      <c r="J37" s="2">
        <f t="shared" si="7"/>
        <v>3.1468500000000006</v>
      </c>
      <c r="K37" s="2">
        <f t="shared" si="5"/>
        <v>3.1968000000000054</v>
      </c>
      <c r="L37" s="2">
        <f t="shared" si="6"/>
        <v>3.2467500000000076</v>
      </c>
      <c r="M37" s="2">
        <f t="shared" si="17"/>
        <v>3.2550750000000068</v>
      </c>
      <c r="N37" s="2">
        <f t="shared" si="17"/>
        <v>3.2661750000000063</v>
      </c>
      <c r="O37" s="2">
        <f t="shared" si="17"/>
        <v>3.2772750000000062</v>
      </c>
      <c r="Q37" s="827">
        <f t="shared" si="9"/>
        <v>0.55000000000000004</v>
      </c>
      <c r="R37" s="21">
        <f t="shared" si="9"/>
        <v>0.55055055055055069</v>
      </c>
      <c r="S37" s="21">
        <f t="shared" si="14"/>
        <v>1.909436728395062</v>
      </c>
      <c r="T37" s="2">
        <f t="shared" si="15"/>
        <v>3.2772750000000062</v>
      </c>
      <c r="U37" s="21">
        <f t="shared" si="16"/>
        <v>-3.0586882499999155</v>
      </c>
      <c r="V37" s="828">
        <f t="shared" si="12"/>
        <v>0.55000000000000004</v>
      </c>
    </row>
    <row r="38" spans="1:22" x14ac:dyDescent="0.4">
      <c r="A38" s="61">
        <v>2.7</v>
      </c>
      <c r="B38" s="61">
        <v>0.06</v>
      </c>
      <c r="C38" s="61" t="s">
        <v>210</v>
      </c>
      <c r="D38" s="62"/>
      <c r="E38" s="49">
        <f t="shared" si="1"/>
        <v>0.56000000000000005</v>
      </c>
      <c r="F38" s="21">
        <f t="shared" ref="F38:F68" si="18">IF(A38="","",(1/F$2)+F37)</f>
        <v>0.567233900567234</v>
      </c>
      <c r="G38" s="1">
        <f t="shared" si="3"/>
        <v>2.7</v>
      </c>
      <c r="H38" s="2">
        <f t="shared" si="4"/>
        <v>2.3976000000000082</v>
      </c>
      <c r="J38" s="2">
        <f t="shared" si="7"/>
        <v>3.4465500000000091</v>
      </c>
      <c r="K38" s="2">
        <f t="shared" si="5"/>
        <v>3.196800000000009</v>
      </c>
      <c r="L38" s="2">
        <f t="shared" si="6"/>
        <v>3.2092875000000074</v>
      </c>
      <c r="M38" s="2">
        <f t="shared" si="17"/>
        <v>3.2301000000000073</v>
      </c>
      <c r="N38" s="2">
        <f t="shared" si="17"/>
        <v>3.2453625000000073</v>
      </c>
      <c r="O38" s="2">
        <f t="shared" si="17"/>
        <v>3.2564625000000071</v>
      </c>
      <c r="Q38" s="827">
        <f t="shared" si="9"/>
        <v>0.56000000000000005</v>
      </c>
      <c r="R38" s="21">
        <f t="shared" si="9"/>
        <v>0.567233900567234</v>
      </c>
      <c r="S38" s="21">
        <f t="shared" si="14"/>
        <v>1.9637654320987656</v>
      </c>
      <c r="T38" s="2">
        <f t="shared" si="15"/>
        <v>3.2564625000000071</v>
      </c>
      <c r="U38" s="21">
        <f t="shared" si="16"/>
        <v>-1.2844642499999468</v>
      </c>
      <c r="V38" s="828">
        <f t="shared" si="12"/>
        <v>0.56000000000000005</v>
      </c>
    </row>
    <row r="39" spans="1:22" x14ac:dyDescent="0.4">
      <c r="A39" s="61">
        <v>2.76</v>
      </c>
      <c r="B39" s="61">
        <v>0.06</v>
      </c>
      <c r="C39" s="61" t="s">
        <v>287</v>
      </c>
      <c r="D39" s="62"/>
      <c r="E39" s="49">
        <f t="shared" si="1"/>
        <v>0.57999999999999996</v>
      </c>
      <c r="F39" s="21">
        <f t="shared" si="18"/>
        <v>0.5839172505839173</v>
      </c>
      <c r="G39" s="1">
        <f t="shared" si="3"/>
        <v>2.76</v>
      </c>
      <c r="H39" s="2">
        <f t="shared" si="4"/>
        <v>3.5963999999999858</v>
      </c>
      <c r="J39" s="2">
        <f t="shared" si="7"/>
        <v>2.9970000000000176</v>
      </c>
      <c r="K39" s="2">
        <f t="shared" si="5"/>
        <v>3.1968000000000116</v>
      </c>
      <c r="L39" s="2">
        <f t="shared" si="6"/>
        <v>3.2342625000000074</v>
      </c>
      <c r="M39" s="2">
        <f t="shared" si="17"/>
        <v>3.2509125000000076</v>
      </c>
      <c r="N39" s="2">
        <f t="shared" si="17"/>
        <v>3.2578500000000079</v>
      </c>
      <c r="O39" s="2">
        <f t="shared" si="17"/>
        <v>3.2652500000000075</v>
      </c>
      <c r="Q39" s="827">
        <f t="shared" si="9"/>
        <v>0.57999999999999996</v>
      </c>
      <c r="R39" s="21">
        <f t="shared" si="9"/>
        <v>0.5839172505839173</v>
      </c>
      <c r="S39" s="21">
        <f t="shared" si="14"/>
        <v>2.0182407407407408</v>
      </c>
      <c r="T39" s="2">
        <f t="shared" si="15"/>
        <v>3.2652500000000075</v>
      </c>
      <c r="U39" s="21">
        <f t="shared" si="16"/>
        <v>0.35114850000005204</v>
      </c>
      <c r="V39" s="828">
        <f t="shared" si="12"/>
        <v>0.57999999999999996</v>
      </c>
    </row>
    <row r="40" spans="1:22" x14ac:dyDescent="0.4">
      <c r="A40" s="61">
        <v>2.82</v>
      </c>
      <c r="B40" s="61">
        <v>0.06</v>
      </c>
      <c r="C40" s="61" t="s">
        <v>211</v>
      </c>
      <c r="D40" s="62"/>
      <c r="E40" s="49">
        <f t="shared" si="1"/>
        <v>0.6</v>
      </c>
      <c r="F40" s="21">
        <f t="shared" si="18"/>
        <v>0.60060060060060061</v>
      </c>
      <c r="G40" s="1">
        <f t="shared" si="3"/>
        <v>2.82</v>
      </c>
      <c r="H40" s="2">
        <f t="shared" si="4"/>
        <v>3.5964000000000125</v>
      </c>
      <c r="J40" s="2">
        <f t="shared" si="7"/>
        <v>3.1468500000000077</v>
      </c>
      <c r="K40" s="2">
        <f t="shared" si="5"/>
        <v>3.196800000000009</v>
      </c>
      <c r="L40" s="2">
        <f t="shared" si="6"/>
        <v>3.3091875000000086</v>
      </c>
      <c r="M40" s="2">
        <f t="shared" si="17"/>
        <v>3.2925375000000088</v>
      </c>
      <c r="N40" s="2">
        <f t="shared" si="17"/>
        <v>3.2925375000000083</v>
      </c>
      <c r="O40" s="2">
        <f t="shared" si="17"/>
        <v>3.2948500000000087</v>
      </c>
      <c r="Q40" s="827">
        <f t="shared" si="9"/>
        <v>0.6</v>
      </c>
      <c r="R40" s="21">
        <f t="shared" si="9"/>
        <v>0.60060060060060061</v>
      </c>
      <c r="S40" s="21">
        <f t="shared" si="14"/>
        <v>2.0732098765432099</v>
      </c>
      <c r="T40" s="2">
        <f t="shared" si="15"/>
        <v>3.2948500000000087</v>
      </c>
      <c r="U40" s="21">
        <f t="shared" si="16"/>
        <v>1.5616867500000466</v>
      </c>
      <c r="V40" s="828">
        <f t="shared" si="12"/>
        <v>0.6</v>
      </c>
    </row>
    <row r="41" spans="1:22" x14ac:dyDescent="0.4">
      <c r="A41" s="61">
        <v>2.87</v>
      </c>
      <c r="B41" s="61">
        <v>0.04</v>
      </c>
      <c r="C41" s="61" t="s">
        <v>288</v>
      </c>
      <c r="D41" s="62"/>
      <c r="E41" s="49">
        <f t="shared" si="1"/>
        <v>0.61</v>
      </c>
      <c r="F41" s="21">
        <f t="shared" si="18"/>
        <v>0.61728395061728392</v>
      </c>
      <c r="G41" s="1">
        <f t="shared" si="3"/>
        <v>2.87</v>
      </c>
      <c r="H41" s="2">
        <f t="shared" si="4"/>
        <v>2.9970000000000239</v>
      </c>
      <c r="J41" s="2">
        <f t="shared" si="7"/>
        <v>3.446550000000002</v>
      </c>
      <c r="K41" s="2">
        <f t="shared" si="5"/>
        <v>3.3466500000000061</v>
      </c>
      <c r="L41" s="2">
        <f t="shared" si="6"/>
        <v>3.3341625000000099</v>
      </c>
      <c r="M41" s="2">
        <f t="shared" si="17"/>
        <v>3.334162500000009</v>
      </c>
      <c r="N41" s="2">
        <f t="shared" si="17"/>
        <v>3.334162500000009</v>
      </c>
      <c r="O41" s="2">
        <f t="shared" si="17"/>
        <v>3.3346250000000093</v>
      </c>
      <c r="Q41" s="827">
        <f t="shared" si="9"/>
        <v>0.61</v>
      </c>
      <c r="R41" s="21">
        <f t="shared" si="9"/>
        <v>0.61728395061728392</v>
      </c>
      <c r="S41" s="21">
        <f t="shared" si="14"/>
        <v>2.1288425925925925</v>
      </c>
      <c r="T41" s="2">
        <f t="shared" si="15"/>
        <v>3.3346250000000093</v>
      </c>
      <c r="U41" s="21">
        <f t="shared" si="16"/>
        <v>2.2362615000000288</v>
      </c>
      <c r="V41" s="828">
        <f t="shared" si="12"/>
        <v>0.61</v>
      </c>
    </row>
    <row r="42" spans="1:22" x14ac:dyDescent="0.4">
      <c r="A42" s="61">
        <v>2.93</v>
      </c>
      <c r="B42" s="61">
        <v>0.04</v>
      </c>
      <c r="C42" s="61" t="s">
        <v>212</v>
      </c>
      <c r="D42" s="62"/>
      <c r="E42" s="49">
        <f t="shared" si="1"/>
        <v>0.63</v>
      </c>
      <c r="F42" s="21">
        <f t="shared" si="18"/>
        <v>0.63396730063396722</v>
      </c>
      <c r="G42" s="1">
        <f t="shared" si="3"/>
        <v>2.93</v>
      </c>
      <c r="H42" s="2">
        <f t="shared" si="4"/>
        <v>3.5964000000000125</v>
      </c>
      <c r="J42" s="2">
        <f t="shared" si="7"/>
        <v>3.4465500000000091</v>
      </c>
      <c r="K42" s="2">
        <f t="shared" si="5"/>
        <v>3.4965000000000082</v>
      </c>
      <c r="L42" s="2">
        <f t="shared" si="6"/>
        <v>3.3591375000000094</v>
      </c>
      <c r="M42" s="2">
        <f t="shared" si="17"/>
        <v>3.3757875000000097</v>
      </c>
      <c r="N42" s="2">
        <f t="shared" si="17"/>
        <v>3.3771750000000096</v>
      </c>
      <c r="O42" s="2">
        <f t="shared" si="17"/>
        <v>3.3771750000000096</v>
      </c>
      <c r="Q42" s="827">
        <f t="shared" si="9"/>
        <v>0.63</v>
      </c>
      <c r="R42" s="21">
        <f t="shared" si="9"/>
        <v>0.63396730063396722</v>
      </c>
      <c r="S42" s="21">
        <f t="shared" si="14"/>
        <v>2.1851851851851851</v>
      </c>
      <c r="T42" s="2">
        <f t="shared" si="15"/>
        <v>3.3771750000000096</v>
      </c>
      <c r="U42" s="21">
        <f t="shared" si="16"/>
        <v>2.4580395000000186</v>
      </c>
      <c r="V42" s="828">
        <f t="shared" si="12"/>
        <v>0.63</v>
      </c>
    </row>
    <row r="43" spans="1:22" x14ac:dyDescent="0.4">
      <c r="A43" s="61">
        <v>2.98</v>
      </c>
      <c r="B43" s="61">
        <v>0.04</v>
      </c>
      <c r="C43" s="61" t="s">
        <v>289</v>
      </c>
      <c r="D43" s="62"/>
      <c r="E43" s="49">
        <f t="shared" si="1"/>
        <v>0.65</v>
      </c>
      <c r="F43" s="21">
        <f t="shared" si="18"/>
        <v>0.65065065065065053</v>
      </c>
      <c r="G43" s="21">
        <f t="shared" si="3"/>
        <v>2.98</v>
      </c>
      <c r="H43" s="2">
        <f t="shared" si="4"/>
        <v>2.9969999999999972</v>
      </c>
      <c r="J43" s="2">
        <f t="shared" si="7"/>
        <v>3.5964000000000125</v>
      </c>
      <c r="K43" s="2">
        <f t="shared" si="5"/>
        <v>3.4465500000000113</v>
      </c>
      <c r="L43" s="2">
        <f t="shared" si="6"/>
        <v>3.4340625000000085</v>
      </c>
      <c r="M43" s="2">
        <f t="shared" si="17"/>
        <v>3.4215750000000091</v>
      </c>
      <c r="N43" s="2">
        <f t="shared" si="17"/>
        <v>3.4201875000000093</v>
      </c>
      <c r="O43" s="2">
        <f t="shared" si="17"/>
        <v>3.4178750000000093</v>
      </c>
      <c r="Q43" s="827">
        <f t="shared" si="9"/>
        <v>0.65</v>
      </c>
      <c r="R43" s="21">
        <f t="shared" si="9"/>
        <v>0.65065065065065053</v>
      </c>
      <c r="S43" s="21">
        <f t="shared" si="14"/>
        <v>2.2422067901234568</v>
      </c>
      <c r="T43" s="2">
        <f t="shared" si="15"/>
        <v>3.4178750000000093</v>
      </c>
      <c r="U43" s="21">
        <f t="shared" si="16"/>
        <v>2.3656320000000384</v>
      </c>
      <c r="V43" s="828">
        <f t="shared" si="12"/>
        <v>0.65</v>
      </c>
    </row>
    <row r="44" spans="1:22" x14ac:dyDescent="0.4">
      <c r="A44" s="61">
        <v>3.05</v>
      </c>
      <c r="B44" s="61">
        <v>0.04</v>
      </c>
      <c r="C44" s="61" t="s">
        <v>213</v>
      </c>
      <c r="D44" s="62"/>
      <c r="E44" s="49">
        <f t="shared" si="1"/>
        <v>0.66</v>
      </c>
      <c r="F44" s="21">
        <f t="shared" si="18"/>
        <v>0.66733400066733384</v>
      </c>
      <c r="G44" s="1">
        <f t="shared" si="3"/>
        <v>3.05</v>
      </c>
      <c r="H44" s="2">
        <f t="shared" si="4"/>
        <v>4.1958000000000011</v>
      </c>
      <c r="J44" s="2">
        <f t="shared" si="7"/>
        <v>3.296700000000012</v>
      </c>
      <c r="K44" s="2">
        <f t="shared" si="5"/>
        <v>3.4465500000000113</v>
      </c>
      <c r="L44" s="2">
        <f t="shared" si="6"/>
        <v>3.4715250000000091</v>
      </c>
      <c r="M44" s="2">
        <f t="shared" si="17"/>
        <v>3.4632000000000089</v>
      </c>
      <c r="N44" s="2">
        <f t="shared" si="17"/>
        <v>3.4562625000000096</v>
      </c>
      <c r="O44" s="2">
        <f t="shared" si="17"/>
        <v>3.4530250000000096</v>
      </c>
      <c r="Q44" s="827">
        <f t="shared" si="9"/>
        <v>0.66</v>
      </c>
      <c r="R44" s="21">
        <f t="shared" si="9"/>
        <v>0.66733400066733384</v>
      </c>
      <c r="S44" s="21">
        <f t="shared" si="14"/>
        <v>2.2998148148148148</v>
      </c>
      <c r="T44" s="2">
        <f t="shared" si="15"/>
        <v>3.4530250000000096</v>
      </c>
      <c r="U44" s="21">
        <f t="shared" si="16"/>
        <v>2.0791687499999778</v>
      </c>
      <c r="V44" s="828">
        <f t="shared" si="12"/>
        <v>0.66</v>
      </c>
    </row>
    <row r="45" spans="1:22" x14ac:dyDescent="0.4">
      <c r="A45" s="61">
        <v>3.11</v>
      </c>
      <c r="B45" s="61">
        <v>0.04</v>
      </c>
      <c r="C45" s="61" t="s">
        <v>290</v>
      </c>
      <c r="D45" s="62"/>
      <c r="E45" s="49">
        <f t="shared" si="1"/>
        <v>0.68</v>
      </c>
      <c r="F45" s="21">
        <f t="shared" si="18"/>
        <v>0.68401735068401714</v>
      </c>
      <c r="G45" s="1">
        <f t="shared" si="3"/>
        <v>3.11</v>
      </c>
      <c r="H45" s="2">
        <f t="shared" si="4"/>
        <v>3.5964000000000125</v>
      </c>
      <c r="J45" s="2">
        <f t="shared" si="7"/>
        <v>3.4465500000000091</v>
      </c>
      <c r="K45" s="2">
        <f t="shared" si="5"/>
        <v>3.4465500000000091</v>
      </c>
      <c r="L45" s="2">
        <f t="shared" si="6"/>
        <v>3.4840125000000097</v>
      </c>
      <c r="M45" s="2">
        <f t="shared" si="17"/>
        <v>3.4840125000000093</v>
      </c>
      <c r="N45" s="2">
        <f t="shared" si="17"/>
        <v>3.4826250000000094</v>
      </c>
      <c r="O45" s="2">
        <f t="shared" si="17"/>
        <v>3.4812375000000095</v>
      </c>
      <c r="Q45" s="827">
        <f t="shared" si="9"/>
        <v>0.68</v>
      </c>
      <c r="R45" s="21">
        <f t="shared" si="9"/>
        <v>0.68401735068401714</v>
      </c>
      <c r="S45" s="21">
        <f t="shared" si="14"/>
        <v>2.3578935185185186</v>
      </c>
      <c r="T45" s="2">
        <f t="shared" si="15"/>
        <v>3.4812375000000095</v>
      </c>
      <c r="U45" s="21">
        <f t="shared" si="16"/>
        <v>1.7834647500000094</v>
      </c>
      <c r="V45" s="828">
        <f t="shared" si="12"/>
        <v>0.68</v>
      </c>
    </row>
    <row r="46" spans="1:22" x14ac:dyDescent="0.4">
      <c r="A46" s="61">
        <v>3.16</v>
      </c>
      <c r="B46" s="61">
        <v>0.04</v>
      </c>
      <c r="C46" s="61" t="s">
        <v>214</v>
      </c>
      <c r="D46" s="62"/>
      <c r="E46" s="49">
        <f t="shared" si="1"/>
        <v>0.7</v>
      </c>
      <c r="F46" s="21">
        <f t="shared" si="18"/>
        <v>0.70070070070070045</v>
      </c>
      <c r="G46" s="1">
        <f t="shared" si="3"/>
        <v>3.16</v>
      </c>
      <c r="H46" s="2">
        <f t="shared" si="4"/>
        <v>2.9970000000000239</v>
      </c>
      <c r="J46" s="2">
        <f t="shared" si="7"/>
        <v>3.5964000000000054</v>
      </c>
      <c r="K46" s="2">
        <f t="shared" si="5"/>
        <v>3.4965000000000082</v>
      </c>
      <c r="L46" s="2">
        <f t="shared" si="6"/>
        <v>3.4965000000000099</v>
      </c>
      <c r="M46" s="2">
        <f t="shared" si="17"/>
        <v>3.5006625000000096</v>
      </c>
      <c r="N46" s="2">
        <f t="shared" si="17"/>
        <v>3.5048250000000092</v>
      </c>
      <c r="O46" s="2">
        <f t="shared" si="17"/>
        <v>3.5071375000000091</v>
      </c>
      <c r="Q46" s="827">
        <f t="shared" si="9"/>
        <v>0.7</v>
      </c>
      <c r="R46" s="21">
        <f t="shared" si="9"/>
        <v>0.70070070070070045</v>
      </c>
      <c r="S46" s="21">
        <f t="shared" si="14"/>
        <v>2.4164043209876542</v>
      </c>
      <c r="T46" s="2">
        <f t="shared" si="15"/>
        <v>3.5071375000000091</v>
      </c>
      <c r="U46" s="21">
        <f t="shared" si="16"/>
        <v>1.6910572500000027</v>
      </c>
      <c r="V46" s="828">
        <f t="shared" si="12"/>
        <v>0.7</v>
      </c>
    </row>
    <row r="47" spans="1:22" x14ac:dyDescent="0.4">
      <c r="A47" s="61">
        <v>3.22</v>
      </c>
      <c r="B47" s="61">
        <v>0.04</v>
      </c>
      <c r="C47" s="61" t="s">
        <v>291</v>
      </c>
      <c r="D47" s="62"/>
      <c r="E47" s="49">
        <f t="shared" si="1"/>
        <v>0.71</v>
      </c>
      <c r="F47" s="21">
        <f t="shared" si="18"/>
        <v>0.71738405071738376</v>
      </c>
      <c r="G47" s="1">
        <f t="shared" si="3"/>
        <v>3.22</v>
      </c>
      <c r="H47" s="2">
        <f t="shared" si="4"/>
        <v>3.5964000000000125</v>
      </c>
      <c r="J47" s="2">
        <f t="shared" si="7"/>
        <v>3.4465500000000091</v>
      </c>
      <c r="K47" s="2">
        <f t="shared" si="5"/>
        <v>3.546450000000009</v>
      </c>
      <c r="L47" s="2">
        <f t="shared" si="6"/>
        <v>3.5214750000000095</v>
      </c>
      <c r="M47" s="2">
        <f t="shared" si="17"/>
        <v>3.5298000000000092</v>
      </c>
      <c r="N47" s="2">
        <f t="shared" si="17"/>
        <v>3.5339625000000088</v>
      </c>
      <c r="O47" s="2">
        <f t="shared" si="17"/>
        <v>3.5376625000000086</v>
      </c>
      <c r="Q47" s="827">
        <f t="shared" si="9"/>
        <v>0.71</v>
      </c>
      <c r="R47" s="21">
        <f t="shared" si="9"/>
        <v>0.71738405071738376</v>
      </c>
      <c r="S47" s="21">
        <f t="shared" si="14"/>
        <v>2.4754243827160494</v>
      </c>
      <c r="T47" s="2">
        <f t="shared" si="15"/>
        <v>3.5376625000000086</v>
      </c>
      <c r="U47" s="21">
        <f t="shared" si="16"/>
        <v>1.9035944999999783</v>
      </c>
      <c r="V47" s="828">
        <f t="shared" si="12"/>
        <v>0.71</v>
      </c>
    </row>
    <row r="48" spans="1:22" x14ac:dyDescent="0.4">
      <c r="A48" s="61">
        <v>3.27</v>
      </c>
      <c r="B48" s="61">
        <v>0.04</v>
      </c>
      <c r="C48" s="61" t="s">
        <v>215</v>
      </c>
      <c r="D48" s="62"/>
      <c r="E48" s="49">
        <f t="shared" si="1"/>
        <v>0.73</v>
      </c>
      <c r="F48" s="21">
        <f t="shared" si="18"/>
        <v>0.73406740073406707</v>
      </c>
      <c r="G48" s="1">
        <f t="shared" si="3"/>
        <v>3.27</v>
      </c>
      <c r="H48" s="2">
        <f t="shared" si="4"/>
        <v>2.9969999999999972</v>
      </c>
      <c r="J48" s="2">
        <f t="shared" si="7"/>
        <v>3.5964000000000125</v>
      </c>
      <c r="K48" s="2">
        <f t="shared" si="5"/>
        <v>3.5464500000000112</v>
      </c>
      <c r="L48" s="2">
        <f t="shared" si="6"/>
        <v>3.5714250000000085</v>
      </c>
      <c r="M48" s="2">
        <f t="shared" si="17"/>
        <v>3.5714250000000085</v>
      </c>
      <c r="N48" s="2">
        <f t="shared" si="17"/>
        <v>3.5742000000000087</v>
      </c>
      <c r="O48" s="2">
        <f t="shared" si="17"/>
        <v>3.5765125000000086</v>
      </c>
      <c r="Q48" s="827">
        <f t="shared" si="9"/>
        <v>0.73</v>
      </c>
      <c r="R48" s="21">
        <f t="shared" si="9"/>
        <v>0.73406740073406707</v>
      </c>
      <c r="S48" s="21">
        <f t="shared" si="14"/>
        <v>2.5350925925925925</v>
      </c>
      <c r="T48" s="2">
        <f t="shared" si="15"/>
        <v>3.5765125000000086</v>
      </c>
      <c r="U48" s="21">
        <f t="shared" si="16"/>
        <v>2.3101875000000076</v>
      </c>
      <c r="V48" s="828">
        <f t="shared" si="12"/>
        <v>0.73</v>
      </c>
    </row>
    <row r="49" spans="1:22" x14ac:dyDescent="0.4">
      <c r="A49" s="61">
        <v>3.34</v>
      </c>
      <c r="B49" s="61">
        <v>0.04</v>
      </c>
      <c r="C49" s="61" t="s">
        <v>292</v>
      </c>
      <c r="D49" s="62"/>
      <c r="E49" s="49">
        <f t="shared" si="1"/>
        <v>0.75</v>
      </c>
      <c r="F49" s="21">
        <f t="shared" si="18"/>
        <v>0.75075075075075037</v>
      </c>
      <c r="G49" s="1">
        <f t="shared" si="3"/>
        <v>3.34</v>
      </c>
      <c r="H49" s="2">
        <f t="shared" si="4"/>
        <v>4.1958000000000011</v>
      </c>
      <c r="J49" s="2">
        <f t="shared" si="7"/>
        <v>3.5964000000000125</v>
      </c>
      <c r="K49" s="2">
        <f t="shared" si="5"/>
        <v>3.5964000000000098</v>
      </c>
      <c r="L49" s="2">
        <f t="shared" si="6"/>
        <v>3.6213750000000084</v>
      </c>
      <c r="M49" s="2">
        <f t="shared" si="17"/>
        <v>3.6213750000000089</v>
      </c>
      <c r="N49" s="2">
        <f t="shared" si="17"/>
        <v>3.6213750000000089</v>
      </c>
      <c r="O49" s="2">
        <f t="shared" si="17"/>
        <v>3.6227625000000088</v>
      </c>
      <c r="Q49" s="827">
        <f t="shared" si="9"/>
        <v>0.75</v>
      </c>
      <c r="R49" s="21">
        <f t="shared" si="9"/>
        <v>0.75075075075075037</v>
      </c>
      <c r="S49" s="21">
        <f t="shared" si="14"/>
        <v>2.5955324074074073</v>
      </c>
      <c r="T49" s="2">
        <f t="shared" si="15"/>
        <v>3.6227625000000088</v>
      </c>
      <c r="U49" s="21">
        <f t="shared" si="16"/>
        <v>2.7075397500000231</v>
      </c>
      <c r="V49" s="828">
        <f t="shared" si="12"/>
        <v>0.75</v>
      </c>
    </row>
    <row r="50" spans="1:22" x14ac:dyDescent="0.4">
      <c r="A50" s="61">
        <v>3.4</v>
      </c>
      <c r="B50" s="61">
        <v>0.04</v>
      </c>
      <c r="C50" s="61" t="s">
        <v>216</v>
      </c>
      <c r="D50" s="62"/>
      <c r="E50" s="49">
        <f t="shared" si="1"/>
        <v>0.76</v>
      </c>
      <c r="F50" s="21">
        <f t="shared" si="18"/>
        <v>0.76743410076743368</v>
      </c>
      <c r="G50" s="1">
        <f t="shared" si="3"/>
        <v>3.4</v>
      </c>
      <c r="H50" s="2">
        <f t="shared" si="4"/>
        <v>3.5964000000000125</v>
      </c>
      <c r="J50" s="2">
        <f t="shared" si="7"/>
        <v>3.5964000000000054</v>
      </c>
      <c r="K50" s="2">
        <f t="shared" si="5"/>
        <v>3.6463500000000071</v>
      </c>
      <c r="L50" s="2">
        <f t="shared" si="6"/>
        <v>3.6713250000000097</v>
      </c>
      <c r="M50" s="2">
        <f t="shared" si="17"/>
        <v>3.6713250000000088</v>
      </c>
      <c r="N50" s="2">
        <f t="shared" si="17"/>
        <v>3.6727125000000087</v>
      </c>
      <c r="O50" s="2">
        <f t="shared" si="17"/>
        <v>3.673175000000009</v>
      </c>
      <c r="Q50" s="827">
        <f t="shared" si="9"/>
        <v>0.76</v>
      </c>
      <c r="R50" s="21">
        <f t="shared" si="9"/>
        <v>0.76743410076743368</v>
      </c>
      <c r="S50" s="21">
        <f t="shared" si="14"/>
        <v>2.6568132716049382</v>
      </c>
      <c r="T50" s="2">
        <f t="shared" si="15"/>
        <v>3.673175000000009</v>
      </c>
      <c r="U50" s="21">
        <f t="shared" si="16"/>
        <v>2.9755215000000028</v>
      </c>
      <c r="V50" s="828">
        <f t="shared" si="12"/>
        <v>0.76</v>
      </c>
    </row>
    <row r="51" spans="1:22" x14ac:dyDescent="0.4">
      <c r="A51" s="61">
        <v>3.47</v>
      </c>
      <c r="B51" s="61">
        <v>0.04</v>
      </c>
      <c r="C51" s="61" t="s">
        <v>293</v>
      </c>
      <c r="D51" s="62"/>
      <c r="E51" s="49">
        <f t="shared" si="1"/>
        <v>0.78</v>
      </c>
      <c r="F51" s="21">
        <f t="shared" si="18"/>
        <v>0.78411745078411699</v>
      </c>
      <c r="G51" s="1">
        <f t="shared" si="3"/>
        <v>3.47</v>
      </c>
      <c r="H51" s="2">
        <f t="shared" si="4"/>
        <v>4.1958000000000277</v>
      </c>
      <c r="J51" s="2">
        <f t="shared" si="7"/>
        <v>3.7462500000000034</v>
      </c>
      <c r="K51" s="2">
        <f t="shared" si="5"/>
        <v>3.7462500000000074</v>
      </c>
      <c r="L51" s="2">
        <f t="shared" si="6"/>
        <v>3.7212750000000101</v>
      </c>
      <c r="M51" s="2">
        <f t="shared" si="17"/>
        <v>3.7254375000000093</v>
      </c>
      <c r="N51" s="2">
        <f t="shared" si="17"/>
        <v>3.7254375000000088</v>
      </c>
      <c r="O51" s="2">
        <f t="shared" si="17"/>
        <v>3.7254375000000088</v>
      </c>
      <c r="Q51" s="827">
        <f t="shared" si="9"/>
        <v>0.78</v>
      </c>
      <c r="R51" s="21">
        <f t="shared" si="9"/>
        <v>0.78411745078411699</v>
      </c>
      <c r="S51" s="21">
        <f t="shared" si="14"/>
        <v>2.7189660493827161</v>
      </c>
      <c r="T51" s="2">
        <f t="shared" si="15"/>
        <v>3.7254375000000088</v>
      </c>
      <c r="U51" s="21">
        <f t="shared" si="16"/>
        <v>3.0956512500000248</v>
      </c>
      <c r="V51" s="828">
        <f t="shared" si="12"/>
        <v>0.78</v>
      </c>
    </row>
    <row r="52" spans="1:22" x14ac:dyDescent="0.4">
      <c r="A52" s="61">
        <v>3.52</v>
      </c>
      <c r="B52" s="61">
        <v>0.04</v>
      </c>
      <c r="C52" s="61" t="s">
        <v>217</v>
      </c>
      <c r="D52" s="62"/>
      <c r="E52" s="49">
        <f t="shared" si="1"/>
        <v>0.8</v>
      </c>
      <c r="F52" s="21">
        <f t="shared" si="18"/>
        <v>0.80080080080080029</v>
      </c>
      <c r="G52" s="1">
        <f t="shared" si="3"/>
        <v>3.52</v>
      </c>
      <c r="H52" s="2">
        <f t="shared" si="4"/>
        <v>2.9969999999999972</v>
      </c>
      <c r="J52" s="2">
        <f t="shared" si="7"/>
        <v>3.8961000000000139</v>
      </c>
      <c r="K52" s="2">
        <f t="shared" si="5"/>
        <v>3.7962000000000109</v>
      </c>
      <c r="L52" s="2">
        <f t="shared" si="6"/>
        <v>3.7837125000000089</v>
      </c>
      <c r="M52" s="2">
        <f t="shared" si="17"/>
        <v>3.7795500000000093</v>
      </c>
      <c r="N52" s="2">
        <f t="shared" si="17"/>
        <v>3.7781625000000094</v>
      </c>
      <c r="O52" s="2">
        <f t="shared" si="17"/>
        <v>3.7777000000000096</v>
      </c>
      <c r="Q52" s="827">
        <f t="shared" si="9"/>
        <v>0.8</v>
      </c>
      <c r="R52" s="21">
        <f t="shared" si="9"/>
        <v>0.80080080080080029</v>
      </c>
      <c r="S52" s="21">
        <f t="shared" si="14"/>
        <v>2.7819907407407407</v>
      </c>
      <c r="T52" s="2">
        <f t="shared" si="15"/>
        <v>3.7777000000000096</v>
      </c>
      <c r="U52" s="21">
        <f t="shared" si="16"/>
        <v>3.1141327500000529</v>
      </c>
      <c r="V52" s="828">
        <f t="shared" si="12"/>
        <v>0.8</v>
      </c>
    </row>
    <row r="53" spans="1:22" x14ac:dyDescent="0.4">
      <c r="A53" s="61">
        <v>3.59</v>
      </c>
      <c r="B53" s="61">
        <v>0.04</v>
      </c>
      <c r="C53" s="61" t="s">
        <v>294</v>
      </c>
      <c r="D53" s="62"/>
      <c r="E53" s="49">
        <f t="shared" si="1"/>
        <v>0.81</v>
      </c>
      <c r="F53" s="21">
        <f t="shared" si="18"/>
        <v>0.8174841508174836</v>
      </c>
      <c r="G53" s="1">
        <f t="shared" si="3"/>
        <v>3.59</v>
      </c>
      <c r="H53" s="2">
        <f t="shared" si="4"/>
        <v>4.1958000000000011</v>
      </c>
      <c r="J53" s="2">
        <f t="shared" si="7"/>
        <v>3.7462500000000158</v>
      </c>
      <c r="K53" s="2">
        <f t="shared" si="5"/>
        <v>3.8461500000000122</v>
      </c>
      <c r="L53" s="2">
        <f t="shared" si="6"/>
        <v>3.8336625000000093</v>
      </c>
      <c r="M53" s="2">
        <f t="shared" si="17"/>
        <v>3.8295000000000101</v>
      </c>
      <c r="N53" s="2">
        <f t="shared" si="17"/>
        <v>3.8295000000000101</v>
      </c>
      <c r="O53" s="2">
        <f t="shared" si="17"/>
        <v>3.8290375000000103</v>
      </c>
      <c r="Q53" s="827">
        <f t="shared" si="9"/>
        <v>0.81</v>
      </c>
      <c r="R53" s="21">
        <f t="shared" si="9"/>
        <v>0.8174841508174836</v>
      </c>
      <c r="S53" s="21">
        <f t="shared" si="14"/>
        <v>2.8458719135802468</v>
      </c>
      <c r="T53" s="2">
        <f t="shared" si="15"/>
        <v>3.8290375000000103</v>
      </c>
      <c r="U53" s="21">
        <f t="shared" si="16"/>
        <v>3.0679290000000092</v>
      </c>
      <c r="V53" s="828">
        <f t="shared" si="12"/>
        <v>0.81</v>
      </c>
    </row>
    <row r="54" spans="1:22" x14ac:dyDescent="0.4">
      <c r="A54" s="61">
        <v>3.65</v>
      </c>
      <c r="B54" s="61">
        <v>0.04</v>
      </c>
      <c r="C54" s="61" t="s">
        <v>218</v>
      </c>
      <c r="D54" s="62"/>
      <c r="E54" s="49">
        <f t="shared" si="1"/>
        <v>0.83</v>
      </c>
      <c r="F54" s="21">
        <f t="shared" si="18"/>
        <v>0.83416750083416691</v>
      </c>
      <c r="G54" s="1">
        <f t="shared" si="3"/>
        <v>3.65</v>
      </c>
      <c r="H54" s="2">
        <f t="shared" si="4"/>
        <v>3.5964000000000125</v>
      </c>
      <c r="J54" s="2">
        <f t="shared" si="7"/>
        <v>3.8961000000000068</v>
      </c>
      <c r="K54" s="2">
        <f t="shared" si="5"/>
        <v>3.896100000000009</v>
      </c>
      <c r="L54" s="2">
        <f t="shared" si="6"/>
        <v>3.8711250000000113</v>
      </c>
      <c r="M54" s="2">
        <f t="shared" si="17"/>
        <v>3.8794500000000105</v>
      </c>
      <c r="N54" s="2">
        <f t="shared" si="17"/>
        <v>3.8794500000000105</v>
      </c>
      <c r="O54" s="2">
        <f t="shared" si="17"/>
        <v>3.8789875000000102</v>
      </c>
      <c r="Q54" s="827">
        <f t="shared" si="9"/>
        <v>0.83</v>
      </c>
      <c r="R54" s="21">
        <f t="shared" si="9"/>
        <v>0.83416750083416691</v>
      </c>
      <c r="S54" s="21">
        <f t="shared" si="14"/>
        <v>2.9105864197530864</v>
      </c>
      <c r="T54" s="2">
        <f t="shared" si="15"/>
        <v>3.8789875000000102</v>
      </c>
      <c r="U54" s="21">
        <f t="shared" si="16"/>
        <v>2.9755215000000295</v>
      </c>
      <c r="V54" s="828">
        <f t="shared" si="12"/>
        <v>0.83</v>
      </c>
    </row>
    <row r="55" spans="1:22" x14ac:dyDescent="0.4">
      <c r="A55" s="61">
        <v>3.72</v>
      </c>
      <c r="B55" s="61">
        <v>0.04</v>
      </c>
      <c r="C55" s="61" t="s">
        <v>295</v>
      </c>
      <c r="D55" s="62"/>
      <c r="E55" s="49">
        <f t="shared" si="1"/>
        <v>0.85</v>
      </c>
      <c r="F55" s="21">
        <f t="shared" si="18"/>
        <v>0.85085085085085022</v>
      </c>
      <c r="G55" s="1">
        <f t="shared" si="3"/>
        <v>3.72</v>
      </c>
      <c r="H55" s="2">
        <f t="shared" si="4"/>
        <v>4.1958000000000277</v>
      </c>
      <c r="J55" s="2">
        <f t="shared" si="7"/>
        <v>4.0459500000000039</v>
      </c>
      <c r="K55" s="2">
        <f t="shared" si="5"/>
        <v>3.896100000000009</v>
      </c>
      <c r="L55" s="2">
        <f t="shared" si="6"/>
        <v>3.9335625000000114</v>
      </c>
      <c r="M55" s="2">
        <f t="shared" si="17"/>
        <v>3.9294000000000104</v>
      </c>
      <c r="N55" s="2">
        <f t="shared" si="17"/>
        <v>3.9280125000000101</v>
      </c>
      <c r="O55" s="2">
        <f t="shared" si="17"/>
        <v>3.9266250000000102</v>
      </c>
      <c r="Q55" s="827">
        <f t="shared" si="9"/>
        <v>0.85</v>
      </c>
      <c r="R55" s="21">
        <f t="shared" si="9"/>
        <v>0.85085085085085022</v>
      </c>
      <c r="S55" s="21">
        <f t="shared" si="14"/>
        <v>2.9760956790123458</v>
      </c>
      <c r="T55" s="2">
        <f t="shared" si="15"/>
        <v>3.9266250000000102</v>
      </c>
      <c r="U55" s="21">
        <f t="shared" si="16"/>
        <v>2.8461509999999932</v>
      </c>
      <c r="V55" s="828">
        <f t="shared" si="12"/>
        <v>0.85</v>
      </c>
    </row>
    <row r="56" spans="1:22" x14ac:dyDescent="0.4">
      <c r="A56" s="61">
        <v>3.79</v>
      </c>
      <c r="B56" s="61">
        <v>0.04</v>
      </c>
      <c r="C56" s="61" t="s">
        <v>219</v>
      </c>
      <c r="D56" s="62"/>
      <c r="E56" s="49">
        <f t="shared" si="1"/>
        <v>0.86</v>
      </c>
      <c r="F56" s="21">
        <f t="shared" si="18"/>
        <v>0.86753420086753352</v>
      </c>
      <c r="G56" s="1">
        <f t="shared" si="3"/>
        <v>3.79</v>
      </c>
      <c r="H56" s="2">
        <f t="shared" si="4"/>
        <v>4.1958000000000011</v>
      </c>
      <c r="J56" s="2">
        <f t="shared" si="7"/>
        <v>3.7462500000000167</v>
      </c>
      <c r="K56" s="2">
        <f t="shared" si="5"/>
        <v>3.9460500000000125</v>
      </c>
      <c r="L56" s="2">
        <f t="shared" si="6"/>
        <v>3.9835125000000091</v>
      </c>
      <c r="M56" s="2">
        <f t="shared" si="17"/>
        <v>3.9751875000000099</v>
      </c>
      <c r="N56" s="2">
        <f t="shared" si="17"/>
        <v>3.9724125000000101</v>
      </c>
      <c r="O56" s="2">
        <f t="shared" si="17"/>
        <v>3.9714875000000105</v>
      </c>
      <c r="Q56" s="827">
        <f t="shared" si="9"/>
        <v>0.86</v>
      </c>
      <c r="R56" s="21">
        <f t="shared" si="9"/>
        <v>0.86753420086753352</v>
      </c>
      <c r="S56" s="21">
        <f t="shared" si="14"/>
        <v>3.0423533950617285</v>
      </c>
      <c r="T56" s="2">
        <f t="shared" si="15"/>
        <v>3.9714875000000105</v>
      </c>
      <c r="U56" s="21">
        <f t="shared" si="16"/>
        <v>2.7075397499999965</v>
      </c>
      <c r="V56" s="828">
        <f t="shared" si="12"/>
        <v>0.86</v>
      </c>
    </row>
    <row r="57" spans="1:22" x14ac:dyDescent="0.4">
      <c r="A57" s="61">
        <v>3.86</v>
      </c>
      <c r="B57" s="61">
        <v>0.04</v>
      </c>
      <c r="C57" s="61" t="s">
        <v>296</v>
      </c>
      <c r="D57" s="62"/>
      <c r="E57" s="49">
        <f t="shared" si="1"/>
        <v>0.88</v>
      </c>
      <c r="F57" s="21">
        <f t="shared" si="18"/>
        <v>0.88421755088421683</v>
      </c>
      <c r="G57" s="1">
        <f t="shared" si="3"/>
        <v>3.86</v>
      </c>
      <c r="H57" s="2">
        <f t="shared" si="4"/>
        <v>4.1958000000000011</v>
      </c>
      <c r="J57" s="2">
        <f t="shared" si="7"/>
        <v>4.0459500000000173</v>
      </c>
      <c r="K57" s="2">
        <f t="shared" si="5"/>
        <v>4.045950000000011</v>
      </c>
      <c r="L57" s="2">
        <f t="shared" si="6"/>
        <v>4.00848750000001</v>
      </c>
      <c r="M57" s="2">
        <f t="shared" si="17"/>
        <v>4.0126500000000105</v>
      </c>
      <c r="N57" s="2">
        <f t="shared" si="17"/>
        <v>4.0140375000000104</v>
      </c>
      <c r="O57" s="2">
        <f t="shared" si="17"/>
        <v>4.0145000000000097</v>
      </c>
      <c r="Q57" s="827">
        <f t="shared" si="9"/>
        <v>0.88</v>
      </c>
      <c r="R57" s="21">
        <f t="shared" si="9"/>
        <v>0.88421755088421683</v>
      </c>
      <c r="S57" s="21">
        <f t="shared" si="14"/>
        <v>3.1093287037037038</v>
      </c>
      <c r="T57" s="2">
        <f t="shared" si="15"/>
        <v>4.0145000000000097</v>
      </c>
      <c r="U57" s="21">
        <f t="shared" si="16"/>
        <v>2.6151322499999901</v>
      </c>
      <c r="V57" s="828">
        <f t="shared" si="12"/>
        <v>0.88</v>
      </c>
    </row>
    <row r="58" spans="1:22" x14ac:dyDescent="0.4">
      <c r="A58" s="61">
        <v>3.91</v>
      </c>
      <c r="B58" s="61">
        <v>0.04</v>
      </c>
      <c r="C58" s="61" t="s">
        <v>220</v>
      </c>
      <c r="D58" s="62"/>
      <c r="E58" s="49">
        <f t="shared" si="1"/>
        <v>0.9</v>
      </c>
      <c r="F58" s="21">
        <f t="shared" si="18"/>
        <v>0.90090090090090014</v>
      </c>
      <c r="G58" s="1">
        <f t="shared" si="3"/>
        <v>3.91</v>
      </c>
      <c r="H58" s="2">
        <f t="shared" si="4"/>
        <v>2.9970000000000239</v>
      </c>
      <c r="J58" s="2">
        <f t="shared" si="7"/>
        <v>4.3456499999999982</v>
      </c>
      <c r="K58" s="2">
        <f t="shared" si="5"/>
        <v>4.0959000000000074</v>
      </c>
      <c r="L58" s="2">
        <f t="shared" si="6"/>
        <v>4.045950000000011</v>
      </c>
      <c r="M58" s="2">
        <f t="shared" si="17"/>
        <v>4.0542750000000103</v>
      </c>
      <c r="N58" s="2">
        <f t="shared" si="17"/>
        <v>4.05705000000001</v>
      </c>
      <c r="O58" s="2">
        <f t="shared" si="17"/>
        <v>4.0575125000000103</v>
      </c>
      <c r="Q58" s="827">
        <f t="shared" si="9"/>
        <v>0.9</v>
      </c>
      <c r="R58" s="21">
        <f t="shared" si="9"/>
        <v>0.90090090090090014</v>
      </c>
      <c r="S58" s="21">
        <f t="shared" si="14"/>
        <v>3.1770216049382718</v>
      </c>
      <c r="T58" s="2">
        <f t="shared" si="15"/>
        <v>4.0575125000000103</v>
      </c>
      <c r="U58" s="21">
        <f t="shared" si="16"/>
        <v>2.5966507500000686</v>
      </c>
      <c r="V58" s="828">
        <f t="shared" si="12"/>
        <v>0.9</v>
      </c>
    </row>
    <row r="59" spans="1:22" x14ac:dyDescent="0.4">
      <c r="A59" s="61">
        <v>3.99</v>
      </c>
      <c r="B59" s="61">
        <v>0.04</v>
      </c>
      <c r="C59" s="61" t="s">
        <v>297</v>
      </c>
      <c r="D59" s="62"/>
      <c r="E59" s="49">
        <f t="shared" si="1"/>
        <v>0.91</v>
      </c>
      <c r="F59" s="21">
        <f t="shared" si="18"/>
        <v>0.91758425091758344</v>
      </c>
      <c r="G59" s="1">
        <f t="shared" si="3"/>
        <v>3.99</v>
      </c>
      <c r="H59" s="2">
        <f t="shared" si="4"/>
        <v>4.7952000000000163</v>
      </c>
      <c r="J59" s="2">
        <f t="shared" si="7"/>
        <v>3.8961000000000068</v>
      </c>
      <c r="K59" s="2">
        <f t="shared" si="5"/>
        <v>4.0959000000000101</v>
      </c>
      <c r="L59" s="2">
        <f t="shared" si="6"/>
        <v>4.1083875000000099</v>
      </c>
      <c r="M59" s="2">
        <f t="shared" si="17"/>
        <v>4.1042250000000102</v>
      </c>
      <c r="N59" s="2">
        <f t="shared" si="17"/>
        <v>4.1014500000000105</v>
      </c>
      <c r="O59" s="2">
        <f t="shared" si="17"/>
        <v>4.1014500000000105</v>
      </c>
      <c r="Q59" s="827">
        <f t="shared" si="9"/>
        <v>0.91</v>
      </c>
      <c r="R59" s="21">
        <f t="shared" si="9"/>
        <v>0.91758425091758344</v>
      </c>
      <c r="S59" s="21">
        <f t="shared" si="14"/>
        <v>3.2454475308641979</v>
      </c>
      <c r="T59" s="2">
        <f t="shared" si="15"/>
        <v>4.1014500000000105</v>
      </c>
      <c r="U59" s="21">
        <f t="shared" si="16"/>
        <v>2.6428544999999519</v>
      </c>
      <c r="V59" s="828">
        <f t="shared" si="12"/>
        <v>0.91</v>
      </c>
    </row>
    <row r="60" spans="1:22" x14ac:dyDescent="0.4">
      <c r="A60" s="61">
        <v>4.0599999999999996</v>
      </c>
      <c r="B60" s="61">
        <v>0.04</v>
      </c>
      <c r="C60" s="61" t="s">
        <v>221</v>
      </c>
      <c r="D60" s="62"/>
      <c r="E60" s="49">
        <f t="shared" si="1"/>
        <v>0.93</v>
      </c>
      <c r="F60" s="21">
        <f t="shared" si="18"/>
        <v>0.93426760093426675</v>
      </c>
      <c r="G60" s="1">
        <f t="shared" si="3"/>
        <v>4.0599999999999996</v>
      </c>
      <c r="H60" s="2">
        <f t="shared" si="4"/>
        <v>4.1957999999999744</v>
      </c>
      <c r="J60" s="2">
        <f t="shared" si="7"/>
        <v>4.0459500000000235</v>
      </c>
      <c r="K60" s="2">
        <f t="shared" si="5"/>
        <v>4.0959000000000101</v>
      </c>
      <c r="L60" s="2">
        <f t="shared" si="6"/>
        <v>4.1583375000000089</v>
      </c>
      <c r="M60" s="2">
        <f t="shared" si="17"/>
        <v>4.1458500000000091</v>
      </c>
      <c r="N60" s="2">
        <f t="shared" si="17"/>
        <v>4.1458500000000091</v>
      </c>
      <c r="O60" s="2">
        <f t="shared" si="17"/>
        <v>4.1467750000000088</v>
      </c>
      <c r="Q60" s="827">
        <f t="shared" si="9"/>
        <v>0.93</v>
      </c>
      <c r="R60" s="21">
        <f t="shared" si="9"/>
        <v>0.93426760093426675</v>
      </c>
      <c r="S60" s="21">
        <f t="shared" si="14"/>
        <v>3.3146296296296298</v>
      </c>
      <c r="T60" s="2">
        <f t="shared" si="15"/>
        <v>4.1467750000000088</v>
      </c>
      <c r="U60" s="21">
        <f t="shared" si="16"/>
        <v>2.7722249999999349</v>
      </c>
      <c r="V60" s="828">
        <f t="shared" si="12"/>
        <v>0.93</v>
      </c>
    </row>
    <row r="61" spans="1:22" x14ac:dyDescent="0.4">
      <c r="A61" s="61">
        <v>4.13</v>
      </c>
      <c r="B61" s="61">
        <v>0.04</v>
      </c>
      <c r="C61" s="61" t="s">
        <v>298</v>
      </c>
      <c r="D61" s="62"/>
      <c r="E61" s="49">
        <f t="shared" si="1"/>
        <v>0.95</v>
      </c>
      <c r="F61" s="21">
        <f t="shared" si="18"/>
        <v>0.95095095095095006</v>
      </c>
      <c r="G61" s="1">
        <f t="shared" si="3"/>
        <v>4.13</v>
      </c>
      <c r="H61" s="2">
        <f t="shared" si="4"/>
        <v>4.1958000000000277</v>
      </c>
      <c r="J61" s="2">
        <f t="shared" si="7"/>
        <v>4.3456499999999982</v>
      </c>
      <c r="K61" s="2">
        <f t="shared" si="5"/>
        <v>4.1958000000000082</v>
      </c>
      <c r="L61" s="2">
        <f t="shared" si="6"/>
        <v>4.1708250000000078</v>
      </c>
      <c r="M61" s="2">
        <f t="shared" si="17"/>
        <v>4.1874750000000072</v>
      </c>
      <c r="N61" s="2">
        <f t="shared" si="17"/>
        <v>4.1930250000000067</v>
      </c>
      <c r="O61" s="2">
        <f t="shared" si="17"/>
        <v>4.1962625000000067</v>
      </c>
      <c r="Q61" s="827">
        <f t="shared" si="9"/>
        <v>0.95</v>
      </c>
      <c r="R61" s="21">
        <f t="shared" si="9"/>
        <v>0.95095095095095006</v>
      </c>
      <c r="S61" s="21">
        <f t="shared" si="14"/>
        <v>3.3846373456790126</v>
      </c>
      <c r="T61" s="2">
        <f t="shared" si="15"/>
        <v>4.1962625000000067</v>
      </c>
      <c r="U61" s="21">
        <f t="shared" si="16"/>
        <v>3.0309659999999004</v>
      </c>
      <c r="V61" s="828">
        <f t="shared" si="12"/>
        <v>0.95</v>
      </c>
    </row>
    <row r="62" spans="1:22" x14ac:dyDescent="0.4">
      <c r="A62" s="61">
        <v>4.2</v>
      </c>
      <c r="B62" s="61">
        <v>0.04</v>
      </c>
      <c r="C62" s="61" t="s">
        <v>222</v>
      </c>
      <c r="D62" s="62"/>
      <c r="E62" s="49">
        <f t="shared" si="1"/>
        <v>0.96</v>
      </c>
      <c r="F62" s="21">
        <f t="shared" si="18"/>
        <v>0.96763430096763337</v>
      </c>
      <c r="G62" s="1">
        <f t="shared" si="3"/>
        <v>4.2</v>
      </c>
      <c r="H62" s="2">
        <f t="shared" si="4"/>
        <v>4.1958000000000277</v>
      </c>
      <c r="J62" s="2">
        <f t="shared" si="7"/>
        <v>4.1958000000000011</v>
      </c>
      <c r="K62" s="2">
        <f t="shared" si="5"/>
        <v>4.2457500000000072</v>
      </c>
      <c r="L62" s="2">
        <f t="shared" si="6"/>
        <v>4.2332625000000066</v>
      </c>
      <c r="M62" s="2">
        <f t="shared" si="17"/>
        <v>4.2457500000000055</v>
      </c>
      <c r="N62" s="2">
        <f t="shared" si="17"/>
        <v>4.2499125000000051</v>
      </c>
      <c r="O62" s="2">
        <f t="shared" si="17"/>
        <v>4.2531500000000051</v>
      </c>
      <c r="Q62" s="827">
        <f t="shared" si="9"/>
        <v>0.96</v>
      </c>
      <c r="R62" s="21">
        <f t="shared" si="9"/>
        <v>0.96763430096763337</v>
      </c>
      <c r="S62" s="21">
        <f t="shared" si="14"/>
        <v>3.4555941358024693</v>
      </c>
      <c r="T62" s="2">
        <f t="shared" si="15"/>
        <v>4.2531500000000051</v>
      </c>
      <c r="U62" s="21">
        <f t="shared" si="16"/>
        <v>3.4098367499999145</v>
      </c>
      <c r="V62" s="828">
        <f t="shared" si="12"/>
        <v>0.96</v>
      </c>
    </row>
    <row r="63" spans="1:22" x14ac:dyDescent="0.4">
      <c r="A63" s="61">
        <v>4.2699999999999996</v>
      </c>
      <c r="B63" s="61">
        <v>0.04</v>
      </c>
      <c r="C63" s="61" t="s">
        <v>299</v>
      </c>
      <c r="D63" s="62"/>
      <c r="E63" s="49">
        <f t="shared" si="1"/>
        <v>0.98</v>
      </c>
      <c r="F63" s="21">
        <f t="shared" si="18"/>
        <v>0.98431765098431667</v>
      </c>
      <c r="G63" s="1">
        <f t="shared" si="3"/>
        <v>4.2699999999999996</v>
      </c>
      <c r="H63" s="2">
        <f t="shared" si="4"/>
        <v>4.1957999999999744</v>
      </c>
      <c r="J63" s="2">
        <f t="shared" si="7"/>
        <v>4.1958000000000215</v>
      </c>
      <c r="K63" s="2">
        <f t="shared" si="5"/>
        <v>4.2457500000000055</v>
      </c>
      <c r="L63" s="2">
        <f t="shared" si="6"/>
        <v>4.3331625000000038</v>
      </c>
      <c r="M63" s="2">
        <f t="shared" si="17"/>
        <v>4.3165125000000035</v>
      </c>
      <c r="N63" s="2">
        <f t="shared" si="17"/>
        <v>4.3165125000000035</v>
      </c>
      <c r="O63" s="2">
        <f t="shared" si="17"/>
        <v>4.3174375000000031</v>
      </c>
      <c r="Q63" s="827">
        <f t="shared" si="9"/>
        <v>0.98</v>
      </c>
      <c r="R63" s="21">
        <f t="shared" si="9"/>
        <v>0.98431765098431667</v>
      </c>
      <c r="S63" s="21">
        <f t="shared" si="14"/>
        <v>3.5276234567901237</v>
      </c>
      <c r="T63" s="2">
        <f t="shared" si="15"/>
        <v>4.3174375000000031</v>
      </c>
      <c r="U63" s="21">
        <f t="shared" si="16"/>
        <v>3.7887074999998753</v>
      </c>
      <c r="V63" s="828">
        <f t="shared" si="12"/>
        <v>0.98</v>
      </c>
    </row>
    <row r="64" spans="1:22" x14ac:dyDescent="0.4">
      <c r="A64" s="61">
        <v>4.34</v>
      </c>
      <c r="B64" s="61">
        <v>0.04</v>
      </c>
      <c r="C64" s="61" t="s">
        <v>223</v>
      </c>
      <c r="D64" s="62"/>
      <c r="E64" s="49">
        <f t="shared" si="1"/>
        <v>1</v>
      </c>
      <c r="F64" s="21">
        <f t="shared" si="18"/>
        <v>1.001001001001</v>
      </c>
      <c r="G64" s="1">
        <f t="shared" si="3"/>
        <v>4.34</v>
      </c>
      <c r="H64" s="2">
        <f t="shared" si="4"/>
        <v>4.1958000000000277</v>
      </c>
      <c r="J64" s="2">
        <f t="shared" si="7"/>
        <v>4.3456499999999965</v>
      </c>
      <c r="K64" s="2">
        <f t="shared" si="5"/>
        <v>4.3956000000000026</v>
      </c>
      <c r="L64" s="2">
        <f t="shared" si="6"/>
        <v>4.3831125000000011</v>
      </c>
      <c r="M64" s="2">
        <f t="shared" si="17"/>
        <v>4.3872750000000007</v>
      </c>
      <c r="N64" s="2">
        <f t="shared" si="17"/>
        <v>4.3858874999999999</v>
      </c>
      <c r="O64" s="2">
        <f t="shared" si="17"/>
        <v>4.3858874999999999</v>
      </c>
      <c r="Q64" s="827">
        <f t="shared" si="9"/>
        <v>1</v>
      </c>
      <c r="R64" s="21">
        <f t="shared" si="9"/>
        <v>1.001001001001</v>
      </c>
      <c r="S64" s="21">
        <f t="shared" si="14"/>
        <v>3.6007947530864199</v>
      </c>
      <c r="T64" s="2">
        <f t="shared" si="15"/>
        <v>4.3858874999999999</v>
      </c>
      <c r="U64" s="21">
        <f t="shared" si="16"/>
        <v>4.0197262499998256</v>
      </c>
      <c r="V64" s="828">
        <f t="shared" si="12"/>
        <v>1</v>
      </c>
    </row>
    <row r="65" spans="1:22" x14ac:dyDescent="0.4">
      <c r="A65" s="61">
        <v>4.41</v>
      </c>
      <c r="B65" s="61">
        <v>0.04</v>
      </c>
      <c r="C65" s="61" t="s">
        <v>300</v>
      </c>
      <c r="D65" s="62"/>
      <c r="E65" s="49">
        <f t="shared" si="1"/>
        <v>1.01</v>
      </c>
      <c r="F65" s="21">
        <f t="shared" si="18"/>
        <v>1.0176843510176834</v>
      </c>
      <c r="G65" s="1">
        <f t="shared" si="3"/>
        <v>4.41</v>
      </c>
      <c r="H65" s="2">
        <f t="shared" si="4"/>
        <v>4.1958000000000002</v>
      </c>
      <c r="J65" s="2">
        <f t="shared" si="7"/>
        <v>4.645349999999989</v>
      </c>
      <c r="K65" s="2">
        <f t="shared" si="5"/>
        <v>4.4954999999999954</v>
      </c>
      <c r="L65" s="2">
        <f t="shared" si="6"/>
        <v>4.4455499999999972</v>
      </c>
      <c r="M65" s="2">
        <f t="shared" si="17"/>
        <v>4.4538749999999965</v>
      </c>
      <c r="N65" s="2">
        <f t="shared" si="17"/>
        <v>4.4552624999999964</v>
      </c>
      <c r="O65" s="2">
        <f t="shared" si="17"/>
        <v>4.4543374999999958</v>
      </c>
      <c r="Q65" s="827">
        <f t="shared" si="9"/>
        <v>1.01</v>
      </c>
      <c r="R65" s="21">
        <f t="shared" si="9"/>
        <v>1.0176843510176834</v>
      </c>
      <c r="S65" s="21">
        <f t="shared" si="14"/>
        <v>3.6751080246913586</v>
      </c>
      <c r="T65" s="2">
        <f t="shared" si="15"/>
        <v>4.4543374999999958</v>
      </c>
      <c r="U65" s="21">
        <f t="shared" si="16"/>
        <v>4.0289669999997324</v>
      </c>
      <c r="V65" s="828">
        <f t="shared" si="12"/>
        <v>1.01</v>
      </c>
    </row>
    <row r="66" spans="1:22" x14ac:dyDescent="0.4">
      <c r="A66" s="61">
        <v>4.49</v>
      </c>
      <c r="B66" s="61">
        <v>0.06</v>
      </c>
      <c r="C66" s="61" t="s">
        <v>224</v>
      </c>
      <c r="D66" s="62"/>
      <c r="E66" s="49">
        <f t="shared" si="1"/>
        <v>1.03</v>
      </c>
      <c r="F66" s="21">
        <f t="shared" si="18"/>
        <v>1.0343677010343668</v>
      </c>
      <c r="G66" s="1">
        <f t="shared" si="3"/>
        <v>4.49</v>
      </c>
      <c r="H66" s="2">
        <f t="shared" si="4"/>
        <v>4.7951999999999844</v>
      </c>
      <c r="J66" s="2">
        <f t="shared" si="7"/>
        <v>4.4954999999999998</v>
      </c>
      <c r="K66" s="2">
        <f t="shared" si="5"/>
        <v>4.5454499999999944</v>
      </c>
      <c r="L66" s="2">
        <f t="shared" si="6"/>
        <v>4.5329624999999911</v>
      </c>
      <c r="M66" s="2">
        <f t="shared" si="17"/>
        <v>4.5246374999999919</v>
      </c>
      <c r="N66" s="2">
        <f t="shared" si="17"/>
        <v>4.5218624999999921</v>
      </c>
      <c r="O66" s="2">
        <f t="shared" si="17"/>
        <v>4.5190874999999915</v>
      </c>
      <c r="Q66" s="827">
        <f t="shared" si="9"/>
        <v>1.03</v>
      </c>
      <c r="R66" s="21">
        <f t="shared" si="9"/>
        <v>1.0343677010343668</v>
      </c>
      <c r="S66" s="21">
        <f t="shared" si="14"/>
        <v>3.7505015432098774</v>
      </c>
      <c r="T66" s="2">
        <f t="shared" si="15"/>
        <v>4.5190874999999915</v>
      </c>
      <c r="U66" s="21">
        <f t="shared" si="16"/>
        <v>3.7887074999997434</v>
      </c>
      <c r="V66" s="828">
        <f t="shared" si="12"/>
        <v>1.03</v>
      </c>
    </row>
    <row r="67" spans="1:22" x14ac:dyDescent="0.4">
      <c r="A67" s="61">
        <v>4.58</v>
      </c>
      <c r="B67" s="61">
        <v>0.06</v>
      </c>
      <c r="C67" s="61" t="s">
        <v>301</v>
      </c>
      <c r="D67" s="62"/>
      <c r="E67" s="49">
        <f t="shared" si="1"/>
        <v>1.05</v>
      </c>
      <c r="F67" s="21">
        <f t="shared" si="18"/>
        <v>1.0510510510510502</v>
      </c>
      <c r="G67" s="1">
        <f t="shared" si="3"/>
        <v>4.58</v>
      </c>
      <c r="H67" s="2">
        <f t="shared" si="4"/>
        <v>5.3945999999999694</v>
      </c>
      <c r="J67" s="2">
        <f t="shared" si="7"/>
        <v>4.4954999999999927</v>
      </c>
      <c r="K67" s="2">
        <f t="shared" si="5"/>
        <v>4.5953999999999882</v>
      </c>
      <c r="L67" s="2">
        <f t="shared" si="6"/>
        <v>4.5953999999999873</v>
      </c>
      <c r="M67" s="2">
        <f t="shared" si="17"/>
        <v>4.587074999999988</v>
      </c>
      <c r="N67" s="2">
        <f t="shared" si="17"/>
        <v>4.5801374999999878</v>
      </c>
      <c r="O67" s="2">
        <f t="shared" si="17"/>
        <v>4.5755124999999879</v>
      </c>
      <c r="Q67" s="827">
        <f t="shared" si="9"/>
        <v>1.05</v>
      </c>
      <c r="R67" s="21">
        <f t="shared" si="9"/>
        <v>1.0510510510510502</v>
      </c>
      <c r="S67" s="21">
        <f t="shared" si="14"/>
        <v>3.8268364197530875</v>
      </c>
      <c r="T67" s="2">
        <f t="shared" si="15"/>
        <v>4.5755124999999879</v>
      </c>
      <c r="U67" s="21">
        <f t="shared" si="16"/>
        <v>3.3174292499997526</v>
      </c>
      <c r="V67" s="828">
        <f t="shared" si="12"/>
        <v>1.05</v>
      </c>
    </row>
    <row r="68" spans="1:22" x14ac:dyDescent="0.4">
      <c r="A68" s="61">
        <v>4.6500000000000004</v>
      </c>
      <c r="B68" s="61">
        <v>0.06</v>
      </c>
      <c r="C68" s="61" t="s">
        <v>225</v>
      </c>
      <c r="D68" s="62"/>
      <c r="E68" s="49">
        <f t="shared" si="1"/>
        <v>1.06</v>
      </c>
      <c r="F68" s="21">
        <f t="shared" si="18"/>
        <v>1.0677344010677337</v>
      </c>
      <c r="G68" s="1">
        <f t="shared" si="3"/>
        <v>4.6500000000000004</v>
      </c>
      <c r="H68" s="2">
        <f t="shared" si="4"/>
        <v>4.1958000000000002</v>
      </c>
      <c r="J68" s="2">
        <f t="shared" si="7"/>
        <v>4.795199999999971</v>
      </c>
      <c r="K68" s="2">
        <f t="shared" si="5"/>
        <v>4.6453499999999801</v>
      </c>
      <c r="L68" s="2">
        <f t="shared" si="6"/>
        <v>4.6328624999999848</v>
      </c>
      <c r="M68" s="2">
        <f t="shared" si="17"/>
        <v>4.6286999999999843</v>
      </c>
      <c r="N68" s="2">
        <f t="shared" si="17"/>
        <v>4.6245374999999846</v>
      </c>
      <c r="O68" s="2">
        <f t="shared" si="17"/>
        <v>4.620374999999985</v>
      </c>
      <c r="Q68" s="827">
        <f t="shared" si="9"/>
        <v>1.06</v>
      </c>
      <c r="R68" s="21">
        <f t="shared" si="9"/>
        <v>1.0677344010677337</v>
      </c>
      <c r="S68" s="21">
        <f t="shared" si="14"/>
        <v>3.9039197530864209</v>
      </c>
      <c r="T68" s="2">
        <f t="shared" si="15"/>
        <v>4.620374999999985</v>
      </c>
      <c r="U68" s="21">
        <f t="shared" si="16"/>
        <v>2.6982989999998583</v>
      </c>
      <c r="V68" s="828">
        <f t="shared" si="12"/>
        <v>1.06</v>
      </c>
    </row>
    <row r="69" spans="1:22" x14ac:dyDescent="0.4">
      <c r="A69" s="61">
        <v>4.7300000000000004</v>
      </c>
      <c r="B69" s="61">
        <v>0.06</v>
      </c>
      <c r="C69" s="61" t="s">
        <v>302</v>
      </c>
      <c r="D69" s="62"/>
      <c r="E69" s="49">
        <f t="shared" si="1"/>
        <v>1.08</v>
      </c>
      <c r="F69" s="21">
        <f t="shared" ref="F69:F132" si="19">IF(A69="","",(1/F$2)+F68)</f>
        <v>1.0844177510844171</v>
      </c>
      <c r="G69" s="1">
        <f t="shared" si="3"/>
        <v>4.7300000000000004</v>
      </c>
      <c r="H69" s="2">
        <f t="shared" si="4"/>
        <v>4.7951999999999844</v>
      </c>
      <c r="J69" s="2">
        <f t="shared" si="7"/>
        <v>4.6453499999999757</v>
      </c>
      <c r="K69" s="2">
        <f t="shared" si="5"/>
        <v>4.6952999999999783</v>
      </c>
      <c r="L69" s="2">
        <f t="shared" si="6"/>
        <v>4.6578374999999816</v>
      </c>
      <c r="M69" s="2">
        <f t="shared" si="17"/>
        <v>4.6578374999999816</v>
      </c>
      <c r="N69" s="2">
        <f t="shared" si="17"/>
        <v>4.6564499999999818</v>
      </c>
      <c r="O69" s="2">
        <f t="shared" si="17"/>
        <v>4.6541374999999823</v>
      </c>
      <c r="Q69" s="827">
        <f t="shared" si="9"/>
        <v>1.08</v>
      </c>
      <c r="R69" s="21">
        <f t="shared" si="9"/>
        <v>1.0844177510844171</v>
      </c>
      <c r="S69" s="21">
        <f t="shared" si="14"/>
        <v>3.9815663580246925</v>
      </c>
      <c r="T69" s="2">
        <f t="shared" si="15"/>
        <v>4.6541374999999823</v>
      </c>
      <c r="U69" s="21">
        <f t="shared" si="16"/>
        <v>2.0791687499998042</v>
      </c>
      <c r="V69" s="828">
        <f t="shared" si="12"/>
        <v>1.08</v>
      </c>
    </row>
    <row r="70" spans="1:22" x14ac:dyDescent="0.4">
      <c r="A70" s="61">
        <v>4.8</v>
      </c>
      <c r="B70" s="61">
        <v>0.06</v>
      </c>
      <c r="C70" s="61" t="s">
        <v>226</v>
      </c>
      <c r="D70" s="62"/>
      <c r="E70" s="49">
        <f t="shared" ref="E70:E133" si="20">TRUNC(F70,2)</f>
        <v>1.1000000000000001</v>
      </c>
      <c r="F70" s="21">
        <f t="shared" si="19"/>
        <v>1.1011011011011005</v>
      </c>
      <c r="G70" s="1">
        <f t="shared" ref="G70:G85" si="21">ABS(A70)</f>
        <v>4.8</v>
      </c>
      <c r="H70" s="2">
        <f t="shared" ref="H70:H85" si="22">(G70-G69)/(F70-F69)</f>
        <v>4.1957999999999469</v>
      </c>
      <c r="J70" s="2">
        <f t="shared" ref="J70:J85" si="23">ABS(AVERAGE(H68,H69,H71,H72))</f>
        <v>4.6453499999999881</v>
      </c>
      <c r="K70" s="2">
        <f t="shared" ref="K70:K85" si="24">AVERAGE(J69:J71)</f>
        <v>4.6952999999999783</v>
      </c>
      <c r="L70" s="2">
        <f t="shared" si="6"/>
        <v>4.6828124999999785</v>
      </c>
      <c r="M70" s="2">
        <f t="shared" si="17"/>
        <v>4.6828124999999803</v>
      </c>
      <c r="N70" s="2">
        <f t="shared" si="17"/>
        <v>4.6814249999999795</v>
      </c>
      <c r="O70" s="2">
        <f t="shared" si="17"/>
        <v>4.6795749999999794</v>
      </c>
      <c r="Q70" s="827">
        <f t="shared" si="9"/>
        <v>1.1000000000000001</v>
      </c>
      <c r="R70" s="21">
        <f t="shared" si="9"/>
        <v>1.1011011011011005</v>
      </c>
      <c r="S70" s="21">
        <f t="shared" si="14"/>
        <v>4.0596373456790138</v>
      </c>
      <c r="T70" s="2">
        <f t="shared" si="15"/>
        <v>4.6795749999999794</v>
      </c>
      <c r="U70" s="21">
        <f t="shared" si="16"/>
        <v>1.5709274999998639</v>
      </c>
      <c r="V70" s="828">
        <f t="shared" si="12"/>
        <v>1.1000000000000001</v>
      </c>
    </row>
    <row r="71" spans="1:22" x14ac:dyDescent="0.4">
      <c r="A71" s="61">
        <v>4.88</v>
      </c>
      <c r="B71" s="61">
        <v>0.06</v>
      </c>
      <c r="C71" s="61" t="s">
        <v>303</v>
      </c>
      <c r="D71" s="62"/>
      <c r="E71" s="49">
        <f t="shared" si="20"/>
        <v>1.1100000000000001</v>
      </c>
      <c r="F71" s="21">
        <f t="shared" si="19"/>
        <v>1.1177844511177839</v>
      </c>
      <c r="G71" s="1">
        <f t="shared" si="21"/>
        <v>4.88</v>
      </c>
      <c r="H71" s="2">
        <f t="shared" si="22"/>
        <v>4.7951999999999844</v>
      </c>
      <c r="J71" s="2">
        <f t="shared" si="23"/>
        <v>4.795199999999971</v>
      </c>
      <c r="K71" s="2">
        <f t="shared" si="24"/>
        <v>4.6952999999999783</v>
      </c>
      <c r="L71" s="2">
        <f t="shared" si="6"/>
        <v>4.7077874999999789</v>
      </c>
      <c r="M71" s="2">
        <f t="shared" si="17"/>
        <v>4.7036249999999784</v>
      </c>
      <c r="N71" s="2">
        <f t="shared" si="17"/>
        <v>4.7008499999999787</v>
      </c>
      <c r="O71" s="2">
        <f t="shared" si="17"/>
        <v>4.6989999999999794</v>
      </c>
      <c r="Q71" s="827">
        <f t="shared" si="9"/>
        <v>1.1100000000000001</v>
      </c>
      <c r="R71" s="21">
        <f t="shared" si="9"/>
        <v>1.1177844511177839</v>
      </c>
      <c r="S71" s="21">
        <f t="shared" si="14"/>
        <v>4.1380324074074091</v>
      </c>
      <c r="T71" s="2">
        <f t="shared" si="15"/>
        <v>4.6989999999999794</v>
      </c>
      <c r="U71" s="21">
        <f t="shared" si="16"/>
        <v>1.1735752499999308</v>
      </c>
      <c r="V71" s="828">
        <f t="shared" si="12"/>
        <v>1.1100000000000001</v>
      </c>
    </row>
    <row r="72" spans="1:22" x14ac:dyDescent="0.4">
      <c r="A72" s="61">
        <v>4.96</v>
      </c>
      <c r="B72" s="61">
        <v>0.06</v>
      </c>
      <c r="C72" s="61" t="s">
        <v>227</v>
      </c>
      <c r="D72" s="62"/>
      <c r="E72" s="49">
        <f t="shared" si="20"/>
        <v>1.1299999999999999</v>
      </c>
      <c r="F72" s="21">
        <f t="shared" si="19"/>
        <v>1.1344678011344673</v>
      </c>
      <c r="G72" s="1">
        <f t="shared" si="21"/>
        <v>4.96</v>
      </c>
      <c r="H72" s="2">
        <f t="shared" si="22"/>
        <v>4.7951999999999844</v>
      </c>
      <c r="J72" s="2">
        <f t="shared" si="23"/>
        <v>4.6453499999999757</v>
      </c>
      <c r="K72" s="2">
        <f t="shared" si="24"/>
        <v>4.6952999999999783</v>
      </c>
      <c r="L72" s="2">
        <f t="shared" si="6"/>
        <v>4.7202749999999796</v>
      </c>
      <c r="M72" s="2">
        <f t="shared" si="17"/>
        <v>4.7161124999999791</v>
      </c>
      <c r="N72" s="2">
        <f t="shared" si="17"/>
        <v>4.7147249999999792</v>
      </c>
      <c r="O72" s="2">
        <f t="shared" si="17"/>
        <v>4.7128749999999791</v>
      </c>
      <c r="Q72" s="827">
        <f t="shared" si="9"/>
        <v>1.1299999999999999</v>
      </c>
      <c r="R72" s="21">
        <f t="shared" si="9"/>
        <v>1.1344678011344673</v>
      </c>
      <c r="S72" s="21">
        <f t="shared" si="14"/>
        <v>4.216658950617286</v>
      </c>
      <c r="T72" s="2">
        <f t="shared" si="15"/>
        <v>4.7128749999999791</v>
      </c>
      <c r="U72" s="21">
        <f t="shared" si="16"/>
        <v>0.84090825000001546</v>
      </c>
      <c r="V72" s="828">
        <f t="shared" si="12"/>
        <v>1.1299999999999999</v>
      </c>
    </row>
    <row r="73" spans="1:22" x14ac:dyDescent="0.4">
      <c r="A73" s="61">
        <v>5.05</v>
      </c>
      <c r="B73" s="61">
        <v>0.06</v>
      </c>
      <c r="C73" s="61" t="s">
        <v>304</v>
      </c>
      <c r="D73" s="62"/>
      <c r="E73" s="49">
        <f t="shared" si="20"/>
        <v>1.1499999999999999</v>
      </c>
      <c r="F73" s="21">
        <f t="shared" si="19"/>
        <v>1.1511511511511507</v>
      </c>
      <c r="G73" s="1">
        <f t="shared" si="21"/>
        <v>5.05</v>
      </c>
      <c r="H73" s="2">
        <f t="shared" si="22"/>
        <v>5.3945999999999694</v>
      </c>
      <c r="J73" s="2">
        <f t="shared" si="23"/>
        <v>4.6453499999999881</v>
      </c>
      <c r="K73" s="2">
        <f t="shared" si="24"/>
        <v>4.7452499999999818</v>
      </c>
      <c r="L73" s="2">
        <f t="shared" si="6"/>
        <v>4.7202749999999796</v>
      </c>
      <c r="M73" s="2">
        <f t="shared" si="17"/>
        <v>4.7244374999999801</v>
      </c>
      <c r="N73" s="2">
        <f t="shared" si="17"/>
        <v>4.7230499999999793</v>
      </c>
      <c r="O73" s="2">
        <f t="shared" si="17"/>
        <v>4.7216624999999794</v>
      </c>
      <c r="Q73" s="827">
        <f t="shared" si="9"/>
        <v>1.1499999999999999</v>
      </c>
      <c r="R73" s="21">
        <f t="shared" si="9"/>
        <v>1.1511511511511507</v>
      </c>
      <c r="S73" s="21">
        <f t="shared" si="14"/>
        <v>4.295432098765434</v>
      </c>
      <c r="T73" s="2">
        <f t="shared" si="15"/>
        <v>4.7216624999999794</v>
      </c>
      <c r="U73" s="21">
        <f t="shared" si="16"/>
        <v>0.53596349999995541</v>
      </c>
      <c r="V73" s="828">
        <f t="shared" si="12"/>
        <v>1.1499999999999999</v>
      </c>
    </row>
    <row r="74" spans="1:22" x14ac:dyDescent="0.4">
      <c r="A74" s="61">
        <v>5.12</v>
      </c>
      <c r="B74" s="61">
        <v>0.04</v>
      </c>
      <c r="C74" s="61" t="s">
        <v>228</v>
      </c>
      <c r="D74" s="62"/>
      <c r="E74" s="49">
        <f t="shared" si="20"/>
        <v>1.1599999999999999</v>
      </c>
      <c r="F74" s="21">
        <f t="shared" si="19"/>
        <v>1.1678345011678342</v>
      </c>
      <c r="G74" s="1">
        <f t="shared" si="21"/>
        <v>5.12</v>
      </c>
      <c r="H74" s="2">
        <f t="shared" si="22"/>
        <v>4.1958000000000002</v>
      </c>
      <c r="J74" s="2">
        <f t="shared" si="23"/>
        <v>4.9450499999999806</v>
      </c>
      <c r="K74" s="2">
        <f t="shared" si="24"/>
        <v>4.7452499999999818</v>
      </c>
      <c r="L74" s="2">
        <f t="shared" si="6"/>
        <v>4.7327624999999802</v>
      </c>
      <c r="M74" s="2">
        <f t="shared" si="17"/>
        <v>4.7285999999999797</v>
      </c>
      <c r="N74" s="2">
        <f t="shared" si="17"/>
        <v>4.7272124999999798</v>
      </c>
      <c r="O74" s="2">
        <f t="shared" si="17"/>
        <v>4.7258249999999791</v>
      </c>
      <c r="Q74" s="827">
        <f t="shared" si="9"/>
        <v>1.1599999999999999</v>
      </c>
      <c r="R74" s="21">
        <f t="shared" si="9"/>
        <v>1.1678345011678342</v>
      </c>
      <c r="S74" s="21">
        <f t="shared" si="14"/>
        <v>4.3742746913580266</v>
      </c>
      <c r="T74" s="2">
        <f t="shared" si="15"/>
        <v>4.7258249999999791</v>
      </c>
      <c r="U74" s="21">
        <f t="shared" si="16"/>
        <v>0.27722250000004489</v>
      </c>
      <c r="V74" s="828">
        <f t="shared" si="12"/>
        <v>1.1599999999999999</v>
      </c>
    </row>
    <row r="75" spans="1:22" x14ac:dyDescent="0.4">
      <c r="A75" s="61">
        <v>5.2</v>
      </c>
      <c r="B75" s="61">
        <v>0.04</v>
      </c>
      <c r="C75" s="61" t="s">
        <v>305</v>
      </c>
      <c r="D75" s="62"/>
      <c r="E75" s="49">
        <f t="shared" si="20"/>
        <v>1.18</v>
      </c>
      <c r="F75" s="21">
        <f t="shared" si="19"/>
        <v>1.1845178511845176</v>
      </c>
      <c r="G75" s="1">
        <f t="shared" si="21"/>
        <v>5.2</v>
      </c>
      <c r="H75" s="2">
        <f t="shared" si="22"/>
        <v>4.7951999999999844</v>
      </c>
      <c r="J75" s="2">
        <f t="shared" si="23"/>
        <v>4.6453499999999757</v>
      </c>
      <c r="K75" s="2">
        <f t="shared" si="24"/>
        <v>4.7452499999999818</v>
      </c>
      <c r="L75" s="2">
        <f t="shared" ref="L75:L138" si="25">ABS(AVERAGE(K73,K74,K76,K77))</f>
        <v>4.7327624999999811</v>
      </c>
      <c r="M75" s="2">
        <f t="shared" si="17"/>
        <v>4.7285999999999797</v>
      </c>
      <c r="N75" s="2">
        <f t="shared" si="17"/>
        <v>4.7272124999999798</v>
      </c>
      <c r="O75" s="2">
        <f t="shared" si="17"/>
        <v>4.7267499999999805</v>
      </c>
      <c r="Q75" s="827">
        <f t="shared" ref="Q75:Q138" si="26">E75</f>
        <v>1.18</v>
      </c>
      <c r="R75" s="21">
        <f t="shared" ref="R75:R138" si="27">F75</f>
        <v>1.1845178511845176</v>
      </c>
      <c r="S75" s="21">
        <f t="shared" si="14"/>
        <v>4.4531327160493843</v>
      </c>
      <c r="T75" s="2">
        <f t="shared" si="15"/>
        <v>4.7267499999999805</v>
      </c>
      <c r="U75" s="21">
        <f t="shared" si="16"/>
        <v>0.10164825000007324</v>
      </c>
      <c r="V75" s="828">
        <f t="shared" si="12"/>
        <v>1.18</v>
      </c>
    </row>
    <row r="76" spans="1:22" x14ac:dyDescent="0.4">
      <c r="A76" s="61">
        <v>5.28</v>
      </c>
      <c r="B76" s="61">
        <v>0.04</v>
      </c>
      <c r="C76" s="61" t="s">
        <v>229</v>
      </c>
      <c r="D76" s="62"/>
      <c r="E76" s="49">
        <f t="shared" si="20"/>
        <v>1.2</v>
      </c>
      <c r="F76" s="21">
        <f t="shared" si="19"/>
        <v>1.201201201201201</v>
      </c>
      <c r="G76" s="1">
        <f t="shared" si="21"/>
        <v>5.28</v>
      </c>
      <c r="H76" s="2">
        <f t="shared" si="22"/>
        <v>4.7951999999999844</v>
      </c>
      <c r="J76" s="2">
        <f t="shared" si="23"/>
        <v>4.645349999999989</v>
      </c>
      <c r="K76" s="2">
        <f t="shared" si="24"/>
        <v>4.7452499999999818</v>
      </c>
      <c r="L76" s="2">
        <f t="shared" si="25"/>
        <v>4.7202749999999805</v>
      </c>
      <c r="M76" s="2">
        <f t="shared" si="17"/>
        <v>4.7244374999999801</v>
      </c>
      <c r="N76" s="2">
        <f t="shared" si="17"/>
        <v>4.72582499999998</v>
      </c>
      <c r="O76" s="2">
        <f t="shared" si="17"/>
        <v>4.7267499999999805</v>
      </c>
      <c r="Q76" s="827">
        <f t="shared" si="26"/>
        <v>1.2</v>
      </c>
      <c r="R76" s="21">
        <f t="shared" si="27"/>
        <v>1.201201201201201</v>
      </c>
      <c r="S76" s="21">
        <f t="shared" si="14"/>
        <v>4.531990740740742</v>
      </c>
      <c r="T76" s="2">
        <f t="shared" si="15"/>
        <v>4.7267499999999805</v>
      </c>
      <c r="U76" s="21">
        <f t="shared" si="16"/>
        <v>3.6962999999949196E-2</v>
      </c>
      <c r="V76" s="828">
        <f t="shared" si="12"/>
        <v>1.2</v>
      </c>
    </row>
    <row r="77" spans="1:22" x14ac:dyDescent="0.4">
      <c r="A77" s="61">
        <v>5.35</v>
      </c>
      <c r="B77" s="61">
        <v>0.04</v>
      </c>
      <c r="C77" s="61" t="s">
        <v>306</v>
      </c>
      <c r="D77" s="62"/>
      <c r="E77" s="49">
        <f t="shared" si="20"/>
        <v>1.21</v>
      </c>
      <c r="F77" s="21">
        <f t="shared" si="19"/>
        <v>1.2178845512178844</v>
      </c>
      <c r="G77" s="1">
        <f t="shared" si="21"/>
        <v>5.35</v>
      </c>
      <c r="H77" s="2">
        <f t="shared" si="22"/>
        <v>4.1957999999999469</v>
      </c>
      <c r="J77" s="2">
        <f t="shared" si="23"/>
        <v>4.9450499999999806</v>
      </c>
      <c r="K77" s="2">
        <f t="shared" si="24"/>
        <v>4.6952999999999792</v>
      </c>
      <c r="L77" s="2">
        <f t="shared" si="25"/>
        <v>4.7202749999999796</v>
      </c>
      <c r="M77" s="2">
        <f t="shared" si="17"/>
        <v>4.7244374999999801</v>
      </c>
      <c r="N77" s="2">
        <f t="shared" si="17"/>
        <v>4.7272124999999798</v>
      </c>
      <c r="O77" s="2">
        <f t="shared" si="17"/>
        <v>4.7276749999999801</v>
      </c>
      <c r="Q77" s="827">
        <f t="shared" si="26"/>
        <v>1.21</v>
      </c>
      <c r="R77" s="21">
        <f t="shared" si="27"/>
        <v>1.2178845512178844</v>
      </c>
      <c r="S77" s="21">
        <f t="shared" si="14"/>
        <v>4.6108641975308657</v>
      </c>
      <c r="T77" s="2">
        <f t="shared" si="15"/>
        <v>4.7276749999999801</v>
      </c>
      <c r="U77" s="21">
        <f t="shared" si="16"/>
        <v>6.4685250000017569E-2</v>
      </c>
      <c r="V77" s="828">
        <f t="shared" si="12"/>
        <v>1.21</v>
      </c>
    </row>
    <row r="78" spans="1:22" x14ac:dyDescent="0.4">
      <c r="A78" s="61">
        <v>5.44</v>
      </c>
      <c r="B78" s="61">
        <v>0.04</v>
      </c>
      <c r="C78" s="61" t="s">
        <v>230</v>
      </c>
      <c r="D78" s="62"/>
      <c r="E78" s="49">
        <f t="shared" si="20"/>
        <v>1.23</v>
      </c>
      <c r="F78" s="21">
        <f t="shared" si="19"/>
        <v>1.2345679012345678</v>
      </c>
      <c r="G78" s="1">
        <f t="shared" si="21"/>
        <v>5.44</v>
      </c>
      <c r="H78" s="2">
        <f t="shared" si="22"/>
        <v>5.3946000000000227</v>
      </c>
      <c r="J78" s="2">
        <f t="shared" si="23"/>
        <v>4.4954999999999661</v>
      </c>
      <c r="K78" s="2">
        <f t="shared" si="24"/>
        <v>4.6952999999999783</v>
      </c>
      <c r="L78" s="2">
        <f t="shared" si="25"/>
        <v>4.7327624999999802</v>
      </c>
      <c r="M78" s="2">
        <f t="shared" si="17"/>
        <v>4.7327624999999793</v>
      </c>
      <c r="N78" s="2">
        <f t="shared" si="17"/>
        <v>4.7299874999999796</v>
      </c>
      <c r="O78" s="2">
        <f t="shared" si="17"/>
        <v>4.7299874999999796</v>
      </c>
      <c r="Q78" s="827">
        <f t="shared" si="26"/>
        <v>1.23</v>
      </c>
      <c r="R78" s="21">
        <f t="shared" si="27"/>
        <v>1.2345679012345678</v>
      </c>
      <c r="S78" s="21">
        <f t="shared" si="14"/>
        <v>4.689776234567903</v>
      </c>
      <c r="T78" s="2">
        <f t="shared" si="15"/>
        <v>4.7299874999999796</v>
      </c>
      <c r="U78" s="21">
        <f t="shared" si="16"/>
        <v>0.13861124999996918</v>
      </c>
      <c r="V78" s="828">
        <f t="shared" ref="V78:V141" si="28">E78</f>
        <v>1.23</v>
      </c>
    </row>
    <row r="79" spans="1:22" x14ac:dyDescent="0.4">
      <c r="A79" s="61">
        <v>5.52</v>
      </c>
      <c r="B79" s="61">
        <v>0.04</v>
      </c>
      <c r="C79" s="61" t="s">
        <v>307</v>
      </c>
      <c r="D79" s="62"/>
      <c r="E79" s="49">
        <f t="shared" si="20"/>
        <v>1.25</v>
      </c>
      <c r="F79" s="21">
        <f t="shared" si="19"/>
        <v>1.2512512512512513</v>
      </c>
      <c r="G79" s="1">
        <f t="shared" si="21"/>
        <v>5.52</v>
      </c>
      <c r="H79" s="2">
        <f t="shared" si="22"/>
        <v>4.7951999999999311</v>
      </c>
      <c r="J79" s="2">
        <f t="shared" si="23"/>
        <v>4.645349999999989</v>
      </c>
      <c r="K79" s="2">
        <f t="shared" si="24"/>
        <v>4.6952999999999783</v>
      </c>
      <c r="L79" s="2">
        <f t="shared" si="25"/>
        <v>4.7452499999999791</v>
      </c>
      <c r="M79" s="2">
        <f t="shared" si="17"/>
        <v>4.7327624999999793</v>
      </c>
      <c r="N79" s="2">
        <f t="shared" si="17"/>
        <v>4.7327624999999793</v>
      </c>
      <c r="O79" s="2">
        <f t="shared" si="17"/>
        <v>4.7336874999999798</v>
      </c>
      <c r="Q79" s="827">
        <f t="shared" si="26"/>
        <v>1.25</v>
      </c>
      <c r="R79" s="21">
        <f t="shared" si="27"/>
        <v>1.2512512512512513</v>
      </c>
      <c r="S79" s="21">
        <f t="shared" si="14"/>
        <v>4.7687500000000016</v>
      </c>
      <c r="T79" s="2">
        <f t="shared" si="15"/>
        <v>4.7336874999999798</v>
      </c>
      <c r="U79" s="21">
        <f t="shared" si="16"/>
        <v>0.26798175000000435</v>
      </c>
      <c r="V79" s="828">
        <f t="shared" si="28"/>
        <v>1.25</v>
      </c>
    </row>
    <row r="80" spans="1:22" x14ac:dyDescent="0.4">
      <c r="A80" s="61">
        <v>5.59</v>
      </c>
      <c r="B80" s="61">
        <v>0.04</v>
      </c>
      <c r="C80" s="61" t="s">
        <v>231</v>
      </c>
      <c r="D80" s="62"/>
      <c r="E80" s="49">
        <f t="shared" si="20"/>
        <v>1.26</v>
      </c>
      <c r="F80" s="21">
        <f t="shared" si="19"/>
        <v>1.2679346012679347</v>
      </c>
      <c r="G80" s="1">
        <f t="shared" si="21"/>
        <v>5.59</v>
      </c>
      <c r="H80" s="2">
        <f t="shared" si="22"/>
        <v>4.1958000000000002</v>
      </c>
      <c r="J80" s="2">
        <f t="shared" si="23"/>
        <v>4.9450499999999806</v>
      </c>
      <c r="K80" s="2">
        <f t="shared" si="24"/>
        <v>4.7951999999999808</v>
      </c>
      <c r="L80" s="2">
        <f t="shared" si="25"/>
        <v>4.7202749999999796</v>
      </c>
      <c r="M80" s="2">
        <f t="shared" si="17"/>
        <v>4.7327624999999793</v>
      </c>
      <c r="N80" s="2">
        <f t="shared" si="17"/>
        <v>4.7383124999999806</v>
      </c>
      <c r="O80" s="2">
        <f t="shared" si="17"/>
        <v>4.7410874999999804</v>
      </c>
      <c r="Q80" s="827">
        <f t="shared" si="26"/>
        <v>1.26</v>
      </c>
      <c r="R80" s="21">
        <f t="shared" si="27"/>
        <v>1.2679346012679347</v>
      </c>
      <c r="S80" s="21">
        <f t="shared" ref="S80:S117" si="29">(F80-F79)*O80+S79</f>
        <v>4.8478472222222235</v>
      </c>
      <c r="T80" s="2">
        <f t="shared" ref="T80:T117" si="30">O80</f>
        <v>4.7410874999999804</v>
      </c>
      <c r="U80" s="21">
        <f t="shared" ref="U80:U117" si="31">(AVERAGE(T79:T81)-AVERAGE(T78:T80))/(R80-R79)</f>
        <v>0.47127825000004431</v>
      </c>
      <c r="V80" s="828">
        <f t="shared" si="28"/>
        <v>1.26</v>
      </c>
    </row>
    <row r="81" spans="1:22" x14ac:dyDescent="0.4">
      <c r="A81" s="61">
        <v>5.67</v>
      </c>
      <c r="B81" s="61">
        <v>0.04</v>
      </c>
      <c r="C81" s="61" t="s">
        <v>308</v>
      </c>
      <c r="D81" s="62"/>
      <c r="E81" s="49">
        <f t="shared" si="20"/>
        <v>1.28</v>
      </c>
      <c r="F81" s="21">
        <f t="shared" si="19"/>
        <v>1.2846179512846181</v>
      </c>
      <c r="G81" s="1">
        <f t="shared" si="21"/>
        <v>5.67</v>
      </c>
      <c r="H81" s="2">
        <f t="shared" si="22"/>
        <v>4.7951999999999844</v>
      </c>
      <c r="J81" s="2">
        <f t="shared" si="23"/>
        <v>4.795199999999971</v>
      </c>
      <c r="K81" s="2">
        <f t="shared" si="24"/>
        <v>4.7951999999999799</v>
      </c>
      <c r="L81" s="2">
        <f t="shared" si="25"/>
        <v>4.7327624999999811</v>
      </c>
      <c r="M81" s="2">
        <f t="shared" si="17"/>
        <v>4.7494124999999814</v>
      </c>
      <c r="N81" s="2">
        <f t="shared" si="17"/>
        <v>4.7521874999999802</v>
      </c>
      <c r="O81" s="2">
        <f t="shared" si="17"/>
        <v>4.753574999999981</v>
      </c>
      <c r="Q81" s="827">
        <f t="shared" si="26"/>
        <v>1.28</v>
      </c>
      <c r="R81" s="21">
        <f t="shared" si="27"/>
        <v>1.2846179512846181</v>
      </c>
      <c r="S81" s="21">
        <f t="shared" si="29"/>
        <v>4.9271527777777795</v>
      </c>
      <c r="T81" s="2">
        <f t="shared" si="30"/>
        <v>4.753574999999981</v>
      </c>
      <c r="U81" s="21">
        <f t="shared" si="31"/>
        <v>0.6930562500000057</v>
      </c>
      <c r="V81" s="828">
        <f t="shared" si="28"/>
        <v>1.28</v>
      </c>
    </row>
    <row r="82" spans="1:22" x14ac:dyDescent="0.4">
      <c r="A82" s="61">
        <v>5.75</v>
      </c>
      <c r="B82" s="61">
        <v>0.04</v>
      </c>
      <c r="C82" s="61" t="s">
        <v>232</v>
      </c>
      <c r="D82" s="62"/>
      <c r="E82" s="49">
        <f t="shared" si="20"/>
        <v>1.3</v>
      </c>
      <c r="F82" s="21">
        <f t="shared" si="19"/>
        <v>1.3013013013013015</v>
      </c>
      <c r="G82" s="1">
        <f t="shared" si="21"/>
        <v>5.75</v>
      </c>
      <c r="H82" s="2">
        <f t="shared" si="22"/>
        <v>4.7951999999999844</v>
      </c>
      <c r="J82" s="2">
        <f t="shared" si="23"/>
        <v>4.6453499999999881</v>
      </c>
      <c r="K82" s="2">
        <f t="shared" si="24"/>
        <v>4.6952999999999827</v>
      </c>
      <c r="L82" s="2">
        <f t="shared" si="25"/>
        <v>4.7951999999999817</v>
      </c>
      <c r="M82" s="2">
        <f t="shared" si="17"/>
        <v>4.7743874999999809</v>
      </c>
      <c r="N82" s="2">
        <f t="shared" si="17"/>
        <v>4.7702249999999813</v>
      </c>
      <c r="O82" s="2">
        <f t="shared" si="17"/>
        <v>4.7683749999999812</v>
      </c>
      <c r="Q82" s="827">
        <f t="shared" si="26"/>
        <v>1.3</v>
      </c>
      <c r="R82" s="21">
        <f t="shared" si="27"/>
        <v>1.3013013013013015</v>
      </c>
      <c r="S82" s="21">
        <f t="shared" si="29"/>
        <v>5.0067052469135822</v>
      </c>
      <c r="T82" s="2">
        <f t="shared" si="30"/>
        <v>4.7683749999999812</v>
      </c>
      <c r="U82" s="21">
        <f t="shared" si="31"/>
        <v>0.80394525000001293</v>
      </c>
      <c r="V82" s="828">
        <f t="shared" si="28"/>
        <v>1.3</v>
      </c>
    </row>
    <row r="83" spans="1:22" x14ac:dyDescent="0.4">
      <c r="A83" s="61">
        <v>5.84</v>
      </c>
      <c r="B83" s="61">
        <v>0.04</v>
      </c>
      <c r="C83" s="61" t="s">
        <v>309</v>
      </c>
      <c r="D83" s="62"/>
      <c r="E83" s="49">
        <f t="shared" si="20"/>
        <v>1.31</v>
      </c>
      <c r="F83" s="21">
        <f t="shared" si="19"/>
        <v>1.3179846513179849</v>
      </c>
      <c r="G83" s="1">
        <f t="shared" si="21"/>
        <v>5.84</v>
      </c>
      <c r="H83" s="2">
        <f t="shared" si="22"/>
        <v>5.3945999999999694</v>
      </c>
      <c r="J83" s="2">
        <f t="shared" si="23"/>
        <v>4.6453499999999881</v>
      </c>
      <c r="K83" s="2">
        <f t="shared" si="24"/>
        <v>4.7452499999999853</v>
      </c>
      <c r="L83" s="2">
        <f t="shared" si="25"/>
        <v>4.7951999999999817</v>
      </c>
      <c r="M83" s="2">
        <f t="shared" si="17"/>
        <v>4.7868749999999824</v>
      </c>
      <c r="N83" s="2">
        <f t="shared" si="17"/>
        <v>4.7827124999999819</v>
      </c>
      <c r="O83" s="2">
        <f t="shared" si="17"/>
        <v>4.7813249999999821</v>
      </c>
      <c r="Q83" s="827">
        <f t="shared" si="26"/>
        <v>1.31</v>
      </c>
      <c r="R83" s="21">
        <f t="shared" si="27"/>
        <v>1.3179846513179849</v>
      </c>
      <c r="S83" s="21">
        <f t="shared" si="29"/>
        <v>5.0864737654321006</v>
      </c>
      <c r="T83" s="2">
        <f t="shared" si="30"/>
        <v>4.7813249999999821</v>
      </c>
      <c r="U83" s="21">
        <f t="shared" si="31"/>
        <v>0.77622300000005107</v>
      </c>
      <c r="V83" s="828">
        <f t="shared" si="28"/>
        <v>1.31</v>
      </c>
    </row>
    <row r="84" spans="1:22" x14ac:dyDescent="0.4">
      <c r="A84" s="61">
        <v>5.91</v>
      </c>
      <c r="B84" s="61">
        <v>0.04</v>
      </c>
      <c r="C84" s="61" t="s">
        <v>233</v>
      </c>
      <c r="D84" s="62"/>
      <c r="E84" s="49">
        <f t="shared" si="20"/>
        <v>1.33</v>
      </c>
      <c r="F84" s="21">
        <f t="shared" si="19"/>
        <v>1.3346680013346683</v>
      </c>
      <c r="G84" s="1">
        <f t="shared" si="21"/>
        <v>5.91</v>
      </c>
      <c r="H84" s="2">
        <f t="shared" si="22"/>
        <v>4.1958000000000002</v>
      </c>
      <c r="J84" s="2">
        <f t="shared" si="23"/>
        <v>4.9450499999999806</v>
      </c>
      <c r="K84" s="2">
        <f t="shared" si="24"/>
        <v>4.8451499999999834</v>
      </c>
      <c r="L84" s="2">
        <f t="shared" si="25"/>
        <v>4.770224999999984</v>
      </c>
      <c r="M84" s="2">
        <f t="shared" si="17"/>
        <v>4.7868749999999833</v>
      </c>
      <c r="N84" s="2">
        <f t="shared" si="17"/>
        <v>4.791037499999983</v>
      </c>
      <c r="O84" s="2">
        <f t="shared" si="17"/>
        <v>4.7924249999999828</v>
      </c>
      <c r="Q84" s="827">
        <f t="shared" si="26"/>
        <v>1.33</v>
      </c>
      <c r="R84" s="21">
        <f t="shared" si="27"/>
        <v>1.3346680013346683</v>
      </c>
      <c r="S84" s="21">
        <f t="shared" si="29"/>
        <v>5.1664274691358045</v>
      </c>
      <c r="T84" s="2">
        <f t="shared" si="30"/>
        <v>4.7924249999999828</v>
      </c>
      <c r="U84" s="21">
        <f t="shared" si="31"/>
        <v>0.73001925000000811</v>
      </c>
      <c r="V84" s="828">
        <f t="shared" si="28"/>
        <v>1.33</v>
      </c>
    </row>
    <row r="85" spans="1:22" x14ac:dyDescent="0.4">
      <c r="A85" s="62">
        <v>5.99</v>
      </c>
      <c r="B85" s="62">
        <v>0.04</v>
      </c>
      <c r="C85" s="62" t="s">
        <v>310</v>
      </c>
      <c r="D85" s="62"/>
      <c r="E85" s="49">
        <f t="shared" si="20"/>
        <v>1.35</v>
      </c>
      <c r="F85" s="21">
        <f t="shared" si="19"/>
        <v>1.3513513513513518</v>
      </c>
      <c r="G85" s="1">
        <f t="shared" si="21"/>
        <v>5.99</v>
      </c>
      <c r="H85" s="2">
        <f t="shared" si="22"/>
        <v>4.7951999999999844</v>
      </c>
      <c r="J85" s="2">
        <f t="shared" si="23"/>
        <v>4.9450499999999806</v>
      </c>
      <c r="K85" s="2">
        <f t="shared" si="24"/>
        <v>4.8451499999999834</v>
      </c>
      <c r="L85" s="2">
        <f t="shared" si="25"/>
        <v>4.7951999999999835</v>
      </c>
      <c r="M85" s="2">
        <f t="shared" si="17"/>
        <v>4.7993624999999831</v>
      </c>
      <c r="N85" s="2">
        <f t="shared" si="17"/>
        <v>4.8035249999999827</v>
      </c>
      <c r="O85" s="2">
        <f t="shared" si="17"/>
        <v>4.8049124999999826</v>
      </c>
      <c r="Q85" s="827">
        <f t="shared" si="26"/>
        <v>1.35</v>
      </c>
      <c r="R85" s="21">
        <f t="shared" si="27"/>
        <v>1.3513513513513518</v>
      </c>
      <c r="S85" s="21">
        <f t="shared" si="29"/>
        <v>5.2465895061728416</v>
      </c>
      <c r="T85" s="2">
        <f t="shared" si="30"/>
        <v>4.8049124999999826</v>
      </c>
      <c r="U85" s="21">
        <f t="shared" si="31"/>
        <v>0.75774150000002327</v>
      </c>
      <c r="V85" s="828">
        <f t="shared" si="28"/>
        <v>1.35</v>
      </c>
    </row>
    <row r="86" spans="1:22" x14ac:dyDescent="0.4">
      <c r="A86" s="62">
        <v>6.07</v>
      </c>
      <c r="B86" s="62">
        <v>0.04</v>
      </c>
      <c r="C86" s="62" t="s">
        <v>234</v>
      </c>
      <c r="D86" s="62"/>
      <c r="E86" s="49">
        <f t="shared" si="20"/>
        <v>1.36</v>
      </c>
      <c r="F86" s="21">
        <f t="shared" si="19"/>
        <v>1.3680347013680352</v>
      </c>
      <c r="G86" s="1">
        <f t="shared" ref="G86:G149" si="32">ABS(A86)</f>
        <v>6.07</v>
      </c>
      <c r="H86" s="2">
        <f t="shared" ref="H86:H149" si="33">(G86-G85)/(F86-F85)</f>
        <v>4.7951999999999844</v>
      </c>
      <c r="J86" s="2">
        <f t="shared" ref="J86:J149" si="34">ABS(AVERAGE(H84,H85,H87,H88))</f>
        <v>4.6453499999999881</v>
      </c>
      <c r="K86" s="2">
        <f t="shared" ref="K86:K149" si="35">AVERAGE(J85:J87)</f>
        <v>4.7951999999999844</v>
      </c>
      <c r="L86" s="2">
        <f t="shared" si="25"/>
        <v>4.8326624999999819</v>
      </c>
      <c r="M86" s="2">
        <f t="shared" si="17"/>
        <v>4.8243374999999817</v>
      </c>
      <c r="N86" s="2">
        <f t="shared" si="17"/>
        <v>4.8201749999999812</v>
      </c>
      <c r="O86" s="2">
        <f t="shared" si="17"/>
        <v>4.8192499999999816</v>
      </c>
      <c r="Q86" s="827">
        <f t="shared" si="26"/>
        <v>1.36</v>
      </c>
      <c r="R86" s="21">
        <f t="shared" si="27"/>
        <v>1.3680347013680352</v>
      </c>
      <c r="S86" s="21">
        <f t="shared" si="29"/>
        <v>5.3269907407407429</v>
      </c>
      <c r="T86" s="2">
        <f t="shared" si="30"/>
        <v>4.8192499999999816</v>
      </c>
      <c r="U86" s="21">
        <f t="shared" si="31"/>
        <v>0.81318599999994701</v>
      </c>
      <c r="V86" s="828">
        <f t="shared" si="28"/>
        <v>1.36</v>
      </c>
    </row>
    <row r="87" spans="1:22" x14ac:dyDescent="0.4">
      <c r="A87" s="62">
        <v>6.16</v>
      </c>
      <c r="B87" s="62">
        <v>0.04</v>
      </c>
      <c r="C87" s="62" t="s">
        <v>311</v>
      </c>
      <c r="D87" s="62"/>
      <c r="E87" s="49">
        <f t="shared" si="20"/>
        <v>1.38</v>
      </c>
      <c r="F87" s="21">
        <f t="shared" si="19"/>
        <v>1.3847180513847186</v>
      </c>
      <c r="G87" s="1">
        <f t="shared" si="32"/>
        <v>6.16</v>
      </c>
      <c r="H87" s="2">
        <f t="shared" si="33"/>
        <v>5.3945999999999694</v>
      </c>
      <c r="J87" s="2">
        <f t="shared" si="34"/>
        <v>4.7951999999999844</v>
      </c>
      <c r="K87" s="2">
        <f t="shared" si="35"/>
        <v>4.7951999999999808</v>
      </c>
      <c r="L87" s="2">
        <f t="shared" si="25"/>
        <v>4.8451499999999816</v>
      </c>
      <c r="M87" s="2">
        <f t="shared" si="17"/>
        <v>4.8368249999999806</v>
      </c>
      <c r="N87" s="2">
        <f t="shared" si="17"/>
        <v>4.8340499999999809</v>
      </c>
      <c r="O87" s="2">
        <f t="shared" si="17"/>
        <v>4.8331249999999804</v>
      </c>
      <c r="Q87" s="827">
        <f t="shared" si="26"/>
        <v>1.38</v>
      </c>
      <c r="R87" s="21">
        <f t="shared" si="27"/>
        <v>1.3847180513847186</v>
      </c>
      <c r="S87" s="21">
        <f t="shared" si="29"/>
        <v>5.4076234567901258</v>
      </c>
      <c r="T87" s="2">
        <f t="shared" si="30"/>
        <v>4.8331249999999804</v>
      </c>
      <c r="U87" s="21">
        <f t="shared" si="31"/>
        <v>0.83166749999992162</v>
      </c>
      <c r="V87" s="828">
        <f t="shared" si="28"/>
        <v>1.38</v>
      </c>
    </row>
    <row r="88" spans="1:22" x14ac:dyDescent="0.4">
      <c r="A88" s="62">
        <v>6.23</v>
      </c>
      <c r="B88" s="62">
        <v>0.04</v>
      </c>
      <c r="C88" s="62" t="s">
        <v>235</v>
      </c>
      <c r="D88" s="62"/>
      <c r="E88" s="49">
        <f t="shared" si="20"/>
        <v>1.4</v>
      </c>
      <c r="F88" s="21">
        <f t="shared" si="19"/>
        <v>1.401401401401402</v>
      </c>
      <c r="G88" s="1">
        <f t="shared" si="32"/>
        <v>6.23</v>
      </c>
      <c r="H88" s="2">
        <f t="shared" si="33"/>
        <v>4.1958000000000002</v>
      </c>
      <c r="J88" s="2">
        <f t="shared" si="34"/>
        <v>4.9450499999999682</v>
      </c>
      <c r="K88" s="2">
        <f t="shared" si="35"/>
        <v>4.8451499999999799</v>
      </c>
      <c r="L88" s="2">
        <f t="shared" si="25"/>
        <v>4.8326624999999792</v>
      </c>
      <c r="M88" s="2">
        <f t="shared" si="17"/>
        <v>4.8409874999999793</v>
      </c>
      <c r="N88" s="2">
        <f t="shared" si="17"/>
        <v>4.845149999999979</v>
      </c>
      <c r="O88" s="2">
        <f t="shared" si="17"/>
        <v>4.8465374999999788</v>
      </c>
      <c r="Q88" s="827">
        <f t="shared" si="26"/>
        <v>1.4</v>
      </c>
      <c r="R88" s="21">
        <f t="shared" si="27"/>
        <v>1.401401401401402</v>
      </c>
      <c r="S88" s="21">
        <f t="shared" si="29"/>
        <v>5.488479938271607</v>
      </c>
      <c r="T88" s="2">
        <f t="shared" si="30"/>
        <v>4.8465374999999788</v>
      </c>
      <c r="U88" s="21">
        <f t="shared" si="31"/>
        <v>0.86863049999997732</v>
      </c>
      <c r="V88" s="828">
        <f t="shared" si="28"/>
        <v>1.4</v>
      </c>
    </row>
    <row r="89" spans="1:22" x14ac:dyDescent="0.4">
      <c r="A89" s="62">
        <v>6.32</v>
      </c>
      <c r="B89" s="62">
        <v>0.04</v>
      </c>
      <c r="C89" s="62" t="s">
        <v>312</v>
      </c>
      <c r="D89" s="62"/>
      <c r="E89" s="49">
        <f t="shared" si="20"/>
        <v>1.41</v>
      </c>
      <c r="F89" s="21">
        <f t="shared" si="19"/>
        <v>1.4180847514180854</v>
      </c>
      <c r="G89" s="1">
        <f t="shared" si="32"/>
        <v>6.32</v>
      </c>
      <c r="H89" s="2">
        <f t="shared" si="33"/>
        <v>5.3945999999999694</v>
      </c>
      <c r="J89" s="2">
        <f t="shared" si="34"/>
        <v>4.7951999999999853</v>
      </c>
      <c r="K89" s="2">
        <f t="shared" si="35"/>
        <v>4.895099999999978</v>
      </c>
      <c r="L89" s="2">
        <f t="shared" si="25"/>
        <v>4.8451499999999781</v>
      </c>
      <c r="M89" s="2">
        <f t="shared" si="17"/>
        <v>4.8576374999999787</v>
      </c>
      <c r="N89" s="2">
        <f t="shared" si="17"/>
        <v>4.8604124999999785</v>
      </c>
      <c r="O89" s="2">
        <f t="shared" si="17"/>
        <v>4.8627249999999789</v>
      </c>
      <c r="Q89" s="827">
        <f t="shared" si="26"/>
        <v>1.41</v>
      </c>
      <c r="R89" s="21">
        <f t="shared" si="27"/>
        <v>1.4180847514180854</v>
      </c>
      <c r="S89" s="21">
        <f t="shared" si="29"/>
        <v>5.5696064814814834</v>
      </c>
      <c r="T89" s="2">
        <f t="shared" si="30"/>
        <v>4.8627249999999789</v>
      </c>
      <c r="U89" s="21">
        <f t="shared" si="31"/>
        <v>0.99800099999990599</v>
      </c>
      <c r="V89" s="828">
        <f t="shared" si="28"/>
        <v>1.41</v>
      </c>
    </row>
    <row r="90" spans="1:22" x14ac:dyDescent="0.4">
      <c r="A90" s="62">
        <v>6.39</v>
      </c>
      <c r="B90" s="62">
        <v>0.04</v>
      </c>
      <c r="C90" s="62" t="s">
        <v>236</v>
      </c>
      <c r="D90" s="62"/>
      <c r="E90" s="49">
        <f t="shared" si="20"/>
        <v>1.43</v>
      </c>
      <c r="F90" s="21">
        <f t="shared" si="19"/>
        <v>1.4347681014347688</v>
      </c>
      <c r="G90" s="1">
        <f t="shared" si="32"/>
        <v>6.39</v>
      </c>
      <c r="H90" s="2">
        <f t="shared" si="33"/>
        <v>4.1957999999999469</v>
      </c>
      <c r="J90" s="2">
        <f t="shared" si="34"/>
        <v>4.9450499999999806</v>
      </c>
      <c r="K90" s="2">
        <f t="shared" si="35"/>
        <v>4.8451499999999745</v>
      </c>
      <c r="L90" s="2">
        <f t="shared" si="25"/>
        <v>4.895099999999978</v>
      </c>
      <c r="M90" s="2">
        <f t="shared" si="17"/>
        <v>4.8826124999999783</v>
      </c>
      <c r="N90" s="2">
        <f t="shared" si="17"/>
        <v>4.8826124999999783</v>
      </c>
      <c r="O90" s="2">
        <f t="shared" si="17"/>
        <v>4.8830749999999776</v>
      </c>
      <c r="Q90" s="827">
        <f t="shared" si="26"/>
        <v>1.43</v>
      </c>
      <c r="R90" s="21">
        <f t="shared" si="27"/>
        <v>1.4347681014347688</v>
      </c>
      <c r="S90" s="21">
        <f t="shared" si="29"/>
        <v>5.6510725308641998</v>
      </c>
      <c r="T90" s="2">
        <f t="shared" si="30"/>
        <v>4.8830749999999776</v>
      </c>
      <c r="U90" s="21">
        <f t="shared" si="31"/>
        <v>1.1828159999999714</v>
      </c>
      <c r="V90" s="828">
        <f t="shared" si="28"/>
        <v>1.43</v>
      </c>
    </row>
    <row r="91" spans="1:22" x14ac:dyDescent="0.4">
      <c r="A91" s="62">
        <v>6.48</v>
      </c>
      <c r="B91" s="62">
        <v>0.04</v>
      </c>
      <c r="C91" s="62" t="s">
        <v>313</v>
      </c>
      <c r="D91" s="62"/>
      <c r="E91" s="49">
        <f t="shared" si="20"/>
        <v>1.45</v>
      </c>
      <c r="F91" s="21">
        <f t="shared" si="19"/>
        <v>1.4514514514514523</v>
      </c>
      <c r="G91" s="1">
        <f t="shared" si="32"/>
        <v>6.48</v>
      </c>
      <c r="H91" s="2">
        <f t="shared" si="33"/>
        <v>5.3946000000000227</v>
      </c>
      <c r="J91" s="2">
        <f t="shared" si="34"/>
        <v>4.7951999999999577</v>
      </c>
      <c r="K91" s="2">
        <f t="shared" si="35"/>
        <v>4.895099999999978</v>
      </c>
      <c r="L91" s="2">
        <f t="shared" si="25"/>
        <v>4.9075874999999769</v>
      </c>
      <c r="M91" s="2">
        <f t="shared" si="17"/>
        <v>4.9075874999999778</v>
      </c>
      <c r="N91" s="2">
        <f t="shared" si="17"/>
        <v>4.9061999999999779</v>
      </c>
      <c r="O91" s="2">
        <f t="shared" si="17"/>
        <v>4.9057374999999785</v>
      </c>
      <c r="Q91" s="827">
        <f t="shared" si="26"/>
        <v>1.45</v>
      </c>
      <c r="R91" s="21">
        <f t="shared" si="27"/>
        <v>1.4514514514514523</v>
      </c>
      <c r="S91" s="21">
        <f t="shared" si="29"/>
        <v>5.7329166666666689</v>
      </c>
      <c r="T91" s="2">
        <f t="shared" si="30"/>
        <v>4.9057374999999785</v>
      </c>
      <c r="U91" s="21">
        <f t="shared" si="31"/>
        <v>1.2937049999999255</v>
      </c>
      <c r="V91" s="828">
        <f t="shared" si="28"/>
        <v>1.45</v>
      </c>
    </row>
    <row r="92" spans="1:22" x14ac:dyDescent="0.4">
      <c r="A92" s="62">
        <v>6.56</v>
      </c>
      <c r="B92" s="62">
        <v>0.04</v>
      </c>
      <c r="C92" s="62" t="s">
        <v>237</v>
      </c>
      <c r="D92" s="62"/>
      <c r="E92" s="49">
        <f t="shared" si="20"/>
        <v>1.46</v>
      </c>
      <c r="F92" s="21">
        <f t="shared" si="19"/>
        <v>1.4681348014681357</v>
      </c>
      <c r="G92" s="1">
        <f t="shared" si="32"/>
        <v>6.56</v>
      </c>
      <c r="H92" s="2">
        <f t="shared" si="33"/>
        <v>4.7951999999999311</v>
      </c>
      <c r="J92" s="2">
        <f t="shared" si="34"/>
        <v>4.945049999999994</v>
      </c>
      <c r="K92" s="2">
        <f t="shared" si="35"/>
        <v>4.9450499999999762</v>
      </c>
      <c r="L92" s="2">
        <f t="shared" si="25"/>
        <v>4.9200749999999775</v>
      </c>
      <c r="M92" s="2">
        <f t="shared" ref="M92:O155" si="36">AVERAGE(L91:L93)</f>
        <v>4.9283999999999777</v>
      </c>
      <c r="N92" s="2">
        <f t="shared" si="36"/>
        <v>4.9283999999999777</v>
      </c>
      <c r="O92" s="2">
        <f t="shared" si="36"/>
        <v>4.9274749999999772</v>
      </c>
      <c r="Q92" s="827">
        <f t="shared" si="26"/>
        <v>1.46</v>
      </c>
      <c r="R92" s="21">
        <f t="shared" si="27"/>
        <v>1.4681348014681357</v>
      </c>
      <c r="S92" s="21">
        <f t="shared" si="29"/>
        <v>5.8151234567901255</v>
      </c>
      <c r="T92" s="2">
        <f t="shared" si="30"/>
        <v>4.9274749999999772</v>
      </c>
      <c r="U92" s="21">
        <f t="shared" si="31"/>
        <v>1.2567420000000826</v>
      </c>
      <c r="V92" s="828">
        <f t="shared" si="28"/>
        <v>1.46</v>
      </c>
    </row>
    <row r="93" spans="1:22" x14ac:dyDescent="0.4">
      <c r="A93" s="62">
        <v>6.64</v>
      </c>
      <c r="B93" s="62">
        <v>0.04</v>
      </c>
      <c r="C93" s="62" t="s">
        <v>314</v>
      </c>
      <c r="D93" s="62"/>
      <c r="E93" s="49">
        <f t="shared" si="20"/>
        <v>1.48</v>
      </c>
      <c r="F93" s="21">
        <f t="shared" si="19"/>
        <v>1.4848181514848191</v>
      </c>
      <c r="G93" s="1">
        <f t="shared" si="32"/>
        <v>6.64</v>
      </c>
      <c r="H93" s="2">
        <f t="shared" si="33"/>
        <v>4.7951999999999844</v>
      </c>
      <c r="J93" s="2">
        <f t="shared" si="34"/>
        <v>5.0948999999999769</v>
      </c>
      <c r="K93" s="2">
        <f t="shared" si="35"/>
        <v>4.9450499999999762</v>
      </c>
      <c r="L93" s="2">
        <f t="shared" si="25"/>
        <v>4.9575374999999786</v>
      </c>
      <c r="M93" s="2">
        <f t="shared" si="36"/>
        <v>4.9492124999999776</v>
      </c>
      <c r="N93" s="2">
        <f t="shared" si="36"/>
        <v>4.9478249999999777</v>
      </c>
      <c r="O93" s="2">
        <f t="shared" si="36"/>
        <v>4.9459749999999785</v>
      </c>
      <c r="Q93" s="827">
        <f t="shared" si="26"/>
        <v>1.48</v>
      </c>
      <c r="R93" s="21">
        <f t="shared" si="27"/>
        <v>1.4848181514848191</v>
      </c>
      <c r="S93" s="21">
        <f t="shared" si="29"/>
        <v>5.8976388888888911</v>
      </c>
      <c r="T93" s="2">
        <f t="shared" si="30"/>
        <v>4.9459749999999785</v>
      </c>
      <c r="U93" s="21">
        <f t="shared" si="31"/>
        <v>1.099649249999926</v>
      </c>
      <c r="V93" s="828">
        <f t="shared" si="28"/>
        <v>1.48</v>
      </c>
    </row>
    <row r="94" spans="1:22" x14ac:dyDescent="0.4">
      <c r="A94" s="62">
        <v>6.73</v>
      </c>
      <c r="B94" s="62">
        <v>0.04</v>
      </c>
      <c r="C94" s="62" t="s">
        <v>238</v>
      </c>
      <c r="D94" s="62"/>
      <c r="E94" s="49">
        <f t="shared" si="20"/>
        <v>1.5</v>
      </c>
      <c r="F94" s="21">
        <f t="shared" si="19"/>
        <v>1.5015015015015025</v>
      </c>
      <c r="G94" s="1">
        <f t="shared" si="32"/>
        <v>6.73</v>
      </c>
      <c r="H94" s="2">
        <f t="shared" si="33"/>
        <v>5.3946000000000227</v>
      </c>
      <c r="J94" s="2">
        <f t="shared" si="34"/>
        <v>4.7951999999999577</v>
      </c>
      <c r="K94" s="2">
        <f t="shared" si="35"/>
        <v>4.9949999999999797</v>
      </c>
      <c r="L94" s="2">
        <f t="shared" si="25"/>
        <v>4.9700249999999784</v>
      </c>
      <c r="M94" s="2">
        <f t="shared" si="36"/>
        <v>4.9658624999999788</v>
      </c>
      <c r="N94" s="2">
        <f t="shared" si="36"/>
        <v>4.9616999999999782</v>
      </c>
      <c r="O94" s="2">
        <f t="shared" si="36"/>
        <v>4.9607749999999777</v>
      </c>
      <c r="Q94" s="827">
        <f t="shared" si="26"/>
        <v>1.5</v>
      </c>
      <c r="R94" s="21">
        <f t="shared" si="27"/>
        <v>1.5015015015015025</v>
      </c>
      <c r="S94" s="21">
        <f t="shared" si="29"/>
        <v>5.9804012345679034</v>
      </c>
      <c r="T94" s="2">
        <f t="shared" si="30"/>
        <v>4.9607749999999777</v>
      </c>
      <c r="U94" s="21">
        <f t="shared" si="31"/>
        <v>0.92407500000000764</v>
      </c>
      <c r="V94" s="828">
        <f t="shared" si="28"/>
        <v>1.5</v>
      </c>
    </row>
    <row r="95" spans="1:22" x14ac:dyDescent="0.4">
      <c r="A95" s="62">
        <v>6.81</v>
      </c>
      <c r="B95" s="62">
        <v>0.04</v>
      </c>
      <c r="C95" s="62" t="s">
        <v>315</v>
      </c>
      <c r="D95" s="62"/>
      <c r="E95" s="49">
        <f t="shared" si="20"/>
        <v>1.51</v>
      </c>
      <c r="F95" s="21">
        <f t="shared" si="19"/>
        <v>1.5181848515181859</v>
      </c>
      <c r="G95" s="1">
        <f t="shared" si="32"/>
        <v>6.81</v>
      </c>
      <c r="H95" s="2">
        <f t="shared" si="33"/>
        <v>4.7951999999999311</v>
      </c>
      <c r="J95" s="2">
        <f t="shared" si="34"/>
        <v>5.0949000000000035</v>
      </c>
      <c r="K95" s="2">
        <f t="shared" si="35"/>
        <v>4.9949999999999797</v>
      </c>
      <c r="L95" s="2">
        <f t="shared" si="25"/>
        <v>4.9700249999999784</v>
      </c>
      <c r="M95" s="2">
        <f t="shared" si="36"/>
        <v>4.9700249999999784</v>
      </c>
      <c r="N95" s="2">
        <f t="shared" si="36"/>
        <v>4.9727999999999781</v>
      </c>
      <c r="O95" s="2">
        <f t="shared" si="36"/>
        <v>4.9737249999999777</v>
      </c>
      <c r="Q95" s="827">
        <f t="shared" si="26"/>
        <v>1.51</v>
      </c>
      <c r="R95" s="21">
        <f t="shared" si="27"/>
        <v>1.5181848515181859</v>
      </c>
      <c r="S95" s="21">
        <f t="shared" si="29"/>
        <v>6.0633796296296314</v>
      </c>
      <c r="T95" s="2">
        <f t="shared" si="30"/>
        <v>4.9737249999999777</v>
      </c>
      <c r="U95" s="21">
        <f t="shared" si="31"/>
        <v>0.85014900000000271</v>
      </c>
      <c r="V95" s="828">
        <f t="shared" si="28"/>
        <v>1.51</v>
      </c>
    </row>
    <row r="96" spans="1:22" x14ac:dyDescent="0.4">
      <c r="A96" s="62">
        <v>6.89</v>
      </c>
      <c r="B96" s="62">
        <v>0.04</v>
      </c>
      <c r="C96" s="62" t="s">
        <v>239</v>
      </c>
      <c r="D96" s="62"/>
      <c r="E96" s="49">
        <f t="shared" si="20"/>
        <v>1.53</v>
      </c>
      <c r="F96" s="21">
        <f t="shared" si="19"/>
        <v>1.5348682015348694</v>
      </c>
      <c r="G96" s="1">
        <f t="shared" si="32"/>
        <v>6.89</v>
      </c>
      <c r="H96" s="2">
        <f t="shared" si="33"/>
        <v>4.7951999999999844</v>
      </c>
      <c r="J96" s="2">
        <f t="shared" si="34"/>
        <v>5.0948999999999769</v>
      </c>
      <c r="K96" s="2">
        <f t="shared" si="35"/>
        <v>4.9949999999999797</v>
      </c>
      <c r="L96" s="2">
        <f t="shared" si="25"/>
        <v>4.9700249999999784</v>
      </c>
      <c r="M96" s="2">
        <f t="shared" si="36"/>
        <v>4.9825124999999781</v>
      </c>
      <c r="N96" s="2">
        <f t="shared" si="36"/>
        <v>4.9866749999999778</v>
      </c>
      <c r="O96" s="2">
        <f t="shared" si="36"/>
        <v>4.9885249999999779</v>
      </c>
      <c r="Q96" s="827">
        <f t="shared" si="26"/>
        <v>1.53</v>
      </c>
      <c r="R96" s="21">
        <f t="shared" si="27"/>
        <v>1.5348682015348694</v>
      </c>
      <c r="S96" s="21">
        <f t="shared" si="29"/>
        <v>6.146604938271607</v>
      </c>
      <c r="T96" s="2">
        <f t="shared" si="30"/>
        <v>4.9885249999999779</v>
      </c>
      <c r="U96" s="21">
        <f t="shared" si="31"/>
        <v>0.93331574999999489</v>
      </c>
      <c r="V96" s="828">
        <f t="shared" si="28"/>
        <v>1.53</v>
      </c>
    </row>
    <row r="97" spans="1:22" x14ac:dyDescent="0.4">
      <c r="A97" s="62">
        <v>6.98</v>
      </c>
      <c r="B97" s="62">
        <v>0.04</v>
      </c>
      <c r="C97" s="62" t="s">
        <v>316</v>
      </c>
      <c r="D97" s="62"/>
      <c r="E97" s="49">
        <f t="shared" si="20"/>
        <v>1.55</v>
      </c>
      <c r="F97" s="21">
        <f t="shared" si="19"/>
        <v>1.5515515515515528</v>
      </c>
      <c r="G97" s="1">
        <f t="shared" si="32"/>
        <v>6.98</v>
      </c>
      <c r="H97" s="2">
        <f t="shared" si="33"/>
        <v>5.3946000000000227</v>
      </c>
      <c r="J97" s="2">
        <f t="shared" si="34"/>
        <v>4.7951999999999577</v>
      </c>
      <c r="K97" s="2">
        <f t="shared" si="35"/>
        <v>4.9450499999999762</v>
      </c>
      <c r="L97" s="2">
        <f t="shared" si="25"/>
        <v>5.0074874999999794</v>
      </c>
      <c r="M97" s="2">
        <f t="shared" si="36"/>
        <v>5.0074874999999786</v>
      </c>
      <c r="N97" s="2">
        <f t="shared" si="36"/>
        <v>5.0060999999999787</v>
      </c>
      <c r="O97" s="2">
        <f t="shared" si="36"/>
        <v>5.0074874999999786</v>
      </c>
      <c r="Q97" s="827">
        <f t="shared" si="26"/>
        <v>1.55</v>
      </c>
      <c r="R97" s="21">
        <f t="shared" si="27"/>
        <v>1.5515515515515528</v>
      </c>
      <c r="S97" s="21">
        <f t="shared" si="29"/>
        <v>6.2301466049382741</v>
      </c>
      <c r="T97" s="2">
        <f t="shared" si="30"/>
        <v>5.0074874999999786</v>
      </c>
      <c r="U97" s="21">
        <f t="shared" si="31"/>
        <v>1.16433450000005</v>
      </c>
      <c r="V97" s="828">
        <f t="shared" si="28"/>
        <v>1.55</v>
      </c>
    </row>
    <row r="98" spans="1:22" x14ac:dyDescent="0.4">
      <c r="A98" s="62">
        <v>7.06</v>
      </c>
      <c r="B98" s="62">
        <v>0.04</v>
      </c>
      <c r="C98" s="62" t="s">
        <v>240</v>
      </c>
      <c r="D98" s="62"/>
      <c r="E98" s="49">
        <f t="shared" si="20"/>
        <v>1.56</v>
      </c>
      <c r="F98" s="21">
        <f t="shared" si="19"/>
        <v>1.5682349015682362</v>
      </c>
      <c r="G98" s="1">
        <f t="shared" si="32"/>
        <v>7.06</v>
      </c>
      <c r="H98" s="2">
        <f t="shared" si="33"/>
        <v>4.7951999999999311</v>
      </c>
      <c r="J98" s="2">
        <f t="shared" si="34"/>
        <v>4.945049999999994</v>
      </c>
      <c r="K98" s="2">
        <f t="shared" si="35"/>
        <v>4.9450499999999762</v>
      </c>
      <c r="L98" s="2">
        <f t="shared" si="25"/>
        <v>5.0449499999999796</v>
      </c>
      <c r="M98" s="2">
        <f t="shared" si="36"/>
        <v>5.0282999999999793</v>
      </c>
      <c r="N98" s="2">
        <f t="shared" si="36"/>
        <v>5.0296874999999792</v>
      </c>
      <c r="O98" s="2">
        <f t="shared" si="36"/>
        <v>5.0319999999999796</v>
      </c>
      <c r="Q98" s="827">
        <f t="shared" si="26"/>
        <v>1.56</v>
      </c>
      <c r="R98" s="21">
        <f t="shared" si="27"/>
        <v>1.5682349015682362</v>
      </c>
      <c r="S98" s="21">
        <f t="shared" si="29"/>
        <v>6.3140972222222249</v>
      </c>
      <c r="T98" s="2">
        <f t="shared" si="30"/>
        <v>5.0319999999999796</v>
      </c>
      <c r="U98" s="21">
        <f t="shared" si="31"/>
        <v>1.5247237500000339</v>
      </c>
      <c r="V98" s="828">
        <f t="shared" si="28"/>
        <v>1.56</v>
      </c>
    </row>
    <row r="99" spans="1:22" x14ac:dyDescent="0.4">
      <c r="A99" s="62">
        <v>7.14</v>
      </c>
      <c r="B99" s="62">
        <v>0.04</v>
      </c>
      <c r="C99" s="62" t="s">
        <v>317</v>
      </c>
      <c r="D99" s="62"/>
      <c r="E99" s="49">
        <f t="shared" si="20"/>
        <v>1.58</v>
      </c>
      <c r="F99" s="21">
        <f t="shared" si="19"/>
        <v>1.5849182515849196</v>
      </c>
      <c r="G99" s="1">
        <f t="shared" si="32"/>
        <v>7.14</v>
      </c>
      <c r="H99" s="2">
        <f t="shared" si="33"/>
        <v>4.7951999999999844</v>
      </c>
      <c r="J99" s="2">
        <f t="shared" si="34"/>
        <v>5.0948999999999769</v>
      </c>
      <c r="K99" s="2">
        <f t="shared" si="35"/>
        <v>5.0948999999999813</v>
      </c>
      <c r="L99" s="2">
        <f t="shared" si="25"/>
        <v>5.0324624999999781</v>
      </c>
      <c r="M99" s="2">
        <f t="shared" si="36"/>
        <v>5.0532749999999798</v>
      </c>
      <c r="N99" s="2">
        <f t="shared" si="36"/>
        <v>5.06021249999998</v>
      </c>
      <c r="O99" s="2">
        <f t="shared" si="36"/>
        <v>5.0648374999999799</v>
      </c>
      <c r="Q99" s="827">
        <f t="shared" si="26"/>
        <v>1.58</v>
      </c>
      <c r="R99" s="21">
        <f t="shared" si="27"/>
        <v>1.5849182515849196</v>
      </c>
      <c r="S99" s="21">
        <f t="shared" si="29"/>
        <v>6.3985956790123488</v>
      </c>
      <c r="T99" s="2">
        <f t="shared" si="30"/>
        <v>5.0648374999999799</v>
      </c>
      <c r="U99" s="21">
        <f t="shared" si="31"/>
        <v>1.9960020000000249</v>
      </c>
      <c r="V99" s="828">
        <f t="shared" si="28"/>
        <v>1.58</v>
      </c>
    </row>
    <row r="100" spans="1:22" x14ac:dyDescent="0.4">
      <c r="A100" s="62">
        <v>7.22</v>
      </c>
      <c r="B100" s="62">
        <v>0.06</v>
      </c>
      <c r="C100" s="62" t="s">
        <v>241</v>
      </c>
      <c r="D100" s="62"/>
      <c r="E100" s="49">
        <f t="shared" si="20"/>
        <v>1.6</v>
      </c>
      <c r="F100" s="21">
        <f t="shared" si="19"/>
        <v>1.601601601601603</v>
      </c>
      <c r="G100" s="1">
        <f t="shared" si="32"/>
        <v>7.22</v>
      </c>
      <c r="H100" s="2">
        <f t="shared" si="33"/>
        <v>4.7951999999999844</v>
      </c>
      <c r="J100" s="2">
        <f t="shared" si="34"/>
        <v>5.2447499999999732</v>
      </c>
      <c r="K100" s="2">
        <f t="shared" si="35"/>
        <v>5.1448499999999795</v>
      </c>
      <c r="L100" s="2">
        <f t="shared" si="25"/>
        <v>5.0824124999999807</v>
      </c>
      <c r="M100" s="2">
        <f t="shared" si="36"/>
        <v>5.0990624999999801</v>
      </c>
      <c r="N100" s="2">
        <f t="shared" si="36"/>
        <v>5.1046124999999805</v>
      </c>
      <c r="O100" s="2">
        <f t="shared" si="36"/>
        <v>5.1073874999999802</v>
      </c>
      <c r="Q100" s="827">
        <f t="shared" si="26"/>
        <v>1.6</v>
      </c>
      <c r="R100" s="21">
        <f t="shared" si="27"/>
        <v>1.601601601601603</v>
      </c>
      <c r="S100" s="21">
        <f t="shared" si="29"/>
        <v>6.4838040123456819</v>
      </c>
      <c r="T100" s="2">
        <f t="shared" si="30"/>
        <v>5.1073874999999802</v>
      </c>
      <c r="U100" s="21">
        <f t="shared" si="31"/>
        <v>2.4672802500000159</v>
      </c>
      <c r="V100" s="828">
        <f t="shared" si="28"/>
        <v>1.6</v>
      </c>
    </row>
    <row r="101" spans="1:22" x14ac:dyDescent="0.4">
      <c r="A101" s="62">
        <v>7.31</v>
      </c>
      <c r="B101" s="62">
        <v>0.06</v>
      </c>
      <c r="C101" s="62" t="s">
        <v>318</v>
      </c>
      <c r="D101" s="62"/>
      <c r="E101" s="49">
        <f t="shared" si="20"/>
        <v>1.61</v>
      </c>
      <c r="F101" s="21">
        <f t="shared" si="19"/>
        <v>1.6182849516182864</v>
      </c>
      <c r="G101" s="1">
        <f t="shared" si="32"/>
        <v>7.31</v>
      </c>
      <c r="H101" s="2">
        <f t="shared" si="33"/>
        <v>5.3945999999999694</v>
      </c>
      <c r="J101" s="2">
        <f t="shared" si="34"/>
        <v>5.0948999999999902</v>
      </c>
      <c r="K101" s="2">
        <f t="shared" si="35"/>
        <v>5.0948999999999813</v>
      </c>
      <c r="L101" s="2">
        <f t="shared" si="25"/>
        <v>5.1823124999999814</v>
      </c>
      <c r="M101" s="2">
        <f t="shared" si="36"/>
        <v>5.1614999999999815</v>
      </c>
      <c r="N101" s="2">
        <f t="shared" si="36"/>
        <v>5.1573374999999801</v>
      </c>
      <c r="O101" s="2">
        <f t="shared" si="36"/>
        <v>5.1554874999999809</v>
      </c>
      <c r="Q101" s="827">
        <f t="shared" si="26"/>
        <v>1.61</v>
      </c>
      <c r="R101" s="21">
        <f t="shared" si="27"/>
        <v>1.6182849516182864</v>
      </c>
      <c r="S101" s="21">
        <f t="shared" si="29"/>
        <v>6.5698148148148174</v>
      </c>
      <c r="T101" s="2">
        <f t="shared" si="30"/>
        <v>5.1554874999999809</v>
      </c>
      <c r="U101" s="21">
        <f t="shared" si="31"/>
        <v>2.7352619999999672</v>
      </c>
      <c r="V101" s="828">
        <f t="shared" si="28"/>
        <v>1.61</v>
      </c>
    </row>
    <row r="102" spans="1:22" x14ac:dyDescent="0.4">
      <c r="A102" s="62">
        <v>7.41</v>
      </c>
      <c r="B102" s="62">
        <v>0.06</v>
      </c>
      <c r="C102" s="62" t="s">
        <v>242</v>
      </c>
      <c r="D102" s="62"/>
      <c r="E102" s="49">
        <f t="shared" si="20"/>
        <v>1.63</v>
      </c>
      <c r="F102" s="21">
        <f t="shared" si="19"/>
        <v>1.6349683016349699</v>
      </c>
      <c r="G102" s="1">
        <f t="shared" si="32"/>
        <v>7.41</v>
      </c>
      <c r="H102" s="2">
        <f t="shared" si="33"/>
        <v>5.9940000000000078</v>
      </c>
      <c r="J102" s="2">
        <f t="shared" si="34"/>
        <v>4.9450499999999806</v>
      </c>
      <c r="K102" s="2">
        <f t="shared" si="35"/>
        <v>5.194799999999983</v>
      </c>
      <c r="L102" s="2">
        <f t="shared" si="25"/>
        <v>5.2197749999999807</v>
      </c>
      <c r="M102" s="2">
        <f t="shared" si="36"/>
        <v>5.2114499999999806</v>
      </c>
      <c r="N102" s="2">
        <f t="shared" si="36"/>
        <v>5.2045124999999812</v>
      </c>
      <c r="O102" s="2">
        <f t="shared" si="36"/>
        <v>5.2017374999999797</v>
      </c>
      <c r="Q102" s="827">
        <f t="shared" si="26"/>
        <v>1.63</v>
      </c>
      <c r="R102" s="21">
        <f t="shared" si="27"/>
        <v>1.6349683016349699</v>
      </c>
      <c r="S102" s="21">
        <f t="shared" si="29"/>
        <v>6.6565972222222252</v>
      </c>
      <c r="T102" s="2">
        <f t="shared" si="30"/>
        <v>5.2017374999999797</v>
      </c>
      <c r="U102" s="21">
        <f t="shared" si="31"/>
        <v>2.6982990000000178</v>
      </c>
      <c r="V102" s="828">
        <f t="shared" si="28"/>
        <v>1.63</v>
      </c>
    </row>
    <row r="103" spans="1:22" x14ac:dyDescent="0.4">
      <c r="A103" s="62">
        <v>7.49</v>
      </c>
      <c r="B103" s="62">
        <v>0.06</v>
      </c>
      <c r="C103" s="62" t="s">
        <v>319</v>
      </c>
      <c r="D103" s="62"/>
      <c r="E103" s="49">
        <f t="shared" si="20"/>
        <v>1.65</v>
      </c>
      <c r="F103" s="21">
        <f t="shared" si="19"/>
        <v>1.6516516516516533</v>
      </c>
      <c r="G103" s="1">
        <f t="shared" si="32"/>
        <v>7.49</v>
      </c>
      <c r="H103" s="2">
        <f t="shared" si="33"/>
        <v>4.7951999999999844</v>
      </c>
      <c r="J103" s="2">
        <f t="shared" si="34"/>
        <v>5.544449999999979</v>
      </c>
      <c r="K103" s="2">
        <f t="shared" si="35"/>
        <v>5.2946999999999811</v>
      </c>
      <c r="L103" s="2">
        <f t="shared" si="25"/>
        <v>5.2322624999999805</v>
      </c>
      <c r="M103" s="2">
        <f t="shared" si="36"/>
        <v>5.2405874999999797</v>
      </c>
      <c r="N103" s="2">
        <f t="shared" si="36"/>
        <v>5.2433624999999795</v>
      </c>
      <c r="O103" s="2">
        <f t="shared" si="36"/>
        <v>5.2424374999999799</v>
      </c>
      <c r="Q103" s="827">
        <f t="shared" si="26"/>
        <v>1.65</v>
      </c>
      <c r="R103" s="21">
        <f t="shared" si="27"/>
        <v>1.6516516516516533</v>
      </c>
      <c r="S103" s="21">
        <f t="shared" si="29"/>
        <v>6.7440586419753119</v>
      </c>
      <c r="T103" s="2">
        <f t="shared" si="30"/>
        <v>5.2424374999999799</v>
      </c>
      <c r="U103" s="21">
        <f t="shared" si="31"/>
        <v>2.4857617499998841</v>
      </c>
      <c r="V103" s="828">
        <f t="shared" si="28"/>
        <v>1.65</v>
      </c>
    </row>
    <row r="104" spans="1:22" x14ac:dyDescent="0.4">
      <c r="A104" s="62">
        <v>7.57</v>
      </c>
      <c r="B104" s="62">
        <v>0.06</v>
      </c>
      <c r="C104" s="62" t="s">
        <v>243</v>
      </c>
      <c r="D104" s="62"/>
      <c r="E104" s="49">
        <f t="shared" si="20"/>
        <v>1.66</v>
      </c>
      <c r="F104" s="21">
        <f t="shared" si="19"/>
        <v>1.6683350016683367</v>
      </c>
      <c r="G104" s="1">
        <f t="shared" si="32"/>
        <v>7.57</v>
      </c>
      <c r="H104" s="2">
        <f t="shared" si="33"/>
        <v>4.7951999999999844</v>
      </c>
      <c r="J104" s="2">
        <f t="shared" si="34"/>
        <v>5.3945999999999827</v>
      </c>
      <c r="K104" s="2">
        <f t="shared" si="35"/>
        <v>5.3446499999999801</v>
      </c>
      <c r="L104" s="2">
        <f t="shared" si="25"/>
        <v>5.269724999999978</v>
      </c>
      <c r="M104" s="2">
        <f t="shared" si="36"/>
        <v>5.2780499999999781</v>
      </c>
      <c r="N104" s="2">
        <f t="shared" si="36"/>
        <v>5.279437499999978</v>
      </c>
      <c r="O104" s="2">
        <f t="shared" si="36"/>
        <v>5.2798999999999774</v>
      </c>
      <c r="Q104" s="827">
        <f t="shared" si="26"/>
        <v>1.66</v>
      </c>
      <c r="R104" s="21">
        <f t="shared" si="27"/>
        <v>1.6683350016683367</v>
      </c>
      <c r="S104" s="21">
        <f t="shared" si="29"/>
        <v>6.8321450617283981</v>
      </c>
      <c r="T104" s="2">
        <f t="shared" si="30"/>
        <v>5.2798999999999774</v>
      </c>
      <c r="U104" s="21">
        <f t="shared" si="31"/>
        <v>2.2917059999999378</v>
      </c>
      <c r="V104" s="828">
        <f t="shared" si="28"/>
        <v>1.66</v>
      </c>
    </row>
    <row r="105" spans="1:22" x14ac:dyDescent="0.4">
      <c r="A105" s="62">
        <v>7.67</v>
      </c>
      <c r="B105" s="62">
        <v>0.06</v>
      </c>
      <c r="C105" s="62" t="s">
        <v>320</v>
      </c>
      <c r="D105" s="62"/>
      <c r="E105" s="49">
        <f t="shared" si="20"/>
        <v>1.68</v>
      </c>
      <c r="F105" s="21">
        <f t="shared" si="19"/>
        <v>1.6850183516850201</v>
      </c>
      <c r="G105" s="1">
        <f t="shared" si="32"/>
        <v>7.67</v>
      </c>
      <c r="H105" s="2">
        <f t="shared" si="33"/>
        <v>5.9939999999999545</v>
      </c>
      <c r="J105" s="2">
        <f t="shared" si="34"/>
        <v>5.0948999999999769</v>
      </c>
      <c r="K105" s="2">
        <f t="shared" si="35"/>
        <v>5.2946999999999766</v>
      </c>
      <c r="L105" s="2">
        <f t="shared" si="25"/>
        <v>5.332162499999975</v>
      </c>
      <c r="M105" s="2">
        <f t="shared" si="36"/>
        <v>5.3196749999999762</v>
      </c>
      <c r="N105" s="2">
        <f t="shared" si="36"/>
        <v>5.3168999999999764</v>
      </c>
      <c r="O105" s="2">
        <f t="shared" si="36"/>
        <v>5.3164374999999771</v>
      </c>
      <c r="Q105" s="827">
        <f t="shared" si="26"/>
        <v>1.68</v>
      </c>
      <c r="R105" s="21">
        <f t="shared" si="27"/>
        <v>1.6850183516850201</v>
      </c>
      <c r="S105" s="21">
        <f t="shared" si="29"/>
        <v>6.9208410493827195</v>
      </c>
      <c r="T105" s="2">
        <f t="shared" si="30"/>
        <v>5.3164374999999771</v>
      </c>
      <c r="U105" s="21">
        <f t="shared" si="31"/>
        <v>2.1992984999999585</v>
      </c>
      <c r="V105" s="828">
        <f t="shared" si="28"/>
        <v>1.68</v>
      </c>
    </row>
    <row r="106" spans="1:22" x14ac:dyDescent="0.4">
      <c r="A106" s="62">
        <v>7.75</v>
      </c>
      <c r="B106" s="62">
        <v>7.0000000000000007E-2</v>
      </c>
      <c r="C106" s="62" t="s">
        <v>244</v>
      </c>
      <c r="D106" s="62"/>
      <c r="E106" s="49">
        <f t="shared" si="20"/>
        <v>1.7</v>
      </c>
      <c r="F106" s="21">
        <f t="shared" si="19"/>
        <v>1.7017017017017035</v>
      </c>
      <c r="G106" s="1">
        <f t="shared" si="32"/>
        <v>7.75</v>
      </c>
      <c r="H106" s="2">
        <f t="shared" si="33"/>
        <v>4.7951999999999844</v>
      </c>
      <c r="J106" s="2">
        <f t="shared" si="34"/>
        <v>5.3945999999999694</v>
      </c>
      <c r="K106" s="2">
        <f t="shared" si="35"/>
        <v>5.2946999999999713</v>
      </c>
      <c r="L106" s="2">
        <f t="shared" si="25"/>
        <v>5.3571374999999763</v>
      </c>
      <c r="M106" s="2">
        <f t="shared" si="36"/>
        <v>5.3529749999999767</v>
      </c>
      <c r="N106" s="2">
        <f t="shared" si="36"/>
        <v>5.3529749999999767</v>
      </c>
      <c r="O106" s="2">
        <f t="shared" si="36"/>
        <v>5.3525124999999774</v>
      </c>
      <c r="Q106" s="827">
        <f t="shared" si="26"/>
        <v>1.7</v>
      </c>
      <c r="R106" s="21">
        <f t="shared" si="27"/>
        <v>1.7017017017017035</v>
      </c>
      <c r="S106" s="21">
        <f t="shared" si="29"/>
        <v>7.0101388888888927</v>
      </c>
      <c r="T106" s="2">
        <f t="shared" si="30"/>
        <v>5.3525124999999774</v>
      </c>
      <c r="U106" s="21">
        <f t="shared" si="31"/>
        <v>2.1715762499999967</v>
      </c>
      <c r="V106" s="828">
        <f t="shared" si="28"/>
        <v>1.7</v>
      </c>
    </row>
    <row r="107" spans="1:22" x14ac:dyDescent="0.4">
      <c r="A107" s="62">
        <v>7.85</v>
      </c>
      <c r="B107" s="62">
        <v>7.0000000000000007E-2</v>
      </c>
      <c r="C107" s="62" t="s">
        <v>321</v>
      </c>
      <c r="D107" s="62"/>
      <c r="E107" s="49">
        <f t="shared" si="20"/>
        <v>1.71</v>
      </c>
      <c r="F107" s="21">
        <f t="shared" si="19"/>
        <v>1.718385051718387</v>
      </c>
      <c r="G107" s="1">
        <f t="shared" si="32"/>
        <v>7.85</v>
      </c>
      <c r="H107" s="2">
        <f t="shared" si="33"/>
        <v>5.9939999999999545</v>
      </c>
      <c r="J107" s="2">
        <f t="shared" si="34"/>
        <v>5.3945999999999694</v>
      </c>
      <c r="K107" s="2">
        <f t="shared" si="35"/>
        <v>5.3945999999999694</v>
      </c>
      <c r="L107" s="2">
        <f t="shared" si="25"/>
        <v>5.3696249999999779</v>
      </c>
      <c r="M107" s="2">
        <f t="shared" si="36"/>
        <v>5.3862749999999764</v>
      </c>
      <c r="N107" s="2">
        <f t="shared" si="36"/>
        <v>5.3876624999999763</v>
      </c>
      <c r="O107" s="2">
        <f t="shared" si="36"/>
        <v>5.3885874999999759</v>
      </c>
      <c r="Q107" s="827">
        <f t="shared" si="26"/>
        <v>1.71</v>
      </c>
      <c r="R107" s="21">
        <f t="shared" si="27"/>
        <v>1.718385051718387</v>
      </c>
      <c r="S107" s="21">
        <f t="shared" si="29"/>
        <v>7.1000385802469177</v>
      </c>
      <c r="T107" s="2">
        <f t="shared" si="30"/>
        <v>5.3885874999999759</v>
      </c>
      <c r="U107" s="21">
        <f t="shared" si="31"/>
        <v>2.1808169999999838</v>
      </c>
      <c r="V107" s="828">
        <f t="shared" si="28"/>
        <v>1.71</v>
      </c>
    </row>
    <row r="108" spans="1:22" x14ac:dyDescent="0.4">
      <c r="A108" s="62">
        <v>7.93</v>
      </c>
      <c r="B108" s="62">
        <v>7.0000000000000007E-2</v>
      </c>
      <c r="C108" s="62" t="s">
        <v>245</v>
      </c>
      <c r="D108" s="62"/>
      <c r="E108" s="49">
        <f t="shared" si="20"/>
        <v>1.73</v>
      </c>
      <c r="F108" s="21">
        <f t="shared" si="19"/>
        <v>1.7350684017350704</v>
      </c>
      <c r="G108" s="1">
        <f t="shared" si="32"/>
        <v>7.93</v>
      </c>
      <c r="H108" s="2">
        <f t="shared" si="33"/>
        <v>4.7951999999999844</v>
      </c>
      <c r="J108" s="2">
        <f t="shared" si="34"/>
        <v>5.3945999999999694</v>
      </c>
      <c r="K108" s="2">
        <f t="shared" si="35"/>
        <v>5.3945999999999783</v>
      </c>
      <c r="L108" s="2">
        <f t="shared" si="25"/>
        <v>5.4320624999999776</v>
      </c>
      <c r="M108" s="2">
        <f t="shared" si="36"/>
        <v>5.4237374999999775</v>
      </c>
      <c r="N108" s="2">
        <f t="shared" si="36"/>
        <v>5.4251249999999773</v>
      </c>
      <c r="O108" s="2">
        <f t="shared" si="36"/>
        <v>5.4255874999999776</v>
      </c>
      <c r="Q108" s="827">
        <f t="shared" si="26"/>
        <v>1.73</v>
      </c>
      <c r="R108" s="21">
        <f t="shared" si="27"/>
        <v>1.7350684017350704</v>
      </c>
      <c r="S108" s="21">
        <f t="shared" si="29"/>
        <v>7.1905555555555596</v>
      </c>
      <c r="T108" s="2">
        <f t="shared" si="30"/>
        <v>5.4255874999999776</v>
      </c>
      <c r="U108" s="21">
        <f t="shared" si="31"/>
        <v>2.2362614999999608</v>
      </c>
      <c r="V108" s="828">
        <f t="shared" si="28"/>
        <v>1.73</v>
      </c>
    </row>
    <row r="109" spans="1:22" x14ac:dyDescent="0.4">
      <c r="A109" s="62">
        <v>8.0299999999999994</v>
      </c>
      <c r="B109" s="62">
        <v>7.0000000000000007E-2</v>
      </c>
      <c r="C109" s="62" t="s">
        <v>322</v>
      </c>
      <c r="D109" s="62"/>
      <c r="E109" s="49">
        <f t="shared" si="20"/>
        <v>1.75</v>
      </c>
      <c r="F109" s="21">
        <f t="shared" si="19"/>
        <v>1.7517517517517538</v>
      </c>
      <c r="G109" s="1">
        <f t="shared" si="32"/>
        <v>8.0299999999999994</v>
      </c>
      <c r="H109" s="2">
        <f t="shared" si="33"/>
        <v>5.9939999999999545</v>
      </c>
      <c r="J109" s="2">
        <f t="shared" si="34"/>
        <v>5.3945999999999961</v>
      </c>
      <c r="K109" s="2">
        <f t="shared" si="35"/>
        <v>5.4944999999999844</v>
      </c>
      <c r="L109" s="2">
        <f t="shared" si="25"/>
        <v>5.4695249999999787</v>
      </c>
      <c r="M109" s="2">
        <f t="shared" si="36"/>
        <v>5.465362499999979</v>
      </c>
      <c r="N109" s="2">
        <f t="shared" si="36"/>
        <v>5.4639749999999792</v>
      </c>
      <c r="O109" s="2">
        <f t="shared" si="36"/>
        <v>5.4644374999999785</v>
      </c>
      <c r="Q109" s="827">
        <f t="shared" si="26"/>
        <v>1.75</v>
      </c>
      <c r="R109" s="21">
        <f t="shared" si="27"/>
        <v>1.7517517517517538</v>
      </c>
      <c r="S109" s="21">
        <f t="shared" si="29"/>
        <v>7.2817206790123494</v>
      </c>
      <c r="T109" s="2">
        <f t="shared" si="30"/>
        <v>5.4644374999999785</v>
      </c>
      <c r="U109" s="21">
        <f t="shared" si="31"/>
        <v>2.3009467500000849</v>
      </c>
      <c r="V109" s="828">
        <f t="shared" si="28"/>
        <v>1.75</v>
      </c>
    </row>
    <row r="110" spans="1:22" x14ac:dyDescent="0.4">
      <c r="A110" s="62">
        <v>8.11</v>
      </c>
      <c r="B110" s="62">
        <v>7.0000000000000007E-2</v>
      </c>
      <c r="C110" s="62" t="s">
        <v>246</v>
      </c>
      <c r="D110" s="62"/>
      <c r="E110" s="49">
        <f t="shared" si="20"/>
        <v>1.76</v>
      </c>
      <c r="F110" s="21">
        <f t="shared" si="19"/>
        <v>1.7684351017684372</v>
      </c>
      <c r="G110" s="1">
        <f t="shared" si="32"/>
        <v>8.11</v>
      </c>
      <c r="H110" s="2">
        <f t="shared" si="33"/>
        <v>4.7951999999999844</v>
      </c>
      <c r="J110" s="2">
        <f t="shared" si="34"/>
        <v>5.6942999999999886</v>
      </c>
      <c r="K110" s="2">
        <f t="shared" si="35"/>
        <v>5.5444499999999834</v>
      </c>
      <c r="L110" s="2">
        <f t="shared" si="25"/>
        <v>5.4944999999999826</v>
      </c>
      <c r="M110" s="2">
        <f t="shared" si="36"/>
        <v>5.502824999999981</v>
      </c>
      <c r="N110" s="2">
        <f t="shared" si="36"/>
        <v>5.5042124999999809</v>
      </c>
      <c r="O110" s="2">
        <f t="shared" si="36"/>
        <v>5.5037499999999797</v>
      </c>
      <c r="Q110" s="827">
        <f t="shared" si="26"/>
        <v>1.76</v>
      </c>
      <c r="R110" s="21">
        <f t="shared" si="27"/>
        <v>1.7684351017684372</v>
      </c>
      <c r="S110" s="21">
        <f t="shared" si="29"/>
        <v>7.3735416666666707</v>
      </c>
      <c r="T110" s="2">
        <f t="shared" si="30"/>
        <v>5.5037499999999797</v>
      </c>
      <c r="U110" s="21">
        <f t="shared" si="31"/>
        <v>2.3009467500000316</v>
      </c>
      <c r="V110" s="828">
        <f t="shared" si="28"/>
        <v>1.76</v>
      </c>
    </row>
    <row r="111" spans="1:22" x14ac:dyDescent="0.4">
      <c r="A111" s="62">
        <v>8.2100000000000009</v>
      </c>
      <c r="B111" s="62">
        <v>7.0000000000000007E-2</v>
      </c>
      <c r="C111" s="62" t="s">
        <v>323</v>
      </c>
      <c r="D111" s="62"/>
      <c r="E111" s="49">
        <f t="shared" si="20"/>
        <v>1.78</v>
      </c>
      <c r="F111" s="21">
        <f t="shared" si="19"/>
        <v>1.7851184517851206</v>
      </c>
      <c r="G111" s="1">
        <f t="shared" si="32"/>
        <v>8.2100000000000009</v>
      </c>
      <c r="H111" s="2">
        <f t="shared" si="33"/>
        <v>5.9940000000000611</v>
      </c>
      <c r="J111" s="2">
        <f t="shared" si="34"/>
        <v>5.5444499999999657</v>
      </c>
      <c r="K111" s="2">
        <f t="shared" si="35"/>
        <v>5.5444499999999834</v>
      </c>
      <c r="L111" s="2">
        <f t="shared" si="25"/>
        <v>5.5444499999999834</v>
      </c>
      <c r="M111" s="2">
        <f t="shared" si="36"/>
        <v>5.5444499999999826</v>
      </c>
      <c r="N111" s="2">
        <f t="shared" si="36"/>
        <v>5.5430624999999809</v>
      </c>
      <c r="O111" s="2">
        <f t="shared" si="36"/>
        <v>5.5407499999999805</v>
      </c>
      <c r="Q111" s="827">
        <f t="shared" si="26"/>
        <v>1.78</v>
      </c>
      <c r="R111" s="21">
        <f t="shared" si="27"/>
        <v>1.7851184517851206</v>
      </c>
      <c r="S111" s="21">
        <f t="shared" si="29"/>
        <v>7.4659799382716088</v>
      </c>
      <c r="T111" s="2">
        <f t="shared" si="30"/>
        <v>5.5407499999999805</v>
      </c>
      <c r="U111" s="21">
        <f t="shared" si="31"/>
        <v>2.1438540000000348</v>
      </c>
      <c r="V111" s="828">
        <f t="shared" si="28"/>
        <v>1.78</v>
      </c>
    </row>
    <row r="112" spans="1:22" x14ac:dyDescent="0.4">
      <c r="A112" s="62">
        <v>8.31</v>
      </c>
      <c r="B112" s="62">
        <v>0.08</v>
      </c>
      <c r="C112" s="62" t="s">
        <v>247</v>
      </c>
      <c r="D112" s="62"/>
      <c r="E112" s="49">
        <f t="shared" si="20"/>
        <v>1.8</v>
      </c>
      <c r="F112" s="21">
        <f t="shared" si="19"/>
        <v>1.801801801801804</v>
      </c>
      <c r="G112" s="1">
        <f t="shared" si="32"/>
        <v>8.31</v>
      </c>
      <c r="H112" s="2">
        <f t="shared" si="33"/>
        <v>5.9939999999999545</v>
      </c>
      <c r="J112" s="2">
        <f t="shared" si="34"/>
        <v>5.3945999999999961</v>
      </c>
      <c r="K112" s="2">
        <f t="shared" si="35"/>
        <v>5.5444499999999834</v>
      </c>
      <c r="L112" s="2">
        <f t="shared" si="25"/>
        <v>5.5943999999999798</v>
      </c>
      <c r="M112" s="2">
        <f t="shared" si="36"/>
        <v>5.5819124999999792</v>
      </c>
      <c r="N112" s="2">
        <f t="shared" si="36"/>
        <v>5.5749749999999798</v>
      </c>
      <c r="O112" s="2">
        <f t="shared" si="36"/>
        <v>5.5717374999999798</v>
      </c>
      <c r="Q112" s="827">
        <f t="shared" si="26"/>
        <v>1.8</v>
      </c>
      <c r="R112" s="21">
        <f t="shared" si="27"/>
        <v>1.801801801801804</v>
      </c>
      <c r="S112" s="21">
        <f t="shared" si="29"/>
        <v>7.5589351851851889</v>
      </c>
      <c r="T112" s="2">
        <f t="shared" si="30"/>
        <v>5.5717374999999798</v>
      </c>
      <c r="U112" s="21">
        <f t="shared" si="31"/>
        <v>1.8296684999999873</v>
      </c>
      <c r="V112" s="828">
        <f t="shared" si="28"/>
        <v>1.8</v>
      </c>
    </row>
    <row r="113" spans="1:22" x14ac:dyDescent="0.4">
      <c r="A113" s="62">
        <v>8.4</v>
      </c>
      <c r="B113" s="62">
        <v>0.08</v>
      </c>
      <c r="C113" s="62" t="s">
        <v>324</v>
      </c>
      <c r="D113" s="62"/>
      <c r="E113" s="49">
        <f t="shared" si="20"/>
        <v>1.81</v>
      </c>
      <c r="F113" s="21">
        <f t="shared" si="19"/>
        <v>1.8184851518184875</v>
      </c>
      <c r="G113" s="1">
        <f t="shared" si="32"/>
        <v>8.4</v>
      </c>
      <c r="H113" s="2">
        <f t="shared" si="33"/>
        <v>5.3945999999999694</v>
      </c>
      <c r="J113" s="2">
        <f t="shared" si="34"/>
        <v>5.6942999999999886</v>
      </c>
      <c r="K113" s="2">
        <f t="shared" si="35"/>
        <v>5.5943999999999825</v>
      </c>
      <c r="L113" s="2">
        <f t="shared" si="25"/>
        <v>5.6068874999999752</v>
      </c>
      <c r="M113" s="2">
        <f t="shared" si="36"/>
        <v>5.5985624999999777</v>
      </c>
      <c r="N113" s="2">
        <f t="shared" si="36"/>
        <v>5.5971749999999778</v>
      </c>
      <c r="O113" s="2">
        <f t="shared" si="36"/>
        <v>5.5953249999999786</v>
      </c>
      <c r="Q113" s="827">
        <f t="shared" si="26"/>
        <v>1.81</v>
      </c>
      <c r="R113" s="21">
        <f t="shared" si="27"/>
        <v>1.8184851518184875</v>
      </c>
      <c r="S113" s="21">
        <f t="shared" si="29"/>
        <v>7.6522839506172877</v>
      </c>
      <c r="T113" s="2">
        <f t="shared" si="30"/>
        <v>5.5953249999999786</v>
      </c>
      <c r="U113" s="21">
        <f t="shared" si="31"/>
        <v>1.4600384999999099</v>
      </c>
      <c r="V113" s="828">
        <f t="shared" si="28"/>
        <v>1.81</v>
      </c>
    </row>
    <row r="114" spans="1:22" x14ac:dyDescent="0.4">
      <c r="A114" s="62">
        <v>8.49</v>
      </c>
      <c r="B114" s="62">
        <v>0.08</v>
      </c>
      <c r="C114" s="62" t="s">
        <v>248</v>
      </c>
      <c r="D114" s="62"/>
      <c r="E114" s="49">
        <f t="shared" si="20"/>
        <v>1.83</v>
      </c>
      <c r="F114" s="21">
        <f t="shared" si="19"/>
        <v>1.8351685018351709</v>
      </c>
      <c r="G114" s="1">
        <f t="shared" si="32"/>
        <v>8.49</v>
      </c>
      <c r="H114" s="2">
        <f t="shared" si="33"/>
        <v>5.3945999999999694</v>
      </c>
      <c r="J114" s="2">
        <f t="shared" si="34"/>
        <v>5.6942999999999619</v>
      </c>
      <c r="K114" s="2">
        <f t="shared" si="35"/>
        <v>5.6942999999999708</v>
      </c>
      <c r="L114" s="2">
        <f t="shared" si="25"/>
        <v>5.5943999999999763</v>
      </c>
      <c r="M114" s="2">
        <f t="shared" si="36"/>
        <v>5.6110499999999766</v>
      </c>
      <c r="N114" s="2">
        <f t="shared" si="36"/>
        <v>5.6138249999999772</v>
      </c>
      <c r="O114" s="2">
        <f t="shared" si="36"/>
        <v>5.6138249999999772</v>
      </c>
      <c r="Q114" s="827">
        <f t="shared" si="26"/>
        <v>1.83</v>
      </c>
      <c r="R114" s="21">
        <f t="shared" si="27"/>
        <v>1.8351685018351709</v>
      </c>
      <c r="S114" s="21">
        <f t="shared" si="29"/>
        <v>7.7459413580246954</v>
      </c>
      <c r="T114" s="2">
        <f t="shared" si="30"/>
        <v>5.6138249999999772</v>
      </c>
      <c r="U114" s="21">
        <f t="shared" si="31"/>
        <v>1.1273714999999411</v>
      </c>
      <c r="V114" s="828">
        <f t="shared" si="28"/>
        <v>1.83</v>
      </c>
    </row>
    <row r="115" spans="1:22" x14ac:dyDescent="0.4">
      <c r="A115" s="62">
        <v>8.58</v>
      </c>
      <c r="B115" s="62">
        <v>0.08</v>
      </c>
      <c r="C115" s="62" t="s">
        <v>325</v>
      </c>
      <c r="D115" s="62"/>
      <c r="E115" s="49">
        <f t="shared" si="20"/>
        <v>1.85</v>
      </c>
      <c r="F115" s="21">
        <f t="shared" si="19"/>
        <v>1.8518518518518543</v>
      </c>
      <c r="G115" s="1">
        <f t="shared" si="32"/>
        <v>8.58</v>
      </c>
      <c r="H115" s="2">
        <f t="shared" si="33"/>
        <v>5.3945999999999694</v>
      </c>
      <c r="J115" s="2">
        <f t="shared" si="34"/>
        <v>5.6942999999999619</v>
      </c>
      <c r="K115" s="2">
        <f t="shared" si="35"/>
        <v>5.6443499999999629</v>
      </c>
      <c r="L115" s="2">
        <f t="shared" si="25"/>
        <v>5.6318624999999773</v>
      </c>
      <c r="M115" s="2">
        <f t="shared" si="36"/>
        <v>5.6318624999999756</v>
      </c>
      <c r="N115" s="2">
        <f t="shared" si="36"/>
        <v>5.6304749999999757</v>
      </c>
      <c r="O115" s="2">
        <f t="shared" si="36"/>
        <v>5.6281624999999762</v>
      </c>
      <c r="Q115" s="827">
        <f t="shared" si="26"/>
        <v>1.85</v>
      </c>
      <c r="R115" s="21">
        <f t="shared" si="27"/>
        <v>1.8518518518518543</v>
      </c>
      <c r="S115" s="21">
        <f t="shared" si="29"/>
        <v>7.8398379629629673</v>
      </c>
      <c r="T115" s="2">
        <f t="shared" si="30"/>
        <v>5.6281624999999762</v>
      </c>
      <c r="U115" s="21">
        <f t="shared" si="31"/>
        <v>0.7947044999999725</v>
      </c>
      <c r="V115" s="828">
        <f t="shared" si="28"/>
        <v>1.85</v>
      </c>
    </row>
    <row r="116" spans="1:22" x14ac:dyDescent="0.4">
      <c r="A116" s="62">
        <v>8.68</v>
      </c>
      <c r="B116" s="62">
        <v>0.08</v>
      </c>
      <c r="C116" s="62" t="s">
        <v>249</v>
      </c>
      <c r="D116" s="62"/>
      <c r="E116" s="49">
        <f t="shared" si="20"/>
        <v>1.86</v>
      </c>
      <c r="F116" s="21">
        <f t="shared" si="19"/>
        <v>1.8685352018685377</v>
      </c>
      <c r="G116" s="1">
        <f t="shared" si="32"/>
        <v>8.68</v>
      </c>
      <c r="H116" s="2">
        <f t="shared" si="33"/>
        <v>5.9939999999999545</v>
      </c>
      <c r="J116" s="2">
        <f t="shared" si="34"/>
        <v>5.5444499999999657</v>
      </c>
      <c r="K116" s="2">
        <f t="shared" si="35"/>
        <v>5.5943999999999745</v>
      </c>
      <c r="L116" s="2">
        <f t="shared" si="25"/>
        <v>5.669324999999974</v>
      </c>
      <c r="M116" s="2">
        <f t="shared" si="36"/>
        <v>5.648512499999975</v>
      </c>
      <c r="N116" s="2">
        <f t="shared" si="36"/>
        <v>5.6401874999999748</v>
      </c>
      <c r="O116" s="2">
        <f t="shared" si="36"/>
        <v>5.6350999999999756</v>
      </c>
      <c r="Q116" s="827">
        <f t="shared" si="26"/>
        <v>1.86</v>
      </c>
      <c r="R116" s="21">
        <f t="shared" si="27"/>
        <v>1.8685352018685377</v>
      </c>
      <c r="S116" s="21">
        <f t="shared" si="29"/>
        <v>7.93385030864198</v>
      </c>
      <c r="T116" s="2">
        <f t="shared" si="30"/>
        <v>5.6350999999999756</v>
      </c>
      <c r="U116" s="21">
        <f t="shared" si="31"/>
        <v>0.33266699999996868</v>
      </c>
      <c r="V116" s="828">
        <f t="shared" si="28"/>
        <v>1.86</v>
      </c>
    </row>
    <row r="117" spans="1:22" x14ac:dyDescent="0.4">
      <c r="A117" s="62">
        <v>8.7799999999999994</v>
      </c>
      <c r="B117" s="62">
        <v>0.08</v>
      </c>
      <c r="C117" s="62" t="s">
        <v>326</v>
      </c>
      <c r="D117" s="62"/>
      <c r="E117" s="49">
        <f t="shared" si="20"/>
        <v>1.88</v>
      </c>
      <c r="F117" s="21">
        <f t="shared" si="19"/>
        <v>1.8852185518852211</v>
      </c>
      <c r="G117" s="1">
        <f t="shared" si="32"/>
        <v>8.7799999999999994</v>
      </c>
      <c r="H117" s="2">
        <f t="shared" si="33"/>
        <v>5.9939999999999545</v>
      </c>
      <c r="J117" s="2">
        <f t="shared" si="34"/>
        <v>5.5444499999999923</v>
      </c>
      <c r="K117" s="2">
        <f t="shared" si="35"/>
        <v>5.6443499999999815</v>
      </c>
      <c r="L117" s="2">
        <f t="shared" si="25"/>
        <v>5.6443499999999744</v>
      </c>
      <c r="M117" s="2">
        <f t="shared" si="36"/>
        <v>5.6401874999999757</v>
      </c>
      <c r="N117" s="2">
        <f t="shared" si="36"/>
        <v>5.6346374999999762</v>
      </c>
      <c r="O117" s="2">
        <f t="shared" si="36"/>
        <v>5.6304749999999766</v>
      </c>
      <c r="Q117" s="827">
        <f t="shared" si="26"/>
        <v>1.88</v>
      </c>
      <c r="R117" s="21">
        <f t="shared" si="27"/>
        <v>1.8852185518852211</v>
      </c>
      <c r="S117" s="21">
        <f t="shared" si="29"/>
        <v>8.0277854938271656</v>
      </c>
      <c r="T117" s="2">
        <f t="shared" si="30"/>
        <v>5.6304749999999766</v>
      </c>
      <c r="U117" s="21">
        <f t="shared" si="31"/>
        <v>-0.26798174999995111</v>
      </c>
      <c r="V117" s="828">
        <f t="shared" si="28"/>
        <v>1.88</v>
      </c>
    </row>
    <row r="118" spans="1:22" x14ac:dyDescent="0.4">
      <c r="A118" s="62">
        <v>8.8699999999999992</v>
      </c>
      <c r="B118" s="62">
        <v>0.08</v>
      </c>
      <c r="C118" s="62" t="s">
        <v>250</v>
      </c>
      <c r="D118" s="62"/>
      <c r="E118" s="49">
        <f t="shared" si="20"/>
        <v>1.9</v>
      </c>
      <c r="F118" s="21">
        <f t="shared" si="19"/>
        <v>1.9019019019019046</v>
      </c>
      <c r="G118" s="1">
        <f t="shared" si="32"/>
        <v>8.8699999999999992</v>
      </c>
      <c r="H118" s="2">
        <f t="shared" si="33"/>
        <v>5.3945999999999694</v>
      </c>
      <c r="J118" s="2">
        <f t="shared" si="34"/>
        <v>5.8441499999999849</v>
      </c>
      <c r="K118" s="2">
        <f t="shared" si="35"/>
        <v>5.6942999999999797</v>
      </c>
      <c r="L118" s="2">
        <f t="shared" si="25"/>
        <v>5.6068874999999805</v>
      </c>
      <c r="M118" s="2">
        <f t="shared" si="36"/>
        <v>5.6152124999999797</v>
      </c>
      <c r="N118" s="2">
        <f t="shared" si="36"/>
        <v>5.6165999999999796</v>
      </c>
      <c r="O118" s="2">
        <f t="shared" si="36"/>
        <v>5.6147499999999795</v>
      </c>
      <c r="Q118" s="827">
        <f t="shared" si="26"/>
        <v>1.9</v>
      </c>
      <c r="R118" s="21">
        <f t="shared" si="27"/>
        <v>1.9019019019019046</v>
      </c>
      <c r="S118" s="21">
        <f t="shared" ref="S118:S156" si="37">(F118-F117)*O118+S117</f>
        <v>8.1214583333333383</v>
      </c>
      <c r="T118" s="2">
        <f t="shared" ref="T118:T156" si="38">O118</f>
        <v>5.6147499999999795</v>
      </c>
      <c r="U118" s="21">
        <f t="shared" ref="U118:U156" si="39">(AVERAGE(T117:T119)-AVERAGE(T116:T118))/(R118-R117)</f>
        <v>-0.88711199999984547</v>
      </c>
      <c r="V118" s="828">
        <f t="shared" si="28"/>
        <v>1.9</v>
      </c>
    </row>
    <row r="119" spans="1:22" x14ac:dyDescent="0.4">
      <c r="A119" s="62">
        <v>8.9600000000000009</v>
      </c>
      <c r="B119" s="62">
        <v>0.1</v>
      </c>
      <c r="C119" s="62" t="s">
        <v>327</v>
      </c>
      <c r="D119" s="62"/>
      <c r="E119" s="49">
        <f t="shared" si="20"/>
        <v>1.91</v>
      </c>
      <c r="F119" s="21">
        <f t="shared" si="19"/>
        <v>1.918585251918588</v>
      </c>
      <c r="G119" s="1">
        <f t="shared" si="32"/>
        <v>8.9600000000000009</v>
      </c>
      <c r="H119" s="2">
        <f t="shared" si="33"/>
        <v>5.394600000000076</v>
      </c>
      <c r="J119" s="2">
        <f t="shared" si="34"/>
        <v>5.6942999999999619</v>
      </c>
      <c r="K119" s="2">
        <f t="shared" si="35"/>
        <v>5.6443499999999815</v>
      </c>
      <c r="L119" s="2">
        <f t="shared" si="25"/>
        <v>5.5943999999999843</v>
      </c>
      <c r="M119" s="2">
        <f t="shared" si="36"/>
        <v>5.5943999999999834</v>
      </c>
      <c r="N119" s="2">
        <f t="shared" si="36"/>
        <v>5.5930124999999835</v>
      </c>
      <c r="O119" s="2">
        <f t="shared" si="36"/>
        <v>5.590699999999984</v>
      </c>
      <c r="Q119" s="827">
        <f t="shared" si="26"/>
        <v>1.91</v>
      </c>
      <c r="R119" s="21">
        <f t="shared" si="27"/>
        <v>1.918585251918588</v>
      </c>
      <c r="S119" s="21">
        <f t="shared" si="37"/>
        <v>8.2147299382716099</v>
      </c>
      <c r="T119" s="2">
        <f t="shared" si="38"/>
        <v>5.590699999999984</v>
      </c>
      <c r="U119" s="21">
        <f t="shared" si="39"/>
        <v>-1.4507977499997629</v>
      </c>
      <c r="V119" s="828">
        <f t="shared" si="28"/>
        <v>1.91</v>
      </c>
    </row>
    <row r="120" spans="1:22" x14ac:dyDescent="0.4">
      <c r="A120" s="62">
        <v>9.06</v>
      </c>
      <c r="B120" s="62">
        <v>0.1</v>
      </c>
      <c r="C120" s="62" t="s">
        <v>251</v>
      </c>
      <c r="D120" s="62"/>
      <c r="E120" s="49">
        <f t="shared" si="20"/>
        <v>1.93</v>
      </c>
      <c r="F120" s="21">
        <f t="shared" si="19"/>
        <v>1.9352686019352714</v>
      </c>
      <c r="G120" s="1">
        <f t="shared" si="32"/>
        <v>9.06</v>
      </c>
      <c r="H120" s="2">
        <f t="shared" si="33"/>
        <v>5.9939999999999545</v>
      </c>
      <c r="J120" s="2">
        <f t="shared" si="34"/>
        <v>5.3945999999999961</v>
      </c>
      <c r="K120" s="2">
        <f t="shared" si="35"/>
        <v>5.5444499999999834</v>
      </c>
      <c r="L120" s="2">
        <f t="shared" si="25"/>
        <v>5.5819124999999872</v>
      </c>
      <c r="M120" s="2">
        <f t="shared" si="36"/>
        <v>5.5694249999999874</v>
      </c>
      <c r="N120" s="2">
        <f t="shared" si="36"/>
        <v>5.562487499999988</v>
      </c>
      <c r="O120" s="2">
        <f t="shared" si="36"/>
        <v>5.5578624999999882</v>
      </c>
      <c r="Q120" s="827">
        <f t="shared" si="26"/>
        <v>1.93</v>
      </c>
      <c r="R120" s="21">
        <f t="shared" si="27"/>
        <v>1.9352686019352714</v>
      </c>
      <c r="S120" s="21">
        <f t="shared" si="37"/>
        <v>8.3074537037037093</v>
      </c>
      <c r="T120" s="2">
        <f t="shared" si="38"/>
        <v>5.5578624999999882</v>
      </c>
      <c r="U120" s="21">
        <f t="shared" si="39"/>
        <v>-2.0144834999996801</v>
      </c>
      <c r="V120" s="828">
        <f t="shared" si="28"/>
        <v>1.93</v>
      </c>
    </row>
    <row r="121" spans="1:22" x14ac:dyDescent="0.4">
      <c r="A121" s="62">
        <v>9.15</v>
      </c>
      <c r="B121" s="62">
        <v>0.1</v>
      </c>
      <c r="C121" s="62" t="s">
        <v>328</v>
      </c>
      <c r="D121" s="62"/>
      <c r="E121" s="49">
        <f t="shared" si="20"/>
        <v>1.95</v>
      </c>
      <c r="F121" s="21">
        <f t="shared" si="19"/>
        <v>1.9519519519519548</v>
      </c>
      <c r="G121" s="1">
        <f t="shared" si="32"/>
        <v>9.15</v>
      </c>
      <c r="H121" s="2">
        <f t="shared" si="33"/>
        <v>5.3945999999999694</v>
      </c>
      <c r="J121" s="2">
        <f t="shared" si="34"/>
        <v>5.5444499999999923</v>
      </c>
      <c r="K121" s="2">
        <f t="shared" si="35"/>
        <v>5.4944999999999906</v>
      </c>
      <c r="L121" s="2">
        <f t="shared" si="25"/>
        <v>5.5319624999999899</v>
      </c>
      <c r="M121" s="2">
        <f t="shared" si="36"/>
        <v>5.5236374999999915</v>
      </c>
      <c r="N121" s="2">
        <f t="shared" si="36"/>
        <v>5.5180874999999929</v>
      </c>
      <c r="O121" s="2">
        <f t="shared" si="36"/>
        <v>5.5139249999999933</v>
      </c>
      <c r="Q121" s="827">
        <f t="shared" si="26"/>
        <v>1.95</v>
      </c>
      <c r="R121" s="21">
        <f t="shared" si="27"/>
        <v>1.9519519519519548</v>
      </c>
      <c r="S121" s="21">
        <f t="shared" si="37"/>
        <v>8.39944444444445</v>
      </c>
      <c r="T121" s="2">
        <f t="shared" si="38"/>
        <v>5.5139249999999933</v>
      </c>
      <c r="U121" s="21">
        <f t="shared" si="39"/>
        <v>-2.6151322499997063</v>
      </c>
      <c r="V121" s="828">
        <f t="shared" si="28"/>
        <v>1.95</v>
      </c>
    </row>
    <row r="122" spans="1:22" x14ac:dyDescent="0.4">
      <c r="A122" s="62">
        <v>9.24</v>
      </c>
      <c r="B122" s="62">
        <v>0.1</v>
      </c>
      <c r="C122" s="62" t="s">
        <v>252</v>
      </c>
      <c r="D122" s="62"/>
      <c r="E122" s="49">
        <f t="shared" si="20"/>
        <v>1.96</v>
      </c>
      <c r="F122" s="21">
        <f t="shared" si="19"/>
        <v>1.9686353019686382</v>
      </c>
      <c r="G122" s="1">
        <f t="shared" si="32"/>
        <v>9.24</v>
      </c>
      <c r="H122" s="2">
        <f t="shared" si="33"/>
        <v>5.3945999999999694</v>
      </c>
      <c r="J122" s="2">
        <f t="shared" si="34"/>
        <v>5.5444499999999834</v>
      </c>
      <c r="K122" s="2">
        <f t="shared" si="35"/>
        <v>5.4944999999999942</v>
      </c>
      <c r="L122" s="2">
        <f t="shared" si="25"/>
        <v>5.4570374999999967</v>
      </c>
      <c r="M122" s="2">
        <f t="shared" si="36"/>
        <v>5.4611999999999981</v>
      </c>
      <c r="N122" s="2">
        <f t="shared" si="36"/>
        <v>5.4611999999999989</v>
      </c>
      <c r="O122" s="2">
        <f t="shared" si="36"/>
        <v>5.4598124999999991</v>
      </c>
      <c r="Q122" s="827">
        <f t="shared" si="26"/>
        <v>1.96</v>
      </c>
      <c r="R122" s="21">
        <f t="shared" si="27"/>
        <v>1.9686353019686382</v>
      </c>
      <c r="S122" s="21">
        <f t="shared" si="37"/>
        <v>8.4905324074074127</v>
      </c>
      <c r="T122" s="2">
        <f t="shared" si="38"/>
        <v>5.4598124999999991</v>
      </c>
      <c r="U122" s="21">
        <f t="shared" si="39"/>
        <v>-3.1603364999996488</v>
      </c>
      <c r="V122" s="828">
        <f t="shared" si="28"/>
        <v>1.96</v>
      </c>
    </row>
    <row r="123" spans="1:22" x14ac:dyDescent="0.4">
      <c r="A123" s="62">
        <v>9.33</v>
      </c>
      <c r="B123" s="62">
        <v>0.1</v>
      </c>
      <c r="C123" s="62" t="s">
        <v>329</v>
      </c>
      <c r="D123" s="62"/>
      <c r="E123" s="49">
        <f t="shared" si="20"/>
        <v>1.98</v>
      </c>
      <c r="F123" s="21">
        <f t="shared" si="19"/>
        <v>1.9853186519853216</v>
      </c>
      <c r="G123" s="1">
        <f t="shared" si="32"/>
        <v>9.33</v>
      </c>
      <c r="H123" s="2">
        <f t="shared" si="33"/>
        <v>5.3945999999999694</v>
      </c>
      <c r="J123" s="2">
        <f t="shared" si="34"/>
        <v>5.3946000000000058</v>
      </c>
      <c r="K123" s="2">
        <f t="shared" si="35"/>
        <v>5.4445499999999987</v>
      </c>
      <c r="L123" s="2">
        <f t="shared" si="25"/>
        <v>5.3946000000000058</v>
      </c>
      <c r="M123" s="2">
        <f t="shared" si="36"/>
        <v>5.3987625000000063</v>
      </c>
      <c r="N123" s="2">
        <f t="shared" si="36"/>
        <v>5.4001500000000062</v>
      </c>
      <c r="O123" s="2">
        <f t="shared" si="36"/>
        <v>5.399687500000006</v>
      </c>
      <c r="Q123" s="827">
        <f t="shared" si="26"/>
        <v>1.98</v>
      </c>
      <c r="R123" s="21">
        <f t="shared" si="27"/>
        <v>1.9853186519853216</v>
      </c>
      <c r="S123" s="21">
        <f t="shared" si="37"/>
        <v>8.5806172839506232</v>
      </c>
      <c r="T123" s="2">
        <f t="shared" si="38"/>
        <v>5.399687500000006</v>
      </c>
      <c r="U123" s="21">
        <f t="shared" si="39"/>
        <v>-3.5669294999995693</v>
      </c>
      <c r="V123" s="828">
        <f t="shared" si="28"/>
        <v>1.98</v>
      </c>
    </row>
    <row r="124" spans="1:22" x14ac:dyDescent="0.4">
      <c r="A124" s="62">
        <v>9.42</v>
      </c>
      <c r="B124" s="62">
        <v>0.1</v>
      </c>
      <c r="C124" s="62" t="s">
        <v>253</v>
      </c>
      <c r="D124" s="62"/>
      <c r="E124" s="49">
        <f t="shared" si="20"/>
        <v>2</v>
      </c>
      <c r="F124" s="21">
        <f t="shared" si="19"/>
        <v>2.0020020020020048</v>
      </c>
      <c r="G124" s="1">
        <f t="shared" si="32"/>
        <v>9.42</v>
      </c>
      <c r="H124" s="2">
        <f t="shared" si="33"/>
        <v>5.3946000000000414</v>
      </c>
      <c r="J124" s="2">
        <f t="shared" si="34"/>
        <v>5.3946000000000058</v>
      </c>
      <c r="K124" s="2">
        <f t="shared" si="35"/>
        <v>5.3446500000000121</v>
      </c>
      <c r="L124" s="2">
        <f t="shared" si="25"/>
        <v>5.3446500000000139</v>
      </c>
      <c r="M124" s="2">
        <f t="shared" si="36"/>
        <v>5.3404875000000134</v>
      </c>
      <c r="N124" s="2">
        <f t="shared" si="36"/>
        <v>5.3377125000000136</v>
      </c>
      <c r="O124" s="2">
        <f t="shared" si="36"/>
        <v>5.3354000000000141</v>
      </c>
      <c r="Q124" s="827">
        <f t="shared" si="26"/>
        <v>2</v>
      </c>
      <c r="R124" s="21">
        <f t="shared" si="27"/>
        <v>2.0020020020020048</v>
      </c>
      <c r="S124" s="21">
        <f t="shared" si="37"/>
        <v>8.6696296296296342</v>
      </c>
      <c r="T124" s="2">
        <f t="shared" si="38"/>
        <v>5.3354000000000141</v>
      </c>
      <c r="U124" s="21">
        <f t="shared" si="39"/>
        <v>-3.9088372499995239</v>
      </c>
      <c r="V124" s="828">
        <f t="shared" si="28"/>
        <v>2</v>
      </c>
    </row>
    <row r="125" spans="1:22" x14ac:dyDescent="0.4">
      <c r="A125" s="62">
        <v>9.51</v>
      </c>
      <c r="B125" s="62">
        <v>0.11</v>
      </c>
      <c r="C125" s="62" t="s">
        <v>330</v>
      </c>
      <c r="D125" s="62"/>
      <c r="E125" s="49">
        <f t="shared" si="20"/>
        <v>2.0099999999999998</v>
      </c>
      <c r="F125" s="21">
        <f t="shared" si="19"/>
        <v>2.018685352018688</v>
      </c>
      <c r="G125" s="1">
        <f t="shared" si="32"/>
        <v>9.51</v>
      </c>
      <c r="H125" s="2">
        <f t="shared" si="33"/>
        <v>5.3946000000000414</v>
      </c>
      <c r="J125" s="2">
        <f t="shared" si="34"/>
        <v>5.2447500000000256</v>
      </c>
      <c r="K125" s="2">
        <f t="shared" si="35"/>
        <v>5.2447500000000256</v>
      </c>
      <c r="L125" s="2">
        <f t="shared" si="25"/>
        <v>5.2822125000000231</v>
      </c>
      <c r="M125" s="2">
        <f t="shared" si="36"/>
        <v>5.2738875000000229</v>
      </c>
      <c r="N125" s="2">
        <f t="shared" si="36"/>
        <v>5.2683375000000225</v>
      </c>
      <c r="O125" s="2">
        <f t="shared" si="36"/>
        <v>5.264175000000022</v>
      </c>
      <c r="Q125" s="827">
        <f t="shared" si="26"/>
        <v>2.0099999999999998</v>
      </c>
      <c r="R125" s="21">
        <f t="shared" si="27"/>
        <v>2.018685352018688</v>
      </c>
      <c r="S125" s="21">
        <f t="shared" si="37"/>
        <v>8.7574537037037086</v>
      </c>
      <c r="T125" s="2">
        <f t="shared" si="38"/>
        <v>5.264175000000022</v>
      </c>
      <c r="U125" s="21">
        <f t="shared" si="39"/>
        <v>-4.3339117499995314</v>
      </c>
      <c r="V125" s="828">
        <f t="shared" si="28"/>
        <v>2.0099999999999998</v>
      </c>
    </row>
    <row r="126" spans="1:22" x14ac:dyDescent="0.4">
      <c r="A126" s="62">
        <v>9.6</v>
      </c>
      <c r="B126" s="62">
        <v>0.11</v>
      </c>
      <c r="C126" s="62" t="s">
        <v>254</v>
      </c>
      <c r="D126" s="62"/>
      <c r="E126" s="49">
        <f t="shared" si="20"/>
        <v>2.0299999999999998</v>
      </c>
      <c r="F126" s="21">
        <f t="shared" si="19"/>
        <v>2.0353687020353712</v>
      </c>
      <c r="G126" s="1">
        <f t="shared" si="32"/>
        <v>9.6</v>
      </c>
      <c r="H126" s="2">
        <f t="shared" si="33"/>
        <v>5.3946000000000414</v>
      </c>
      <c r="J126" s="2">
        <f t="shared" si="34"/>
        <v>5.0949000000000444</v>
      </c>
      <c r="K126" s="2">
        <f t="shared" si="35"/>
        <v>5.1948000000000372</v>
      </c>
      <c r="L126" s="2">
        <f t="shared" si="25"/>
        <v>5.1948000000000318</v>
      </c>
      <c r="M126" s="2">
        <f t="shared" si="36"/>
        <v>5.1906375000000304</v>
      </c>
      <c r="N126" s="2">
        <f t="shared" si="36"/>
        <v>5.1864750000000308</v>
      </c>
      <c r="O126" s="2">
        <f t="shared" si="36"/>
        <v>5.1827750000000306</v>
      </c>
      <c r="Q126" s="827">
        <f t="shared" si="26"/>
        <v>2.0299999999999998</v>
      </c>
      <c r="R126" s="21">
        <f t="shared" si="27"/>
        <v>2.0353687020353712</v>
      </c>
      <c r="S126" s="21">
        <f t="shared" si="37"/>
        <v>8.8439197530864249</v>
      </c>
      <c r="T126" s="2">
        <f t="shared" si="38"/>
        <v>5.1827750000000306</v>
      </c>
      <c r="U126" s="21">
        <f t="shared" si="39"/>
        <v>-4.879115999999641</v>
      </c>
      <c r="V126" s="828">
        <f t="shared" si="28"/>
        <v>2.0299999999999998</v>
      </c>
    </row>
    <row r="127" spans="1:22" x14ac:dyDescent="0.4">
      <c r="A127" s="62">
        <v>9.68</v>
      </c>
      <c r="B127" s="62">
        <v>0.11</v>
      </c>
      <c r="C127" s="62" t="s">
        <v>331</v>
      </c>
      <c r="D127" s="62"/>
      <c r="E127" s="49">
        <f t="shared" si="20"/>
        <v>2.0499999999999998</v>
      </c>
      <c r="F127" s="21">
        <f t="shared" si="19"/>
        <v>2.0520520520520544</v>
      </c>
      <c r="G127" s="1">
        <f t="shared" si="32"/>
        <v>9.68</v>
      </c>
      <c r="H127" s="2">
        <f t="shared" si="33"/>
        <v>4.7952000000000483</v>
      </c>
      <c r="J127" s="2">
        <f t="shared" si="34"/>
        <v>5.2447500000000424</v>
      </c>
      <c r="K127" s="2">
        <f t="shared" si="35"/>
        <v>5.1448500000000443</v>
      </c>
      <c r="L127" s="2">
        <f t="shared" si="25"/>
        <v>5.0949000000000382</v>
      </c>
      <c r="M127" s="2">
        <f t="shared" si="36"/>
        <v>5.0949000000000382</v>
      </c>
      <c r="N127" s="2">
        <f t="shared" si="36"/>
        <v>5.0935125000000374</v>
      </c>
      <c r="O127" s="2">
        <f t="shared" si="36"/>
        <v>5.091200000000037</v>
      </c>
      <c r="Q127" s="827">
        <f t="shared" si="26"/>
        <v>2.0499999999999998</v>
      </c>
      <c r="R127" s="21">
        <f t="shared" si="27"/>
        <v>2.0520520520520544</v>
      </c>
      <c r="S127" s="21">
        <f t="shared" si="37"/>
        <v>8.9288580246913636</v>
      </c>
      <c r="T127" s="2">
        <f t="shared" si="38"/>
        <v>5.091200000000037</v>
      </c>
      <c r="U127" s="21">
        <f t="shared" si="39"/>
        <v>-5.4520424999996591</v>
      </c>
      <c r="V127" s="828">
        <f t="shared" si="28"/>
        <v>2.0499999999999998</v>
      </c>
    </row>
    <row r="128" spans="1:22" x14ac:dyDescent="0.4">
      <c r="A128" s="62">
        <v>9.76</v>
      </c>
      <c r="B128" s="62">
        <v>0.11</v>
      </c>
      <c r="C128" s="62" t="s">
        <v>255</v>
      </c>
      <c r="D128" s="62"/>
      <c r="E128" s="49">
        <f t="shared" si="20"/>
        <v>2.06</v>
      </c>
      <c r="F128" s="21">
        <f t="shared" si="19"/>
        <v>2.0687354020687376</v>
      </c>
      <c r="G128" s="1">
        <f t="shared" si="32"/>
        <v>9.76</v>
      </c>
      <c r="H128" s="2">
        <f t="shared" si="33"/>
        <v>4.7952000000000483</v>
      </c>
      <c r="J128" s="2">
        <f t="shared" si="34"/>
        <v>5.0949000000000453</v>
      </c>
      <c r="K128" s="2">
        <f t="shared" si="35"/>
        <v>5.0449500000000453</v>
      </c>
      <c r="L128" s="2">
        <f t="shared" si="25"/>
        <v>4.9950000000000436</v>
      </c>
      <c r="M128" s="2">
        <f t="shared" si="36"/>
        <v>4.9950000000000427</v>
      </c>
      <c r="N128" s="2">
        <f t="shared" si="36"/>
        <v>4.9936125000000429</v>
      </c>
      <c r="O128" s="2">
        <f t="shared" si="36"/>
        <v>4.9913000000000425</v>
      </c>
      <c r="Q128" s="827">
        <f t="shared" si="26"/>
        <v>2.06</v>
      </c>
      <c r="R128" s="21">
        <f t="shared" si="27"/>
        <v>2.0687354020687376</v>
      </c>
      <c r="S128" s="21">
        <f t="shared" si="37"/>
        <v>9.0121296296296354</v>
      </c>
      <c r="T128" s="2">
        <f t="shared" si="38"/>
        <v>4.9913000000000425</v>
      </c>
      <c r="U128" s="21">
        <f t="shared" si="39"/>
        <v>-5.978765249999741</v>
      </c>
      <c r="V128" s="828">
        <f t="shared" si="28"/>
        <v>2.06</v>
      </c>
    </row>
    <row r="129" spans="1:22" x14ac:dyDescent="0.4">
      <c r="A129" s="62">
        <v>9.85</v>
      </c>
      <c r="B129" s="62">
        <v>0.11</v>
      </c>
      <c r="C129" s="62" t="s">
        <v>332</v>
      </c>
      <c r="D129" s="62"/>
      <c r="E129" s="49">
        <f t="shared" si="20"/>
        <v>2.08</v>
      </c>
      <c r="F129" s="21">
        <f t="shared" si="19"/>
        <v>2.0854187520854208</v>
      </c>
      <c r="G129" s="1">
        <f t="shared" si="32"/>
        <v>9.85</v>
      </c>
      <c r="H129" s="2">
        <f t="shared" si="33"/>
        <v>5.3946000000000414</v>
      </c>
      <c r="J129" s="2">
        <f t="shared" si="34"/>
        <v>4.7952000000000483</v>
      </c>
      <c r="K129" s="2">
        <f t="shared" si="35"/>
        <v>4.8951000000000464</v>
      </c>
      <c r="L129" s="2">
        <f t="shared" si="25"/>
        <v>4.8951000000000473</v>
      </c>
      <c r="M129" s="2">
        <f t="shared" si="36"/>
        <v>4.8909375000000468</v>
      </c>
      <c r="N129" s="2">
        <f t="shared" si="36"/>
        <v>4.8867750000000463</v>
      </c>
      <c r="O129" s="2">
        <f t="shared" si="36"/>
        <v>4.8835375000000454</v>
      </c>
      <c r="Q129" s="827">
        <f t="shared" si="26"/>
        <v>2.08</v>
      </c>
      <c r="R129" s="21">
        <f t="shared" si="27"/>
        <v>2.0854187520854208</v>
      </c>
      <c r="S129" s="21">
        <f t="shared" si="37"/>
        <v>9.0936033950617343</v>
      </c>
      <c r="T129" s="2">
        <f t="shared" si="38"/>
        <v>4.8835375000000454</v>
      </c>
      <c r="U129" s="21">
        <f t="shared" si="39"/>
        <v>-6.4777657499999135</v>
      </c>
      <c r="V129" s="828">
        <f t="shared" si="28"/>
        <v>2.08</v>
      </c>
    </row>
    <row r="130" spans="1:22" x14ac:dyDescent="0.4">
      <c r="A130" s="62">
        <v>9.93</v>
      </c>
      <c r="B130" s="62">
        <v>0.11</v>
      </c>
      <c r="C130" s="62" t="s">
        <v>256</v>
      </c>
      <c r="D130" s="62"/>
      <c r="E130" s="49">
        <f t="shared" si="20"/>
        <v>2.1</v>
      </c>
      <c r="F130" s="21">
        <f t="shared" si="19"/>
        <v>2.102102102102104</v>
      </c>
      <c r="G130" s="1">
        <f t="shared" si="32"/>
        <v>9.93</v>
      </c>
      <c r="H130" s="2">
        <f t="shared" si="33"/>
        <v>4.7952000000000483</v>
      </c>
      <c r="J130" s="2">
        <f t="shared" si="34"/>
        <v>4.7952000000000483</v>
      </c>
      <c r="K130" s="2">
        <f t="shared" si="35"/>
        <v>4.7452500000000493</v>
      </c>
      <c r="L130" s="2">
        <f t="shared" si="25"/>
        <v>4.7827125000000485</v>
      </c>
      <c r="M130" s="2">
        <f t="shared" si="36"/>
        <v>4.7743875000000484</v>
      </c>
      <c r="N130" s="2">
        <f t="shared" si="36"/>
        <v>4.770225000000047</v>
      </c>
      <c r="O130" s="2">
        <f t="shared" si="36"/>
        <v>4.7669875000000461</v>
      </c>
      <c r="Q130" s="827">
        <f t="shared" si="26"/>
        <v>2.1</v>
      </c>
      <c r="R130" s="21">
        <f t="shared" si="27"/>
        <v>2.102102102102104</v>
      </c>
      <c r="S130" s="21">
        <f t="shared" si="37"/>
        <v>9.1731327160493894</v>
      </c>
      <c r="T130" s="2">
        <f t="shared" si="38"/>
        <v>4.7669875000000461</v>
      </c>
      <c r="U130" s="21">
        <f t="shared" si="39"/>
        <v>-6.9767662499999794</v>
      </c>
      <c r="V130" s="828">
        <f t="shared" si="28"/>
        <v>2.1</v>
      </c>
    </row>
    <row r="131" spans="1:22" x14ac:dyDescent="0.4">
      <c r="A131" s="62">
        <v>10.01</v>
      </c>
      <c r="B131" s="62">
        <v>0.11</v>
      </c>
      <c r="C131" s="62" t="s">
        <v>333</v>
      </c>
      <c r="D131" s="62"/>
      <c r="E131" s="49">
        <f t="shared" si="20"/>
        <v>2.11</v>
      </c>
      <c r="F131" s="21">
        <f t="shared" si="19"/>
        <v>2.1187854521187872</v>
      </c>
      <c r="G131" s="1">
        <f t="shared" si="32"/>
        <v>10.01</v>
      </c>
      <c r="H131" s="2">
        <f t="shared" si="33"/>
        <v>4.7952000000000483</v>
      </c>
      <c r="J131" s="2">
        <f t="shared" si="34"/>
        <v>4.6453500000000503</v>
      </c>
      <c r="K131" s="2">
        <f t="shared" si="35"/>
        <v>4.6453500000000503</v>
      </c>
      <c r="L131" s="2">
        <f t="shared" si="25"/>
        <v>4.6453500000000485</v>
      </c>
      <c r="M131" s="2">
        <f t="shared" si="36"/>
        <v>4.6453500000000476</v>
      </c>
      <c r="N131" s="2">
        <f t="shared" si="36"/>
        <v>4.6439625000000468</v>
      </c>
      <c r="O131" s="2">
        <f t="shared" si="36"/>
        <v>4.6421125000000458</v>
      </c>
      <c r="Q131" s="827">
        <f t="shared" si="26"/>
        <v>2.11</v>
      </c>
      <c r="R131" s="21">
        <f t="shared" si="27"/>
        <v>2.1187854521187872</v>
      </c>
      <c r="S131" s="21">
        <f t="shared" si="37"/>
        <v>9.2505787037037113</v>
      </c>
      <c r="T131" s="2">
        <f t="shared" si="38"/>
        <v>4.6421125000000458</v>
      </c>
      <c r="U131" s="21">
        <f t="shared" si="39"/>
        <v>-7.4388037500000426</v>
      </c>
      <c r="V131" s="828">
        <f t="shared" si="28"/>
        <v>2.11</v>
      </c>
    </row>
    <row r="132" spans="1:22" x14ac:dyDescent="0.4">
      <c r="A132" s="62">
        <v>10.08</v>
      </c>
      <c r="B132" s="62">
        <v>0.11</v>
      </c>
      <c r="C132" s="62" t="s">
        <v>257</v>
      </c>
      <c r="D132" s="62"/>
      <c r="E132" s="49">
        <f t="shared" si="20"/>
        <v>2.13</v>
      </c>
      <c r="F132" s="21">
        <f t="shared" si="19"/>
        <v>2.1354688021354704</v>
      </c>
      <c r="G132" s="1">
        <f t="shared" si="32"/>
        <v>10.08</v>
      </c>
      <c r="H132" s="2">
        <f t="shared" si="33"/>
        <v>4.1958000000000562</v>
      </c>
      <c r="J132" s="2">
        <f t="shared" si="34"/>
        <v>4.4955000000000522</v>
      </c>
      <c r="K132" s="2">
        <f t="shared" si="35"/>
        <v>4.5454500000000522</v>
      </c>
      <c r="L132" s="2">
        <f t="shared" si="25"/>
        <v>4.5079875000000449</v>
      </c>
      <c r="M132" s="2">
        <f t="shared" si="36"/>
        <v>4.5121500000000454</v>
      </c>
      <c r="N132" s="2">
        <f t="shared" si="36"/>
        <v>4.5121500000000454</v>
      </c>
      <c r="O132" s="2">
        <f t="shared" si="36"/>
        <v>4.5112250000000449</v>
      </c>
      <c r="Q132" s="827">
        <f t="shared" si="26"/>
        <v>2.13</v>
      </c>
      <c r="R132" s="21">
        <f t="shared" si="27"/>
        <v>2.1354688021354704</v>
      </c>
      <c r="S132" s="21">
        <f t="shared" si="37"/>
        <v>9.3258410493827242</v>
      </c>
      <c r="T132" s="2">
        <f t="shared" si="38"/>
        <v>4.5112250000000449</v>
      </c>
      <c r="U132" s="21">
        <f t="shared" si="39"/>
        <v>-7.8176745000001659</v>
      </c>
      <c r="V132" s="828">
        <f t="shared" si="28"/>
        <v>2.13</v>
      </c>
    </row>
    <row r="133" spans="1:22" x14ac:dyDescent="0.4">
      <c r="A133" s="62">
        <v>10.15</v>
      </c>
      <c r="B133" s="62">
        <v>0.11</v>
      </c>
      <c r="C133" s="62" t="s">
        <v>334</v>
      </c>
      <c r="D133" s="62"/>
      <c r="E133" s="49">
        <f t="shared" si="20"/>
        <v>2.15</v>
      </c>
      <c r="F133" s="21">
        <f t="shared" ref="F133:F156" si="40">IF(A133="","",(1/F$2)+F132)</f>
        <v>2.1521521521521536</v>
      </c>
      <c r="G133" s="1">
        <f t="shared" si="32"/>
        <v>10.15</v>
      </c>
      <c r="H133" s="2">
        <f t="shared" si="33"/>
        <v>4.1958000000000562</v>
      </c>
      <c r="J133" s="2">
        <f t="shared" si="34"/>
        <v>4.4955000000000522</v>
      </c>
      <c r="K133" s="2">
        <f t="shared" si="35"/>
        <v>4.3956000000000444</v>
      </c>
      <c r="L133" s="2">
        <f t="shared" si="25"/>
        <v>4.3831125000000446</v>
      </c>
      <c r="M133" s="2">
        <f t="shared" si="36"/>
        <v>4.3789500000000441</v>
      </c>
      <c r="N133" s="2">
        <f t="shared" si="36"/>
        <v>4.3775625000000433</v>
      </c>
      <c r="O133" s="2">
        <f t="shared" si="36"/>
        <v>4.3757125000000423</v>
      </c>
      <c r="Q133" s="827">
        <f t="shared" si="26"/>
        <v>2.15</v>
      </c>
      <c r="R133" s="21">
        <f t="shared" si="27"/>
        <v>2.1521521521521536</v>
      </c>
      <c r="S133" s="21">
        <f t="shared" si="37"/>
        <v>9.3988425925926009</v>
      </c>
      <c r="T133" s="2">
        <f t="shared" si="38"/>
        <v>4.3757125000000423</v>
      </c>
      <c r="U133" s="21">
        <f t="shared" si="39"/>
        <v>-8.1318600000002181</v>
      </c>
      <c r="V133" s="828">
        <f t="shared" si="28"/>
        <v>2.15</v>
      </c>
    </row>
    <row r="134" spans="1:22" x14ac:dyDescent="0.4">
      <c r="A134" s="62">
        <v>10.220000000000001</v>
      </c>
      <c r="B134" s="62">
        <v>0.11</v>
      </c>
      <c r="C134" s="62" t="s">
        <v>258</v>
      </c>
      <c r="D134" s="62"/>
      <c r="E134" s="49">
        <f t="shared" ref="E134:E170" si="41">TRUNC(F134,2)</f>
        <v>2.16</v>
      </c>
      <c r="F134" s="21">
        <f t="shared" si="40"/>
        <v>2.1688355021688368</v>
      </c>
      <c r="G134" s="1">
        <f t="shared" si="32"/>
        <v>10.220000000000001</v>
      </c>
      <c r="H134" s="2">
        <f t="shared" si="33"/>
        <v>4.1958000000000562</v>
      </c>
      <c r="J134" s="2">
        <f t="shared" si="34"/>
        <v>4.1958000000000295</v>
      </c>
      <c r="K134" s="2">
        <f t="shared" si="35"/>
        <v>4.2457500000000374</v>
      </c>
      <c r="L134" s="2">
        <f t="shared" si="25"/>
        <v>4.2457500000000419</v>
      </c>
      <c r="M134" s="2">
        <f t="shared" si="36"/>
        <v>4.2415875000000405</v>
      </c>
      <c r="N134" s="2">
        <f t="shared" si="36"/>
        <v>4.23742500000004</v>
      </c>
      <c r="O134" s="2">
        <f t="shared" si="36"/>
        <v>4.2351125000000396</v>
      </c>
      <c r="Q134" s="827">
        <f t="shared" si="26"/>
        <v>2.16</v>
      </c>
      <c r="R134" s="21">
        <f t="shared" si="27"/>
        <v>2.1688355021688368</v>
      </c>
      <c r="S134" s="21">
        <f t="shared" si="37"/>
        <v>9.4694984567901326</v>
      </c>
      <c r="T134" s="2">
        <f t="shared" si="38"/>
        <v>4.2351125000000396</v>
      </c>
      <c r="U134" s="21">
        <f t="shared" si="39"/>
        <v>-8.4275640000002419</v>
      </c>
      <c r="V134" s="828">
        <f t="shared" si="28"/>
        <v>2.16</v>
      </c>
    </row>
    <row r="135" spans="1:22" x14ac:dyDescent="0.4">
      <c r="A135" s="62">
        <v>10.3</v>
      </c>
      <c r="B135" s="62">
        <v>0.12</v>
      </c>
      <c r="C135" s="62" t="s">
        <v>335</v>
      </c>
      <c r="D135" s="62"/>
      <c r="E135" s="49">
        <f t="shared" si="41"/>
        <v>2.1800000000000002</v>
      </c>
      <c r="F135" s="21">
        <f t="shared" si="40"/>
        <v>2.18551885218552</v>
      </c>
      <c r="G135" s="1">
        <f t="shared" si="32"/>
        <v>10.3</v>
      </c>
      <c r="H135" s="2">
        <f t="shared" si="33"/>
        <v>4.7952000000000483</v>
      </c>
      <c r="J135" s="2">
        <f t="shared" si="34"/>
        <v>4.0459500000000315</v>
      </c>
      <c r="K135" s="2">
        <f t="shared" si="35"/>
        <v>4.0959000000000394</v>
      </c>
      <c r="L135" s="2">
        <f t="shared" si="25"/>
        <v>4.095900000000035</v>
      </c>
      <c r="M135" s="2">
        <f t="shared" si="36"/>
        <v>4.0917375000000362</v>
      </c>
      <c r="N135" s="2">
        <f t="shared" si="36"/>
        <v>4.0903500000000372</v>
      </c>
      <c r="O135" s="2">
        <f t="shared" si="36"/>
        <v>4.0894250000000367</v>
      </c>
      <c r="Q135" s="827">
        <f t="shared" si="26"/>
        <v>2.1800000000000002</v>
      </c>
      <c r="R135" s="21">
        <f t="shared" si="27"/>
        <v>2.18551885218552</v>
      </c>
      <c r="S135" s="21">
        <f t="shared" si="37"/>
        <v>9.5377237654321085</v>
      </c>
      <c r="T135" s="2">
        <f t="shared" si="38"/>
        <v>4.0894250000000367</v>
      </c>
      <c r="U135" s="21">
        <f t="shared" si="39"/>
        <v>-8.6585827500001926</v>
      </c>
      <c r="V135" s="828">
        <f t="shared" si="28"/>
        <v>2.1800000000000002</v>
      </c>
    </row>
    <row r="136" spans="1:22" x14ac:dyDescent="0.4">
      <c r="A136" s="62">
        <v>10.36</v>
      </c>
      <c r="B136" s="62">
        <v>0.11</v>
      </c>
      <c r="C136" s="62" t="s">
        <v>259</v>
      </c>
      <c r="D136" s="62"/>
      <c r="E136" s="49">
        <f t="shared" si="41"/>
        <v>2.2000000000000002</v>
      </c>
      <c r="F136" s="21">
        <f t="shared" si="40"/>
        <v>2.2022022022022032</v>
      </c>
      <c r="G136" s="1">
        <f t="shared" si="32"/>
        <v>10.36</v>
      </c>
      <c r="H136" s="2">
        <f t="shared" si="33"/>
        <v>3.5963999999999565</v>
      </c>
      <c r="J136" s="2">
        <f t="shared" si="34"/>
        <v>4.0459500000000581</v>
      </c>
      <c r="K136" s="2">
        <f t="shared" si="35"/>
        <v>3.9460500000000329</v>
      </c>
      <c r="L136" s="2">
        <f t="shared" si="25"/>
        <v>3.9335625000000323</v>
      </c>
      <c r="M136" s="2">
        <f t="shared" si="36"/>
        <v>3.9377250000000337</v>
      </c>
      <c r="N136" s="2">
        <f t="shared" si="36"/>
        <v>3.9405000000000343</v>
      </c>
      <c r="O136" s="2">
        <f t="shared" si="36"/>
        <v>3.9423500000000349</v>
      </c>
      <c r="Q136" s="827">
        <f t="shared" si="26"/>
        <v>2.2000000000000002</v>
      </c>
      <c r="R136" s="21">
        <f t="shared" si="27"/>
        <v>2.2022022022022032</v>
      </c>
      <c r="S136" s="21">
        <f t="shared" si="37"/>
        <v>9.6034953703703803</v>
      </c>
      <c r="T136" s="2">
        <f t="shared" si="38"/>
        <v>3.9423500000000349</v>
      </c>
      <c r="U136" s="21">
        <f t="shared" si="39"/>
        <v>-8.6770642500002477</v>
      </c>
      <c r="V136" s="828">
        <f t="shared" si="28"/>
        <v>2.2000000000000002</v>
      </c>
    </row>
    <row r="137" spans="1:22" x14ac:dyDescent="0.4">
      <c r="A137" s="62">
        <v>10.43</v>
      </c>
      <c r="B137" s="62">
        <v>0.11</v>
      </c>
      <c r="C137" s="62" t="s">
        <v>336</v>
      </c>
      <c r="D137" s="62"/>
      <c r="E137" s="49">
        <f t="shared" si="41"/>
        <v>2.21</v>
      </c>
      <c r="F137" s="21">
        <f t="shared" si="40"/>
        <v>2.2188855522188864</v>
      </c>
      <c r="G137" s="1">
        <f t="shared" si="32"/>
        <v>10.43</v>
      </c>
      <c r="H137" s="2">
        <f t="shared" si="33"/>
        <v>4.1958000000000562</v>
      </c>
      <c r="J137" s="2">
        <f t="shared" si="34"/>
        <v>3.7462500000000079</v>
      </c>
      <c r="K137" s="2">
        <f t="shared" si="35"/>
        <v>3.7962000000000251</v>
      </c>
      <c r="L137" s="2">
        <f t="shared" si="25"/>
        <v>3.7837125000000347</v>
      </c>
      <c r="M137" s="2">
        <f t="shared" si="36"/>
        <v>3.7920375000000335</v>
      </c>
      <c r="N137" s="2">
        <f t="shared" si="36"/>
        <v>3.7962000000000331</v>
      </c>
      <c r="O137" s="2">
        <f t="shared" si="36"/>
        <v>3.8008250000000334</v>
      </c>
      <c r="Q137" s="827">
        <f t="shared" si="26"/>
        <v>2.21</v>
      </c>
      <c r="R137" s="21">
        <f t="shared" si="27"/>
        <v>2.2188855522188864</v>
      </c>
      <c r="S137" s="21">
        <f t="shared" si="37"/>
        <v>9.6669058641975401</v>
      </c>
      <c r="T137" s="2">
        <f t="shared" si="38"/>
        <v>3.8008250000000334</v>
      </c>
      <c r="U137" s="21">
        <f t="shared" si="39"/>
        <v>-8.3351565000001546</v>
      </c>
      <c r="V137" s="828">
        <f t="shared" si="28"/>
        <v>2.21</v>
      </c>
    </row>
    <row r="138" spans="1:22" x14ac:dyDescent="0.4">
      <c r="A138" s="62">
        <v>10.48</v>
      </c>
      <c r="B138" s="62">
        <v>0.11</v>
      </c>
      <c r="C138" s="62" t="s">
        <v>260</v>
      </c>
      <c r="D138" s="62"/>
      <c r="E138" s="49">
        <f t="shared" si="41"/>
        <v>2.23</v>
      </c>
      <c r="F138" s="21">
        <f t="shared" si="40"/>
        <v>2.2355689022355696</v>
      </c>
      <c r="G138" s="1">
        <f t="shared" si="32"/>
        <v>10.48</v>
      </c>
      <c r="H138" s="2">
        <f t="shared" si="33"/>
        <v>2.9970000000000701</v>
      </c>
      <c r="J138" s="2">
        <f t="shared" si="34"/>
        <v>3.5964000000000098</v>
      </c>
      <c r="K138" s="2">
        <f t="shared" si="35"/>
        <v>3.5964000000000276</v>
      </c>
      <c r="L138" s="2">
        <f t="shared" si="25"/>
        <v>3.6588375000000335</v>
      </c>
      <c r="M138" s="2">
        <f t="shared" si="36"/>
        <v>3.6588375000000326</v>
      </c>
      <c r="N138" s="2">
        <f t="shared" si="36"/>
        <v>3.6657750000000324</v>
      </c>
      <c r="O138" s="2">
        <f t="shared" si="36"/>
        <v>3.6722500000000324</v>
      </c>
      <c r="Q138" s="827">
        <f t="shared" si="26"/>
        <v>2.23</v>
      </c>
      <c r="R138" s="21">
        <f t="shared" si="27"/>
        <v>2.2355689022355696</v>
      </c>
      <c r="S138" s="21">
        <f t="shared" si="37"/>
        <v>9.7281712962963063</v>
      </c>
      <c r="T138" s="2">
        <f t="shared" si="38"/>
        <v>3.6722500000000324</v>
      </c>
      <c r="U138" s="21">
        <f t="shared" si="39"/>
        <v>-7.5774150000001201</v>
      </c>
      <c r="V138" s="828">
        <f t="shared" si="28"/>
        <v>2.23</v>
      </c>
    </row>
    <row r="139" spans="1:22" x14ac:dyDescent="0.4">
      <c r="A139" s="62">
        <v>10.54</v>
      </c>
      <c r="B139" s="62">
        <v>0.11</v>
      </c>
      <c r="C139" s="62" t="s">
        <v>337</v>
      </c>
      <c r="D139" s="62"/>
      <c r="E139" s="49">
        <f t="shared" si="41"/>
        <v>2.25</v>
      </c>
      <c r="F139" s="21">
        <f t="shared" si="40"/>
        <v>2.2522522522522528</v>
      </c>
      <c r="G139" s="1">
        <f t="shared" si="32"/>
        <v>10.54</v>
      </c>
      <c r="H139" s="2">
        <f t="shared" si="33"/>
        <v>3.5963999999999565</v>
      </c>
      <c r="J139" s="2">
        <f t="shared" si="34"/>
        <v>3.4465500000000651</v>
      </c>
      <c r="K139" s="2">
        <f t="shared" si="35"/>
        <v>3.4965000000000379</v>
      </c>
      <c r="L139" s="2">
        <f t="shared" ref="L139:L199" si="42">ABS(AVERAGE(K137,K138,K140,K141))</f>
        <v>3.5339625000000305</v>
      </c>
      <c r="M139" s="2">
        <f t="shared" si="36"/>
        <v>3.5464500000000321</v>
      </c>
      <c r="N139" s="2">
        <f t="shared" si="36"/>
        <v>3.5547750000000327</v>
      </c>
      <c r="O139" s="2">
        <f t="shared" si="36"/>
        <v>3.5631000000000324</v>
      </c>
      <c r="Q139" s="827">
        <f t="shared" ref="Q139:Q202" si="43">E139</f>
        <v>2.25</v>
      </c>
      <c r="R139" s="21">
        <f t="shared" ref="R139:R156" si="44">F139</f>
        <v>2.2522522522522528</v>
      </c>
      <c r="S139" s="21">
        <f t="shared" si="37"/>
        <v>9.7876157407407511</v>
      </c>
      <c r="T139" s="2">
        <f t="shared" si="38"/>
        <v>3.5631000000000324</v>
      </c>
      <c r="U139" s="21">
        <f t="shared" si="39"/>
        <v>-6.4685250000000591</v>
      </c>
      <c r="V139" s="828">
        <f t="shared" si="28"/>
        <v>2.25</v>
      </c>
    </row>
    <row r="140" spans="1:22" x14ac:dyDescent="0.4">
      <c r="A140" s="62">
        <v>10.59</v>
      </c>
      <c r="B140" s="62">
        <v>0.11</v>
      </c>
      <c r="C140" s="62" t="s">
        <v>261</v>
      </c>
      <c r="D140" s="62"/>
      <c r="E140" s="49">
        <f t="shared" si="41"/>
        <v>2.2599999999999998</v>
      </c>
      <c r="F140" s="21">
        <f t="shared" si="40"/>
        <v>2.268935602268936</v>
      </c>
      <c r="G140" s="1">
        <f t="shared" si="32"/>
        <v>10.59</v>
      </c>
      <c r="H140" s="2">
        <f t="shared" si="33"/>
        <v>2.9970000000000701</v>
      </c>
      <c r="J140" s="2">
        <f t="shared" si="34"/>
        <v>3.4465500000000384</v>
      </c>
      <c r="K140" s="2">
        <f t="shared" si="35"/>
        <v>3.3966000000000389</v>
      </c>
      <c r="L140" s="2">
        <f t="shared" si="42"/>
        <v>3.4465500000000318</v>
      </c>
      <c r="M140" s="2">
        <f t="shared" si="36"/>
        <v>3.4590375000000324</v>
      </c>
      <c r="N140" s="2">
        <f t="shared" si="36"/>
        <v>3.4687500000000324</v>
      </c>
      <c r="O140" s="2">
        <f t="shared" si="36"/>
        <v>3.4770750000000326</v>
      </c>
      <c r="Q140" s="827">
        <f t="shared" si="43"/>
        <v>2.2599999999999998</v>
      </c>
      <c r="R140" s="21">
        <f t="shared" si="44"/>
        <v>2.268935602268936</v>
      </c>
      <c r="S140" s="21">
        <f t="shared" si="37"/>
        <v>9.8456250000000107</v>
      </c>
      <c r="T140" s="2">
        <f t="shared" si="38"/>
        <v>3.4770750000000326</v>
      </c>
      <c r="U140" s="21">
        <f t="shared" si="39"/>
        <v>-5.1470977500000483</v>
      </c>
      <c r="V140" s="828">
        <f t="shared" si="28"/>
        <v>2.2599999999999998</v>
      </c>
    </row>
    <row r="141" spans="1:22" x14ac:dyDescent="0.4">
      <c r="A141" s="62">
        <v>10.65</v>
      </c>
      <c r="B141" s="62">
        <v>0.11</v>
      </c>
      <c r="C141" s="62" t="s">
        <v>338</v>
      </c>
      <c r="D141" s="62"/>
      <c r="E141" s="49">
        <f t="shared" si="41"/>
        <v>2.2799999999999998</v>
      </c>
      <c r="F141" s="21">
        <f t="shared" si="40"/>
        <v>2.2856189522856192</v>
      </c>
      <c r="G141" s="1">
        <f t="shared" si="32"/>
        <v>10.65</v>
      </c>
      <c r="H141" s="2">
        <f t="shared" si="33"/>
        <v>3.5964000000000631</v>
      </c>
      <c r="J141" s="2">
        <f t="shared" si="34"/>
        <v>3.2967000000000137</v>
      </c>
      <c r="K141" s="2">
        <f t="shared" si="35"/>
        <v>3.3466500000000305</v>
      </c>
      <c r="L141" s="2">
        <f t="shared" si="42"/>
        <v>3.3966000000000345</v>
      </c>
      <c r="M141" s="2">
        <f t="shared" si="36"/>
        <v>3.4007625000000328</v>
      </c>
      <c r="N141" s="2">
        <f t="shared" si="36"/>
        <v>3.4077000000000326</v>
      </c>
      <c r="O141" s="2">
        <f t="shared" si="36"/>
        <v>3.414637500000032</v>
      </c>
      <c r="Q141" s="827">
        <f t="shared" si="43"/>
        <v>2.2799999999999998</v>
      </c>
      <c r="R141" s="21">
        <f t="shared" si="44"/>
        <v>2.2856189522856192</v>
      </c>
      <c r="S141" s="21">
        <f t="shared" si="37"/>
        <v>9.9025925925926028</v>
      </c>
      <c r="T141" s="2">
        <f t="shared" si="38"/>
        <v>3.414637500000032</v>
      </c>
      <c r="U141" s="21">
        <f t="shared" si="39"/>
        <v>-3.8071890000000352</v>
      </c>
      <c r="V141" s="828">
        <f t="shared" si="28"/>
        <v>2.2799999999999998</v>
      </c>
    </row>
    <row r="142" spans="1:22" x14ac:dyDescent="0.4">
      <c r="A142" s="62">
        <v>10.71</v>
      </c>
      <c r="B142" s="62">
        <v>0.11</v>
      </c>
      <c r="C142" s="62" t="s">
        <v>262</v>
      </c>
      <c r="D142" s="62"/>
      <c r="E142" s="49">
        <f t="shared" si="41"/>
        <v>2.2999999999999998</v>
      </c>
      <c r="F142" s="21">
        <f t="shared" si="40"/>
        <v>2.3023023023023024</v>
      </c>
      <c r="G142" s="1">
        <f t="shared" si="32"/>
        <v>10.71</v>
      </c>
      <c r="H142" s="2">
        <f t="shared" si="33"/>
        <v>3.5964000000000631</v>
      </c>
      <c r="J142" s="2">
        <f t="shared" si="34"/>
        <v>3.2967000000000399</v>
      </c>
      <c r="K142" s="2">
        <f t="shared" si="35"/>
        <v>3.346650000000031</v>
      </c>
      <c r="L142" s="2">
        <f t="shared" si="42"/>
        <v>3.3591375000000325</v>
      </c>
      <c r="M142" s="2">
        <f t="shared" si="36"/>
        <v>3.3633000000000322</v>
      </c>
      <c r="N142" s="2">
        <f t="shared" si="36"/>
        <v>3.3674625000000318</v>
      </c>
      <c r="O142" s="2">
        <f t="shared" si="36"/>
        <v>3.3725500000000319</v>
      </c>
      <c r="Q142" s="827">
        <f t="shared" si="43"/>
        <v>2.2999999999999998</v>
      </c>
      <c r="R142" s="21">
        <f t="shared" si="44"/>
        <v>2.3023023023023024</v>
      </c>
      <c r="S142" s="21">
        <f t="shared" si="37"/>
        <v>9.9588580246913683</v>
      </c>
      <c r="T142" s="2">
        <f t="shared" si="38"/>
        <v>3.3725500000000319</v>
      </c>
      <c r="U142" s="21">
        <f t="shared" si="39"/>
        <v>-2.6243730000001011</v>
      </c>
      <c r="V142" s="828">
        <f t="shared" ref="V142:V181" si="45">E142</f>
        <v>2.2999999999999998</v>
      </c>
    </row>
    <row r="143" spans="1:22" x14ac:dyDescent="0.4">
      <c r="A143" s="62">
        <v>10.76</v>
      </c>
      <c r="B143" s="62">
        <v>0.11</v>
      </c>
      <c r="C143" s="62" t="s">
        <v>339</v>
      </c>
      <c r="D143" s="62"/>
      <c r="E143" s="49">
        <f t="shared" si="41"/>
        <v>2.31</v>
      </c>
      <c r="F143" s="21">
        <f t="shared" si="40"/>
        <v>2.3189856523189856</v>
      </c>
      <c r="G143" s="1">
        <f t="shared" si="32"/>
        <v>10.76</v>
      </c>
      <c r="H143" s="2">
        <f t="shared" si="33"/>
        <v>2.9969999999999639</v>
      </c>
      <c r="J143" s="2">
        <f t="shared" si="34"/>
        <v>3.4465500000000384</v>
      </c>
      <c r="K143" s="2">
        <f t="shared" si="35"/>
        <v>3.3466500000000305</v>
      </c>
      <c r="L143" s="2">
        <f t="shared" si="42"/>
        <v>3.3341625000000286</v>
      </c>
      <c r="M143" s="2">
        <f t="shared" si="36"/>
        <v>3.3383250000000295</v>
      </c>
      <c r="N143" s="2">
        <f t="shared" si="36"/>
        <v>3.3424875000000305</v>
      </c>
      <c r="O143" s="2">
        <f t="shared" si="36"/>
        <v>3.34572500000003</v>
      </c>
      <c r="Q143" s="827">
        <f t="shared" si="43"/>
        <v>2.31</v>
      </c>
      <c r="R143" s="21">
        <f t="shared" si="44"/>
        <v>2.3189856523189856</v>
      </c>
      <c r="S143" s="21">
        <f t="shared" si="37"/>
        <v>10.014675925925935</v>
      </c>
      <c r="T143" s="2">
        <f t="shared" si="38"/>
        <v>3.34572500000003</v>
      </c>
      <c r="U143" s="21">
        <f t="shared" si="39"/>
        <v>-1.7095387500000421</v>
      </c>
      <c r="V143" s="828">
        <f t="shared" si="45"/>
        <v>2.31</v>
      </c>
    </row>
    <row r="144" spans="1:22" x14ac:dyDescent="0.4">
      <c r="A144" s="62">
        <v>10.82</v>
      </c>
      <c r="B144" s="62">
        <v>0.11</v>
      </c>
      <c r="C144" s="62" t="s">
        <v>263</v>
      </c>
      <c r="D144" s="62"/>
      <c r="E144" s="49">
        <f t="shared" si="41"/>
        <v>2.33</v>
      </c>
      <c r="F144" s="21">
        <f t="shared" si="40"/>
        <v>2.3356690023356688</v>
      </c>
      <c r="G144" s="1">
        <f t="shared" si="32"/>
        <v>10.82</v>
      </c>
      <c r="H144" s="2">
        <f t="shared" si="33"/>
        <v>3.5964000000000631</v>
      </c>
      <c r="J144" s="2">
        <f t="shared" si="34"/>
        <v>3.2967000000000137</v>
      </c>
      <c r="K144" s="2">
        <f t="shared" si="35"/>
        <v>3.346650000000031</v>
      </c>
      <c r="L144" s="2">
        <f t="shared" si="42"/>
        <v>3.3216750000000266</v>
      </c>
      <c r="M144" s="2">
        <f t="shared" si="36"/>
        <v>3.3258375000000284</v>
      </c>
      <c r="N144" s="2">
        <f t="shared" si="36"/>
        <v>3.3272250000000287</v>
      </c>
      <c r="O144" s="2">
        <f t="shared" si="36"/>
        <v>3.3290750000000293</v>
      </c>
      <c r="Q144" s="827">
        <f t="shared" si="43"/>
        <v>2.33</v>
      </c>
      <c r="R144" s="21">
        <f t="shared" si="44"/>
        <v>2.3356690023356688</v>
      </c>
      <c r="S144" s="21">
        <f t="shared" si="37"/>
        <v>10.070216049382726</v>
      </c>
      <c r="T144" s="2">
        <f t="shared" si="38"/>
        <v>3.3290750000000293</v>
      </c>
      <c r="U144" s="21">
        <f t="shared" si="39"/>
        <v>-1.0811677500000989</v>
      </c>
      <c r="V144" s="828">
        <f t="shared" si="45"/>
        <v>2.33</v>
      </c>
    </row>
    <row r="145" spans="1:22" x14ac:dyDescent="0.4">
      <c r="A145" s="62">
        <v>10.87</v>
      </c>
      <c r="B145" s="62">
        <v>0.11</v>
      </c>
      <c r="C145" s="62" t="s">
        <v>340</v>
      </c>
      <c r="D145" s="62"/>
      <c r="E145" s="49">
        <f t="shared" si="41"/>
        <v>2.35</v>
      </c>
      <c r="F145" s="21">
        <f t="shared" si="40"/>
        <v>2.352352352352352</v>
      </c>
      <c r="G145" s="1">
        <f t="shared" si="32"/>
        <v>10.87</v>
      </c>
      <c r="H145" s="2">
        <f t="shared" si="33"/>
        <v>2.9969999999999639</v>
      </c>
      <c r="J145" s="2">
        <f t="shared" si="34"/>
        <v>3.2967000000000404</v>
      </c>
      <c r="K145" s="2">
        <f t="shared" si="35"/>
        <v>3.2967000000000226</v>
      </c>
      <c r="L145" s="2">
        <f t="shared" si="42"/>
        <v>3.3216750000000288</v>
      </c>
      <c r="M145" s="2">
        <f t="shared" si="36"/>
        <v>3.3175125000000278</v>
      </c>
      <c r="N145" s="2">
        <f t="shared" si="36"/>
        <v>3.3175125000000283</v>
      </c>
      <c r="O145" s="2">
        <f t="shared" si="36"/>
        <v>3.3184375000000284</v>
      </c>
      <c r="Q145" s="827">
        <f t="shared" si="43"/>
        <v>2.35</v>
      </c>
      <c r="R145" s="21">
        <f t="shared" si="44"/>
        <v>2.352352352352352</v>
      </c>
      <c r="S145" s="21">
        <f t="shared" si="37"/>
        <v>10.125578703703713</v>
      </c>
      <c r="T145" s="2">
        <f t="shared" si="38"/>
        <v>3.3184375000000284</v>
      </c>
      <c r="U145" s="21">
        <f t="shared" si="39"/>
        <v>-0.67457475000004008</v>
      </c>
      <c r="V145" s="828">
        <f t="shared" si="45"/>
        <v>2.35</v>
      </c>
    </row>
    <row r="146" spans="1:22" x14ac:dyDescent="0.4">
      <c r="A146" s="62">
        <v>10.93</v>
      </c>
      <c r="B146" s="62">
        <v>0.11</v>
      </c>
      <c r="C146" s="62" t="s">
        <v>264</v>
      </c>
      <c r="D146" s="62"/>
      <c r="E146" s="49">
        <f t="shared" si="41"/>
        <v>2.36</v>
      </c>
      <c r="F146" s="21">
        <f t="shared" si="40"/>
        <v>2.3690357023690352</v>
      </c>
      <c r="G146" s="1">
        <f t="shared" si="32"/>
        <v>10.93</v>
      </c>
      <c r="H146" s="2">
        <f t="shared" si="33"/>
        <v>3.5964000000000631</v>
      </c>
      <c r="J146" s="2">
        <f t="shared" si="34"/>
        <v>3.2967000000000137</v>
      </c>
      <c r="K146" s="2">
        <f t="shared" si="35"/>
        <v>3.2967000000000226</v>
      </c>
      <c r="L146" s="2">
        <f t="shared" si="42"/>
        <v>3.309187500000029</v>
      </c>
      <c r="M146" s="2">
        <f t="shared" si="36"/>
        <v>3.3091875000000286</v>
      </c>
      <c r="N146" s="2">
        <f t="shared" si="36"/>
        <v>3.3105750000000285</v>
      </c>
      <c r="O146" s="2">
        <f t="shared" si="36"/>
        <v>3.3119625000000283</v>
      </c>
      <c r="Q146" s="827">
        <f t="shared" si="43"/>
        <v>2.36</v>
      </c>
      <c r="R146" s="21">
        <f t="shared" si="44"/>
        <v>2.3690357023690352</v>
      </c>
      <c r="S146" s="21">
        <f t="shared" si="37"/>
        <v>10.180833333333343</v>
      </c>
      <c r="T146" s="2">
        <f t="shared" si="38"/>
        <v>3.3119625000000283</v>
      </c>
      <c r="U146" s="21">
        <f t="shared" si="39"/>
        <v>-0.37887075000001669</v>
      </c>
      <c r="V146" s="828">
        <f t="shared" si="45"/>
        <v>2.36</v>
      </c>
    </row>
    <row r="147" spans="1:22" x14ac:dyDescent="0.4">
      <c r="A147" s="62">
        <v>10.98</v>
      </c>
      <c r="B147" s="62">
        <v>0.11</v>
      </c>
      <c r="C147" s="62" t="s">
        <v>341</v>
      </c>
      <c r="D147" s="62"/>
      <c r="E147" s="49">
        <f t="shared" si="41"/>
        <v>2.38</v>
      </c>
      <c r="F147" s="21">
        <f t="shared" si="40"/>
        <v>2.3857190523857184</v>
      </c>
      <c r="G147" s="1">
        <f t="shared" si="32"/>
        <v>10.98</v>
      </c>
      <c r="H147" s="2">
        <f t="shared" si="33"/>
        <v>2.9970000000000701</v>
      </c>
      <c r="J147" s="2">
        <f t="shared" si="34"/>
        <v>3.2967000000000137</v>
      </c>
      <c r="K147" s="2">
        <f t="shared" si="35"/>
        <v>3.2967000000000315</v>
      </c>
      <c r="L147" s="2">
        <f t="shared" si="42"/>
        <v>3.2967000000000271</v>
      </c>
      <c r="M147" s="2">
        <f t="shared" si="36"/>
        <v>3.3050250000000285</v>
      </c>
      <c r="N147" s="2">
        <f t="shared" si="36"/>
        <v>3.3078000000000287</v>
      </c>
      <c r="O147" s="2">
        <f t="shared" si="36"/>
        <v>3.3101125000000287</v>
      </c>
      <c r="Q147" s="827">
        <f t="shared" si="43"/>
        <v>2.38</v>
      </c>
      <c r="R147" s="21">
        <f t="shared" si="44"/>
        <v>2.3857190523857184</v>
      </c>
      <c r="S147" s="21">
        <f t="shared" si="37"/>
        <v>10.236057098765441</v>
      </c>
      <c r="T147" s="2">
        <f t="shared" si="38"/>
        <v>3.3101125000000287</v>
      </c>
      <c r="U147" s="21">
        <f t="shared" si="39"/>
        <v>-6.4685249999965194E-2</v>
      </c>
      <c r="V147" s="828">
        <f t="shared" si="45"/>
        <v>2.38</v>
      </c>
    </row>
    <row r="148" spans="1:22" x14ac:dyDescent="0.4">
      <c r="A148" s="62">
        <v>11.04</v>
      </c>
      <c r="B148" s="62">
        <v>0.11</v>
      </c>
      <c r="C148" s="62" t="s">
        <v>265</v>
      </c>
      <c r="D148" s="62"/>
      <c r="E148" s="49">
        <f t="shared" si="41"/>
        <v>2.4</v>
      </c>
      <c r="F148" s="21">
        <f t="shared" si="40"/>
        <v>2.4024024024024015</v>
      </c>
      <c r="G148" s="1">
        <f t="shared" si="32"/>
        <v>11.04</v>
      </c>
      <c r="H148" s="2">
        <f t="shared" si="33"/>
        <v>3.5963999999999565</v>
      </c>
      <c r="J148" s="2">
        <f t="shared" si="34"/>
        <v>3.2967000000000666</v>
      </c>
      <c r="K148" s="2">
        <f t="shared" si="35"/>
        <v>3.2967000000000315</v>
      </c>
      <c r="L148" s="2">
        <f t="shared" si="42"/>
        <v>3.309187500000029</v>
      </c>
      <c r="M148" s="2">
        <f t="shared" si="36"/>
        <v>3.309187500000029</v>
      </c>
      <c r="N148" s="2">
        <f t="shared" si="36"/>
        <v>3.3119625000000288</v>
      </c>
      <c r="O148" s="2">
        <f t="shared" si="36"/>
        <v>3.3152000000000288</v>
      </c>
      <c r="Q148" s="827">
        <f t="shared" si="43"/>
        <v>2.4</v>
      </c>
      <c r="R148" s="21">
        <f t="shared" si="44"/>
        <v>2.4024024024024015</v>
      </c>
      <c r="S148" s="21">
        <f t="shared" si="37"/>
        <v>10.29136574074075</v>
      </c>
      <c r="T148" s="2">
        <f t="shared" si="38"/>
        <v>3.3152000000000288</v>
      </c>
      <c r="U148" s="21">
        <f t="shared" si="39"/>
        <v>0.36038924999998861</v>
      </c>
      <c r="V148" s="828">
        <f t="shared" si="45"/>
        <v>2.4</v>
      </c>
    </row>
    <row r="149" spans="1:22" x14ac:dyDescent="0.4">
      <c r="A149" s="62">
        <v>11.09</v>
      </c>
      <c r="B149" s="62">
        <v>0.11</v>
      </c>
      <c r="C149" s="62" t="s">
        <v>342</v>
      </c>
      <c r="D149" s="62"/>
      <c r="E149" s="49">
        <f t="shared" si="41"/>
        <v>2.41</v>
      </c>
      <c r="F149" s="21">
        <f t="shared" si="40"/>
        <v>2.4190857524190847</v>
      </c>
      <c r="G149" s="1">
        <f t="shared" si="32"/>
        <v>11.09</v>
      </c>
      <c r="H149" s="2">
        <f t="shared" si="33"/>
        <v>2.9970000000000701</v>
      </c>
      <c r="J149" s="2">
        <f t="shared" si="34"/>
        <v>3.2967000000000137</v>
      </c>
      <c r="K149" s="2">
        <f t="shared" si="35"/>
        <v>3.2967000000000315</v>
      </c>
      <c r="L149" s="2">
        <f t="shared" si="42"/>
        <v>3.321675000000031</v>
      </c>
      <c r="M149" s="2">
        <f t="shared" si="36"/>
        <v>3.3216750000000297</v>
      </c>
      <c r="N149" s="2">
        <f t="shared" si="36"/>
        <v>3.3258375000000293</v>
      </c>
      <c r="O149" s="2">
        <f t="shared" si="36"/>
        <v>3.3300000000000289</v>
      </c>
      <c r="Q149" s="827">
        <f t="shared" si="43"/>
        <v>2.41</v>
      </c>
      <c r="R149" s="21">
        <f t="shared" si="44"/>
        <v>2.4190857524190847</v>
      </c>
      <c r="S149" s="21">
        <f t="shared" si="37"/>
        <v>10.346921296296305</v>
      </c>
      <c r="T149" s="2">
        <f t="shared" si="38"/>
        <v>3.3300000000000289</v>
      </c>
      <c r="U149" s="21">
        <f t="shared" si="39"/>
        <v>0.93331575000006051</v>
      </c>
      <c r="V149" s="828">
        <f t="shared" si="45"/>
        <v>2.41</v>
      </c>
    </row>
    <row r="150" spans="1:22" x14ac:dyDescent="0.4">
      <c r="A150" s="62">
        <v>11.15</v>
      </c>
      <c r="B150" s="62">
        <v>0.1</v>
      </c>
      <c r="C150" s="62" t="s">
        <v>266</v>
      </c>
      <c r="D150" s="62"/>
      <c r="E150" s="49">
        <f t="shared" si="41"/>
        <v>2.4300000000000002</v>
      </c>
      <c r="F150" s="21">
        <f t="shared" si="40"/>
        <v>2.4357691024357679</v>
      </c>
      <c r="G150" s="1">
        <f t="shared" ref="G150:G156" si="46">ABS(A150)</f>
        <v>11.15</v>
      </c>
      <c r="H150" s="2">
        <f t="shared" ref="H150:H156" si="47">(G150-G149)/(F150-F149)</f>
        <v>3.5964000000000631</v>
      </c>
      <c r="J150" s="2">
        <f t="shared" ref="J150:J156" si="48">ABS(AVERAGE(H148,H149,H151,H152))</f>
        <v>3.2967000000000133</v>
      </c>
      <c r="K150" s="2">
        <f t="shared" ref="K150:K156" si="49">AVERAGE(J149:J151)</f>
        <v>3.346650000000031</v>
      </c>
      <c r="L150" s="2">
        <f t="shared" si="42"/>
        <v>3.3341625000000308</v>
      </c>
      <c r="M150" s="2">
        <f t="shared" si="36"/>
        <v>3.3466500000000305</v>
      </c>
      <c r="N150" s="2">
        <f t="shared" si="36"/>
        <v>3.35220000000003</v>
      </c>
      <c r="O150" s="2">
        <f t="shared" si="36"/>
        <v>3.3568250000000304</v>
      </c>
      <c r="Q150" s="827">
        <f t="shared" si="43"/>
        <v>2.4300000000000002</v>
      </c>
      <c r="R150" s="21">
        <f t="shared" si="44"/>
        <v>2.4357691024357679</v>
      </c>
      <c r="S150" s="21">
        <f t="shared" si="37"/>
        <v>10.402924382716058</v>
      </c>
      <c r="T150" s="2">
        <f t="shared" si="38"/>
        <v>3.3568250000000304</v>
      </c>
      <c r="U150" s="21">
        <f t="shared" si="39"/>
        <v>1.6078905000000474</v>
      </c>
      <c r="V150" s="828">
        <f t="shared" si="45"/>
        <v>2.4300000000000002</v>
      </c>
    </row>
    <row r="151" spans="1:22" x14ac:dyDescent="0.4">
      <c r="A151" s="62">
        <v>11.2</v>
      </c>
      <c r="B151" s="62">
        <v>0.1</v>
      </c>
      <c r="C151" s="62" t="s">
        <v>343</v>
      </c>
      <c r="D151" s="62"/>
      <c r="E151" s="49">
        <f t="shared" si="41"/>
        <v>2.4500000000000002</v>
      </c>
      <c r="F151" s="21">
        <f t="shared" si="40"/>
        <v>2.4524524524524511</v>
      </c>
      <c r="G151" s="1">
        <f t="shared" si="46"/>
        <v>11.2</v>
      </c>
      <c r="H151" s="2">
        <f t="shared" si="47"/>
        <v>2.9969999999999639</v>
      </c>
      <c r="J151" s="2">
        <f t="shared" si="48"/>
        <v>3.4465500000000651</v>
      </c>
      <c r="K151" s="2">
        <f t="shared" si="49"/>
        <v>3.3466500000000305</v>
      </c>
      <c r="L151" s="2">
        <f t="shared" si="42"/>
        <v>3.3841125000000303</v>
      </c>
      <c r="M151" s="2">
        <f t="shared" si="36"/>
        <v>3.3882750000000308</v>
      </c>
      <c r="N151" s="2">
        <f t="shared" si="36"/>
        <v>3.3924375000000313</v>
      </c>
      <c r="O151" s="2">
        <f t="shared" si="36"/>
        <v>3.3956750000000309</v>
      </c>
      <c r="Q151" s="827">
        <f t="shared" si="43"/>
        <v>2.4500000000000002</v>
      </c>
      <c r="R151" s="21">
        <f t="shared" si="44"/>
        <v>2.4524524524524511</v>
      </c>
      <c r="S151" s="21">
        <f t="shared" si="37"/>
        <v>10.45957561728396</v>
      </c>
      <c r="T151" s="2">
        <f t="shared" si="38"/>
        <v>3.3956750000000309</v>
      </c>
      <c r="U151" s="21">
        <f t="shared" si="39"/>
        <v>2.2824652500000875</v>
      </c>
      <c r="V151" s="828">
        <f t="shared" si="45"/>
        <v>2.4500000000000002</v>
      </c>
    </row>
    <row r="152" spans="1:22" x14ac:dyDescent="0.4">
      <c r="A152" s="62">
        <v>11.26</v>
      </c>
      <c r="B152" s="62">
        <v>0.1</v>
      </c>
      <c r="C152" s="62" t="s">
        <v>267</v>
      </c>
      <c r="D152" s="62"/>
      <c r="E152" s="49">
        <f t="shared" si="41"/>
        <v>2.46</v>
      </c>
      <c r="F152" s="21">
        <f t="shared" si="40"/>
        <v>2.4691358024691343</v>
      </c>
      <c r="G152" s="1">
        <f t="shared" si="46"/>
        <v>11.26</v>
      </c>
      <c r="H152" s="2">
        <f t="shared" si="47"/>
        <v>3.5964000000000631</v>
      </c>
      <c r="J152" s="2">
        <f t="shared" si="48"/>
        <v>3.2967000000000137</v>
      </c>
      <c r="K152" s="2">
        <f t="shared" si="49"/>
        <v>3.39660000000003</v>
      </c>
      <c r="L152" s="2">
        <f t="shared" si="42"/>
        <v>3.4465500000000318</v>
      </c>
      <c r="M152" s="2">
        <f t="shared" si="36"/>
        <v>3.4423875000000321</v>
      </c>
      <c r="N152" s="2">
        <f t="shared" si="36"/>
        <v>3.4423875000000312</v>
      </c>
      <c r="O152" s="2">
        <f t="shared" si="36"/>
        <v>3.4442375000000314</v>
      </c>
      <c r="Q152" s="827">
        <f t="shared" si="43"/>
        <v>2.46</v>
      </c>
      <c r="R152" s="21">
        <f t="shared" si="44"/>
        <v>2.4691358024691343</v>
      </c>
      <c r="S152" s="21">
        <f t="shared" si="37"/>
        <v>10.517037037037046</v>
      </c>
      <c r="T152" s="2">
        <f t="shared" si="38"/>
        <v>3.4442375000000314</v>
      </c>
      <c r="U152" s="21">
        <f t="shared" si="39"/>
        <v>2.8369102500000247</v>
      </c>
      <c r="V152" s="828">
        <f t="shared" si="45"/>
        <v>2.46</v>
      </c>
    </row>
    <row r="153" spans="1:22" x14ac:dyDescent="0.4">
      <c r="A153" s="62">
        <v>11.32</v>
      </c>
      <c r="B153" s="62">
        <v>0.1</v>
      </c>
      <c r="C153" s="62" t="s">
        <v>344</v>
      </c>
      <c r="D153" s="62"/>
      <c r="E153" s="49">
        <f t="shared" si="41"/>
        <v>2.48</v>
      </c>
      <c r="F153" s="21">
        <f t="shared" si="40"/>
        <v>2.4858191524858175</v>
      </c>
      <c r="G153" s="1">
        <f t="shared" si="46"/>
        <v>11.32</v>
      </c>
      <c r="H153" s="2">
        <f t="shared" si="47"/>
        <v>3.5964000000000631</v>
      </c>
      <c r="J153" s="2">
        <f t="shared" si="48"/>
        <v>3.4465500000000118</v>
      </c>
      <c r="K153" s="2">
        <f t="shared" si="49"/>
        <v>3.496500000000029</v>
      </c>
      <c r="L153" s="2">
        <f t="shared" si="42"/>
        <v>3.496500000000033</v>
      </c>
      <c r="M153" s="2">
        <f t="shared" si="36"/>
        <v>3.4965000000000317</v>
      </c>
      <c r="N153" s="2">
        <f t="shared" si="36"/>
        <v>3.4978875000000316</v>
      </c>
      <c r="O153" s="2">
        <f t="shared" si="36"/>
        <v>3.4988125000000316</v>
      </c>
      <c r="Q153" s="827">
        <f t="shared" si="43"/>
        <v>2.48</v>
      </c>
      <c r="R153" s="21">
        <f t="shared" si="44"/>
        <v>2.4858191524858175</v>
      </c>
      <c r="S153" s="21">
        <f t="shared" si="37"/>
        <v>10.575408950617293</v>
      </c>
      <c r="T153" s="2">
        <f t="shared" si="38"/>
        <v>3.4988125000000316</v>
      </c>
      <c r="U153" s="21">
        <f t="shared" si="39"/>
        <v>3.1972995000000668</v>
      </c>
      <c r="V153" s="828">
        <f t="shared" si="45"/>
        <v>2.48</v>
      </c>
    </row>
    <row r="154" spans="1:22" x14ac:dyDescent="0.4">
      <c r="A154" s="62">
        <v>11.37</v>
      </c>
      <c r="B154" s="62">
        <v>0.1</v>
      </c>
      <c r="C154" s="62" t="s">
        <v>268</v>
      </c>
      <c r="D154" s="62"/>
      <c r="E154" s="49">
        <f t="shared" si="41"/>
        <v>2.5</v>
      </c>
      <c r="F154" s="21">
        <f t="shared" si="40"/>
        <v>2.5025025025025007</v>
      </c>
      <c r="G154" s="1">
        <f t="shared" si="46"/>
        <v>11.37</v>
      </c>
      <c r="H154" s="2">
        <f t="shared" si="47"/>
        <v>2.9969999999999639</v>
      </c>
      <c r="J154" s="2">
        <f t="shared" si="48"/>
        <v>3.7462500000000611</v>
      </c>
      <c r="K154" s="2">
        <f t="shared" si="49"/>
        <v>3.5964000000000365</v>
      </c>
      <c r="L154" s="2">
        <f t="shared" si="42"/>
        <v>3.5464500000000303</v>
      </c>
      <c r="M154" s="2">
        <f t="shared" si="36"/>
        <v>3.5547750000000318</v>
      </c>
      <c r="N154" s="2">
        <f t="shared" si="36"/>
        <v>3.5561625000000325</v>
      </c>
      <c r="O154" s="2">
        <f t="shared" si="36"/>
        <v>3.5557000000000323</v>
      </c>
      <c r="Q154" s="827">
        <f t="shared" si="43"/>
        <v>2.5</v>
      </c>
      <c r="R154" s="21">
        <f t="shared" si="44"/>
        <v>2.5025025025025007</v>
      </c>
      <c r="S154" s="21">
        <f t="shared" si="37"/>
        <v>10.634729938271613</v>
      </c>
      <c r="T154" s="2">
        <f t="shared" si="38"/>
        <v>3.5557000000000323</v>
      </c>
      <c r="U154" s="21">
        <f t="shared" si="39"/>
        <v>3.3266700000000768</v>
      </c>
      <c r="V154" s="828">
        <f t="shared" si="45"/>
        <v>2.5</v>
      </c>
    </row>
    <row r="155" spans="1:22" x14ac:dyDescent="0.4">
      <c r="A155" s="62">
        <v>11.44</v>
      </c>
      <c r="B155" s="62">
        <v>0.1</v>
      </c>
      <c r="C155" s="62" t="s">
        <v>345</v>
      </c>
      <c r="D155" s="62"/>
      <c r="E155" s="49">
        <f t="shared" si="41"/>
        <v>2.5099999999999998</v>
      </c>
      <c r="F155" s="21">
        <f t="shared" si="40"/>
        <v>2.5191858525191839</v>
      </c>
      <c r="G155" s="1">
        <f t="shared" si="46"/>
        <v>11.44</v>
      </c>
      <c r="H155" s="2">
        <f t="shared" si="47"/>
        <v>4.1958000000000562</v>
      </c>
      <c r="J155" s="2">
        <f t="shared" si="48"/>
        <v>3.5964000000000365</v>
      </c>
      <c r="K155" s="2">
        <f t="shared" si="49"/>
        <v>3.646350000000036</v>
      </c>
      <c r="L155" s="2">
        <f t="shared" si="42"/>
        <v>3.621375000000032</v>
      </c>
      <c r="M155" s="2">
        <f t="shared" si="36"/>
        <v>3.6172125000000332</v>
      </c>
      <c r="N155" s="2">
        <f t="shared" si="36"/>
        <v>3.6130500000000336</v>
      </c>
      <c r="O155" s="2">
        <f t="shared" si="36"/>
        <v>3.6107375000000341</v>
      </c>
      <c r="Q155" s="827">
        <f t="shared" si="43"/>
        <v>2.5099999999999998</v>
      </c>
      <c r="R155" s="21">
        <f t="shared" si="44"/>
        <v>2.5191858525191839</v>
      </c>
      <c r="S155" s="21">
        <f t="shared" si="37"/>
        <v>10.694969135802477</v>
      </c>
      <c r="T155" s="2">
        <f t="shared" si="38"/>
        <v>3.6107375000000341</v>
      </c>
      <c r="U155" s="21">
        <f t="shared" si="39"/>
        <v>3.2157810000000948</v>
      </c>
      <c r="V155" s="828">
        <f t="shared" si="45"/>
        <v>2.5099999999999998</v>
      </c>
    </row>
    <row r="156" spans="1:22" x14ac:dyDescent="0.4">
      <c r="A156" s="62">
        <v>11.5</v>
      </c>
      <c r="B156" s="62">
        <v>0.1</v>
      </c>
      <c r="C156" s="62" t="s">
        <v>269</v>
      </c>
      <c r="D156" s="62"/>
      <c r="E156" s="49">
        <f t="shared" si="41"/>
        <v>2.5299999999999998</v>
      </c>
      <c r="F156" s="21">
        <f t="shared" si="40"/>
        <v>2.5358692025358671</v>
      </c>
      <c r="G156" s="1">
        <f t="shared" si="46"/>
        <v>11.5</v>
      </c>
      <c r="H156" s="2">
        <f t="shared" si="47"/>
        <v>3.5964000000000631</v>
      </c>
      <c r="J156" s="2">
        <f t="shared" si="48"/>
        <v>3.5964000000000098</v>
      </c>
      <c r="K156" s="2">
        <f t="shared" si="49"/>
        <v>3.6463500000000266</v>
      </c>
      <c r="L156" s="2">
        <f t="shared" si="42"/>
        <v>3.6838125000000379</v>
      </c>
      <c r="M156" s="2">
        <f t="shared" ref="M156:O171" si="50">AVERAGE(L155:L157)</f>
        <v>3.6671625000000359</v>
      </c>
      <c r="N156" s="2">
        <f t="shared" si="50"/>
        <v>3.6630000000000353</v>
      </c>
      <c r="O156" s="2">
        <f t="shared" si="50"/>
        <v>3.6597625000000349</v>
      </c>
      <c r="Q156" s="827">
        <f t="shared" si="43"/>
        <v>2.5299999999999998</v>
      </c>
      <c r="R156" s="21">
        <f t="shared" si="44"/>
        <v>2.5358692025358671</v>
      </c>
      <c r="S156" s="21">
        <f t="shared" si="37"/>
        <v>10.756026234567909</v>
      </c>
      <c r="T156" s="2">
        <f t="shared" si="38"/>
        <v>3.6597625000000349</v>
      </c>
      <c r="U156" s="21">
        <f t="shared" si="39"/>
        <v>2.9293177500001386</v>
      </c>
      <c r="V156" s="828">
        <f t="shared" si="45"/>
        <v>2.5299999999999998</v>
      </c>
    </row>
    <row r="157" spans="1:22" x14ac:dyDescent="0.4">
      <c r="A157" s="62">
        <v>11.57</v>
      </c>
      <c r="B157" s="62">
        <v>0.1</v>
      </c>
      <c r="C157" s="62" t="s">
        <v>739</v>
      </c>
      <c r="D157" s="62"/>
      <c r="E157" s="49">
        <f t="shared" si="41"/>
        <v>2.5499999999999998</v>
      </c>
      <c r="F157" s="21">
        <f t="shared" ref="F157:F169" si="51">IF(A157="","",(1/F$2)+F156)</f>
        <v>2.5525525525525503</v>
      </c>
      <c r="G157" s="1">
        <f t="shared" ref="G157:G169" si="52">ABS(A157)</f>
        <v>11.57</v>
      </c>
      <c r="H157" s="2">
        <f t="shared" ref="H157:H169" si="53">(G157-G156)/(F157-F156)</f>
        <v>4.1958000000000562</v>
      </c>
      <c r="J157" s="2">
        <f t="shared" ref="J157:J169" si="54">ABS(AVERAGE(H155,H156,H158,H159))</f>
        <v>3.7462500000000345</v>
      </c>
      <c r="K157" s="2">
        <f t="shared" ref="K157:K169" si="55">AVERAGE(J156:J158)</f>
        <v>3.7462500000000349</v>
      </c>
      <c r="L157" s="2">
        <f t="shared" si="42"/>
        <v>3.6963000000000377</v>
      </c>
      <c r="M157" s="2">
        <f t="shared" si="50"/>
        <v>3.7046250000000369</v>
      </c>
      <c r="N157" s="2">
        <f t="shared" si="50"/>
        <v>3.7032375000000362</v>
      </c>
      <c r="O157" s="2">
        <f t="shared" si="50"/>
        <v>3.7023125000000365</v>
      </c>
      <c r="Q157" s="827">
        <f t="shared" si="43"/>
        <v>2.5499999999999998</v>
      </c>
      <c r="R157" s="21">
        <f t="shared" ref="R157:R169" si="56">F157</f>
        <v>2.5525525525525503</v>
      </c>
      <c r="S157" s="21">
        <f t="shared" ref="S157:S169" si="57">(F157-F156)*O157+S156</f>
        <v>10.81779320987655</v>
      </c>
      <c r="T157" s="2">
        <f t="shared" ref="T157:T169" si="58">O157</f>
        <v>3.7023125000000365</v>
      </c>
      <c r="U157" s="21">
        <f t="shared" ref="U157:U169" si="59">(AVERAGE(T156:T158)-AVERAGE(T155:T157))/(R157-R156)</f>
        <v>2.6151322500000607</v>
      </c>
      <c r="V157" s="828">
        <f t="shared" si="45"/>
        <v>2.5499999999999998</v>
      </c>
    </row>
    <row r="158" spans="1:22" x14ac:dyDescent="0.4">
      <c r="A158" s="62">
        <v>11.62</v>
      </c>
      <c r="B158" s="62">
        <v>0.1</v>
      </c>
      <c r="C158" s="62" t="s">
        <v>740</v>
      </c>
      <c r="D158" s="62"/>
      <c r="E158" s="49">
        <f t="shared" si="41"/>
        <v>2.56</v>
      </c>
      <c r="F158" s="21">
        <f t="shared" si="51"/>
        <v>2.5692359025692335</v>
      </c>
      <c r="G158" s="1">
        <f t="shared" si="52"/>
        <v>11.62</v>
      </c>
      <c r="H158" s="2">
        <f t="shared" si="53"/>
        <v>2.9969999999999639</v>
      </c>
      <c r="J158" s="2">
        <f t="shared" si="54"/>
        <v>3.8961000000000596</v>
      </c>
      <c r="K158" s="2">
        <f t="shared" si="55"/>
        <v>3.7462500000000438</v>
      </c>
      <c r="L158" s="2">
        <f t="shared" si="42"/>
        <v>3.7337625000000352</v>
      </c>
      <c r="M158" s="2">
        <f t="shared" si="50"/>
        <v>3.7379250000000361</v>
      </c>
      <c r="N158" s="2">
        <f t="shared" si="50"/>
        <v>3.7407000000000372</v>
      </c>
      <c r="O158" s="2">
        <f t="shared" si="50"/>
        <v>3.7416250000000368</v>
      </c>
      <c r="Q158" s="827">
        <f t="shared" si="43"/>
        <v>2.56</v>
      </c>
      <c r="R158" s="21">
        <f t="shared" si="56"/>
        <v>2.5692359025692335</v>
      </c>
      <c r="S158" s="21">
        <f t="shared" si="57"/>
        <v>10.880216049382723</v>
      </c>
      <c r="T158" s="2">
        <f t="shared" si="58"/>
        <v>3.7416250000000368</v>
      </c>
      <c r="U158" s="21">
        <f t="shared" si="59"/>
        <v>2.4487987500000741</v>
      </c>
      <c r="V158" s="828">
        <f t="shared" si="45"/>
        <v>2.56</v>
      </c>
    </row>
    <row r="159" spans="1:22" x14ac:dyDescent="0.4">
      <c r="A159" s="62">
        <v>11.69</v>
      </c>
      <c r="B159" s="62">
        <v>0.1</v>
      </c>
      <c r="C159" s="62" t="s">
        <v>741</v>
      </c>
      <c r="D159" s="62"/>
      <c r="E159" s="49">
        <f t="shared" si="41"/>
        <v>2.58</v>
      </c>
      <c r="F159" s="21">
        <f t="shared" si="51"/>
        <v>2.5859192525859167</v>
      </c>
      <c r="G159" s="1">
        <f t="shared" si="52"/>
        <v>11.69</v>
      </c>
      <c r="H159" s="2">
        <f t="shared" si="53"/>
        <v>4.1958000000000562</v>
      </c>
      <c r="J159" s="2">
        <f t="shared" si="54"/>
        <v>3.5964000000000365</v>
      </c>
      <c r="K159" s="2">
        <f t="shared" si="55"/>
        <v>3.7462500000000438</v>
      </c>
      <c r="L159" s="2">
        <f t="shared" si="42"/>
        <v>3.7837125000000364</v>
      </c>
      <c r="M159" s="2">
        <f t="shared" si="50"/>
        <v>3.7795500000000377</v>
      </c>
      <c r="N159" s="2">
        <f t="shared" si="50"/>
        <v>3.7809375000000376</v>
      </c>
      <c r="O159" s="2">
        <f t="shared" si="50"/>
        <v>3.7823250000000379</v>
      </c>
      <c r="Q159" s="827">
        <f t="shared" si="43"/>
        <v>2.58</v>
      </c>
      <c r="R159" s="21">
        <f t="shared" si="56"/>
        <v>2.5859192525859167</v>
      </c>
      <c r="S159" s="21">
        <f t="shared" si="57"/>
        <v>10.943317901234575</v>
      </c>
      <c r="T159" s="2">
        <f t="shared" si="58"/>
        <v>3.7823250000000379</v>
      </c>
      <c r="U159" s="21">
        <f t="shared" si="59"/>
        <v>2.4857617500000502</v>
      </c>
      <c r="V159" s="828">
        <f t="shared" si="45"/>
        <v>2.58</v>
      </c>
    </row>
    <row r="160" spans="1:22" x14ac:dyDescent="0.4">
      <c r="A160" s="62">
        <v>11.75</v>
      </c>
      <c r="B160" s="62">
        <v>0.1</v>
      </c>
      <c r="C160" s="62" t="s">
        <v>742</v>
      </c>
      <c r="D160" s="62"/>
      <c r="E160" s="49">
        <f t="shared" si="41"/>
        <v>2.6</v>
      </c>
      <c r="F160" s="21">
        <f t="shared" si="51"/>
        <v>2.6026026026025999</v>
      </c>
      <c r="G160" s="1">
        <f t="shared" si="52"/>
        <v>11.75</v>
      </c>
      <c r="H160" s="2">
        <f t="shared" si="53"/>
        <v>3.5964000000000631</v>
      </c>
      <c r="J160" s="2">
        <f t="shared" si="54"/>
        <v>3.7462500000000345</v>
      </c>
      <c r="K160" s="2">
        <f t="shared" si="55"/>
        <v>3.7962000000000344</v>
      </c>
      <c r="L160" s="2">
        <f t="shared" si="42"/>
        <v>3.8211750000000406</v>
      </c>
      <c r="M160" s="2">
        <f t="shared" si="50"/>
        <v>3.8253375000000389</v>
      </c>
      <c r="N160" s="2">
        <f t="shared" si="50"/>
        <v>3.8253375000000385</v>
      </c>
      <c r="O160" s="2">
        <f t="shared" si="50"/>
        <v>3.8267250000000383</v>
      </c>
      <c r="Q160" s="827">
        <f t="shared" si="43"/>
        <v>2.6</v>
      </c>
      <c r="R160" s="21">
        <f t="shared" si="56"/>
        <v>2.6026026026025999</v>
      </c>
      <c r="S160" s="21">
        <f t="shared" si="57"/>
        <v>11.007160493827168</v>
      </c>
      <c r="T160" s="2">
        <f t="shared" si="58"/>
        <v>3.8267250000000383</v>
      </c>
      <c r="U160" s="21">
        <f t="shared" si="59"/>
        <v>2.6705767500000648</v>
      </c>
      <c r="V160" s="828">
        <f t="shared" si="45"/>
        <v>2.6</v>
      </c>
    </row>
    <row r="161" spans="1:22" x14ac:dyDescent="0.4">
      <c r="A161" s="62">
        <v>11.81</v>
      </c>
      <c r="B161" s="62">
        <v>0.1</v>
      </c>
      <c r="C161" s="62" t="s">
        <v>743</v>
      </c>
      <c r="D161" s="62"/>
      <c r="E161" s="49">
        <f t="shared" si="41"/>
        <v>2.61</v>
      </c>
      <c r="F161" s="21">
        <f t="shared" si="51"/>
        <v>2.6192859526192831</v>
      </c>
      <c r="G161" s="1">
        <f t="shared" si="52"/>
        <v>11.81</v>
      </c>
      <c r="H161" s="2">
        <f t="shared" si="53"/>
        <v>3.5964000000000631</v>
      </c>
      <c r="J161" s="2">
        <f t="shared" si="54"/>
        <v>4.0459500000000315</v>
      </c>
      <c r="K161" s="2">
        <f t="shared" si="55"/>
        <v>3.8461500000000335</v>
      </c>
      <c r="L161" s="2">
        <f t="shared" si="42"/>
        <v>3.8711250000000397</v>
      </c>
      <c r="M161" s="2">
        <f t="shared" si="50"/>
        <v>3.8711250000000388</v>
      </c>
      <c r="N161" s="2">
        <f t="shared" si="50"/>
        <v>3.8739000000000381</v>
      </c>
      <c r="O161" s="2">
        <f t="shared" si="50"/>
        <v>3.875287500000038</v>
      </c>
      <c r="Q161" s="827">
        <f t="shared" si="43"/>
        <v>2.61</v>
      </c>
      <c r="R161" s="21">
        <f t="shared" si="56"/>
        <v>2.6192859526192831</v>
      </c>
      <c r="S161" s="21">
        <f t="shared" si="57"/>
        <v>11.071813271604945</v>
      </c>
      <c r="T161" s="2">
        <f t="shared" si="58"/>
        <v>3.875287500000038</v>
      </c>
      <c r="U161" s="21">
        <f t="shared" si="59"/>
        <v>2.9200770000000182</v>
      </c>
      <c r="V161" s="828">
        <f t="shared" si="45"/>
        <v>2.61</v>
      </c>
    </row>
    <row r="162" spans="1:22" x14ac:dyDescent="0.4">
      <c r="A162" s="62">
        <v>11.88</v>
      </c>
      <c r="B162" s="62">
        <v>0.1</v>
      </c>
      <c r="C162" s="62" t="s">
        <v>744</v>
      </c>
      <c r="D162" s="62"/>
      <c r="E162" s="49">
        <f t="shared" si="41"/>
        <v>2.63</v>
      </c>
      <c r="F162" s="21">
        <f t="shared" si="51"/>
        <v>2.6359693026359663</v>
      </c>
      <c r="G162" s="1">
        <f t="shared" si="52"/>
        <v>11.88</v>
      </c>
      <c r="H162" s="2">
        <f t="shared" si="53"/>
        <v>4.1958000000000562</v>
      </c>
      <c r="J162" s="2">
        <f t="shared" si="54"/>
        <v>3.7462500000000345</v>
      </c>
      <c r="K162" s="2">
        <f t="shared" si="55"/>
        <v>3.9460500000000409</v>
      </c>
      <c r="L162" s="2">
        <f t="shared" si="42"/>
        <v>3.9210750000000365</v>
      </c>
      <c r="M162" s="2">
        <f t="shared" si="50"/>
        <v>3.925237500000037</v>
      </c>
      <c r="N162" s="2">
        <f t="shared" si="50"/>
        <v>3.9266250000000369</v>
      </c>
      <c r="O162" s="2">
        <f t="shared" si="50"/>
        <v>3.9284750000000375</v>
      </c>
      <c r="Q162" s="827">
        <f t="shared" si="43"/>
        <v>2.63</v>
      </c>
      <c r="R162" s="21">
        <f t="shared" si="56"/>
        <v>2.6359693026359663</v>
      </c>
      <c r="S162" s="21">
        <f t="shared" si="57"/>
        <v>11.137353395061735</v>
      </c>
      <c r="T162" s="2">
        <f t="shared" si="58"/>
        <v>3.9284750000000375</v>
      </c>
      <c r="U162" s="21" t="e">
        <f t="shared" si="59"/>
        <v>#VALUE!</v>
      </c>
      <c r="V162" s="828">
        <f t="shared" si="45"/>
        <v>2.63</v>
      </c>
    </row>
    <row r="163" spans="1:22" x14ac:dyDescent="0.4">
      <c r="A163" s="62">
        <v>11.95</v>
      </c>
      <c r="B163" s="62">
        <v>0.1</v>
      </c>
      <c r="C163" s="62" t="s">
        <v>745</v>
      </c>
      <c r="D163" s="62"/>
      <c r="E163" s="49">
        <f t="shared" si="41"/>
        <v>2.65</v>
      </c>
      <c r="F163" s="21">
        <f t="shared" si="51"/>
        <v>2.6526526526526495</v>
      </c>
      <c r="G163" s="1">
        <f t="shared" si="52"/>
        <v>11.95</v>
      </c>
      <c r="H163" s="2">
        <f t="shared" si="53"/>
        <v>4.1957999999999496</v>
      </c>
      <c r="J163" s="2">
        <f t="shared" si="54"/>
        <v>4.0459500000000572</v>
      </c>
      <c r="K163" s="2">
        <f t="shared" si="55"/>
        <v>3.99600000000004</v>
      </c>
      <c r="L163" s="2">
        <f t="shared" si="42"/>
        <v>3.9835125000000358</v>
      </c>
      <c r="M163" s="2">
        <f t="shared" si="50"/>
        <v>3.9835125000000358</v>
      </c>
      <c r="N163" s="2">
        <f t="shared" si="50"/>
        <v>3.9849000000000365</v>
      </c>
      <c r="O163" s="2" t="e">
        <f t="shared" si="50"/>
        <v>#VALUE!</v>
      </c>
      <c r="Q163" s="827">
        <f t="shared" si="43"/>
        <v>2.65</v>
      </c>
      <c r="R163" s="21">
        <f t="shared" si="56"/>
        <v>2.6526526526526495</v>
      </c>
      <c r="S163" s="21" t="e">
        <f t="shared" si="57"/>
        <v>#VALUE!</v>
      </c>
      <c r="T163" s="2" t="e">
        <f t="shared" si="58"/>
        <v>#VALUE!</v>
      </c>
      <c r="U163" s="21" t="e">
        <f t="shared" si="59"/>
        <v>#VALUE!</v>
      </c>
      <c r="V163" s="828">
        <f t="shared" si="45"/>
        <v>2.65</v>
      </c>
    </row>
    <row r="164" spans="1:22" x14ac:dyDescent="0.4">
      <c r="A164" s="62">
        <v>12.01</v>
      </c>
      <c r="B164" s="62">
        <v>0.1</v>
      </c>
      <c r="C164" s="62" t="s">
        <v>746</v>
      </c>
      <c r="D164" s="62"/>
      <c r="E164" s="49">
        <f t="shared" si="41"/>
        <v>2.66</v>
      </c>
      <c r="F164" s="21">
        <f t="shared" si="51"/>
        <v>2.6693360026693327</v>
      </c>
      <c r="G164" s="1">
        <f t="shared" si="52"/>
        <v>12.01</v>
      </c>
      <c r="H164" s="2">
        <f t="shared" si="53"/>
        <v>3.5964000000000631</v>
      </c>
      <c r="J164" s="2">
        <f t="shared" si="54"/>
        <v>4.1958000000000295</v>
      </c>
      <c r="K164" s="2">
        <f t="shared" si="55"/>
        <v>4.0459500000000395</v>
      </c>
      <c r="L164" s="2">
        <f t="shared" si="42"/>
        <v>4.045950000000035</v>
      </c>
      <c r="M164" s="2">
        <f t="shared" si="50"/>
        <v>4.0459500000000359</v>
      </c>
      <c r="N164" s="2" t="e">
        <f t="shared" si="50"/>
        <v>#VALUE!</v>
      </c>
      <c r="O164" s="2" t="e">
        <f t="shared" si="50"/>
        <v>#VALUE!</v>
      </c>
      <c r="Q164" s="827">
        <f t="shared" si="43"/>
        <v>2.66</v>
      </c>
      <c r="R164" s="21">
        <f t="shared" si="56"/>
        <v>2.6693360026693327</v>
      </c>
      <c r="S164" s="21" t="e">
        <f t="shared" si="57"/>
        <v>#VALUE!</v>
      </c>
      <c r="T164" s="2" t="e">
        <f t="shared" si="58"/>
        <v>#VALUE!</v>
      </c>
      <c r="U164" s="21" t="e">
        <f t="shared" si="59"/>
        <v>#VALUE!</v>
      </c>
      <c r="V164" s="828">
        <f t="shared" si="45"/>
        <v>2.66</v>
      </c>
    </row>
    <row r="165" spans="1:22" x14ac:dyDescent="0.4">
      <c r="A165" s="62">
        <v>12.09</v>
      </c>
      <c r="B165" s="62">
        <v>0.1</v>
      </c>
      <c r="C165" s="62" t="s">
        <v>747</v>
      </c>
      <c r="D165" s="62"/>
      <c r="E165" s="49">
        <f t="shared" si="41"/>
        <v>2.68</v>
      </c>
      <c r="F165" s="21">
        <f t="shared" si="51"/>
        <v>2.6860193526860159</v>
      </c>
      <c r="G165" s="1">
        <f t="shared" si="52"/>
        <v>12.09</v>
      </c>
      <c r="H165" s="2">
        <f t="shared" si="53"/>
        <v>4.7952000000000483</v>
      </c>
      <c r="J165" s="2">
        <f t="shared" si="54"/>
        <v>3.8961000000000325</v>
      </c>
      <c r="K165" s="2">
        <f t="shared" si="55"/>
        <v>4.0959000000000305</v>
      </c>
      <c r="L165" s="2">
        <f t="shared" si="42"/>
        <v>4.1083875000000365</v>
      </c>
      <c r="M165" s="2" t="e">
        <f t="shared" si="50"/>
        <v>#VALUE!</v>
      </c>
      <c r="N165" s="2" t="e">
        <f t="shared" si="50"/>
        <v>#VALUE!</v>
      </c>
      <c r="O165" s="2" t="e">
        <f t="shared" si="50"/>
        <v>#VALUE!</v>
      </c>
      <c r="Q165" s="827">
        <f t="shared" si="43"/>
        <v>2.68</v>
      </c>
      <c r="R165" s="21">
        <f t="shared" si="56"/>
        <v>2.6860193526860159</v>
      </c>
      <c r="S165" s="21" t="e">
        <f t="shared" si="57"/>
        <v>#VALUE!</v>
      </c>
      <c r="T165" s="2" t="e">
        <f t="shared" si="58"/>
        <v>#VALUE!</v>
      </c>
      <c r="U165" s="21" t="e">
        <f t="shared" si="59"/>
        <v>#VALUE!</v>
      </c>
      <c r="V165" s="828">
        <f t="shared" si="45"/>
        <v>2.68</v>
      </c>
    </row>
    <row r="166" spans="1:22" x14ac:dyDescent="0.4">
      <c r="A166" s="62">
        <v>12.15</v>
      </c>
      <c r="B166" s="62">
        <v>0.1</v>
      </c>
      <c r="C166" s="62" t="s">
        <v>748</v>
      </c>
      <c r="D166" s="62"/>
      <c r="E166" s="49">
        <f t="shared" si="41"/>
        <v>2.7</v>
      </c>
      <c r="F166" s="21">
        <f t="shared" si="51"/>
        <v>2.7027027027026991</v>
      </c>
      <c r="G166" s="1">
        <f t="shared" si="52"/>
        <v>12.15</v>
      </c>
      <c r="H166" s="2">
        <f t="shared" si="53"/>
        <v>3.5964000000000631</v>
      </c>
      <c r="J166" s="2">
        <f t="shared" si="54"/>
        <v>4.1958000000000286</v>
      </c>
      <c r="K166" s="2">
        <f t="shared" si="55"/>
        <v>4.1458500000000287</v>
      </c>
      <c r="L166" s="2" t="e">
        <f t="shared" si="42"/>
        <v>#VALUE!</v>
      </c>
      <c r="M166" s="2" t="e">
        <f t="shared" si="50"/>
        <v>#VALUE!</v>
      </c>
      <c r="N166" s="2" t="e">
        <f t="shared" si="50"/>
        <v>#VALUE!</v>
      </c>
      <c r="O166" s="2" t="e">
        <f t="shared" si="50"/>
        <v>#VALUE!</v>
      </c>
      <c r="Q166" s="827">
        <f t="shared" si="43"/>
        <v>2.7</v>
      </c>
      <c r="R166" s="21">
        <f t="shared" si="56"/>
        <v>2.7027027027026991</v>
      </c>
      <c r="S166" s="21" t="e">
        <f t="shared" si="57"/>
        <v>#VALUE!</v>
      </c>
      <c r="T166" s="2" t="e">
        <f t="shared" si="58"/>
        <v>#VALUE!</v>
      </c>
      <c r="U166" s="21" t="e">
        <f t="shared" si="59"/>
        <v>#VALUE!</v>
      </c>
      <c r="V166" s="828">
        <f t="shared" si="45"/>
        <v>2.7</v>
      </c>
    </row>
    <row r="167" spans="1:22" x14ac:dyDescent="0.4">
      <c r="A167" s="62">
        <v>12.22</v>
      </c>
      <c r="B167" s="62">
        <v>0.1</v>
      </c>
      <c r="C167" s="62" t="s">
        <v>749</v>
      </c>
      <c r="D167" s="62"/>
      <c r="E167" s="49">
        <f t="shared" si="41"/>
        <v>2.71</v>
      </c>
      <c r="F167" s="21">
        <f t="shared" si="51"/>
        <v>2.7193860527193823</v>
      </c>
      <c r="G167" s="1">
        <f t="shared" si="52"/>
        <v>12.22</v>
      </c>
      <c r="H167" s="2">
        <f t="shared" si="53"/>
        <v>4.1958000000000562</v>
      </c>
      <c r="J167" s="2">
        <f t="shared" si="54"/>
        <v>4.3456500000000267</v>
      </c>
      <c r="K167" s="2">
        <f t="shared" si="55"/>
        <v>4.2457500000000366</v>
      </c>
      <c r="L167" s="2" t="e">
        <f t="shared" si="42"/>
        <v>#VALUE!</v>
      </c>
      <c r="M167" s="2" t="e">
        <f t="shared" si="50"/>
        <v>#VALUE!</v>
      </c>
      <c r="N167" s="2" t="e">
        <f t="shared" si="50"/>
        <v>#VALUE!</v>
      </c>
      <c r="O167" s="2" t="e">
        <f t="shared" si="50"/>
        <v>#VALUE!</v>
      </c>
      <c r="Q167" s="827">
        <f t="shared" si="43"/>
        <v>2.71</v>
      </c>
      <c r="R167" s="21">
        <f t="shared" si="56"/>
        <v>2.7193860527193823</v>
      </c>
      <c r="S167" s="21" t="e">
        <f t="shared" si="57"/>
        <v>#VALUE!</v>
      </c>
      <c r="T167" s="2" t="e">
        <f t="shared" si="58"/>
        <v>#VALUE!</v>
      </c>
      <c r="U167" s="21" t="e">
        <f t="shared" si="59"/>
        <v>#VALUE!</v>
      </c>
      <c r="V167" s="828">
        <f t="shared" si="45"/>
        <v>2.71</v>
      </c>
    </row>
    <row r="168" spans="1:22" x14ac:dyDescent="0.4">
      <c r="A168" s="62">
        <v>12.29</v>
      </c>
      <c r="B168" s="62">
        <v>0.1</v>
      </c>
      <c r="C168" s="62" t="s">
        <v>750</v>
      </c>
      <c r="D168" s="62"/>
      <c r="E168" s="49">
        <f t="shared" si="41"/>
        <v>2.73</v>
      </c>
      <c r="F168" s="21">
        <f t="shared" si="51"/>
        <v>2.7360694027360655</v>
      </c>
      <c r="G168" s="1">
        <f t="shared" si="52"/>
        <v>12.29</v>
      </c>
      <c r="H168" s="2">
        <f t="shared" si="53"/>
        <v>4.1957999999999496</v>
      </c>
      <c r="J168" s="2">
        <f t="shared" si="54"/>
        <v>4.1958000000000562</v>
      </c>
      <c r="K168" s="2" t="e">
        <f t="shared" si="55"/>
        <v>#VALUE!</v>
      </c>
      <c r="L168" s="2" t="e">
        <f t="shared" si="42"/>
        <v>#VALUE!</v>
      </c>
      <c r="M168" s="2" t="e">
        <f t="shared" si="50"/>
        <v>#VALUE!</v>
      </c>
      <c r="N168" s="2" t="e">
        <f t="shared" si="50"/>
        <v>#VALUE!</v>
      </c>
      <c r="O168" s="2" t="e">
        <f t="shared" si="50"/>
        <v>#VALUE!</v>
      </c>
      <c r="Q168" s="827">
        <f t="shared" si="43"/>
        <v>2.73</v>
      </c>
      <c r="R168" s="21">
        <f t="shared" si="56"/>
        <v>2.7360694027360655</v>
      </c>
      <c r="S168" s="21" t="e">
        <f t="shared" si="57"/>
        <v>#VALUE!</v>
      </c>
      <c r="T168" s="2" t="e">
        <f t="shared" si="58"/>
        <v>#VALUE!</v>
      </c>
      <c r="U168" s="21" t="e">
        <f t="shared" si="59"/>
        <v>#VALUE!</v>
      </c>
      <c r="V168" s="828">
        <f t="shared" si="45"/>
        <v>2.73</v>
      </c>
    </row>
    <row r="169" spans="1:22" x14ac:dyDescent="0.4">
      <c r="A169" s="62">
        <v>12.37</v>
      </c>
      <c r="B169" s="62">
        <v>0.1</v>
      </c>
      <c r="C169" s="62" t="s">
        <v>751</v>
      </c>
      <c r="D169" s="62"/>
      <c r="E169" s="49">
        <f t="shared" si="41"/>
        <v>2.75</v>
      </c>
      <c r="F169" s="21">
        <f t="shared" si="51"/>
        <v>2.7527527527527487</v>
      </c>
      <c r="G169" s="1">
        <f t="shared" si="52"/>
        <v>12.37</v>
      </c>
      <c r="H169" s="2">
        <f t="shared" si="53"/>
        <v>4.7952000000000483</v>
      </c>
      <c r="J169" s="2" t="e">
        <f t="shared" si="54"/>
        <v>#VALUE!</v>
      </c>
      <c r="K169" s="2" t="e">
        <f t="shared" si="55"/>
        <v>#VALUE!</v>
      </c>
      <c r="L169" s="2" t="e">
        <f t="shared" si="42"/>
        <v>#VALUE!</v>
      </c>
      <c r="M169" s="2" t="e">
        <f t="shared" si="50"/>
        <v>#VALUE!</v>
      </c>
      <c r="N169" s="2" t="e">
        <f t="shared" si="50"/>
        <v>#VALUE!</v>
      </c>
      <c r="O169" s="2" t="e">
        <f t="shared" si="50"/>
        <v>#VALUE!</v>
      </c>
      <c r="Q169" s="827">
        <f t="shared" si="43"/>
        <v>2.75</v>
      </c>
      <c r="R169" s="21">
        <f t="shared" si="56"/>
        <v>2.7527527527527487</v>
      </c>
      <c r="S169" s="21" t="e">
        <f t="shared" si="57"/>
        <v>#VALUE!</v>
      </c>
      <c r="T169" s="2" t="e">
        <f t="shared" si="58"/>
        <v>#VALUE!</v>
      </c>
      <c r="U169" s="21" t="e">
        <f t="shared" si="59"/>
        <v>#VALUE!</v>
      </c>
      <c r="V169" s="828">
        <f t="shared" si="45"/>
        <v>2.75</v>
      </c>
    </row>
    <row r="170" spans="1:22" x14ac:dyDescent="0.4">
      <c r="A170" s="62">
        <v>12.44</v>
      </c>
      <c r="B170" s="62">
        <v>0.1</v>
      </c>
      <c r="C170" s="62" t="s">
        <v>752</v>
      </c>
      <c r="D170" s="62"/>
      <c r="E170" s="49">
        <f t="shared" si="41"/>
        <v>2.76</v>
      </c>
      <c r="F170" s="21">
        <f t="shared" ref="F170:F199" si="60">IF(A170="","",(1/F$2)+F169)</f>
        <v>2.7694361027694319</v>
      </c>
      <c r="G170" s="1">
        <f t="shared" ref="G170:G199" si="61">ABS(A170)</f>
        <v>12.44</v>
      </c>
      <c r="H170" s="2">
        <f t="shared" ref="H170:H199" si="62">(G170-G169)/(F170-F169)</f>
        <v>4.1958000000000562</v>
      </c>
      <c r="J170" s="2" t="e">
        <f t="shared" ref="J170:J199" si="63">ABS(AVERAGE(H168,H169,H171,H172))</f>
        <v>#VALUE!</v>
      </c>
      <c r="K170" s="2" t="e">
        <f t="shared" ref="K170:K199" si="64">AVERAGE(J169:J171)</f>
        <v>#VALUE!</v>
      </c>
      <c r="L170" s="2" t="e">
        <f t="shared" si="42"/>
        <v>#VALUE!</v>
      </c>
      <c r="M170" s="2" t="e">
        <f t="shared" si="50"/>
        <v>#VALUE!</v>
      </c>
      <c r="N170" s="2" t="e">
        <f t="shared" si="50"/>
        <v>#VALUE!</v>
      </c>
      <c r="O170" s="2" t="e">
        <f t="shared" si="50"/>
        <v>#VALUE!</v>
      </c>
      <c r="Q170" s="827">
        <f t="shared" si="43"/>
        <v>2.76</v>
      </c>
      <c r="R170" s="21">
        <f t="shared" ref="R170:R199" si="65">F170</f>
        <v>2.7694361027694319</v>
      </c>
      <c r="S170" s="21" t="e">
        <f t="shared" ref="S170:S199" si="66">(F170-F169)*O170+S169</f>
        <v>#VALUE!</v>
      </c>
      <c r="T170" s="2" t="e">
        <f t="shared" ref="T170:T199" si="67">O170</f>
        <v>#VALUE!</v>
      </c>
      <c r="U170" s="21" t="e">
        <f t="shared" ref="U170:U199" si="68">(AVERAGE(T169:T171)-AVERAGE(T168:T170))/(R170-R169)</f>
        <v>#VALUE!</v>
      </c>
      <c r="V170" s="828">
        <f t="shared" si="45"/>
        <v>2.76</v>
      </c>
    </row>
    <row r="171" spans="1:22" x14ac:dyDescent="0.4">
      <c r="A171" s="62"/>
      <c r="B171" s="62"/>
      <c r="C171" s="62"/>
      <c r="D171" s="62"/>
      <c r="F171" s="21" t="str">
        <f t="shared" si="60"/>
        <v/>
      </c>
      <c r="G171" s="1">
        <f t="shared" si="61"/>
        <v>0</v>
      </c>
      <c r="H171" s="2" t="e">
        <f t="shared" si="62"/>
        <v>#VALUE!</v>
      </c>
      <c r="J171" s="2" t="e">
        <f t="shared" si="63"/>
        <v>#VALUE!</v>
      </c>
      <c r="K171" s="2" t="e">
        <f t="shared" si="64"/>
        <v>#VALUE!</v>
      </c>
      <c r="L171" s="2" t="e">
        <f t="shared" si="42"/>
        <v>#VALUE!</v>
      </c>
      <c r="M171" s="2" t="e">
        <f t="shared" si="50"/>
        <v>#VALUE!</v>
      </c>
      <c r="N171" s="2" t="e">
        <f t="shared" si="50"/>
        <v>#VALUE!</v>
      </c>
      <c r="O171" s="2" t="e">
        <f t="shared" si="50"/>
        <v>#VALUE!</v>
      </c>
      <c r="Q171" s="827">
        <f t="shared" si="43"/>
        <v>0</v>
      </c>
      <c r="R171" s="21" t="str">
        <f t="shared" si="65"/>
        <v/>
      </c>
      <c r="S171" s="21" t="e">
        <f t="shared" si="66"/>
        <v>#VALUE!</v>
      </c>
      <c r="T171" s="2" t="e">
        <f t="shared" si="67"/>
        <v>#VALUE!</v>
      </c>
      <c r="U171" s="21" t="e">
        <f t="shared" si="68"/>
        <v>#VALUE!</v>
      </c>
      <c r="V171" s="828">
        <f t="shared" si="45"/>
        <v>0</v>
      </c>
    </row>
    <row r="172" spans="1:22" x14ac:dyDescent="0.4">
      <c r="A172" s="62"/>
      <c r="B172" s="62"/>
      <c r="C172" s="62"/>
      <c r="D172" s="62"/>
      <c r="F172" s="21" t="str">
        <f t="shared" si="60"/>
        <v/>
      </c>
      <c r="G172" s="1">
        <f t="shared" si="61"/>
        <v>0</v>
      </c>
      <c r="H172" s="2" t="e">
        <f t="shared" si="62"/>
        <v>#VALUE!</v>
      </c>
      <c r="J172" s="2" t="e">
        <f t="shared" si="63"/>
        <v>#VALUE!</v>
      </c>
      <c r="K172" s="2" t="e">
        <f t="shared" si="64"/>
        <v>#VALUE!</v>
      </c>
      <c r="L172" s="2" t="e">
        <f t="shared" si="42"/>
        <v>#VALUE!</v>
      </c>
      <c r="M172" s="2" t="e">
        <f t="shared" ref="M172:O199" si="69">AVERAGE(L171:L173)</f>
        <v>#VALUE!</v>
      </c>
      <c r="N172" s="2" t="e">
        <f t="shared" si="69"/>
        <v>#VALUE!</v>
      </c>
      <c r="O172" s="2" t="e">
        <f t="shared" si="69"/>
        <v>#VALUE!</v>
      </c>
      <c r="Q172" s="827">
        <f t="shared" si="43"/>
        <v>0</v>
      </c>
      <c r="R172" s="21" t="str">
        <f t="shared" si="65"/>
        <v/>
      </c>
      <c r="S172" s="21" t="e">
        <f t="shared" si="66"/>
        <v>#VALUE!</v>
      </c>
      <c r="T172" s="2" t="e">
        <f t="shared" si="67"/>
        <v>#VALUE!</v>
      </c>
      <c r="U172" s="21" t="e">
        <f t="shared" si="68"/>
        <v>#VALUE!</v>
      </c>
      <c r="V172" s="828">
        <f t="shared" si="45"/>
        <v>0</v>
      </c>
    </row>
    <row r="173" spans="1:22" x14ac:dyDescent="0.4">
      <c r="A173" s="62"/>
      <c r="B173" s="62"/>
      <c r="C173" s="62"/>
      <c r="D173" s="62"/>
      <c r="F173" s="21" t="str">
        <f t="shared" si="60"/>
        <v/>
      </c>
      <c r="G173" s="1">
        <f t="shared" si="61"/>
        <v>0</v>
      </c>
      <c r="H173" s="2" t="e">
        <f t="shared" si="62"/>
        <v>#VALUE!</v>
      </c>
      <c r="J173" s="2" t="e">
        <f t="shared" si="63"/>
        <v>#VALUE!</v>
      </c>
      <c r="K173" s="2" t="e">
        <f t="shared" si="64"/>
        <v>#VALUE!</v>
      </c>
      <c r="L173" s="2" t="e">
        <f t="shared" si="42"/>
        <v>#VALUE!</v>
      </c>
      <c r="M173" s="2" t="e">
        <f t="shared" si="69"/>
        <v>#VALUE!</v>
      </c>
      <c r="N173" s="2" t="e">
        <f t="shared" si="69"/>
        <v>#VALUE!</v>
      </c>
      <c r="O173" s="2" t="e">
        <f t="shared" si="69"/>
        <v>#VALUE!</v>
      </c>
      <c r="Q173" s="827">
        <f t="shared" si="43"/>
        <v>0</v>
      </c>
      <c r="R173" s="21" t="str">
        <f t="shared" si="65"/>
        <v/>
      </c>
      <c r="S173" s="21" t="e">
        <f t="shared" si="66"/>
        <v>#VALUE!</v>
      </c>
      <c r="T173" s="2" t="e">
        <f t="shared" si="67"/>
        <v>#VALUE!</v>
      </c>
      <c r="U173" s="21" t="e">
        <f t="shared" si="68"/>
        <v>#VALUE!</v>
      </c>
      <c r="V173" s="828">
        <f t="shared" si="45"/>
        <v>0</v>
      </c>
    </row>
    <row r="174" spans="1:22" x14ac:dyDescent="0.4">
      <c r="A174" s="62"/>
      <c r="B174" s="62"/>
      <c r="C174" s="62"/>
      <c r="D174" s="62"/>
      <c r="F174" s="21" t="str">
        <f t="shared" si="60"/>
        <v/>
      </c>
      <c r="G174" s="1">
        <f t="shared" si="61"/>
        <v>0</v>
      </c>
      <c r="H174" s="2" t="e">
        <f t="shared" si="62"/>
        <v>#VALUE!</v>
      </c>
      <c r="J174" s="2" t="e">
        <f t="shared" si="63"/>
        <v>#VALUE!</v>
      </c>
      <c r="K174" s="2" t="e">
        <f t="shared" si="64"/>
        <v>#VALUE!</v>
      </c>
      <c r="L174" s="2" t="e">
        <f t="shared" si="42"/>
        <v>#VALUE!</v>
      </c>
      <c r="M174" s="2" t="e">
        <f t="shared" si="69"/>
        <v>#VALUE!</v>
      </c>
      <c r="N174" s="2" t="e">
        <f t="shared" si="69"/>
        <v>#VALUE!</v>
      </c>
      <c r="O174" s="2" t="e">
        <f t="shared" si="69"/>
        <v>#VALUE!</v>
      </c>
      <c r="Q174" s="827">
        <f t="shared" si="43"/>
        <v>0</v>
      </c>
      <c r="R174" s="21" t="str">
        <f t="shared" si="65"/>
        <v/>
      </c>
      <c r="S174" s="21" t="e">
        <f t="shared" si="66"/>
        <v>#VALUE!</v>
      </c>
      <c r="T174" s="2" t="e">
        <f t="shared" si="67"/>
        <v>#VALUE!</v>
      </c>
      <c r="U174" s="21" t="e">
        <f t="shared" si="68"/>
        <v>#VALUE!</v>
      </c>
      <c r="V174" s="828">
        <f t="shared" si="45"/>
        <v>0</v>
      </c>
    </row>
    <row r="175" spans="1:22" x14ac:dyDescent="0.4">
      <c r="A175" s="62"/>
      <c r="B175" s="62"/>
      <c r="C175" s="62"/>
      <c r="D175" s="62"/>
      <c r="F175" s="21" t="str">
        <f t="shared" si="60"/>
        <v/>
      </c>
      <c r="G175" s="1">
        <f t="shared" si="61"/>
        <v>0</v>
      </c>
      <c r="H175" s="2" t="e">
        <f t="shared" si="62"/>
        <v>#VALUE!</v>
      </c>
      <c r="J175" s="2" t="e">
        <f t="shared" si="63"/>
        <v>#VALUE!</v>
      </c>
      <c r="K175" s="2" t="e">
        <f t="shared" si="64"/>
        <v>#VALUE!</v>
      </c>
      <c r="L175" s="2" t="e">
        <f t="shared" si="42"/>
        <v>#VALUE!</v>
      </c>
      <c r="M175" s="2" t="e">
        <f t="shared" si="69"/>
        <v>#VALUE!</v>
      </c>
      <c r="N175" s="2" t="e">
        <f t="shared" si="69"/>
        <v>#VALUE!</v>
      </c>
      <c r="O175" s="2" t="e">
        <f t="shared" si="69"/>
        <v>#VALUE!</v>
      </c>
      <c r="Q175" s="827">
        <f t="shared" si="43"/>
        <v>0</v>
      </c>
      <c r="R175" s="21" t="str">
        <f t="shared" si="65"/>
        <v/>
      </c>
      <c r="S175" s="21" t="e">
        <f t="shared" si="66"/>
        <v>#VALUE!</v>
      </c>
      <c r="T175" s="2" t="e">
        <f t="shared" si="67"/>
        <v>#VALUE!</v>
      </c>
      <c r="U175" s="21" t="e">
        <f t="shared" si="68"/>
        <v>#VALUE!</v>
      </c>
      <c r="V175" s="828">
        <f t="shared" si="45"/>
        <v>0</v>
      </c>
    </row>
    <row r="176" spans="1:22" x14ac:dyDescent="0.4">
      <c r="A176" s="62"/>
      <c r="B176" s="62"/>
      <c r="C176" s="62"/>
      <c r="D176" s="62"/>
      <c r="F176" s="21" t="str">
        <f t="shared" si="60"/>
        <v/>
      </c>
      <c r="G176" s="1">
        <f t="shared" si="61"/>
        <v>0</v>
      </c>
      <c r="H176" s="2" t="e">
        <f t="shared" si="62"/>
        <v>#VALUE!</v>
      </c>
      <c r="J176" s="2" t="e">
        <f t="shared" si="63"/>
        <v>#VALUE!</v>
      </c>
      <c r="K176" s="2" t="e">
        <f t="shared" si="64"/>
        <v>#VALUE!</v>
      </c>
      <c r="L176" s="2" t="e">
        <f t="shared" si="42"/>
        <v>#VALUE!</v>
      </c>
      <c r="M176" s="2" t="e">
        <f t="shared" si="69"/>
        <v>#VALUE!</v>
      </c>
      <c r="N176" s="2" t="e">
        <f t="shared" si="69"/>
        <v>#VALUE!</v>
      </c>
      <c r="O176" s="2" t="e">
        <f t="shared" si="69"/>
        <v>#VALUE!</v>
      </c>
      <c r="Q176" s="827">
        <f t="shared" si="43"/>
        <v>0</v>
      </c>
      <c r="R176" s="21" t="str">
        <f t="shared" si="65"/>
        <v/>
      </c>
      <c r="S176" s="21" t="e">
        <f t="shared" si="66"/>
        <v>#VALUE!</v>
      </c>
      <c r="T176" s="2" t="e">
        <f t="shared" si="67"/>
        <v>#VALUE!</v>
      </c>
      <c r="U176" s="21" t="e">
        <f t="shared" si="68"/>
        <v>#VALUE!</v>
      </c>
      <c r="V176" s="828">
        <f t="shared" si="45"/>
        <v>0</v>
      </c>
    </row>
    <row r="177" spans="1:22" x14ac:dyDescent="0.4">
      <c r="A177" s="62"/>
      <c r="B177" s="62"/>
      <c r="C177" s="62"/>
      <c r="D177" s="62"/>
      <c r="F177" s="21" t="str">
        <f t="shared" si="60"/>
        <v/>
      </c>
      <c r="G177" s="1">
        <f t="shared" si="61"/>
        <v>0</v>
      </c>
      <c r="H177" s="2" t="e">
        <f t="shared" si="62"/>
        <v>#VALUE!</v>
      </c>
      <c r="J177" s="2" t="e">
        <f t="shared" si="63"/>
        <v>#VALUE!</v>
      </c>
      <c r="K177" s="2" t="e">
        <f t="shared" si="64"/>
        <v>#VALUE!</v>
      </c>
      <c r="L177" s="2" t="e">
        <f t="shared" si="42"/>
        <v>#VALUE!</v>
      </c>
      <c r="M177" s="2" t="e">
        <f t="shared" si="69"/>
        <v>#VALUE!</v>
      </c>
      <c r="N177" s="2" t="e">
        <f t="shared" si="69"/>
        <v>#VALUE!</v>
      </c>
      <c r="O177" s="2" t="e">
        <f t="shared" si="69"/>
        <v>#VALUE!</v>
      </c>
      <c r="Q177" s="827">
        <f t="shared" si="43"/>
        <v>0</v>
      </c>
      <c r="R177" s="21" t="str">
        <f t="shared" si="65"/>
        <v/>
      </c>
      <c r="S177" s="21" t="e">
        <f t="shared" si="66"/>
        <v>#VALUE!</v>
      </c>
      <c r="T177" s="2" t="e">
        <f t="shared" si="67"/>
        <v>#VALUE!</v>
      </c>
      <c r="U177" s="21" t="e">
        <f t="shared" si="68"/>
        <v>#VALUE!</v>
      </c>
      <c r="V177" s="828">
        <f t="shared" si="45"/>
        <v>0</v>
      </c>
    </row>
    <row r="178" spans="1:22" x14ac:dyDescent="0.4">
      <c r="A178" s="62"/>
      <c r="B178" s="62"/>
      <c r="C178" s="62"/>
      <c r="D178" s="62"/>
      <c r="F178" s="21" t="str">
        <f t="shared" si="60"/>
        <v/>
      </c>
      <c r="G178" s="1">
        <f t="shared" si="61"/>
        <v>0</v>
      </c>
      <c r="H178" s="2" t="e">
        <f t="shared" si="62"/>
        <v>#VALUE!</v>
      </c>
      <c r="J178" s="2" t="e">
        <f t="shared" si="63"/>
        <v>#VALUE!</v>
      </c>
      <c r="K178" s="2" t="e">
        <f t="shared" si="64"/>
        <v>#VALUE!</v>
      </c>
      <c r="L178" s="2" t="e">
        <f t="shared" si="42"/>
        <v>#VALUE!</v>
      </c>
      <c r="M178" s="2" t="e">
        <f t="shared" si="69"/>
        <v>#VALUE!</v>
      </c>
      <c r="N178" s="2" t="e">
        <f t="shared" si="69"/>
        <v>#VALUE!</v>
      </c>
      <c r="O178" s="2" t="e">
        <f t="shared" si="69"/>
        <v>#VALUE!</v>
      </c>
      <c r="Q178" s="827">
        <f t="shared" si="43"/>
        <v>0</v>
      </c>
      <c r="R178" s="21" t="str">
        <f t="shared" si="65"/>
        <v/>
      </c>
      <c r="S178" s="21" t="e">
        <f t="shared" si="66"/>
        <v>#VALUE!</v>
      </c>
      <c r="T178" s="2" t="e">
        <f t="shared" si="67"/>
        <v>#VALUE!</v>
      </c>
      <c r="U178" s="21" t="e">
        <f t="shared" si="68"/>
        <v>#VALUE!</v>
      </c>
      <c r="V178" s="828">
        <f t="shared" si="45"/>
        <v>0</v>
      </c>
    </row>
    <row r="179" spans="1:22" x14ac:dyDescent="0.4">
      <c r="A179" s="62"/>
      <c r="B179" s="62"/>
      <c r="C179" s="62"/>
      <c r="D179" s="62"/>
      <c r="F179" s="21" t="str">
        <f t="shared" si="60"/>
        <v/>
      </c>
      <c r="G179" s="1">
        <f t="shared" si="61"/>
        <v>0</v>
      </c>
      <c r="H179" s="2" t="e">
        <f t="shared" si="62"/>
        <v>#VALUE!</v>
      </c>
      <c r="J179" s="2" t="e">
        <f t="shared" si="63"/>
        <v>#VALUE!</v>
      </c>
      <c r="K179" s="2" t="e">
        <f t="shared" si="64"/>
        <v>#VALUE!</v>
      </c>
      <c r="L179" s="2" t="e">
        <f t="shared" si="42"/>
        <v>#VALUE!</v>
      </c>
      <c r="M179" s="2" t="e">
        <f t="shared" si="69"/>
        <v>#VALUE!</v>
      </c>
      <c r="N179" s="2" t="e">
        <f t="shared" si="69"/>
        <v>#VALUE!</v>
      </c>
      <c r="O179" s="2" t="e">
        <f t="shared" si="69"/>
        <v>#VALUE!</v>
      </c>
      <c r="Q179" s="827">
        <f t="shared" si="43"/>
        <v>0</v>
      </c>
      <c r="R179" s="21" t="str">
        <f t="shared" si="65"/>
        <v/>
      </c>
      <c r="S179" s="21" t="e">
        <f t="shared" si="66"/>
        <v>#VALUE!</v>
      </c>
      <c r="T179" s="2" t="e">
        <f t="shared" si="67"/>
        <v>#VALUE!</v>
      </c>
      <c r="U179" s="21" t="e">
        <f t="shared" si="68"/>
        <v>#VALUE!</v>
      </c>
      <c r="V179" s="828">
        <f t="shared" si="45"/>
        <v>0</v>
      </c>
    </row>
    <row r="180" spans="1:22" x14ac:dyDescent="0.4">
      <c r="A180" s="62"/>
      <c r="B180" s="62"/>
      <c r="C180" s="62"/>
      <c r="D180" s="62"/>
      <c r="F180" s="21" t="str">
        <f t="shared" si="60"/>
        <v/>
      </c>
      <c r="G180" s="1">
        <f t="shared" si="61"/>
        <v>0</v>
      </c>
      <c r="H180" s="2" t="e">
        <f t="shared" si="62"/>
        <v>#VALUE!</v>
      </c>
      <c r="J180" s="2" t="e">
        <f t="shared" si="63"/>
        <v>#VALUE!</v>
      </c>
      <c r="K180" s="2" t="e">
        <f t="shared" si="64"/>
        <v>#VALUE!</v>
      </c>
      <c r="L180" s="2" t="e">
        <f t="shared" si="42"/>
        <v>#VALUE!</v>
      </c>
      <c r="M180" s="2" t="e">
        <f t="shared" si="69"/>
        <v>#VALUE!</v>
      </c>
      <c r="N180" s="2" t="e">
        <f t="shared" si="69"/>
        <v>#VALUE!</v>
      </c>
      <c r="O180" s="2" t="e">
        <f t="shared" si="69"/>
        <v>#VALUE!</v>
      </c>
      <c r="Q180" s="827">
        <f t="shared" si="43"/>
        <v>0</v>
      </c>
      <c r="R180" s="21" t="str">
        <f t="shared" si="65"/>
        <v/>
      </c>
      <c r="S180" s="21" t="e">
        <f t="shared" si="66"/>
        <v>#VALUE!</v>
      </c>
      <c r="T180" s="2" t="e">
        <f t="shared" si="67"/>
        <v>#VALUE!</v>
      </c>
      <c r="U180" s="21" t="e">
        <f t="shared" si="68"/>
        <v>#VALUE!</v>
      </c>
      <c r="V180" s="828">
        <f t="shared" si="45"/>
        <v>0</v>
      </c>
    </row>
    <row r="181" spans="1:22" x14ac:dyDescent="0.4">
      <c r="A181" s="62"/>
      <c r="B181" s="62"/>
      <c r="C181" s="62"/>
      <c r="D181" s="62"/>
      <c r="F181" s="21" t="str">
        <f t="shared" si="60"/>
        <v/>
      </c>
      <c r="G181" s="1">
        <f t="shared" si="61"/>
        <v>0</v>
      </c>
      <c r="H181" s="2" t="e">
        <f t="shared" si="62"/>
        <v>#VALUE!</v>
      </c>
      <c r="J181" s="2" t="e">
        <f t="shared" si="63"/>
        <v>#VALUE!</v>
      </c>
      <c r="K181" s="2" t="e">
        <f t="shared" si="64"/>
        <v>#VALUE!</v>
      </c>
      <c r="L181" s="2" t="e">
        <f t="shared" si="42"/>
        <v>#VALUE!</v>
      </c>
      <c r="M181" s="2" t="e">
        <f t="shared" si="69"/>
        <v>#VALUE!</v>
      </c>
      <c r="N181" s="2" t="e">
        <f t="shared" si="69"/>
        <v>#VALUE!</v>
      </c>
      <c r="O181" s="2" t="e">
        <f t="shared" si="69"/>
        <v>#VALUE!</v>
      </c>
      <c r="Q181" s="827">
        <f t="shared" si="43"/>
        <v>0</v>
      </c>
      <c r="R181" s="21" t="str">
        <f t="shared" si="65"/>
        <v/>
      </c>
      <c r="S181" s="21" t="e">
        <f t="shared" si="66"/>
        <v>#VALUE!</v>
      </c>
      <c r="T181" s="2" t="e">
        <f t="shared" si="67"/>
        <v>#VALUE!</v>
      </c>
      <c r="U181" s="21" t="e">
        <f t="shared" si="68"/>
        <v>#VALUE!</v>
      </c>
      <c r="V181" s="828">
        <f t="shared" si="45"/>
        <v>0</v>
      </c>
    </row>
    <row r="182" spans="1:22" x14ac:dyDescent="0.4">
      <c r="A182" s="62"/>
      <c r="B182" s="62"/>
      <c r="C182" s="62"/>
      <c r="D182" s="62"/>
      <c r="F182" s="21" t="str">
        <f t="shared" si="60"/>
        <v/>
      </c>
      <c r="G182" s="1">
        <f t="shared" si="61"/>
        <v>0</v>
      </c>
      <c r="H182" s="2" t="e">
        <f t="shared" si="62"/>
        <v>#VALUE!</v>
      </c>
      <c r="J182" s="2" t="e">
        <f t="shared" si="63"/>
        <v>#VALUE!</v>
      </c>
      <c r="K182" s="2" t="e">
        <f t="shared" si="64"/>
        <v>#VALUE!</v>
      </c>
      <c r="L182" s="2" t="e">
        <f t="shared" si="42"/>
        <v>#VALUE!</v>
      </c>
      <c r="M182" s="2" t="e">
        <f t="shared" si="69"/>
        <v>#VALUE!</v>
      </c>
      <c r="N182" s="2" t="e">
        <f t="shared" si="69"/>
        <v>#VALUE!</v>
      </c>
      <c r="O182" s="2" t="e">
        <f t="shared" si="69"/>
        <v>#VALUE!</v>
      </c>
      <c r="Q182" s="827">
        <f t="shared" si="43"/>
        <v>0</v>
      </c>
      <c r="R182" s="21" t="str">
        <f t="shared" si="65"/>
        <v/>
      </c>
      <c r="S182" s="21" t="e">
        <f t="shared" si="66"/>
        <v>#VALUE!</v>
      </c>
      <c r="T182" s="2" t="e">
        <f t="shared" si="67"/>
        <v>#VALUE!</v>
      </c>
      <c r="U182" s="21" t="e">
        <f t="shared" si="68"/>
        <v>#VALUE!</v>
      </c>
      <c r="V182" s="826"/>
    </row>
    <row r="183" spans="1:22" x14ac:dyDescent="0.4">
      <c r="A183" s="62"/>
      <c r="B183" s="62"/>
      <c r="C183" s="62"/>
      <c r="D183" s="62"/>
      <c r="F183" s="21" t="str">
        <f t="shared" si="60"/>
        <v/>
      </c>
      <c r="G183" s="1">
        <f t="shared" si="61"/>
        <v>0</v>
      </c>
      <c r="H183" s="2" t="e">
        <f t="shared" si="62"/>
        <v>#VALUE!</v>
      </c>
      <c r="J183" s="2" t="e">
        <f t="shared" si="63"/>
        <v>#VALUE!</v>
      </c>
      <c r="K183" s="2" t="e">
        <f t="shared" si="64"/>
        <v>#VALUE!</v>
      </c>
      <c r="L183" s="2" t="e">
        <f t="shared" si="42"/>
        <v>#VALUE!</v>
      </c>
      <c r="M183" s="2" t="e">
        <f t="shared" si="69"/>
        <v>#VALUE!</v>
      </c>
      <c r="N183" s="2" t="e">
        <f t="shared" si="69"/>
        <v>#VALUE!</v>
      </c>
      <c r="O183" s="2" t="e">
        <f t="shared" si="69"/>
        <v>#VALUE!</v>
      </c>
      <c r="Q183" s="827">
        <f t="shared" si="43"/>
        <v>0</v>
      </c>
      <c r="R183" s="21" t="str">
        <f t="shared" si="65"/>
        <v/>
      </c>
      <c r="S183" s="21" t="e">
        <f t="shared" si="66"/>
        <v>#VALUE!</v>
      </c>
      <c r="T183" s="2" t="e">
        <f t="shared" si="67"/>
        <v>#VALUE!</v>
      </c>
      <c r="U183" s="21" t="e">
        <f t="shared" si="68"/>
        <v>#VALUE!</v>
      </c>
      <c r="V183" s="826"/>
    </row>
    <row r="184" spans="1:22" x14ac:dyDescent="0.4">
      <c r="A184" s="62"/>
      <c r="B184" s="62"/>
      <c r="C184" s="62"/>
      <c r="D184" s="62"/>
      <c r="F184" s="21" t="str">
        <f t="shared" si="60"/>
        <v/>
      </c>
      <c r="G184" s="1">
        <f t="shared" si="61"/>
        <v>0</v>
      </c>
      <c r="H184" s="2" t="e">
        <f t="shared" si="62"/>
        <v>#VALUE!</v>
      </c>
      <c r="J184" s="2" t="e">
        <f t="shared" si="63"/>
        <v>#VALUE!</v>
      </c>
      <c r="K184" s="2" t="e">
        <f t="shared" si="64"/>
        <v>#VALUE!</v>
      </c>
      <c r="L184" s="2" t="e">
        <f t="shared" si="42"/>
        <v>#VALUE!</v>
      </c>
      <c r="M184" s="2" t="e">
        <f t="shared" si="69"/>
        <v>#VALUE!</v>
      </c>
      <c r="N184" s="2" t="e">
        <f t="shared" si="69"/>
        <v>#VALUE!</v>
      </c>
      <c r="O184" s="2" t="e">
        <f t="shared" si="69"/>
        <v>#VALUE!</v>
      </c>
      <c r="Q184" s="827">
        <f t="shared" si="43"/>
        <v>0</v>
      </c>
      <c r="R184" s="21" t="str">
        <f t="shared" si="65"/>
        <v/>
      </c>
      <c r="S184" s="21" t="e">
        <f t="shared" si="66"/>
        <v>#VALUE!</v>
      </c>
      <c r="T184" s="2" t="e">
        <f t="shared" si="67"/>
        <v>#VALUE!</v>
      </c>
      <c r="U184" s="21" t="e">
        <f t="shared" si="68"/>
        <v>#VALUE!</v>
      </c>
      <c r="V184" s="826"/>
    </row>
    <row r="185" spans="1:22" x14ac:dyDescent="0.4">
      <c r="A185" s="62"/>
      <c r="B185" s="62"/>
      <c r="C185" s="62"/>
      <c r="D185" s="62"/>
      <c r="F185" s="21" t="str">
        <f t="shared" si="60"/>
        <v/>
      </c>
      <c r="G185" s="1">
        <f t="shared" si="61"/>
        <v>0</v>
      </c>
      <c r="H185" s="2" t="e">
        <f t="shared" si="62"/>
        <v>#VALUE!</v>
      </c>
      <c r="J185" s="2" t="e">
        <f t="shared" si="63"/>
        <v>#VALUE!</v>
      </c>
      <c r="K185" s="2" t="e">
        <f t="shared" si="64"/>
        <v>#VALUE!</v>
      </c>
      <c r="L185" s="2" t="e">
        <f t="shared" si="42"/>
        <v>#VALUE!</v>
      </c>
      <c r="M185" s="2" t="e">
        <f t="shared" si="69"/>
        <v>#VALUE!</v>
      </c>
      <c r="N185" s="2" t="e">
        <f t="shared" si="69"/>
        <v>#VALUE!</v>
      </c>
      <c r="O185" s="2" t="e">
        <f t="shared" si="69"/>
        <v>#VALUE!</v>
      </c>
      <c r="Q185" s="827">
        <f t="shared" si="43"/>
        <v>0</v>
      </c>
      <c r="R185" s="21" t="str">
        <f t="shared" si="65"/>
        <v/>
      </c>
      <c r="S185" s="21" t="e">
        <f t="shared" si="66"/>
        <v>#VALUE!</v>
      </c>
      <c r="T185" s="2" t="e">
        <f t="shared" si="67"/>
        <v>#VALUE!</v>
      </c>
      <c r="U185" s="21" t="e">
        <f t="shared" si="68"/>
        <v>#VALUE!</v>
      </c>
      <c r="V185" s="826"/>
    </row>
    <row r="186" spans="1:22" x14ac:dyDescent="0.4">
      <c r="A186" s="62"/>
      <c r="B186" s="62"/>
      <c r="C186" s="62"/>
      <c r="D186" s="62"/>
      <c r="F186" s="21" t="str">
        <f t="shared" si="60"/>
        <v/>
      </c>
      <c r="G186" s="1">
        <f t="shared" si="61"/>
        <v>0</v>
      </c>
      <c r="H186" s="2" t="e">
        <f t="shared" si="62"/>
        <v>#VALUE!</v>
      </c>
      <c r="J186" s="2" t="e">
        <f t="shared" si="63"/>
        <v>#VALUE!</v>
      </c>
      <c r="K186" s="2" t="e">
        <f t="shared" si="64"/>
        <v>#VALUE!</v>
      </c>
      <c r="L186" s="2" t="e">
        <f t="shared" si="42"/>
        <v>#VALUE!</v>
      </c>
      <c r="M186" s="2" t="e">
        <f t="shared" si="69"/>
        <v>#VALUE!</v>
      </c>
      <c r="N186" s="2" t="e">
        <f t="shared" si="69"/>
        <v>#VALUE!</v>
      </c>
      <c r="O186" s="2" t="e">
        <f t="shared" si="69"/>
        <v>#VALUE!</v>
      </c>
      <c r="Q186" s="827">
        <f t="shared" si="43"/>
        <v>0</v>
      </c>
      <c r="R186" s="21" t="str">
        <f t="shared" si="65"/>
        <v/>
      </c>
      <c r="S186" s="21" t="e">
        <f t="shared" si="66"/>
        <v>#VALUE!</v>
      </c>
      <c r="T186" s="2" t="e">
        <f t="shared" si="67"/>
        <v>#VALUE!</v>
      </c>
      <c r="U186" s="21" t="e">
        <f t="shared" si="68"/>
        <v>#VALUE!</v>
      </c>
      <c r="V186" s="826"/>
    </row>
    <row r="187" spans="1:22" x14ac:dyDescent="0.4">
      <c r="A187" s="62"/>
      <c r="B187" s="62"/>
      <c r="C187" s="62"/>
      <c r="D187" s="62"/>
      <c r="F187" s="21" t="str">
        <f t="shared" si="60"/>
        <v/>
      </c>
      <c r="G187" s="1">
        <f t="shared" si="61"/>
        <v>0</v>
      </c>
      <c r="H187" s="2" t="e">
        <f t="shared" si="62"/>
        <v>#VALUE!</v>
      </c>
      <c r="J187" s="2" t="e">
        <f t="shared" si="63"/>
        <v>#VALUE!</v>
      </c>
      <c r="K187" s="2" t="e">
        <f t="shared" si="64"/>
        <v>#VALUE!</v>
      </c>
      <c r="L187" s="2" t="e">
        <f t="shared" si="42"/>
        <v>#VALUE!</v>
      </c>
      <c r="M187" s="2" t="e">
        <f t="shared" si="69"/>
        <v>#VALUE!</v>
      </c>
      <c r="N187" s="2" t="e">
        <f t="shared" si="69"/>
        <v>#VALUE!</v>
      </c>
      <c r="O187" s="2" t="e">
        <f t="shared" si="69"/>
        <v>#VALUE!</v>
      </c>
      <c r="Q187" s="827">
        <f t="shared" si="43"/>
        <v>0</v>
      </c>
      <c r="R187" s="21" t="str">
        <f t="shared" si="65"/>
        <v/>
      </c>
      <c r="S187" s="21" t="e">
        <f t="shared" si="66"/>
        <v>#VALUE!</v>
      </c>
      <c r="T187" s="2" t="e">
        <f t="shared" si="67"/>
        <v>#VALUE!</v>
      </c>
      <c r="U187" s="21" t="e">
        <f t="shared" si="68"/>
        <v>#VALUE!</v>
      </c>
      <c r="V187" s="826"/>
    </row>
    <row r="188" spans="1:22" x14ac:dyDescent="0.4">
      <c r="A188" s="62"/>
      <c r="B188" s="62"/>
      <c r="C188" s="62"/>
      <c r="D188" s="62"/>
      <c r="F188" s="21" t="str">
        <f t="shared" si="60"/>
        <v/>
      </c>
      <c r="G188" s="1">
        <f t="shared" si="61"/>
        <v>0</v>
      </c>
      <c r="H188" s="2" t="e">
        <f t="shared" si="62"/>
        <v>#VALUE!</v>
      </c>
      <c r="J188" s="2" t="e">
        <f t="shared" si="63"/>
        <v>#VALUE!</v>
      </c>
      <c r="K188" s="2" t="e">
        <f t="shared" si="64"/>
        <v>#VALUE!</v>
      </c>
      <c r="L188" s="2" t="e">
        <f t="shared" si="42"/>
        <v>#VALUE!</v>
      </c>
      <c r="M188" s="2" t="e">
        <f t="shared" si="69"/>
        <v>#VALUE!</v>
      </c>
      <c r="N188" s="2" t="e">
        <f t="shared" si="69"/>
        <v>#VALUE!</v>
      </c>
      <c r="O188" s="2" t="e">
        <f t="shared" si="69"/>
        <v>#VALUE!</v>
      </c>
      <c r="Q188" s="827">
        <f t="shared" si="43"/>
        <v>0</v>
      </c>
      <c r="R188" s="21" t="str">
        <f t="shared" si="65"/>
        <v/>
      </c>
      <c r="S188" s="21" t="e">
        <f t="shared" si="66"/>
        <v>#VALUE!</v>
      </c>
      <c r="T188" s="2" t="e">
        <f t="shared" si="67"/>
        <v>#VALUE!</v>
      </c>
      <c r="U188" s="21" t="e">
        <f t="shared" si="68"/>
        <v>#VALUE!</v>
      </c>
      <c r="V188" s="826"/>
    </row>
    <row r="189" spans="1:22" x14ac:dyDescent="0.4">
      <c r="A189" s="62"/>
      <c r="B189" s="62"/>
      <c r="C189" s="62"/>
      <c r="D189" s="62"/>
      <c r="F189" s="21" t="str">
        <f t="shared" si="60"/>
        <v/>
      </c>
      <c r="G189" s="1">
        <f t="shared" si="61"/>
        <v>0</v>
      </c>
      <c r="H189" s="2" t="e">
        <f t="shared" si="62"/>
        <v>#VALUE!</v>
      </c>
      <c r="J189" s="2" t="e">
        <f t="shared" si="63"/>
        <v>#VALUE!</v>
      </c>
      <c r="K189" s="2" t="e">
        <f t="shared" si="64"/>
        <v>#VALUE!</v>
      </c>
      <c r="L189" s="2" t="e">
        <f t="shared" si="42"/>
        <v>#VALUE!</v>
      </c>
      <c r="M189" s="2" t="e">
        <f t="shared" si="69"/>
        <v>#VALUE!</v>
      </c>
      <c r="N189" s="2" t="e">
        <f t="shared" si="69"/>
        <v>#VALUE!</v>
      </c>
      <c r="O189" s="2" t="e">
        <f t="shared" si="69"/>
        <v>#VALUE!</v>
      </c>
      <c r="Q189" s="827">
        <f t="shared" si="43"/>
        <v>0</v>
      </c>
      <c r="R189" s="21" t="str">
        <f t="shared" si="65"/>
        <v/>
      </c>
      <c r="S189" s="21" t="e">
        <f t="shared" si="66"/>
        <v>#VALUE!</v>
      </c>
      <c r="T189" s="2" t="e">
        <f t="shared" si="67"/>
        <v>#VALUE!</v>
      </c>
      <c r="U189" s="21" t="e">
        <f t="shared" si="68"/>
        <v>#VALUE!</v>
      </c>
      <c r="V189" s="826"/>
    </row>
    <row r="190" spans="1:22" x14ac:dyDescent="0.4">
      <c r="A190" s="62"/>
      <c r="B190" s="62"/>
      <c r="C190" s="62"/>
      <c r="D190" s="62"/>
      <c r="F190" s="21" t="str">
        <f t="shared" si="60"/>
        <v/>
      </c>
      <c r="G190" s="1">
        <f t="shared" si="61"/>
        <v>0</v>
      </c>
      <c r="H190" s="2" t="e">
        <f t="shared" si="62"/>
        <v>#VALUE!</v>
      </c>
      <c r="J190" s="2" t="e">
        <f t="shared" si="63"/>
        <v>#VALUE!</v>
      </c>
      <c r="K190" s="2" t="e">
        <f t="shared" si="64"/>
        <v>#VALUE!</v>
      </c>
      <c r="L190" s="2" t="e">
        <f t="shared" si="42"/>
        <v>#VALUE!</v>
      </c>
      <c r="M190" s="2" t="e">
        <f t="shared" si="69"/>
        <v>#VALUE!</v>
      </c>
      <c r="N190" s="2" t="e">
        <f t="shared" si="69"/>
        <v>#VALUE!</v>
      </c>
      <c r="O190" s="2" t="e">
        <f t="shared" si="69"/>
        <v>#VALUE!</v>
      </c>
      <c r="Q190" s="827">
        <f t="shared" si="43"/>
        <v>0</v>
      </c>
      <c r="R190" s="21" t="str">
        <f t="shared" si="65"/>
        <v/>
      </c>
      <c r="S190" s="21" t="e">
        <f t="shared" si="66"/>
        <v>#VALUE!</v>
      </c>
      <c r="T190" s="2" t="e">
        <f t="shared" si="67"/>
        <v>#VALUE!</v>
      </c>
      <c r="U190" s="21" t="e">
        <f t="shared" si="68"/>
        <v>#VALUE!</v>
      </c>
      <c r="V190" s="826"/>
    </row>
    <row r="191" spans="1:22" x14ac:dyDescent="0.4">
      <c r="A191" s="62"/>
      <c r="B191" s="62"/>
      <c r="C191" s="62"/>
      <c r="D191" s="62"/>
      <c r="F191" s="21" t="str">
        <f t="shared" si="60"/>
        <v/>
      </c>
      <c r="G191" s="1">
        <f t="shared" si="61"/>
        <v>0</v>
      </c>
      <c r="H191" s="2" t="e">
        <f t="shared" si="62"/>
        <v>#VALUE!</v>
      </c>
      <c r="J191" s="2" t="e">
        <f t="shared" si="63"/>
        <v>#VALUE!</v>
      </c>
      <c r="K191" s="2" t="e">
        <f t="shared" si="64"/>
        <v>#VALUE!</v>
      </c>
      <c r="L191" s="2" t="e">
        <f t="shared" si="42"/>
        <v>#VALUE!</v>
      </c>
      <c r="M191" s="2" t="e">
        <f t="shared" si="69"/>
        <v>#VALUE!</v>
      </c>
      <c r="N191" s="2" t="e">
        <f t="shared" si="69"/>
        <v>#VALUE!</v>
      </c>
      <c r="O191" s="2" t="e">
        <f t="shared" si="69"/>
        <v>#VALUE!</v>
      </c>
      <c r="Q191" s="827">
        <f t="shared" si="43"/>
        <v>0</v>
      </c>
      <c r="R191" s="21" t="str">
        <f t="shared" si="65"/>
        <v/>
      </c>
      <c r="S191" s="21" t="e">
        <f t="shared" si="66"/>
        <v>#VALUE!</v>
      </c>
      <c r="T191" s="2" t="e">
        <f t="shared" si="67"/>
        <v>#VALUE!</v>
      </c>
      <c r="U191" s="21" t="e">
        <f t="shared" si="68"/>
        <v>#VALUE!</v>
      </c>
      <c r="V191" s="826"/>
    </row>
    <row r="192" spans="1:22" x14ac:dyDescent="0.4">
      <c r="A192" s="62"/>
      <c r="B192" s="62"/>
      <c r="C192" s="62"/>
      <c r="D192" s="62"/>
      <c r="F192" s="21" t="str">
        <f t="shared" si="60"/>
        <v/>
      </c>
      <c r="G192" s="1">
        <f t="shared" si="61"/>
        <v>0</v>
      </c>
      <c r="H192" s="2" t="e">
        <f t="shared" si="62"/>
        <v>#VALUE!</v>
      </c>
      <c r="J192" s="2" t="e">
        <f t="shared" si="63"/>
        <v>#VALUE!</v>
      </c>
      <c r="K192" s="2" t="e">
        <f t="shared" si="64"/>
        <v>#VALUE!</v>
      </c>
      <c r="L192" s="2" t="e">
        <f t="shared" si="42"/>
        <v>#VALUE!</v>
      </c>
      <c r="M192" s="2" t="e">
        <f t="shared" si="69"/>
        <v>#VALUE!</v>
      </c>
      <c r="N192" s="2" t="e">
        <f t="shared" si="69"/>
        <v>#VALUE!</v>
      </c>
      <c r="O192" s="2" t="e">
        <f t="shared" si="69"/>
        <v>#VALUE!</v>
      </c>
      <c r="Q192" s="827">
        <f t="shared" si="43"/>
        <v>0</v>
      </c>
      <c r="R192" s="21" t="str">
        <f t="shared" si="65"/>
        <v/>
      </c>
      <c r="S192" s="21" t="e">
        <f t="shared" si="66"/>
        <v>#VALUE!</v>
      </c>
      <c r="T192" s="2" t="e">
        <f t="shared" si="67"/>
        <v>#VALUE!</v>
      </c>
      <c r="U192" s="21" t="e">
        <f t="shared" si="68"/>
        <v>#VALUE!</v>
      </c>
      <c r="V192" s="826"/>
    </row>
    <row r="193" spans="1:22" x14ac:dyDescent="0.4">
      <c r="A193" s="62"/>
      <c r="B193" s="62"/>
      <c r="C193" s="62"/>
      <c r="D193" s="62"/>
      <c r="F193" s="21" t="str">
        <f t="shared" si="60"/>
        <v/>
      </c>
      <c r="G193" s="1">
        <f t="shared" si="61"/>
        <v>0</v>
      </c>
      <c r="H193" s="2" t="e">
        <f t="shared" si="62"/>
        <v>#VALUE!</v>
      </c>
      <c r="J193" s="2" t="e">
        <f t="shared" si="63"/>
        <v>#VALUE!</v>
      </c>
      <c r="K193" s="2" t="e">
        <f t="shared" si="64"/>
        <v>#VALUE!</v>
      </c>
      <c r="L193" s="2" t="e">
        <f t="shared" si="42"/>
        <v>#VALUE!</v>
      </c>
      <c r="M193" s="2" t="e">
        <f t="shared" si="69"/>
        <v>#VALUE!</v>
      </c>
      <c r="N193" s="2" t="e">
        <f t="shared" si="69"/>
        <v>#VALUE!</v>
      </c>
      <c r="O193" s="2" t="e">
        <f t="shared" si="69"/>
        <v>#VALUE!</v>
      </c>
      <c r="Q193" s="827">
        <f t="shared" si="43"/>
        <v>0</v>
      </c>
      <c r="R193" s="21" t="str">
        <f t="shared" si="65"/>
        <v/>
      </c>
      <c r="S193" s="21" t="e">
        <f t="shared" si="66"/>
        <v>#VALUE!</v>
      </c>
      <c r="T193" s="2" t="e">
        <f t="shared" si="67"/>
        <v>#VALUE!</v>
      </c>
      <c r="U193" s="102" t="e">
        <f t="shared" si="68"/>
        <v>#VALUE!</v>
      </c>
      <c r="V193" s="826"/>
    </row>
    <row r="194" spans="1:22" x14ac:dyDescent="0.4">
      <c r="A194" s="62"/>
      <c r="B194" s="62"/>
      <c r="C194" s="62"/>
      <c r="D194" s="62"/>
      <c r="F194" s="21" t="str">
        <f t="shared" si="60"/>
        <v/>
      </c>
      <c r="G194" s="1">
        <f t="shared" si="61"/>
        <v>0</v>
      </c>
      <c r="H194" s="2" t="e">
        <f t="shared" si="62"/>
        <v>#VALUE!</v>
      </c>
      <c r="J194" s="2" t="e">
        <f t="shared" si="63"/>
        <v>#VALUE!</v>
      </c>
      <c r="K194" s="2" t="e">
        <f t="shared" si="64"/>
        <v>#VALUE!</v>
      </c>
      <c r="L194" s="2" t="e">
        <f t="shared" si="42"/>
        <v>#VALUE!</v>
      </c>
      <c r="M194" s="2" t="e">
        <f t="shared" si="69"/>
        <v>#VALUE!</v>
      </c>
      <c r="N194" s="2" t="e">
        <f t="shared" si="69"/>
        <v>#VALUE!</v>
      </c>
      <c r="O194" s="2" t="e">
        <f t="shared" si="69"/>
        <v>#VALUE!</v>
      </c>
      <c r="Q194" s="827">
        <f t="shared" si="43"/>
        <v>0</v>
      </c>
      <c r="R194" s="21" t="str">
        <f t="shared" si="65"/>
        <v/>
      </c>
      <c r="S194" s="21" t="e">
        <f t="shared" si="66"/>
        <v>#VALUE!</v>
      </c>
      <c r="T194" s="2" t="e">
        <f t="shared" si="67"/>
        <v>#VALUE!</v>
      </c>
      <c r="U194" s="102" t="e">
        <f t="shared" si="68"/>
        <v>#VALUE!</v>
      </c>
      <c r="V194" s="826"/>
    </row>
    <row r="195" spans="1:22" x14ac:dyDescent="0.4">
      <c r="A195" s="62"/>
      <c r="B195" s="62"/>
      <c r="C195" s="62"/>
      <c r="D195" s="62"/>
      <c r="F195" s="21" t="str">
        <f t="shared" si="60"/>
        <v/>
      </c>
      <c r="G195" s="1">
        <f t="shared" si="61"/>
        <v>0</v>
      </c>
      <c r="H195" s="2" t="e">
        <f t="shared" si="62"/>
        <v>#VALUE!</v>
      </c>
      <c r="J195" s="2" t="e">
        <f t="shared" si="63"/>
        <v>#VALUE!</v>
      </c>
      <c r="K195" s="2" t="e">
        <f t="shared" si="64"/>
        <v>#VALUE!</v>
      </c>
      <c r="L195" s="2" t="e">
        <f t="shared" si="42"/>
        <v>#VALUE!</v>
      </c>
      <c r="M195" s="2" t="e">
        <f t="shared" si="69"/>
        <v>#VALUE!</v>
      </c>
      <c r="N195" s="2" t="e">
        <f t="shared" si="69"/>
        <v>#VALUE!</v>
      </c>
      <c r="O195" s="2" t="e">
        <f t="shared" si="69"/>
        <v>#VALUE!</v>
      </c>
      <c r="Q195" s="827">
        <f t="shared" si="43"/>
        <v>0</v>
      </c>
      <c r="R195" s="21" t="str">
        <f t="shared" si="65"/>
        <v/>
      </c>
      <c r="S195" s="21" t="e">
        <f t="shared" si="66"/>
        <v>#VALUE!</v>
      </c>
      <c r="T195" s="2" t="e">
        <f t="shared" si="67"/>
        <v>#VALUE!</v>
      </c>
      <c r="U195" s="102" t="e">
        <f t="shared" si="68"/>
        <v>#VALUE!</v>
      </c>
      <c r="V195" s="826"/>
    </row>
    <row r="196" spans="1:22" x14ac:dyDescent="0.4">
      <c r="A196" s="62"/>
      <c r="B196" s="62"/>
      <c r="C196" s="62"/>
      <c r="D196" s="62"/>
      <c r="F196" s="21" t="str">
        <f t="shared" si="60"/>
        <v/>
      </c>
      <c r="G196" s="1">
        <f t="shared" si="61"/>
        <v>0</v>
      </c>
      <c r="H196" s="2" t="e">
        <f t="shared" si="62"/>
        <v>#VALUE!</v>
      </c>
      <c r="J196" s="2" t="e">
        <f t="shared" si="63"/>
        <v>#VALUE!</v>
      </c>
      <c r="K196" s="2" t="e">
        <f t="shared" si="64"/>
        <v>#VALUE!</v>
      </c>
      <c r="L196" s="2" t="e">
        <f t="shared" si="42"/>
        <v>#VALUE!</v>
      </c>
      <c r="M196" s="2" t="e">
        <f t="shared" si="69"/>
        <v>#VALUE!</v>
      </c>
      <c r="N196" s="2" t="e">
        <f t="shared" si="69"/>
        <v>#VALUE!</v>
      </c>
      <c r="O196" s="2" t="e">
        <f t="shared" si="69"/>
        <v>#VALUE!</v>
      </c>
      <c r="Q196" s="827">
        <f t="shared" si="43"/>
        <v>0</v>
      </c>
      <c r="R196" s="21" t="str">
        <f t="shared" si="65"/>
        <v/>
      </c>
      <c r="S196" s="21" t="e">
        <f t="shared" si="66"/>
        <v>#VALUE!</v>
      </c>
      <c r="T196" s="2" t="e">
        <f t="shared" si="67"/>
        <v>#VALUE!</v>
      </c>
      <c r="U196" s="102" t="e">
        <f t="shared" si="68"/>
        <v>#VALUE!</v>
      </c>
      <c r="V196" s="826"/>
    </row>
    <row r="197" spans="1:22" x14ac:dyDescent="0.4">
      <c r="A197" s="62"/>
      <c r="B197" s="62"/>
      <c r="C197" s="62"/>
      <c r="D197" s="62"/>
      <c r="F197" s="21" t="str">
        <f t="shared" si="60"/>
        <v/>
      </c>
      <c r="G197" s="1">
        <f t="shared" si="61"/>
        <v>0</v>
      </c>
      <c r="H197" s="2" t="e">
        <f t="shared" si="62"/>
        <v>#VALUE!</v>
      </c>
      <c r="J197" s="2" t="e">
        <f t="shared" si="63"/>
        <v>#VALUE!</v>
      </c>
      <c r="K197" s="2" t="e">
        <f t="shared" si="64"/>
        <v>#VALUE!</v>
      </c>
      <c r="L197" s="2" t="e">
        <f t="shared" si="42"/>
        <v>#VALUE!</v>
      </c>
      <c r="M197" s="2" t="e">
        <f t="shared" si="69"/>
        <v>#VALUE!</v>
      </c>
      <c r="N197" s="2" t="e">
        <f t="shared" si="69"/>
        <v>#VALUE!</v>
      </c>
      <c r="O197" s="2" t="e">
        <f t="shared" si="69"/>
        <v>#VALUE!</v>
      </c>
      <c r="Q197" s="827">
        <f t="shared" si="43"/>
        <v>0</v>
      </c>
      <c r="R197" s="21" t="str">
        <f t="shared" si="65"/>
        <v/>
      </c>
      <c r="S197" s="21" t="e">
        <f t="shared" si="66"/>
        <v>#VALUE!</v>
      </c>
      <c r="T197" s="2" t="e">
        <f t="shared" si="67"/>
        <v>#VALUE!</v>
      </c>
      <c r="U197" s="102" t="e">
        <f t="shared" si="68"/>
        <v>#VALUE!</v>
      </c>
      <c r="V197" s="826"/>
    </row>
    <row r="198" spans="1:22" x14ac:dyDescent="0.4">
      <c r="A198" s="62"/>
      <c r="B198" s="62"/>
      <c r="C198" s="62"/>
      <c r="D198" s="62"/>
      <c r="F198" s="21" t="str">
        <f t="shared" si="60"/>
        <v/>
      </c>
      <c r="G198" s="1">
        <f t="shared" si="61"/>
        <v>0</v>
      </c>
      <c r="H198" s="2" t="e">
        <f t="shared" si="62"/>
        <v>#VALUE!</v>
      </c>
      <c r="J198" s="2" t="e">
        <f t="shared" si="63"/>
        <v>#VALUE!</v>
      </c>
      <c r="K198" s="2" t="e">
        <f t="shared" si="64"/>
        <v>#VALUE!</v>
      </c>
      <c r="L198" s="2" t="e">
        <f t="shared" si="42"/>
        <v>#VALUE!</v>
      </c>
      <c r="M198" s="2" t="e">
        <f t="shared" si="69"/>
        <v>#VALUE!</v>
      </c>
      <c r="N198" s="2" t="e">
        <f t="shared" si="69"/>
        <v>#VALUE!</v>
      </c>
      <c r="O198" s="2" t="e">
        <f t="shared" si="69"/>
        <v>#VALUE!</v>
      </c>
      <c r="Q198" s="827">
        <f t="shared" si="43"/>
        <v>0</v>
      </c>
      <c r="R198" s="21" t="str">
        <f t="shared" si="65"/>
        <v/>
      </c>
      <c r="S198" s="21" t="e">
        <f t="shared" si="66"/>
        <v>#VALUE!</v>
      </c>
      <c r="T198" s="2" t="e">
        <f t="shared" si="67"/>
        <v>#VALUE!</v>
      </c>
      <c r="U198" s="102" t="e">
        <f t="shared" si="68"/>
        <v>#VALUE!</v>
      </c>
      <c r="V198" s="826"/>
    </row>
    <row r="199" spans="1:22" x14ac:dyDescent="0.4">
      <c r="A199" s="62"/>
      <c r="B199" s="62"/>
      <c r="C199" s="62"/>
      <c r="D199" s="62"/>
      <c r="F199" s="21" t="str">
        <f t="shared" si="60"/>
        <v/>
      </c>
      <c r="G199" s="1">
        <f t="shared" si="61"/>
        <v>0</v>
      </c>
      <c r="H199" s="2" t="e">
        <f t="shared" si="62"/>
        <v>#VALUE!</v>
      </c>
      <c r="J199" s="2" t="e">
        <f t="shared" si="63"/>
        <v>#VALUE!</v>
      </c>
      <c r="K199" s="2" t="e">
        <f t="shared" si="64"/>
        <v>#VALUE!</v>
      </c>
      <c r="L199" s="2" t="e">
        <f t="shared" si="42"/>
        <v>#VALUE!</v>
      </c>
      <c r="M199" s="2" t="e">
        <f t="shared" si="69"/>
        <v>#VALUE!</v>
      </c>
      <c r="N199" s="2" t="e">
        <f t="shared" si="69"/>
        <v>#VALUE!</v>
      </c>
      <c r="O199" s="2" t="e">
        <f t="shared" si="69"/>
        <v>#VALUE!</v>
      </c>
      <c r="Q199" s="827">
        <f t="shared" si="43"/>
        <v>0</v>
      </c>
      <c r="R199" s="21" t="str">
        <f t="shared" si="65"/>
        <v/>
      </c>
      <c r="S199" s="21" t="e">
        <f t="shared" si="66"/>
        <v>#VALUE!</v>
      </c>
      <c r="T199" s="2" t="e">
        <f t="shared" si="67"/>
        <v>#VALUE!</v>
      </c>
      <c r="U199" s="102" t="e">
        <f t="shared" si="68"/>
        <v>#VALUE!</v>
      </c>
      <c r="V199" s="826"/>
    </row>
    <row r="200" spans="1:22" x14ac:dyDescent="0.4">
      <c r="A200" s="62"/>
      <c r="B200" s="62"/>
      <c r="C200" s="62"/>
      <c r="D200" s="62"/>
      <c r="F200" s="21"/>
      <c r="G200" s="1"/>
      <c r="H200" s="2"/>
      <c r="J200" s="2"/>
      <c r="K200" s="2"/>
      <c r="L200" s="2"/>
      <c r="M200" s="2"/>
      <c r="N200" s="2"/>
      <c r="O200" s="2"/>
      <c r="Q200" s="827">
        <f t="shared" si="43"/>
        <v>0</v>
      </c>
      <c r="R200" s="21"/>
      <c r="S200" s="21"/>
      <c r="T200" s="2"/>
      <c r="V200" s="826"/>
    </row>
    <row r="201" spans="1:22" x14ac:dyDescent="0.4">
      <c r="A201" s="62"/>
      <c r="B201" s="62"/>
      <c r="C201" s="62"/>
      <c r="D201" s="62"/>
      <c r="F201" s="21"/>
      <c r="G201" s="1"/>
      <c r="H201" s="2"/>
      <c r="J201" s="2"/>
      <c r="K201" s="2"/>
      <c r="L201" s="2"/>
      <c r="M201" s="2"/>
      <c r="N201" s="2"/>
      <c r="O201" s="2"/>
      <c r="Q201" s="827">
        <f t="shared" si="43"/>
        <v>0</v>
      </c>
      <c r="R201" s="21"/>
      <c r="S201" s="21"/>
      <c r="T201" s="2"/>
      <c r="V201" s="826"/>
    </row>
    <row r="202" spans="1:22" x14ac:dyDescent="0.4">
      <c r="A202" s="62"/>
      <c r="B202" s="62"/>
      <c r="C202" s="62"/>
      <c r="D202" s="62"/>
      <c r="F202" s="21"/>
      <c r="G202" s="1"/>
      <c r="H202" s="2"/>
      <c r="J202" s="2"/>
      <c r="K202" s="2"/>
      <c r="L202" s="2"/>
      <c r="M202" s="2"/>
      <c r="N202" s="2"/>
      <c r="O202" s="2"/>
      <c r="Q202" s="827">
        <f t="shared" si="43"/>
        <v>0</v>
      </c>
      <c r="R202" s="21"/>
      <c r="S202" s="21"/>
      <c r="T202" s="2"/>
      <c r="V202" s="826"/>
    </row>
    <row r="203" spans="1:22" x14ac:dyDescent="0.4">
      <c r="A203" s="62"/>
      <c r="B203" s="62"/>
      <c r="C203" s="62"/>
      <c r="D203" s="62"/>
      <c r="F203" s="21"/>
      <c r="G203" s="1"/>
      <c r="H203" s="2"/>
      <c r="J203" s="2"/>
      <c r="K203" s="2"/>
      <c r="L203" s="2"/>
      <c r="M203" s="2"/>
      <c r="N203" s="2"/>
      <c r="O203" s="2"/>
      <c r="Q203" s="420"/>
      <c r="R203" s="21"/>
      <c r="S203" s="21"/>
      <c r="T203" s="2"/>
      <c r="V203" s="826"/>
    </row>
    <row r="204" spans="1:22" x14ac:dyDescent="0.4">
      <c r="A204" s="62"/>
      <c r="B204" s="62"/>
      <c r="C204" s="62"/>
      <c r="D204" s="62"/>
      <c r="F204" s="21"/>
      <c r="G204" s="1"/>
      <c r="H204" s="2"/>
      <c r="J204" s="2"/>
      <c r="K204" s="2"/>
      <c r="L204" s="2"/>
      <c r="M204" s="2"/>
      <c r="N204" s="2"/>
      <c r="O204" s="2"/>
      <c r="Q204" s="420"/>
      <c r="R204" s="21"/>
      <c r="S204" s="21"/>
      <c r="T204" s="2"/>
      <c r="V204" s="826"/>
    </row>
    <row r="205" spans="1:22" x14ac:dyDescent="0.4">
      <c r="A205" s="62"/>
      <c r="B205" s="62"/>
      <c r="C205" s="62"/>
      <c r="D205" s="62"/>
      <c r="F205" s="21"/>
      <c r="G205" s="1"/>
      <c r="H205" s="2"/>
      <c r="J205" s="2"/>
      <c r="K205" s="2"/>
      <c r="L205" s="2"/>
      <c r="M205" s="2"/>
      <c r="N205" s="2"/>
      <c r="O205" s="2"/>
      <c r="Q205" s="420"/>
      <c r="R205" s="21"/>
      <c r="S205" s="21"/>
      <c r="T205" s="2"/>
      <c r="V205" s="826"/>
    </row>
    <row r="206" spans="1:22" x14ac:dyDescent="0.4">
      <c r="A206" s="62"/>
      <c r="B206" s="62"/>
      <c r="C206" s="62"/>
      <c r="D206" s="62"/>
      <c r="F206" s="21"/>
      <c r="G206" s="1"/>
      <c r="H206" s="2"/>
      <c r="J206" s="2"/>
      <c r="K206" s="2"/>
      <c r="L206" s="2"/>
      <c r="M206" s="2"/>
      <c r="N206" s="2"/>
      <c r="O206" s="2"/>
      <c r="Q206" s="420"/>
      <c r="R206" s="21"/>
      <c r="S206" s="21"/>
      <c r="T206" s="2"/>
      <c r="V206" s="826"/>
    </row>
    <row r="207" spans="1:22" x14ac:dyDescent="0.4">
      <c r="A207" s="62"/>
      <c r="B207" s="62"/>
      <c r="C207" s="62"/>
      <c r="D207" s="62"/>
      <c r="F207" s="21"/>
      <c r="G207" s="1"/>
      <c r="H207" s="2"/>
      <c r="J207" s="2"/>
      <c r="K207" s="2"/>
      <c r="L207" s="2"/>
      <c r="M207" s="2"/>
      <c r="N207" s="2"/>
      <c r="O207" s="2"/>
      <c r="Q207" s="420"/>
      <c r="R207" s="21"/>
      <c r="S207" s="21"/>
      <c r="T207" s="2"/>
      <c r="V207" s="826"/>
    </row>
    <row r="208" spans="1:22" x14ac:dyDescent="0.4">
      <c r="A208" s="62"/>
      <c r="B208" s="62"/>
      <c r="C208" s="62"/>
      <c r="D208" s="62"/>
      <c r="F208" s="21"/>
      <c r="G208" s="1"/>
      <c r="H208" s="2"/>
      <c r="J208" s="2"/>
      <c r="K208" s="2"/>
      <c r="L208" s="2"/>
      <c r="M208" s="2"/>
      <c r="N208" s="2"/>
      <c r="O208" s="2"/>
      <c r="Q208" s="420"/>
      <c r="R208" s="21"/>
      <c r="S208" s="21"/>
      <c r="T208" s="2"/>
      <c r="V208" s="826"/>
    </row>
    <row r="209" spans="1:22" x14ac:dyDescent="0.4">
      <c r="A209" s="62"/>
      <c r="B209" s="62"/>
      <c r="C209" s="62"/>
      <c r="D209" s="62"/>
      <c r="F209" s="21"/>
      <c r="G209" s="1"/>
      <c r="H209" s="2"/>
      <c r="J209" s="2"/>
      <c r="K209" s="2"/>
      <c r="L209" s="2"/>
      <c r="M209" s="2"/>
      <c r="N209" s="2"/>
      <c r="O209" s="2"/>
      <c r="Q209" s="420"/>
      <c r="R209" s="21"/>
      <c r="S209" s="21"/>
      <c r="T209" s="2"/>
      <c r="V209" s="826"/>
    </row>
    <row r="210" spans="1:22" x14ac:dyDescent="0.4">
      <c r="A210" s="62"/>
      <c r="B210" s="62"/>
      <c r="C210" s="62"/>
      <c r="D210" s="62"/>
      <c r="F210" s="21"/>
      <c r="G210" s="1"/>
      <c r="H210" s="2"/>
      <c r="J210" s="2"/>
      <c r="K210" s="2"/>
      <c r="L210" s="2"/>
      <c r="M210" s="2"/>
      <c r="N210" s="2"/>
      <c r="O210" s="2"/>
      <c r="Q210" s="420"/>
      <c r="R210" s="21"/>
      <c r="S210" s="21"/>
      <c r="T210" s="2"/>
      <c r="V210" s="826"/>
    </row>
    <row r="211" spans="1:22" x14ac:dyDescent="0.4">
      <c r="A211" s="62"/>
      <c r="B211" s="62"/>
      <c r="C211" s="62"/>
      <c r="D211" s="62"/>
      <c r="F211" s="21"/>
      <c r="G211" s="1"/>
      <c r="H211" s="2"/>
      <c r="J211" s="2"/>
      <c r="K211" s="2"/>
      <c r="L211" s="2"/>
      <c r="M211" s="2"/>
      <c r="N211" s="2"/>
      <c r="O211" s="2"/>
      <c r="Q211" s="420"/>
      <c r="R211" s="21"/>
      <c r="S211" s="21"/>
      <c r="T211" s="2"/>
      <c r="V211" s="826"/>
    </row>
    <row r="212" spans="1:22" x14ac:dyDescent="0.4">
      <c r="A212" s="62"/>
      <c r="B212" s="62"/>
      <c r="C212" s="62"/>
      <c r="D212" s="62"/>
      <c r="F212" s="21"/>
      <c r="G212" s="1"/>
      <c r="H212" s="2"/>
      <c r="J212" s="2"/>
      <c r="K212" s="2"/>
      <c r="L212" s="2"/>
      <c r="M212" s="2"/>
      <c r="N212" s="2"/>
      <c r="O212" s="2"/>
      <c r="Q212" s="420"/>
      <c r="R212" s="21"/>
      <c r="S212" s="21"/>
      <c r="T212" s="2"/>
      <c r="V212" s="826"/>
    </row>
    <row r="213" spans="1:22" x14ac:dyDescent="0.4">
      <c r="A213" s="62"/>
      <c r="B213" s="62"/>
      <c r="C213" s="62"/>
      <c r="D213" s="62"/>
      <c r="F213" s="21"/>
      <c r="G213" s="1"/>
      <c r="H213" s="2"/>
      <c r="J213" s="2"/>
      <c r="K213" s="2"/>
      <c r="L213" s="2"/>
      <c r="M213" s="2"/>
      <c r="N213" s="2"/>
      <c r="O213" s="2"/>
      <c r="Q213" s="420"/>
      <c r="R213" s="21"/>
      <c r="S213" s="21"/>
      <c r="T213" s="2"/>
      <c r="V213" s="826"/>
    </row>
    <row r="214" spans="1:22" x14ac:dyDescent="0.4">
      <c r="A214" s="62"/>
      <c r="B214" s="62"/>
      <c r="C214" s="62"/>
      <c r="D214" s="62"/>
      <c r="F214" s="21"/>
      <c r="G214" s="1"/>
      <c r="H214" s="2"/>
      <c r="J214" s="2"/>
      <c r="K214" s="2"/>
      <c r="L214" s="2"/>
      <c r="M214" s="2"/>
      <c r="N214" s="2"/>
      <c r="O214" s="2"/>
      <c r="Q214" s="420"/>
      <c r="R214" s="21"/>
      <c r="S214" s="21"/>
      <c r="T214" s="2"/>
      <c r="V214" s="826"/>
    </row>
    <row r="215" spans="1:22" x14ac:dyDescent="0.4">
      <c r="A215" s="62"/>
      <c r="B215" s="62"/>
      <c r="C215" s="62"/>
      <c r="D215" s="62"/>
      <c r="F215" s="21"/>
      <c r="G215" s="1"/>
      <c r="H215" s="2"/>
      <c r="J215" s="2"/>
      <c r="K215" s="2"/>
      <c r="L215" s="2"/>
      <c r="M215" s="2"/>
      <c r="N215" s="2"/>
      <c r="O215" s="2"/>
      <c r="Q215" s="420"/>
      <c r="R215" s="21"/>
      <c r="S215" s="21"/>
      <c r="T215" s="2"/>
      <c r="V215" s="826"/>
    </row>
    <row r="216" spans="1:22" x14ac:dyDescent="0.4">
      <c r="A216" s="62"/>
      <c r="B216" s="62"/>
      <c r="C216" s="62"/>
      <c r="D216" s="62"/>
      <c r="F216" s="21"/>
      <c r="G216" s="1"/>
      <c r="H216" s="2"/>
      <c r="J216" s="2"/>
      <c r="K216" s="2"/>
      <c r="L216" s="2"/>
      <c r="M216" s="2"/>
      <c r="N216" s="2"/>
      <c r="O216" s="2"/>
      <c r="Q216" s="420"/>
      <c r="R216" s="21"/>
      <c r="S216" s="21"/>
      <c r="T216" s="2"/>
      <c r="V216" s="826"/>
    </row>
    <row r="217" spans="1:22" x14ac:dyDescent="0.4">
      <c r="A217" s="62"/>
      <c r="B217" s="62"/>
      <c r="C217" s="62"/>
      <c r="D217" s="62"/>
      <c r="F217" s="21"/>
      <c r="G217" s="1"/>
      <c r="H217" s="2"/>
      <c r="J217" s="2"/>
      <c r="K217" s="2"/>
      <c r="L217" s="2"/>
      <c r="M217" s="2"/>
      <c r="N217" s="2"/>
      <c r="O217" s="2"/>
      <c r="Q217" s="420"/>
      <c r="R217" s="21"/>
      <c r="S217" s="21"/>
      <c r="T217" s="2"/>
      <c r="V217" s="826"/>
    </row>
    <row r="218" spans="1:22" x14ac:dyDescent="0.4">
      <c r="A218" s="62"/>
      <c r="B218" s="62"/>
      <c r="C218" s="62"/>
      <c r="D218" s="62"/>
      <c r="F218" s="21"/>
      <c r="G218" s="1"/>
      <c r="H218" s="2"/>
      <c r="J218" s="2"/>
      <c r="K218" s="2"/>
      <c r="L218" s="2"/>
      <c r="M218" s="2"/>
      <c r="N218" s="2"/>
      <c r="O218" s="2"/>
      <c r="Q218" s="420"/>
      <c r="R218" s="21"/>
      <c r="S218" s="21"/>
      <c r="T218" s="2"/>
      <c r="V218" s="826"/>
    </row>
    <row r="219" spans="1:22" x14ac:dyDescent="0.4">
      <c r="A219" s="62"/>
      <c r="B219" s="62"/>
      <c r="C219" s="62"/>
      <c r="D219" s="62"/>
      <c r="F219" s="21"/>
      <c r="G219" s="1"/>
      <c r="H219" s="2"/>
      <c r="J219" s="2"/>
      <c r="K219" s="2"/>
      <c r="L219" s="2"/>
      <c r="M219" s="2"/>
      <c r="N219" s="2"/>
      <c r="O219" s="2"/>
      <c r="Q219" s="420"/>
      <c r="R219" s="21"/>
      <c r="S219" s="21"/>
      <c r="T219" s="2"/>
      <c r="V219" s="826"/>
    </row>
    <row r="220" spans="1:22" x14ac:dyDescent="0.4">
      <c r="A220" s="62"/>
      <c r="B220" s="62"/>
      <c r="C220" s="62"/>
      <c r="D220" s="62"/>
      <c r="F220" s="21"/>
      <c r="G220" s="1"/>
      <c r="H220" s="2"/>
      <c r="J220" s="2"/>
      <c r="K220" s="2"/>
      <c r="L220" s="2"/>
      <c r="M220" s="2"/>
      <c r="N220" s="2"/>
      <c r="O220" s="2"/>
      <c r="Q220" s="420"/>
      <c r="R220" s="21"/>
      <c r="S220" s="21"/>
      <c r="T220" s="2"/>
      <c r="V220" s="826"/>
    </row>
    <row r="221" spans="1:22" x14ac:dyDescent="0.4">
      <c r="A221" s="62"/>
      <c r="B221" s="62"/>
      <c r="C221" s="62"/>
      <c r="D221" s="62"/>
      <c r="F221" s="21"/>
      <c r="G221" s="1"/>
      <c r="H221" s="2"/>
      <c r="J221" s="2"/>
      <c r="K221" s="2"/>
      <c r="L221" s="2"/>
      <c r="M221" s="2"/>
      <c r="N221" s="2"/>
      <c r="O221" s="2"/>
      <c r="Q221" s="420"/>
      <c r="R221" s="21"/>
      <c r="S221" s="21"/>
      <c r="T221" s="2"/>
      <c r="V221" s="826"/>
    </row>
    <row r="222" spans="1:22" x14ac:dyDescent="0.4">
      <c r="A222" s="62"/>
      <c r="B222" s="62"/>
      <c r="C222" s="62"/>
      <c r="D222" s="62"/>
      <c r="F222" s="21"/>
      <c r="G222" s="1"/>
      <c r="H222" s="2"/>
      <c r="J222" s="2"/>
      <c r="K222" s="2"/>
      <c r="L222" s="2"/>
      <c r="M222" s="2"/>
      <c r="N222" s="2"/>
      <c r="O222" s="2"/>
      <c r="Q222" s="420"/>
      <c r="R222" s="21"/>
      <c r="S222" s="21"/>
      <c r="T222" s="2"/>
      <c r="V222" s="826"/>
    </row>
    <row r="223" spans="1:22" x14ac:dyDescent="0.4">
      <c r="A223" s="62"/>
      <c r="B223" s="62"/>
      <c r="C223" s="62"/>
      <c r="D223" s="62"/>
      <c r="F223" s="21"/>
      <c r="G223" s="1"/>
      <c r="H223" s="2"/>
      <c r="J223" s="2"/>
      <c r="K223" s="2"/>
      <c r="L223" s="2"/>
      <c r="M223" s="2"/>
      <c r="N223" s="2"/>
      <c r="O223" s="2"/>
      <c r="Q223" s="420"/>
      <c r="R223" s="21"/>
      <c r="S223" s="21"/>
      <c r="T223" s="2"/>
      <c r="V223" s="826"/>
    </row>
    <row r="224" spans="1:22" x14ac:dyDescent="0.4">
      <c r="A224" s="62"/>
      <c r="B224" s="62"/>
      <c r="C224" s="62"/>
      <c r="D224" s="62"/>
      <c r="F224" s="21"/>
      <c r="G224" s="1"/>
      <c r="H224" s="2"/>
      <c r="J224" s="2"/>
      <c r="K224" s="2"/>
      <c r="L224" s="2"/>
      <c r="M224" s="2"/>
      <c r="N224" s="2"/>
      <c r="O224" s="2"/>
      <c r="Q224" s="420"/>
      <c r="R224" s="21"/>
      <c r="S224" s="21"/>
      <c r="T224" s="2"/>
      <c r="V224" s="826"/>
    </row>
    <row r="225" spans="1:22" x14ac:dyDescent="0.4">
      <c r="A225" s="62"/>
      <c r="B225" s="62"/>
      <c r="C225" s="62"/>
      <c r="D225" s="62"/>
      <c r="F225" s="21"/>
      <c r="G225" s="1"/>
      <c r="H225" s="2"/>
      <c r="J225" s="2"/>
      <c r="K225" s="2"/>
      <c r="L225" s="2"/>
      <c r="M225" s="2"/>
      <c r="N225" s="2"/>
      <c r="O225" s="2"/>
      <c r="Q225" s="420"/>
      <c r="R225" s="21"/>
      <c r="S225" s="21"/>
      <c r="T225" s="2"/>
      <c r="V225" s="826"/>
    </row>
    <row r="226" spans="1:22" x14ac:dyDescent="0.4">
      <c r="A226" s="62"/>
      <c r="B226" s="62"/>
      <c r="C226" s="62"/>
      <c r="D226" s="62"/>
      <c r="F226" s="21"/>
      <c r="G226" s="1"/>
      <c r="H226" s="2"/>
      <c r="J226" s="2"/>
      <c r="K226" s="2"/>
      <c r="L226" s="2"/>
      <c r="M226" s="2"/>
      <c r="N226" s="2"/>
      <c r="O226" s="2"/>
      <c r="Q226" s="420"/>
      <c r="R226" s="21"/>
      <c r="S226" s="21"/>
      <c r="T226" s="2"/>
      <c r="V226" s="826"/>
    </row>
    <row r="227" spans="1:22" x14ac:dyDescent="0.4">
      <c r="A227" s="62"/>
      <c r="B227" s="62"/>
      <c r="C227" s="62"/>
      <c r="D227" s="62"/>
      <c r="F227" s="21"/>
      <c r="G227" s="1"/>
      <c r="H227" s="2"/>
      <c r="J227" s="2"/>
      <c r="K227" s="2"/>
      <c r="L227" s="2"/>
      <c r="M227" s="2"/>
      <c r="N227" s="2"/>
      <c r="O227" s="2"/>
      <c r="Q227" s="420"/>
      <c r="R227" s="21"/>
      <c r="S227" s="21"/>
      <c r="T227" s="2"/>
      <c r="V227" s="826"/>
    </row>
    <row r="228" spans="1:22" x14ac:dyDescent="0.4">
      <c r="A228" s="62"/>
      <c r="B228" s="62"/>
      <c r="C228" s="62"/>
      <c r="D228" s="62"/>
      <c r="F228" s="21"/>
      <c r="G228" s="1"/>
      <c r="H228" s="2"/>
      <c r="J228" s="2"/>
      <c r="K228" s="2"/>
      <c r="L228" s="2"/>
      <c r="M228" s="2"/>
      <c r="N228" s="2"/>
      <c r="O228" s="2"/>
      <c r="Q228" s="420"/>
      <c r="R228" s="21"/>
      <c r="S228" s="21"/>
      <c r="T228" s="2"/>
      <c r="V228" s="826"/>
    </row>
    <row r="229" spans="1:22" x14ac:dyDescent="0.4">
      <c r="A229" s="62"/>
      <c r="B229" s="62"/>
      <c r="C229" s="62"/>
      <c r="D229" s="62"/>
      <c r="F229" s="21"/>
      <c r="G229" s="1"/>
      <c r="H229" s="2"/>
      <c r="J229" s="2"/>
      <c r="K229" s="2"/>
      <c r="L229" s="2"/>
      <c r="M229" s="2"/>
      <c r="N229" s="2"/>
      <c r="O229" s="2"/>
      <c r="Q229" s="420"/>
      <c r="R229" s="21"/>
      <c r="S229" s="21"/>
      <c r="T229" s="2"/>
      <c r="V229" s="826"/>
    </row>
    <row r="230" spans="1:22" x14ac:dyDescent="0.4">
      <c r="A230" s="62"/>
      <c r="B230" s="62"/>
      <c r="C230" s="62"/>
      <c r="D230" s="62"/>
      <c r="F230" s="21"/>
      <c r="G230" s="1"/>
      <c r="H230" s="2"/>
      <c r="J230" s="2"/>
      <c r="K230" s="2"/>
      <c r="L230" s="2"/>
      <c r="M230" s="2"/>
      <c r="N230" s="2"/>
      <c r="O230" s="2"/>
      <c r="Q230" s="420"/>
      <c r="R230" s="21"/>
      <c r="S230" s="21"/>
      <c r="T230" s="2"/>
      <c r="V230" s="826"/>
    </row>
    <row r="231" spans="1:22" x14ac:dyDescent="0.4">
      <c r="A231" s="62"/>
      <c r="B231" s="62"/>
      <c r="C231" s="62"/>
      <c r="D231" s="62"/>
      <c r="F231" s="21"/>
      <c r="G231" s="1"/>
      <c r="H231" s="2"/>
      <c r="J231" s="2"/>
      <c r="K231" s="2"/>
      <c r="L231" s="2"/>
      <c r="M231" s="2"/>
      <c r="N231" s="2"/>
      <c r="O231" s="2"/>
      <c r="Q231" s="420"/>
      <c r="R231" s="21"/>
      <c r="S231" s="21"/>
      <c r="T231" s="2"/>
      <c r="V231" s="826"/>
    </row>
    <row r="232" spans="1:22" x14ac:dyDescent="0.4">
      <c r="A232" s="62"/>
      <c r="B232" s="62"/>
      <c r="C232" s="62"/>
      <c r="D232" s="62"/>
      <c r="F232" s="21"/>
      <c r="G232" s="1"/>
      <c r="H232" s="2"/>
      <c r="J232" s="2"/>
      <c r="K232" s="2"/>
      <c r="L232" s="2"/>
      <c r="M232" s="2"/>
      <c r="N232" s="2"/>
      <c r="O232" s="2"/>
      <c r="Q232" s="420"/>
      <c r="R232" s="21"/>
      <c r="S232" s="21"/>
      <c r="T232" s="2"/>
      <c r="V232" s="826"/>
    </row>
    <row r="233" spans="1:22" x14ac:dyDescent="0.4">
      <c r="A233" s="62"/>
      <c r="B233" s="62"/>
      <c r="C233" s="62"/>
      <c r="D233" s="62"/>
      <c r="F233" s="21"/>
      <c r="G233" s="1"/>
      <c r="H233" s="2"/>
      <c r="J233" s="2"/>
      <c r="K233" s="2"/>
      <c r="L233" s="2"/>
      <c r="M233" s="2"/>
      <c r="N233" s="2"/>
      <c r="O233" s="2"/>
      <c r="Q233" s="420"/>
      <c r="R233" s="21"/>
      <c r="S233" s="21"/>
      <c r="T233" s="2"/>
      <c r="V233" s="826"/>
    </row>
    <row r="234" spans="1:22" x14ac:dyDescent="0.4">
      <c r="A234" s="62"/>
      <c r="B234" s="62"/>
      <c r="C234" s="62"/>
      <c r="D234" s="62"/>
      <c r="F234" s="21"/>
      <c r="G234" s="1"/>
      <c r="H234" s="2"/>
      <c r="J234" s="2"/>
      <c r="K234" s="2"/>
      <c r="L234" s="2"/>
      <c r="M234" s="2"/>
      <c r="N234" s="2"/>
      <c r="O234" s="2"/>
      <c r="Q234" s="420"/>
      <c r="R234" s="21"/>
      <c r="S234" s="21"/>
      <c r="T234" s="2"/>
      <c r="V234" s="826"/>
    </row>
    <row r="235" spans="1:22" x14ac:dyDescent="0.4">
      <c r="A235" s="62"/>
      <c r="B235" s="62"/>
      <c r="C235" s="62"/>
      <c r="D235" s="62"/>
      <c r="F235" s="21"/>
      <c r="G235" s="1"/>
      <c r="H235" s="2"/>
      <c r="J235" s="2"/>
      <c r="K235" s="2"/>
      <c r="L235" s="2"/>
      <c r="M235" s="2"/>
      <c r="N235" s="2"/>
      <c r="O235" s="2"/>
      <c r="Q235" s="420"/>
      <c r="R235" s="21"/>
      <c r="S235" s="21"/>
      <c r="T235" s="2"/>
      <c r="V235" s="826"/>
    </row>
    <row r="236" spans="1:22" x14ac:dyDescent="0.4">
      <c r="A236" s="62"/>
      <c r="B236" s="62"/>
      <c r="C236" s="62"/>
      <c r="D236" s="62"/>
      <c r="F236" s="21"/>
      <c r="G236" s="1"/>
      <c r="H236" s="2"/>
      <c r="J236" s="2"/>
      <c r="K236" s="2"/>
      <c r="L236" s="2"/>
      <c r="M236" s="2"/>
      <c r="N236" s="2"/>
      <c r="O236" s="2"/>
      <c r="Q236" s="420"/>
      <c r="R236" s="21"/>
      <c r="S236" s="21"/>
      <c r="T236" s="2"/>
      <c r="V236" s="826"/>
    </row>
    <row r="237" spans="1:22" x14ac:dyDescent="0.4">
      <c r="A237" s="62"/>
      <c r="B237" s="62"/>
      <c r="C237" s="62"/>
      <c r="D237" s="62"/>
      <c r="F237" s="21"/>
      <c r="G237" s="1"/>
      <c r="H237" s="2"/>
      <c r="J237" s="2"/>
      <c r="K237" s="2"/>
      <c r="L237" s="2"/>
      <c r="M237" s="2"/>
      <c r="N237" s="2"/>
      <c r="O237" s="2"/>
      <c r="Q237" s="420"/>
      <c r="R237" s="21"/>
      <c r="S237" s="21"/>
      <c r="T237" s="2"/>
      <c r="V237" s="826"/>
    </row>
    <row r="238" spans="1:22" x14ac:dyDescent="0.4">
      <c r="A238" s="62"/>
      <c r="B238" s="62"/>
      <c r="C238" s="62"/>
      <c r="D238" s="62"/>
      <c r="F238" s="21"/>
      <c r="G238" s="1"/>
      <c r="H238" s="2"/>
      <c r="J238" s="2"/>
      <c r="K238" s="2"/>
      <c r="L238" s="2"/>
      <c r="M238" s="2"/>
      <c r="N238" s="2"/>
      <c r="O238" s="2"/>
      <c r="Q238" s="420"/>
      <c r="R238" s="21"/>
      <c r="S238" s="21"/>
      <c r="T238" s="2"/>
      <c r="V238" s="826"/>
    </row>
    <row r="239" spans="1:22" x14ac:dyDescent="0.4">
      <c r="A239" s="62"/>
      <c r="B239" s="62"/>
      <c r="C239" s="62"/>
      <c r="D239" s="62"/>
      <c r="F239" s="21"/>
      <c r="G239" s="1"/>
      <c r="H239" s="2"/>
      <c r="J239" s="2"/>
      <c r="K239" s="2"/>
      <c r="L239" s="2"/>
      <c r="M239" s="2"/>
      <c r="N239" s="2"/>
      <c r="O239" s="2"/>
      <c r="Q239" s="420"/>
      <c r="R239" s="21"/>
      <c r="S239" s="21"/>
      <c r="T239" s="2"/>
      <c r="V239" s="826"/>
    </row>
    <row r="240" spans="1:22" x14ac:dyDescent="0.4">
      <c r="A240" s="62"/>
      <c r="B240" s="62"/>
      <c r="C240" s="62"/>
      <c r="D240" s="62"/>
      <c r="F240" s="21"/>
      <c r="G240" s="1"/>
      <c r="H240" s="2"/>
      <c r="J240" s="2"/>
      <c r="K240" s="2"/>
      <c r="L240" s="2"/>
      <c r="M240" s="2"/>
      <c r="N240" s="2"/>
      <c r="O240" s="2"/>
      <c r="Q240" s="420"/>
      <c r="R240" s="21"/>
      <c r="S240" s="21"/>
      <c r="T240" s="2"/>
      <c r="V240" s="826"/>
    </row>
    <row r="241" spans="1:22" x14ac:dyDescent="0.4">
      <c r="A241" s="62"/>
      <c r="B241" s="62"/>
      <c r="C241" s="62"/>
      <c r="D241" s="62"/>
      <c r="F241" s="21"/>
      <c r="G241" s="1"/>
      <c r="H241" s="2"/>
      <c r="J241" s="2"/>
      <c r="K241" s="2"/>
      <c r="L241" s="2"/>
      <c r="M241" s="2"/>
      <c r="N241" s="2"/>
      <c r="O241" s="2"/>
      <c r="Q241" s="420"/>
      <c r="R241" s="21"/>
      <c r="S241" s="21"/>
      <c r="T241" s="2"/>
      <c r="V241" s="826"/>
    </row>
    <row r="242" spans="1:22" x14ac:dyDescent="0.4">
      <c r="A242" s="62"/>
      <c r="B242" s="62"/>
      <c r="C242" s="62"/>
      <c r="D242" s="62"/>
      <c r="F242" s="21"/>
      <c r="G242" s="1"/>
      <c r="H242" s="2"/>
      <c r="J242" s="2"/>
      <c r="K242" s="2"/>
      <c r="L242" s="2"/>
      <c r="M242" s="2"/>
      <c r="N242" s="2"/>
      <c r="O242" s="2"/>
      <c r="Q242" s="420"/>
      <c r="R242" s="21"/>
      <c r="S242" s="21"/>
      <c r="T242" s="2"/>
      <c r="V242" s="826"/>
    </row>
    <row r="243" spans="1:22" x14ac:dyDescent="0.4">
      <c r="F243" s="21"/>
      <c r="G243" s="1"/>
      <c r="H243" s="2"/>
      <c r="J243" s="2"/>
      <c r="K243" s="2"/>
      <c r="L243" s="2"/>
      <c r="M243" s="2"/>
      <c r="N243" s="2"/>
      <c r="O243" s="2"/>
      <c r="Q243" s="420"/>
      <c r="R243" s="21"/>
      <c r="S243" s="21"/>
      <c r="T243" s="2"/>
      <c r="V243" s="826"/>
    </row>
    <row r="244" spans="1:22" x14ac:dyDescent="0.4">
      <c r="F244" s="21"/>
      <c r="G244" s="1"/>
      <c r="H244" s="2"/>
      <c r="J244" s="2"/>
      <c r="K244" s="2"/>
      <c r="L244" s="2"/>
      <c r="M244" s="2"/>
      <c r="N244" s="2"/>
      <c r="O244" s="2"/>
      <c r="Q244" s="420"/>
      <c r="R244" s="21"/>
      <c r="S244" s="21"/>
      <c r="T244" s="2"/>
      <c r="V244" s="826"/>
    </row>
    <row r="245" spans="1:22" x14ac:dyDescent="0.4">
      <c r="F245" s="21"/>
      <c r="G245" s="1"/>
      <c r="H245" s="2"/>
      <c r="J245" s="2"/>
      <c r="K245" s="2"/>
      <c r="L245" s="2"/>
      <c r="M245" s="2"/>
      <c r="N245" s="2"/>
      <c r="O245" s="2"/>
      <c r="Q245" s="420"/>
      <c r="R245" s="21"/>
      <c r="S245" s="21"/>
      <c r="T245" s="2"/>
      <c r="V245" s="826"/>
    </row>
    <row r="246" spans="1:22" x14ac:dyDescent="0.4">
      <c r="F246" s="21"/>
      <c r="G246" s="1"/>
      <c r="H246" s="2"/>
      <c r="J246" s="2"/>
      <c r="K246" s="2"/>
      <c r="L246" s="2"/>
      <c r="M246" s="2"/>
      <c r="N246" s="2"/>
      <c r="O246" s="2"/>
      <c r="Q246" s="420"/>
      <c r="R246" s="21"/>
      <c r="S246" s="21"/>
      <c r="T246" s="2"/>
      <c r="V246" s="826"/>
    </row>
    <row r="247" spans="1:22" x14ac:dyDescent="0.4">
      <c r="F247" s="21"/>
      <c r="G247" s="1"/>
      <c r="H247" s="2"/>
      <c r="J247" s="2"/>
      <c r="K247" s="2"/>
      <c r="L247" s="2"/>
      <c r="M247" s="2"/>
      <c r="N247" s="2"/>
      <c r="O247" s="2"/>
      <c r="Q247" s="420"/>
      <c r="R247" s="21"/>
      <c r="S247" s="21"/>
      <c r="T247" s="2"/>
      <c r="V247" s="826"/>
    </row>
    <row r="248" spans="1:22" x14ac:dyDescent="0.4">
      <c r="F248" s="21"/>
      <c r="G248" s="1"/>
      <c r="H248" s="2"/>
      <c r="J248" s="2"/>
      <c r="K248" s="2"/>
      <c r="L248" s="2"/>
      <c r="M248" s="2"/>
      <c r="N248" s="2"/>
      <c r="O248" s="2"/>
      <c r="Q248" s="420"/>
      <c r="R248" s="21"/>
      <c r="S248" s="21"/>
      <c r="T248" s="2"/>
      <c r="V248" s="826"/>
    </row>
    <row r="249" spans="1:22" x14ac:dyDescent="0.4">
      <c r="F249" s="21"/>
      <c r="G249" s="1"/>
      <c r="H249" s="2"/>
      <c r="J249" s="2"/>
      <c r="K249" s="2"/>
      <c r="L249" s="2"/>
      <c r="M249" s="2"/>
      <c r="N249" s="2"/>
      <c r="O249" s="2"/>
      <c r="Q249" s="420"/>
      <c r="R249" s="21"/>
      <c r="S249" s="21"/>
      <c r="T249" s="2"/>
      <c r="V249" s="826"/>
    </row>
    <row r="250" spans="1:22" x14ac:dyDescent="0.4">
      <c r="F250" s="21"/>
      <c r="G250" s="1"/>
      <c r="H250" s="2"/>
      <c r="J250" s="2"/>
      <c r="K250" s="2"/>
      <c r="L250" s="2"/>
      <c r="M250" s="2"/>
      <c r="N250" s="2"/>
      <c r="O250" s="2"/>
      <c r="Q250" s="420"/>
      <c r="R250" s="21"/>
      <c r="S250" s="21"/>
      <c r="T250" s="2"/>
      <c r="V250" s="826"/>
    </row>
    <row r="251" spans="1:22" x14ac:dyDescent="0.4">
      <c r="F251" s="21"/>
      <c r="G251" s="1"/>
      <c r="H251" s="2"/>
      <c r="J251" s="2"/>
      <c r="K251" s="2"/>
      <c r="L251" s="2"/>
      <c r="M251" s="2"/>
      <c r="N251" s="2"/>
      <c r="O251" s="2"/>
      <c r="Q251" s="420"/>
      <c r="R251" s="21"/>
      <c r="S251" s="21"/>
      <c r="T251" s="2"/>
      <c r="V251" s="826"/>
    </row>
    <row r="252" spans="1:22" x14ac:dyDescent="0.4">
      <c r="F252" s="21"/>
      <c r="G252" s="1"/>
      <c r="H252" s="2"/>
      <c r="J252" s="2"/>
      <c r="K252" s="2"/>
      <c r="L252" s="2"/>
      <c r="M252" s="2"/>
      <c r="N252" s="2"/>
      <c r="O252" s="2"/>
      <c r="Q252" s="420"/>
      <c r="R252" s="21"/>
      <c r="S252" s="21"/>
      <c r="T252" s="2"/>
      <c r="V252" s="826"/>
    </row>
    <row r="253" spans="1:22" x14ac:dyDescent="0.4">
      <c r="F253" s="21"/>
      <c r="G253" s="1"/>
      <c r="H253" s="2"/>
      <c r="J253" s="2"/>
      <c r="K253" s="2"/>
      <c r="L253" s="2"/>
      <c r="M253" s="2"/>
      <c r="N253" s="2"/>
      <c r="O253" s="2"/>
      <c r="Q253" s="420"/>
      <c r="R253" s="21"/>
      <c r="S253" s="21"/>
      <c r="T253" s="2"/>
      <c r="V253" s="826"/>
    </row>
    <row r="254" spans="1:22" x14ac:dyDescent="0.4">
      <c r="F254" s="21"/>
      <c r="G254" s="1"/>
      <c r="H254" s="2"/>
      <c r="J254" s="2"/>
      <c r="K254" s="2"/>
      <c r="L254" s="2"/>
      <c r="M254" s="2"/>
      <c r="N254" s="2"/>
      <c r="O254" s="2"/>
      <c r="Q254" s="420"/>
      <c r="R254" s="21"/>
      <c r="S254" s="21"/>
      <c r="T254" s="2"/>
      <c r="V254" s="826"/>
    </row>
    <row r="255" spans="1:22" x14ac:dyDescent="0.4">
      <c r="F255" s="21"/>
      <c r="G255" s="1"/>
      <c r="H255" s="2"/>
      <c r="J255" s="2"/>
      <c r="K255" s="2"/>
      <c r="L255" s="2"/>
      <c r="M255" s="2"/>
      <c r="N255" s="2"/>
      <c r="O255" s="2"/>
      <c r="Q255" s="420"/>
      <c r="R255" s="21"/>
      <c r="S255" s="21"/>
      <c r="T255" s="2"/>
      <c r="V255" s="826"/>
    </row>
    <row r="256" spans="1:22" x14ac:dyDescent="0.4">
      <c r="F256" s="21"/>
      <c r="G256" s="1"/>
      <c r="H256" s="2"/>
      <c r="J256" s="2"/>
      <c r="K256" s="2"/>
      <c r="L256" s="2"/>
      <c r="M256" s="2"/>
      <c r="N256" s="2"/>
      <c r="O256" s="2"/>
      <c r="Q256" s="420"/>
      <c r="R256" s="21"/>
      <c r="S256" s="21"/>
      <c r="T256" s="2"/>
      <c r="V256" s="826"/>
    </row>
    <row r="257" spans="6:22" x14ac:dyDescent="0.4">
      <c r="F257" s="21"/>
      <c r="G257" s="1"/>
      <c r="H257" s="2"/>
      <c r="J257" s="2"/>
      <c r="K257" s="2"/>
      <c r="L257" s="2"/>
      <c r="M257" s="2"/>
      <c r="N257" s="2"/>
      <c r="O257" s="2"/>
      <c r="Q257" s="420"/>
      <c r="R257" s="21"/>
      <c r="S257" s="21"/>
      <c r="T257" s="2"/>
      <c r="V257" s="826"/>
    </row>
    <row r="258" spans="6:22" x14ac:dyDescent="0.4">
      <c r="F258" s="21"/>
      <c r="G258" s="1"/>
      <c r="H258" s="2"/>
      <c r="J258" s="2"/>
      <c r="K258" s="2"/>
      <c r="L258" s="2"/>
      <c r="M258" s="2"/>
      <c r="N258" s="2"/>
      <c r="O258" s="2"/>
      <c r="Q258" s="420"/>
      <c r="R258" s="21"/>
      <c r="S258" s="21"/>
      <c r="T258" s="2"/>
      <c r="V258" s="826"/>
    </row>
    <row r="259" spans="6:22" x14ac:dyDescent="0.4">
      <c r="F259" s="21"/>
      <c r="G259" s="1"/>
      <c r="H259" s="2"/>
      <c r="J259" s="2"/>
      <c r="K259" s="2"/>
      <c r="L259" s="2"/>
      <c r="M259" s="2"/>
      <c r="N259" s="2"/>
      <c r="O259" s="2"/>
      <c r="Q259" s="420"/>
      <c r="R259" s="21"/>
      <c r="S259" s="21"/>
      <c r="T259" s="2"/>
      <c r="V259" s="826"/>
    </row>
    <row r="260" spans="6:22" x14ac:dyDescent="0.4">
      <c r="F260" s="21"/>
      <c r="G260" s="1"/>
      <c r="H260" s="2"/>
      <c r="J260" s="2"/>
      <c r="K260" s="2"/>
      <c r="L260" s="2"/>
      <c r="M260" s="2"/>
      <c r="N260" s="2"/>
      <c r="O260" s="2"/>
      <c r="Q260" s="420"/>
      <c r="R260" s="21"/>
      <c r="S260" s="21"/>
      <c r="T260" s="2"/>
      <c r="V260" s="826"/>
    </row>
    <row r="261" spans="6:22" x14ac:dyDescent="0.4">
      <c r="F261" s="21"/>
      <c r="G261" s="1"/>
      <c r="H261" s="2"/>
      <c r="J261" s="2"/>
      <c r="K261" s="2"/>
      <c r="L261" s="2"/>
      <c r="M261" s="2"/>
      <c r="N261" s="2"/>
      <c r="O261" s="2"/>
      <c r="Q261" s="420"/>
      <c r="R261" s="21"/>
      <c r="S261" s="21"/>
      <c r="T261" s="2"/>
      <c r="V261" s="826"/>
    </row>
    <row r="262" spans="6:22" x14ac:dyDescent="0.4">
      <c r="F262" s="21"/>
      <c r="G262" s="1"/>
      <c r="H262" s="2"/>
      <c r="J262" s="2"/>
      <c r="K262" s="2"/>
      <c r="L262" s="2"/>
      <c r="M262" s="2"/>
      <c r="N262" s="2"/>
      <c r="O262" s="2"/>
      <c r="Q262" s="420"/>
      <c r="R262" s="21"/>
      <c r="S262" s="21"/>
      <c r="T262" s="2"/>
      <c r="V262" s="826"/>
    </row>
    <row r="263" spans="6:22" x14ac:dyDescent="0.4">
      <c r="F263" s="21"/>
      <c r="G263" s="1"/>
      <c r="H263" s="2"/>
      <c r="J263" s="2"/>
      <c r="K263" s="2"/>
      <c r="L263" s="2"/>
      <c r="M263" s="2"/>
      <c r="N263" s="2"/>
      <c r="O263" s="2"/>
      <c r="Q263" s="420"/>
      <c r="R263" s="21"/>
      <c r="S263" s="21"/>
      <c r="T263" s="2"/>
      <c r="V263" s="826"/>
    </row>
    <row r="264" spans="6:22" x14ac:dyDescent="0.4">
      <c r="F264" s="21"/>
      <c r="G264" s="1"/>
      <c r="H264" s="2"/>
      <c r="J264" s="2"/>
      <c r="K264" s="2"/>
      <c r="L264" s="2"/>
      <c r="M264" s="2"/>
      <c r="N264" s="2"/>
      <c r="O264" s="2"/>
      <c r="Q264" s="420"/>
      <c r="R264" s="21"/>
      <c r="S264" s="21"/>
      <c r="T264" s="2"/>
      <c r="V264" s="826"/>
    </row>
    <row r="265" spans="6:22" x14ac:dyDescent="0.4">
      <c r="F265" s="21"/>
      <c r="G265" s="1"/>
      <c r="H265" s="2"/>
      <c r="J265" s="2"/>
      <c r="K265" s="2"/>
      <c r="L265" s="2"/>
      <c r="M265" s="2"/>
      <c r="N265" s="2"/>
      <c r="O265" s="2"/>
      <c r="Q265" s="420"/>
      <c r="R265" s="21"/>
      <c r="S265" s="21"/>
      <c r="T265" s="2"/>
      <c r="V265" s="826"/>
    </row>
    <row r="266" spans="6:22" x14ac:dyDescent="0.4">
      <c r="F266" s="21"/>
      <c r="G266" s="1"/>
      <c r="H266" s="2"/>
      <c r="J266" s="2"/>
      <c r="K266" s="2"/>
      <c r="L266" s="2"/>
      <c r="M266" s="2"/>
      <c r="N266" s="2"/>
      <c r="O266" s="2"/>
      <c r="Q266" s="420"/>
      <c r="R266" s="21"/>
      <c r="S266" s="21"/>
      <c r="T266" s="2"/>
      <c r="V266" s="826"/>
    </row>
    <row r="267" spans="6:22" x14ac:dyDescent="0.4">
      <c r="F267" s="21"/>
      <c r="G267" s="1"/>
      <c r="H267" s="2"/>
      <c r="J267" s="2"/>
      <c r="K267" s="2"/>
      <c r="L267" s="2"/>
      <c r="M267" s="2"/>
      <c r="N267" s="2"/>
      <c r="O267" s="2"/>
      <c r="Q267" s="420"/>
      <c r="R267" s="21"/>
      <c r="S267" s="21"/>
      <c r="T267" s="2"/>
      <c r="V267" s="826"/>
    </row>
    <row r="268" spans="6:22" x14ac:dyDescent="0.4">
      <c r="F268" s="21"/>
      <c r="G268" s="1"/>
      <c r="H268" s="2"/>
      <c r="J268" s="2"/>
      <c r="K268" s="2"/>
      <c r="L268" s="2"/>
      <c r="M268" s="2"/>
      <c r="N268" s="2"/>
      <c r="O268" s="2"/>
      <c r="Q268" s="420"/>
      <c r="R268" s="21"/>
      <c r="S268" s="21"/>
      <c r="T268" s="2"/>
      <c r="V268" s="826"/>
    </row>
    <row r="269" spans="6:22" x14ac:dyDescent="0.4">
      <c r="F269" s="21"/>
      <c r="G269" s="1"/>
      <c r="H269" s="2"/>
      <c r="J269" s="2"/>
      <c r="K269" s="2"/>
      <c r="L269" s="2"/>
      <c r="M269" s="2"/>
      <c r="N269" s="2"/>
      <c r="O269" s="2"/>
      <c r="Q269" s="420"/>
      <c r="R269" s="21"/>
      <c r="S269" s="21"/>
      <c r="T269" s="2"/>
      <c r="V269" s="826"/>
    </row>
    <row r="270" spans="6:22" x14ac:dyDescent="0.4">
      <c r="F270" s="21"/>
      <c r="G270" s="1"/>
      <c r="H270" s="2"/>
      <c r="J270" s="2"/>
      <c r="K270" s="2"/>
      <c r="L270" s="2"/>
      <c r="M270" s="2"/>
      <c r="N270" s="2"/>
      <c r="O270" s="2"/>
      <c r="Q270" s="420"/>
      <c r="R270" s="21"/>
      <c r="S270" s="21"/>
      <c r="T270" s="2"/>
      <c r="V270" s="826"/>
    </row>
    <row r="271" spans="6:22" x14ac:dyDescent="0.4">
      <c r="F271" s="21"/>
      <c r="G271" s="1"/>
      <c r="H271" s="2"/>
      <c r="J271" s="2"/>
      <c r="K271" s="2"/>
      <c r="L271" s="2"/>
      <c r="M271" s="2"/>
      <c r="N271" s="2"/>
      <c r="O271" s="2"/>
      <c r="Q271" s="420"/>
      <c r="R271" s="21"/>
      <c r="S271" s="21"/>
      <c r="T271" s="2"/>
      <c r="V271" s="826"/>
    </row>
    <row r="272" spans="6:22" x14ac:dyDescent="0.4">
      <c r="F272" s="21"/>
      <c r="G272" s="1"/>
      <c r="H272" s="2"/>
      <c r="J272" s="2"/>
      <c r="K272" s="2"/>
      <c r="L272" s="2"/>
      <c r="M272" s="2"/>
      <c r="N272" s="2"/>
      <c r="O272" s="2"/>
      <c r="Q272" s="420"/>
      <c r="R272" s="21"/>
      <c r="S272" s="21"/>
      <c r="T272" s="2"/>
      <c r="V272" s="826"/>
    </row>
    <row r="273" spans="6:22" x14ac:dyDescent="0.4">
      <c r="F273" s="21"/>
      <c r="G273" s="1"/>
      <c r="H273" s="2"/>
      <c r="J273" s="2"/>
      <c r="K273" s="2"/>
      <c r="L273" s="2"/>
      <c r="M273" s="2"/>
      <c r="N273" s="2"/>
      <c r="O273" s="2"/>
      <c r="Q273" s="420"/>
      <c r="R273" s="21"/>
      <c r="S273" s="21"/>
      <c r="T273" s="2"/>
      <c r="V273" s="826"/>
    </row>
    <row r="274" spans="6:22" x14ac:dyDescent="0.4">
      <c r="F274" s="21"/>
      <c r="G274" s="1"/>
      <c r="H274" s="2"/>
      <c r="J274" s="2"/>
      <c r="K274" s="2"/>
      <c r="L274" s="2"/>
      <c r="M274" s="2"/>
      <c r="N274" s="2"/>
      <c r="O274" s="2"/>
      <c r="Q274" s="420"/>
      <c r="R274" s="21"/>
      <c r="S274" s="21"/>
      <c r="T274" s="2"/>
      <c r="V274" s="826"/>
    </row>
    <row r="275" spans="6:22" x14ac:dyDescent="0.4">
      <c r="F275" s="21"/>
      <c r="G275" s="1"/>
      <c r="H275" s="2"/>
      <c r="J275" s="2"/>
      <c r="K275" s="2"/>
      <c r="L275" s="2"/>
      <c r="M275" s="2"/>
      <c r="N275" s="2"/>
      <c r="O275" s="2"/>
      <c r="Q275" s="420"/>
      <c r="R275" s="21"/>
      <c r="S275" s="21"/>
      <c r="T275" s="2"/>
      <c r="V275" s="826"/>
    </row>
    <row r="276" spans="6:22" x14ac:dyDescent="0.4">
      <c r="F276" s="21"/>
      <c r="G276" s="1"/>
      <c r="H276" s="2"/>
      <c r="J276" s="2"/>
      <c r="K276" s="2"/>
      <c r="L276" s="2"/>
      <c r="M276" s="2"/>
      <c r="N276" s="2"/>
      <c r="O276" s="2"/>
      <c r="Q276" s="420"/>
      <c r="R276" s="21"/>
      <c r="S276" s="21"/>
      <c r="T276" s="2"/>
      <c r="V276" s="826"/>
    </row>
    <row r="277" spans="6:22" x14ac:dyDescent="0.4">
      <c r="F277" s="21"/>
      <c r="G277" s="1"/>
      <c r="H277" s="2"/>
      <c r="J277" s="2"/>
      <c r="K277" s="2"/>
      <c r="L277" s="2"/>
      <c r="M277" s="2"/>
      <c r="N277" s="2"/>
      <c r="O277" s="2"/>
      <c r="Q277" s="420"/>
      <c r="R277" s="21"/>
      <c r="S277" s="21"/>
      <c r="T277" s="2"/>
      <c r="V277" s="826"/>
    </row>
    <row r="278" spans="6:22" x14ac:dyDescent="0.4">
      <c r="F278" s="21"/>
      <c r="G278" s="1"/>
      <c r="H278" s="2"/>
      <c r="J278" s="2"/>
      <c r="K278" s="2"/>
      <c r="L278" s="2"/>
      <c r="M278" s="2"/>
      <c r="N278" s="2"/>
      <c r="O278" s="2"/>
      <c r="Q278" s="420"/>
      <c r="R278" s="21"/>
      <c r="S278" s="21"/>
      <c r="T278" s="2"/>
      <c r="V278" s="826"/>
    </row>
    <row r="279" spans="6:22" x14ac:dyDescent="0.4">
      <c r="F279" s="21"/>
      <c r="G279" s="1"/>
      <c r="H279" s="2"/>
      <c r="J279" s="2"/>
      <c r="K279" s="2"/>
      <c r="L279" s="2"/>
      <c r="M279" s="2"/>
      <c r="N279" s="2"/>
      <c r="O279" s="2"/>
      <c r="Q279" s="420"/>
      <c r="R279" s="21"/>
      <c r="S279" s="21"/>
      <c r="T279" s="2"/>
      <c r="V279" s="826"/>
    </row>
    <row r="280" spans="6:22" x14ac:dyDescent="0.4">
      <c r="F280" s="21"/>
      <c r="G280" s="1"/>
      <c r="H280" s="2"/>
      <c r="J280" s="2"/>
      <c r="K280" s="2"/>
      <c r="L280" s="2"/>
      <c r="M280" s="2"/>
      <c r="N280" s="2"/>
      <c r="O280" s="2"/>
      <c r="Q280" s="420"/>
      <c r="R280" s="21"/>
      <c r="S280" s="21"/>
      <c r="T280" s="2"/>
      <c r="V280" s="826"/>
    </row>
    <row r="281" spans="6:22" x14ac:dyDescent="0.4">
      <c r="F281" s="21"/>
      <c r="G281" s="1"/>
      <c r="H281" s="2"/>
      <c r="J281" s="2"/>
      <c r="K281" s="2"/>
      <c r="L281" s="2"/>
      <c r="M281" s="2"/>
      <c r="N281" s="2"/>
      <c r="O281" s="2"/>
      <c r="Q281" s="420"/>
      <c r="R281" s="21"/>
      <c r="S281" s="21"/>
      <c r="T281" s="2"/>
      <c r="V281" s="826"/>
    </row>
    <row r="282" spans="6:22" x14ac:dyDescent="0.4">
      <c r="F282" s="21"/>
      <c r="G282" s="1"/>
      <c r="H282" s="2"/>
      <c r="J282" s="2"/>
      <c r="K282" s="2"/>
      <c r="L282" s="2"/>
      <c r="M282" s="2"/>
      <c r="N282" s="2"/>
      <c r="O282" s="2"/>
      <c r="Q282" s="420"/>
      <c r="R282" s="21"/>
      <c r="S282" s="21"/>
      <c r="T282" s="2"/>
      <c r="V282" s="826"/>
    </row>
    <row r="283" spans="6:22" x14ac:dyDescent="0.4">
      <c r="F283" s="21"/>
      <c r="G283" s="1"/>
      <c r="H283" s="2"/>
      <c r="J283" s="2"/>
      <c r="K283" s="2"/>
      <c r="L283" s="2"/>
      <c r="M283" s="2"/>
      <c r="N283" s="2"/>
      <c r="O283" s="2"/>
      <c r="Q283" s="420"/>
      <c r="R283" s="21"/>
      <c r="S283" s="21"/>
      <c r="T283" s="2"/>
      <c r="V283" s="826"/>
    </row>
    <row r="284" spans="6:22" x14ac:dyDescent="0.4">
      <c r="F284" s="21"/>
      <c r="G284" s="1"/>
      <c r="H284" s="2"/>
      <c r="J284" s="2"/>
      <c r="K284" s="2"/>
      <c r="L284" s="2"/>
      <c r="M284" s="2"/>
      <c r="N284" s="2"/>
      <c r="O284" s="2"/>
      <c r="Q284" s="420"/>
      <c r="R284" s="21"/>
      <c r="S284" s="21"/>
      <c r="T284" s="2"/>
      <c r="V284" s="826"/>
    </row>
    <row r="285" spans="6:22" x14ac:dyDescent="0.4">
      <c r="F285" s="21"/>
      <c r="G285" s="1"/>
      <c r="H285" s="2"/>
      <c r="J285" s="2"/>
      <c r="K285" s="2"/>
      <c r="L285" s="2"/>
      <c r="M285" s="2"/>
      <c r="N285" s="2"/>
      <c r="O285" s="2"/>
      <c r="Q285" s="420"/>
      <c r="R285" s="21"/>
      <c r="S285" s="21"/>
      <c r="T285" s="2"/>
      <c r="V285" s="826"/>
    </row>
    <row r="286" spans="6:22" x14ac:dyDescent="0.4">
      <c r="F286" s="21"/>
      <c r="G286" s="1"/>
      <c r="H286" s="2"/>
      <c r="J286" s="2"/>
      <c r="K286" s="2"/>
      <c r="L286" s="2"/>
      <c r="M286" s="2"/>
      <c r="N286" s="2"/>
      <c r="O286" s="2"/>
      <c r="Q286" s="420"/>
      <c r="R286" s="21"/>
      <c r="S286" s="21"/>
      <c r="T286" s="2"/>
      <c r="V286" s="826"/>
    </row>
    <row r="287" spans="6:22" x14ac:dyDescent="0.4">
      <c r="F287" s="21"/>
      <c r="G287" s="1"/>
      <c r="H287" s="2"/>
      <c r="J287" s="2"/>
      <c r="K287" s="2"/>
      <c r="L287" s="2"/>
      <c r="M287" s="2"/>
      <c r="N287" s="2"/>
      <c r="O287" s="2"/>
      <c r="Q287" s="420"/>
      <c r="R287" s="21"/>
      <c r="S287" s="21"/>
      <c r="T287" s="2"/>
      <c r="V287" s="826"/>
    </row>
    <row r="288" spans="6:22" x14ac:dyDescent="0.4">
      <c r="F288" s="21"/>
      <c r="G288" s="1"/>
      <c r="H288" s="2"/>
      <c r="J288" s="2"/>
      <c r="K288" s="2"/>
      <c r="L288" s="2"/>
      <c r="M288" s="2"/>
      <c r="N288" s="2"/>
      <c r="O288" s="2"/>
      <c r="Q288" s="420"/>
      <c r="R288" s="21"/>
      <c r="S288" s="21"/>
      <c r="T288" s="2"/>
      <c r="V288" s="826"/>
    </row>
    <row r="289" spans="6:22" x14ac:dyDescent="0.4">
      <c r="F289" s="21"/>
      <c r="G289" s="1"/>
      <c r="H289" s="2"/>
      <c r="J289" s="2"/>
      <c r="K289" s="2"/>
      <c r="L289" s="2"/>
      <c r="M289" s="2"/>
      <c r="N289" s="2"/>
      <c r="O289" s="2"/>
      <c r="Q289" s="420"/>
      <c r="R289" s="21"/>
      <c r="S289" s="21"/>
      <c r="T289" s="2"/>
      <c r="V289" s="826"/>
    </row>
    <row r="290" spans="6:22" x14ac:dyDescent="0.4">
      <c r="F290" s="21"/>
      <c r="G290" s="1"/>
      <c r="H290" s="2"/>
      <c r="J290" s="2"/>
      <c r="K290" s="2"/>
      <c r="L290" s="2"/>
      <c r="M290" s="2"/>
      <c r="N290" s="2"/>
      <c r="O290" s="2"/>
      <c r="Q290" s="420"/>
      <c r="R290" s="21"/>
      <c r="S290" s="21"/>
      <c r="T290" s="2"/>
      <c r="V290" s="826"/>
    </row>
    <row r="291" spans="6:22" x14ac:dyDescent="0.4">
      <c r="F291" s="21"/>
      <c r="G291" s="1"/>
      <c r="H291" s="2"/>
      <c r="J291" s="2"/>
      <c r="K291" s="2"/>
      <c r="L291" s="2"/>
      <c r="M291" s="2"/>
      <c r="N291" s="2"/>
      <c r="O291" s="2"/>
      <c r="Q291" s="420"/>
      <c r="R291" s="21"/>
      <c r="S291" s="21"/>
      <c r="T291" s="2"/>
      <c r="V291" s="826"/>
    </row>
    <row r="292" spans="6:22" x14ac:dyDescent="0.4">
      <c r="F292" s="21"/>
      <c r="G292" s="1"/>
      <c r="H292" s="2"/>
      <c r="J292" s="2"/>
      <c r="K292" s="2"/>
      <c r="L292" s="2"/>
      <c r="M292" s="2"/>
      <c r="N292" s="2"/>
      <c r="O292" s="2"/>
      <c r="Q292" s="420"/>
      <c r="R292" s="21"/>
      <c r="S292" s="21"/>
      <c r="T292" s="2"/>
      <c r="V292" s="826"/>
    </row>
    <row r="293" spans="6:22" x14ac:dyDescent="0.4">
      <c r="F293" s="21"/>
      <c r="G293" s="1"/>
      <c r="H293" s="2"/>
      <c r="J293" s="2"/>
      <c r="K293" s="2"/>
      <c r="L293" s="2"/>
      <c r="M293" s="2"/>
      <c r="N293" s="2"/>
      <c r="O293" s="2"/>
      <c r="Q293" s="420"/>
      <c r="R293" s="21"/>
      <c r="S293" s="21"/>
      <c r="T293" s="2"/>
      <c r="V293" s="826"/>
    </row>
    <row r="294" spans="6:22" x14ac:dyDescent="0.4">
      <c r="F294" s="21"/>
      <c r="G294" s="1"/>
      <c r="H294" s="2"/>
      <c r="J294" s="2"/>
      <c r="K294" s="2"/>
      <c r="L294" s="2"/>
      <c r="M294" s="2"/>
      <c r="N294" s="2"/>
      <c r="O294" s="2"/>
      <c r="Q294" s="420"/>
      <c r="R294" s="21"/>
      <c r="S294" s="21"/>
      <c r="T294" s="2"/>
      <c r="V294" s="826"/>
    </row>
    <row r="295" spans="6:22" x14ac:dyDescent="0.4">
      <c r="F295" s="21"/>
      <c r="G295" s="1"/>
      <c r="H295" s="2"/>
      <c r="J295" s="2"/>
      <c r="K295" s="2"/>
      <c r="L295" s="2"/>
      <c r="M295" s="2"/>
      <c r="N295" s="2"/>
      <c r="O295" s="2"/>
      <c r="Q295" s="420"/>
      <c r="R295" s="21"/>
      <c r="S295" s="21"/>
      <c r="T295" s="2"/>
      <c r="V295" s="826"/>
    </row>
    <row r="296" spans="6:22" x14ac:dyDescent="0.4">
      <c r="F296" s="21"/>
      <c r="G296" s="1"/>
      <c r="H296" s="2"/>
      <c r="J296" s="2"/>
      <c r="K296" s="2"/>
      <c r="L296" s="2"/>
      <c r="M296" s="2"/>
      <c r="N296" s="2"/>
      <c r="O296" s="2"/>
      <c r="Q296" s="420"/>
      <c r="R296" s="21"/>
      <c r="S296" s="21"/>
      <c r="T296" s="2"/>
      <c r="V296" s="826"/>
    </row>
    <row r="297" spans="6:22" x14ac:dyDescent="0.4">
      <c r="F297" s="21"/>
      <c r="G297" s="1"/>
      <c r="H297" s="2"/>
      <c r="J297" s="2"/>
      <c r="K297" s="2"/>
      <c r="L297" s="2"/>
      <c r="M297" s="2"/>
      <c r="N297" s="2"/>
      <c r="O297" s="2"/>
      <c r="Q297" s="420"/>
      <c r="R297" s="21"/>
      <c r="S297" s="21"/>
      <c r="T297" s="2"/>
      <c r="V297" s="826"/>
    </row>
    <row r="298" spans="6:22" x14ac:dyDescent="0.4">
      <c r="F298" s="21"/>
      <c r="G298" s="1"/>
      <c r="H298" s="2"/>
      <c r="J298" s="2"/>
      <c r="K298" s="2"/>
      <c r="L298" s="2"/>
      <c r="M298" s="2"/>
      <c r="N298" s="2"/>
      <c r="O298" s="2"/>
      <c r="Q298" s="420"/>
      <c r="R298" s="21"/>
      <c r="S298" s="21"/>
      <c r="T298" s="2"/>
      <c r="V298" s="826"/>
    </row>
    <row r="299" spans="6:22" x14ac:dyDescent="0.4">
      <c r="F299" s="21"/>
      <c r="G299" s="1"/>
      <c r="H299" s="2"/>
      <c r="J299" s="2"/>
      <c r="K299" s="2"/>
      <c r="L299" s="2"/>
      <c r="M299" s="2"/>
      <c r="N299" s="2"/>
      <c r="O299" s="2"/>
      <c r="Q299" s="420"/>
      <c r="R299" s="21"/>
      <c r="S299" s="21"/>
      <c r="T299" s="2"/>
      <c r="V299" s="826"/>
    </row>
    <row r="300" spans="6:22" x14ac:dyDescent="0.4">
      <c r="F300" s="21"/>
      <c r="G300" s="1"/>
      <c r="H300" s="2"/>
      <c r="J300" s="2"/>
      <c r="K300" s="2"/>
      <c r="L300" s="2"/>
      <c r="M300" s="2"/>
      <c r="N300" s="2"/>
      <c r="O300" s="2"/>
      <c r="Q300" s="420"/>
      <c r="R300" s="21"/>
      <c r="S300" s="21"/>
      <c r="T300" s="2"/>
      <c r="V300" s="826"/>
    </row>
    <row r="301" spans="6:22" x14ac:dyDescent="0.4">
      <c r="F301" s="21"/>
      <c r="G301" s="1"/>
      <c r="H301" s="2"/>
      <c r="J301" s="2"/>
      <c r="K301" s="2"/>
      <c r="L301" s="2"/>
      <c r="M301" s="2"/>
      <c r="N301" s="2"/>
      <c r="O301" s="2"/>
      <c r="Q301" s="420"/>
      <c r="R301" s="21"/>
      <c r="S301" s="21"/>
      <c r="T301" s="2"/>
      <c r="V301" s="826"/>
    </row>
    <row r="302" spans="6:22" x14ac:dyDescent="0.4">
      <c r="F302" s="21"/>
      <c r="G302" s="1"/>
      <c r="H302" s="2"/>
      <c r="J302" s="2"/>
      <c r="K302" s="2"/>
      <c r="L302" s="2"/>
      <c r="M302" s="2"/>
      <c r="N302" s="2"/>
      <c r="O302" s="2"/>
      <c r="Q302" s="420"/>
      <c r="R302" s="21"/>
      <c r="S302" s="21"/>
      <c r="T302" s="2"/>
      <c r="V302" s="826"/>
    </row>
    <row r="303" spans="6:22" x14ac:dyDescent="0.4">
      <c r="F303" s="21"/>
      <c r="G303" s="1"/>
      <c r="H303" s="2"/>
      <c r="J303" s="2"/>
      <c r="K303" s="2"/>
      <c r="L303" s="2"/>
      <c r="M303" s="2"/>
      <c r="N303" s="2"/>
      <c r="O303" s="2"/>
      <c r="Q303" s="420"/>
      <c r="R303" s="21"/>
      <c r="S303" s="21"/>
      <c r="T303" s="2"/>
      <c r="V303" s="826"/>
    </row>
    <row r="304" spans="6:22" x14ac:dyDescent="0.4">
      <c r="F304" s="21"/>
      <c r="G304" s="1"/>
      <c r="H304" s="2"/>
      <c r="J304" s="2"/>
      <c r="K304" s="2"/>
      <c r="L304" s="2"/>
      <c r="M304" s="2"/>
      <c r="N304" s="2"/>
      <c r="O304" s="2"/>
      <c r="Q304" s="420"/>
      <c r="R304" s="21"/>
      <c r="S304" s="21"/>
      <c r="T304" s="2"/>
      <c r="V304" s="826"/>
    </row>
    <row r="305" spans="6:22" x14ac:dyDescent="0.4">
      <c r="F305" s="21"/>
      <c r="G305" s="1"/>
      <c r="H305" s="2"/>
      <c r="J305" s="2"/>
      <c r="K305" s="2"/>
      <c r="L305" s="2"/>
      <c r="M305" s="2"/>
      <c r="N305" s="2"/>
      <c r="O305" s="2"/>
      <c r="Q305" s="420"/>
      <c r="R305" s="21"/>
      <c r="S305" s="21"/>
      <c r="T305" s="2"/>
      <c r="V305" s="826"/>
    </row>
    <row r="306" spans="6:22" x14ac:dyDescent="0.4">
      <c r="F306" s="21"/>
      <c r="G306" s="1"/>
      <c r="H306" s="2"/>
      <c r="J306" s="2"/>
      <c r="K306" s="2"/>
      <c r="L306" s="2"/>
      <c r="M306" s="2"/>
      <c r="N306" s="2"/>
      <c r="O306" s="2"/>
      <c r="Q306" s="420"/>
      <c r="R306" s="21"/>
      <c r="S306" s="21"/>
      <c r="T306" s="2"/>
      <c r="V306" s="826"/>
    </row>
    <row r="307" spans="6:22" x14ac:dyDescent="0.4">
      <c r="F307" s="21"/>
      <c r="G307" s="1"/>
      <c r="H307" s="2"/>
      <c r="J307" s="2"/>
      <c r="K307" s="2"/>
      <c r="L307" s="2"/>
      <c r="M307" s="2"/>
      <c r="N307" s="2"/>
      <c r="O307" s="2"/>
      <c r="Q307" s="420"/>
      <c r="R307" s="21"/>
      <c r="S307" s="21"/>
      <c r="T307" s="2"/>
      <c r="V307" s="826"/>
    </row>
    <row r="308" spans="6:22" x14ac:dyDescent="0.4">
      <c r="F308" s="21"/>
      <c r="G308" s="1"/>
      <c r="H308" s="2"/>
      <c r="J308" s="2"/>
      <c r="K308" s="2"/>
      <c r="L308" s="2"/>
      <c r="M308" s="2"/>
      <c r="N308" s="2"/>
      <c r="O308" s="2"/>
      <c r="Q308" s="420"/>
      <c r="R308" s="21"/>
      <c r="S308" s="21"/>
      <c r="T308" s="2"/>
      <c r="V308" s="826"/>
    </row>
    <row r="309" spans="6:22" x14ac:dyDescent="0.4">
      <c r="F309" s="21"/>
      <c r="G309" s="1"/>
      <c r="H309" s="2"/>
      <c r="J309" s="2"/>
      <c r="K309" s="2"/>
      <c r="L309" s="2"/>
      <c r="M309" s="2"/>
      <c r="N309" s="2"/>
      <c r="O309" s="2"/>
      <c r="Q309" s="420"/>
      <c r="R309" s="21"/>
      <c r="S309" s="21"/>
      <c r="T309" s="2"/>
      <c r="V309" s="826"/>
    </row>
    <row r="310" spans="6:22" x14ac:dyDescent="0.4">
      <c r="F310" s="21"/>
      <c r="G310" s="1"/>
      <c r="H310" s="2"/>
      <c r="J310" s="2"/>
      <c r="K310" s="2"/>
      <c r="L310" s="2"/>
      <c r="M310" s="2"/>
      <c r="N310" s="2"/>
      <c r="O310" s="2"/>
      <c r="Q310" s="420"/>
      <c r="R310" s="21"/>
      <c r="S310" s="21"/>
      <c r="T310" s="2"/>
      <c r="V310" s="826"/>
    </row>
    <row r="311" spans="6:22" x14ac:dyDescent="0.4">
      <c r="F311" s="21"/>
      <c r="G311" s="1"/>
      <c r="H311" s="2"/>
      <c r="J311" s="2"/>
      <c r="K311" s="2"/>
      <c r="L311" s="2"/>
      <c r="M311" s="2"/>
      <c r="N311" s="2"/>
      <c r="O311" s="2"/>
      <c r="Q311" s="420"/>
      <c r="R311" s="21"/>
      <c r="S311" s="21"/>
      <c r="T311" s="2"/>
      <c r="V311" s="826"/>
    </row>
    <row r="312" spans="6:22" x14ac:dyDescent="0.4">
      <c r="F312" s="21"/>
      <c r="G312" s="1"/>
      <c r="H312" s="2"/>
      <c r="J312" s="2"/>
      <c r="K312" s="2"/>
      <c r="L312" s="2"/>
      <c r="M312" s="2"/>
      <c r="N312" s="2"/>
      <c r="O312" s="2"/>
      <c r="Q312" s="420"/>
      <c r="R312" s="21"/>
      <c r="S312" s="21"/>
      <c r="T312" s="2"/>
      <c r="V312" s="826"/>
    </row>
    <row r="313" spans="6:22" x14ac:dyDescent="0.4">
      <c r="F313" s="21"/>
      <c r="G313" s="1"/>
      <c r="H313" s="2"/>
      <c r="J313" s="2"/>
      <c r="K313" s="2"/>
      <c r="L313" s="2"/>
      <c r="M313" s="2"/>
      <c r="N313" s="2"/>
      <c r="O313" s="2"/>
      <c r="Q313" s="420"/>
      <c r="R313" s="21"/>
      <c r="S313" s="21"/>
      <c r="T313" s="2"/>
      <c r="V313" s="826"/>
    </row>
    <row r="314" spans="6:22" x14ac:dyDescent="0.4">
      <c r="F314" s="21"/>
      <c r="G314" s="1"/>
      <c r="H314" s="2"/>
      <c r="J314" s="2"/>
      <c r="K314" s="2"/>
      <c r="L314" s="2"/>
      <c r="M314" s="2"/>
      <c r="N314" s="2"/>
      <c r="O314" s="2"/>
      <c r="Q314" s="420"/>
      <c r="R314" s="21"/>
      <c r="S314" s="21"/>
      <c r="T314" s="2"/>
      <c r="V314" s="826"/>
    </row>
    <row r="315" spans="6:22" x14ac:dyDescent="0.4">
      <c r="F315" s="21"/>
      <c r="G315" s="1"/>
      <c r="H315" s="2"/>
      <c r="J315" s="2"/>
      <c r="K315" s="2"/>
      <c r="L315" s="2"/>
      <c r="M315" s="2"/>
      <c r="N315" s="2"/>
      <c r="O315" s="2"/>
      <c r="Q315" s="420"/>
      <c r="R315" s="21"/>
      <c r="S315" s="21"/>
      <c r="T315" s="2"/>
      <c r="V315" s="826"/>
    </row>
    <row r="316" spans="6:22" x14ac:dyDescent="0.4">
      <c r="F316" s="21"/>
      <c r="G316" s="1"/>
      <c r="H316" s="2"/>
      <c r="J316" s="2"/>
      <c r="K316" s="2"/>
      <c r="L316" s="2"/>
      <c r="M316" s="2"/>
      <c r="N316" s="2"/>
      <c r="O316" s="2"/>
      <c r="Q316" s="420"/>
      <c r="R316" s="21"/>
      <c r="S316" s="21"/>
      <c r="T316" s="2"/>
      <c r="V316" s="826"/>
    </row>
    <row r="317" spans="6:22" x14ac:dyDescent="0.4">
      <c r="F317" s="21"/>
      <c r="G317" s="1"/>
      <c r="H317" s="2"/>
      <c r="J317" s="2"/>
      <c r="K317" s="2"/>
      <c r="L317" s="2"/>
      <c r="M317" s="2"/>
      <c r="N317" s="2"/>
      <c r="O317" s="2"/>
      <c r="Q317" s="420"/>
      <c r="R317" s="21"/>
      <c r="S317" s="21"/>
      <c r="T317" s="2"/>
      <c r="V317" s="826"/>
    </row>
    <row r="318" spans="6:22" x14ac:dyDescent="0.4">
      <c r="F318" s="21"/>
      <c r="G318" s="1"/>
      <c r="H318" s="2"/>
      <c r="J318" s="2"/>
      <c r="K318" s="2"/>
      <c r="L318" s="2"/>
      <c r="M318" s="2"/>
      <c r="N318" s="2"/>
      <c r="O318" s="2"/>
      <c r="Q318" s="420"/>
      <c r="R318" s="21"/>
      <c r="S318" s="21"/>
      <c r="T318" s="2"/>
      <c r="V318" s="826"/>
    </row>
    <row r="319" spans="6:22" x14ac:dyDescent="0.4">
      <c r="F319" s="21"/>
      <c r="G319" s="1"/>
      <c r="H319" s="2"/>
      <c r="J319" s="2"/>
      <c r="K319" s="2"/>
      <c r="L319" s="2"/>
      <c r="M319" s="2"/>
      <c r="N319" s="2"/>
      <c r="O319" s="2"/>
      <c r="Q319" s="420"/>
      <c r="R319" s="21"/>
      <c r="S319" s="21"/>
      <c r="T319" s="2"/>
      <c r="V319" s="826"/>
    </row>
    <row r="320" spans="6:22" x14ac:dyDescent="0.4">
      <c r="F320" s="21"/>
      <c r="G320" s="1"/>
      <c r="H320" s="2"/>
      <c r="J320" s="2"/>
      <c r="K320" s="2"/>
      <c r="L320" s="2"/>
      <c r="M320" s="2"/>
      <c r="N320" s="2"/>
      <c r="O320" s="2"/>
      <c r="Q320" s="420"/>
      <c r="R320" s="21"/>
      <c r="S320" s="21"/>
      <c r="T320" s="2"/>
      <c r="V320" s="826"/>
    </row>
    <row r="321" spans="6:22" x14ac:dyDescent="0.4">
      <c r="F321" s="21"/>
      <c r="G321" s="1"/>
      <c r="H321" s="2"/>
      <c r="J321" s="2"/>
      <c r="K321" s="2"/>
      <c r="L321" s="2"/>
      <c r="M321" s="2"/>
      <c r="N321" s="2"/>
      <c r="O321" s="2"/>
      <c r="Q321" s="420"/>
      <c r="R321" s="21"/>
      <c r="S321" s="21"/>
      <c r="T321" s="2"/>
      <c r="V321" s="826"/>
    </row>
    <row r="322" spans="6:22" x14ac:dyDescent="0.4">
      <c r="F322" s="21"/>
      <c r="G322" s="1"/>
      <c r="H322" s="2"/>
      <c r="J322" s="2"/>
      <c r="K322" s="2"/>
      <c r="L322" s="2"/>
      <c r="M322" s="2"/>
      <c r="N322" s="2"/>
      <c r="O322" s="2"/>
      <c r="Q322" s="420"/>
      <c r="R322" s="21"/>
      <c r="S322" s="21"/>
      <c r="T322" s="2"/>
      <c r="V322" s="826"/>
    </row>
    <row r="323" spans="6:22" x14ac:dyDescent="0.4">
      <c r="F323" s="21"/>
      <c r="G323" s="1"/>
      <c r="H323" s="2"/>
      <c r="J323" s="2"/>
      <c r="K323" s="2"/>
      <c r="L323" s="2"/>
      <c r="M323" s="2"/>
      <c r="N323" s="2"/>
      <c r="O323" s="2"/>
      <c r="Q323" s="420"/>
      <c r="R323" s="21"/>
      <c r="S323" s="21"/>
      <c r="T323" s="2"/>
      <c r="V323" s="826"/>
    </row>
    <row r="324" spans="6:22" x14ac:dyDescent="0.4">
      <c r="F324" s="21"/>
      <c r="G324" s="1"/>
      <c r="H324" s="2"/>
      <c r="J324" s="2"/>
      <c r="K324" s="2"/>
      <c r="L324" s="2"/>
      <c r="M324" s="2"/>
      <c r="N324" s="2"/>
      <c r="O324" s="2"/>
      <c r="Q324" s="420"/>
      <c r="R324" s="21"/>
      <c r="S324" s="21"/>
      <c r="T324" s="2"/>
      <c r="V324" s="826"/>
    </row>
    <row r="325" spans="6:22" x14ac:dyDescent="0.4">
      <c r="F325" s="21"/>
      <c r="G325" s="1"/>
      <c r="H325" s="2"/>
      <c r="J325" s="2"/>
      <c r="K325" s="2"/>
      <c r="L325" s="2"/>
      <c r="M325" s="2"/>
      <c r="N325" s="2"/>
      <c r="O325" s="2"/>
      <c r="Q325" s="420"/>
      <c r="R325" s="21"/>
      <c r="S325" s="21"/>
      <c r="T325" s="2"/>
      <c r="V325" s="826"/>
    </row>
    <row r="326" spans="6:22" x14ac:dyDescent="0.4">
      <c r="F326" s="21"/>
      <c r="G326" s="1"/>
      <c r="H326" s="2"/>
      <c r="J326" s="2"/>
      <c r="K326" s="2"/>
      <c r="L326" s="2"/>
      <c r="M326" s="2"/>
      <c r="N326" s="2"/>
      <c r="O326" s="2"/>
      <c r="Q326" s="420"/>
      <c r="R326" s="21"/>
      <c r="S326" s="21"/>
      <c r="T326" s="2"/>
      <c r="V326" s="826"/>
    </row>
    <row r="327" spans="6:22" x14ac:dyDescent="0.4">
      <c r="F327" s="21"/>
      <c r="G327" s="1"/>
      <c r="H327" s="2"/>
      <c r="J327" s="2"/>
      <c r="K327" s="2"/>
      <c r="L327" s="2"/>
      <c r="M327" s="2"/>
      <c r="N327" s="2"/>
      <c r="O327" s="2"/>
      <c r="Q327" s="420"/>
      <c r="R327" s="21"/>
      <c r="S327" s="21"/>
      <c r="T327" s="2"/>
      <c r="V327" s="826"/>
    </row>
    <row r="328" spans="6:22" x14ac:dyDescent="0.4">
      <c r="F328" s="21"/>
      <c r="G328" s="1"/>
      <c r="H328" s="2"/>
      <c r="J328" s="2"/>
      <c r="K328" s="2"/>
      <c r="L328" s="2"/>
      <c r="M328" s="2"/>
      <c r="N328" s="2"/>
      <c r="O328" s="2"/>
      <c r="Q328" s="420"/>
      <c r="R328" s="21"/>
      <c r="S328" s="21"/>
      <c r="T328" s="2"/>
      <c r="V328" s="826"/>
    </row>
    <row r="329" spans="6:22" x14ac:dyDescent="0.4">
      <c r="F329" s="21"/>
      <c r="G329" s="1"/>
      <c r="H329" s="2"/>
      <c r="J329" s="2"/>
      <c r="K329" s="2"/>
      <c r="L329" s="2"/>
      <c r="M329" s="2"/>
      <c r="N329" s="2"/>
      <c r="O329" s="2"/>
      <c r="Q329" s="420"/>
      <c r="R329" s="21"/>
      <c r="S329" s="21"/>
      <c r="T329" s="2"/>
      <c r="V329" s="826"/>
    </row>
    <row r="330" spans="6:22" x14ac:dyDescent="0.4">
      <c r="F330" s="21"/>
      <c r="G330" s="1"/>
      <c r="H330" s="2"/>
      <c r="J330" s="2"/>
      <c r="K330" s="2"/>
      <c r="L330" s="2"/>
      <c r="M330" s="2"/>
      <c r="N330" s="2"/>
      <c r="O330" s="2"/>
      <c r="Q330" s="420"/>
      <c r="R330" s="21"/>
      <c r="S330" s="21"/>
      <c r="T330" s="2"/>
      <c r="V330" s="826"/>
    </row>
    <row r="331" spans="6:22" x14ac:dyDescent="0.4">
      <c r="F331" s="21"/>
      <c r="G331" s="1"/>
      <c r="H331" s="2"/>
      <c r="J331" s="2"/>
      <c r="K331" s="2"/>
      <c r="L331" s="2"/>
      <c r="M331" s="2"/>
      <c r="N331" s="2"/>
      <c r="O331" s="2"/>
      <c r="Q331" s="420"/>
      <c r="R331" s="21"/>
      <c r="S331" s="21"/>
      <c r="T331" s="2"/>
      <c r="V331" s="826"/>
    </row>
    <row r="332" spans="6:22" x14ac:dyDescent="0.4">
      <c r="F332" s="21"/>
      <c r="G332" s="1"/>
      <c r="H332" s="2"/>
      <c r="J332" s="2"/>
      <c r="K332" s="2"/>
      <c r="L332" s="2"/>
      <c r="M332" s="2"/>
      <c r="N332" s="2"/>
      <c r="O332" s="2"/>
      <c r="Q332" s="420"/>
      <c r="R332" s="21"/>
      <c r="S332" s="21"/>
      <c r="T332" s="2"/>
      <c r="V332" s="826"/>
    </row>
    <row r="333" spans="6:22" x14ac:dyDescent="0.4">
      <c r="F333" s="21"/>
      <c r="G333" s="1"/>
      <c r="H333" s="2"/>
      <c r="J333" s="2"/>
      <c r="K333" s="2"/>
      <c r="L333" s="2"/>
      <c r="M333" s="2"/>
      <c r="N333" s="2"/>
      <c r="O333" s="2"/>
      <c r="R333" s="21"/>
      <c r="S333" s="21"/>
      <c r="T333" s="2"/>
    </row>
    <row r="334" spans="6:22" x14ac:dyDescent="0.4">
      <c r="F334" s="21"/>
      <c r="G334" s="1"/>
      <c r="H334" s="2"/>
      <c r="J334" s="2"/>
      <c r="K334" s="2"/>
      <c r="L334" s="2"/>
      <c r="M334" s="2"/>
      <c r="N334" s="2"/>
      <c r="O334" s="2"/>
      <c r="R334" s="21"/>
      <c r="S334" s="21"/>
      <c r="T334" s="2"/>
    </row>
    <row r="335" spans="6:22" x14ac:dyDescent="0.4">
      <c r="F335" s="21"/>
      <c r="G335" s="1"/>
      <c r="H335" s="2"/>
      <c r="J335" s="2"/>
      <c r="K335" s="2"/>
      <c r="L335" s="2"/>
      <c r="M335" s="2"/>
      <c r="N335" s="2"/>
      <c r="O335" s="2"/>
      <c r="R335" s="21"/>
      <c r="S335" s="21"/>
      <c r="T335" s="2"/>
    </row>
    <row r="336" spans="6:22" x14ac:dyDescent="0.4">
      <c r="F336" s="21"/>
      <c r="G336" s="1"/>
      <c r="H336" s="2"/>
      <c r="J336" s="2"/>
      <c r="K336" s="2"/>
      <c r="L336" s="2"/>
      <c r="M336" s="2"/>
      <c r="N336" s="2"/>
      <c r="O336" s="2"/>
      <c r="R336" s="21"/>
      <c r="S336" s="21"/>
      <c r="T336" s="2"/>
    </row>
    <row r="337" spans="6:20" x14ac:dyDescent="0.4">
      <c r="F337" s="21"/>
      <c r="G337" s="1"/>
      <c r="H337" s="2"/>
      <c r="J337" s="2"/>
      <c r="K337" s="2"/>
      <c r="L337" s="2"/>
      <c r="M337" s="2"/>
      <c r="N337" s="2"/>
      <c r="O337" s="2"/>
      <c r="R337" s="21"/>
      <c r="S337" s="21"/>
      <c r="T337" s="2"/>
    </row>
    <row r="338" spans="6:20" x14ac:dyDescent="0.4">
      <c r="F338" s="21"/>
      <c r="G338" s="1"/>
      <c r="H338" s="2"/>
      <c r="J338" s="2"/>
      <c r="K338" s="2"/>
      <c r="L338" s="2"/>
      <c r="M338" s="2"/>
      <c r="N338" s="2"/>
      <c r="O338" s="2"/>
      <c r="R338" s="21"/>
      <c r="S338" s="21"/>
      <c r="T338" s="2"/>
    </row>
    <row r="339" spans="6:20" x14ac:dyDescent="0.4">
      <c r="F339" s="21"/>
      <c r="G339" s="1"/>
      <c r="H339" s="2"/>
      <c r="J339" s="2"/>
      <c r="K339" s="2"/>
      <c r="L339" s="2"/>
      <c r="M339" s="2"/>
      <c r="N339" s="2"/>
      <c r="O339" s="2"/>
      <c r="R339" s="21"/>
      <c r="S339" s="21"/>
      <c r="T339" s="2"/>
    </row>
    <row r="340" spans="6:20" x14ac:dyDescent="0.4">
      <c r="F340" s="21"/>
      <c r="G340" s="1"/>
      <c r="H340" s="2"/>
      <c r="J340" s="2"/>
      <c r="K340" s="2"/>
      <c r="L340" s="2"/>
      <c r="M340" s="2"/>
      <c r="N340" s="2"/>
      <c r="O340" s="2"/>
      <c r="R340" s="21"/>
      <c r="S340" s="21"/>
      <c r="T340" s="2"/>
    </row>
    <row r="341" spans="6:20" x14ac:dyDescent="0.4">
      <c r="F341" s="21"/>
      <c r="G341" s="1"/>
      <c r="H341" s="2"/>
      <c r="J341" s="2"/>
      <c r="K341" s="2"/>
      <c r="L341" s="2"/>
      <c r="M341" s="2"/>
      <c r="N341" s="2"/>
      <c r="O341" s="2"/>
      <c r="R341" s="21"/>
      <c r="S341" s="21"/>
      <c r="T341" s="2"/>
    </row>
    <row r="342" spans="6:20" x14ac:dyDescent="0.4">
      <c r="F342" s="21"/>
      <c r="G342" s="1"/>
      <c r="H342" s="2"/>
      <c r="J342" s="2"/>
      <c r="K342" s="2"/>
      <c r="L342" s="2"/>
      <c r="M342" s="2"/>
      <c r="N342" s="2"/>
      <c r="O342" s="2"/>
      <c r="R342" s="21"/>
      <c r="S342" s="21"/>
      <c r="T342" s="2"/>
    </row>
    <row r="343" spans="6:20" x14ac:dyDescent="0.4">
      <c r="F343" s="21"/>
      <c r="G343" s="1"/>
      <c r="H343" s="2"/>
      <c r="J343" s="2"/>
      <c r="K343" s="2"/>
      <c r="L343" s="2"/>
      <c r="M343" s="2"/>
      <c r="N343" s="2"/>
      <c r="O343" s="2"/>
      <c r="R343" s="21"/>
      <c r="S343" s="21"/>
      <c r="T343" s="2"/>
    </row>
    <row r="344" spans="6:20" x14ac:dyDescent="0.4">
      <c r="F344" s="21"/>
      <c r="G344" s="1"/>
      <c r="H344" s="2"/>
      <c r="J344" s="2"/>
      <c r="K344" s="2"/>
      <c r="L344" s="2"/>
      <c r="M344" s="2"/>
      <c r="N344" s="2"/>
      <c r="O344" s="2"/>
      <c r="R344" s="21"/>
      <c r="S344" s="21"/>
      <c r="T344" s="2"/>
    </row>
    <row r="345" spans="6:20" x14ac:dyDescent="0.4">
      <c r="F345" s="21"/>
      <c r="G345" s="1"/>
      <c r="H345" s="2"/>
      <c r="J345" s="2"/>
      <c r="K345" s="2"/>
      <c r="L345" s="2"/>
      <c r="M345" s="2"/>
      <c r="N345" s="2"/>
      <c r="O345" s="2"/>
      <c r="R345" s="21"/>
      <c r="S345" s="21"/>
      <c r="T345" s="2"/>
    </row>
    <row r="346" spans="6:20" x14ac:dyDescent="0.4">
      <c r="F346" s="21"/>
      <c r="G346" s="1"/>
      <c r="H346" s="2"/>
      <c r="J346" s="2"/>
      <c r="K346" s="2"/>
      <c r="L346" s="2"/>
      <c r="M346" s="2"/>
      <c r="N346" s="2"/>
      <c r="O346" s="2"/>
      <c r="R346" s="21"/>
      <c r="S346" s="21"/>
      <c r="T346" s="2"/>
    </row>
    <row r="347" spans="6:20" x14ac:dyDescent="0.4">
      <c r="F347" s="21"/>
      <c r="G347" s="1"/>
      <c r="H347" s="2"/>
      <c r="J347" s="2"/>
      <c r="K347" s="2"/>
      <c r="L347" s="2"/>
      <c r="M347" s="2"/>
      <c r="N347" s="2"/>
      <c r="O347" s="2"/>
      <c r="R347" s="21"/>
      <c r="S347" s="21"/>
      <c r="T347" s="2"/>
    </row>
    <row r="348" spans="6:20" x14ac:dyDescent="0.4">
      <c r="F348" s="21"/>
      <c r="G348" s="1"/>
      <c r="H348" s="2"/>
      <c r="J348" s="2"/>
      <c r="K348" s="2"/>
      <c r="L348" s="2"/>
      <c r="M348" s="2"/>
      <c r="N348" s="2"/>
      <c r="O348" s="2"/>
      <c r="R348" s="21"/>
      <c r="S348" s="21"/>
      <c r="T348" s="2"/>
    </row>
    <row r="349" spans="6:20" x14ac:dyDescent="0.4">
      <c r="F349" s="21"/>
      <c r="G349" s="1"/>
      <c r="H349" s="2"/>
      <c r="J349" s="2"/>
      <c r="K349" s="2"/>
      <c r="L349" s="2"/>
      <c r="M349" s="2"/>
      <c r="N349" s="2"/>
      <c r="O349" s="2"/>
      <c r="R349" s="21"/>
      <c r="S349" s="21"/>
      <c r="T349" s="2"/>
    </row>
    <row r="350" spans="6:20" x14ac:dyDescent="0.4">
      <c r="F350" s="21"/>
      <c r="G350" s="1"/>
      <c r="H350" s="2"/>
      <c r="J350" s="2"/>
      <c r="K350" s="2"/>
      <c r="L350" s="2"/>
      <c r="M350" s="2"/>
      <c r="N350" s="2"/>
      <c r="O350" s="2"/>
      <c r="R350" s="21"/>
      <c r="S350" s="21"/>
      <c r="T350" s="2"/>
    </row>
    <row r="351" spans="6:20" x14ac:dyDescent="0.4">
      <c r="F351" s="21"/>
      <c r="G351" s="1"/>
      <c r="H351" s="2"/>
      <c r="J351" s="2"/>
      <c r="K351" s="2"/>
      <c r="L351" s="2"/>
      <c r="M351" s="2"/>
      <c r="N351" s="2"/>
      <c r="O351" s="2"/>
      <c r="R351" s="21"/>
      <c r="S351" s="21"/>
      <c r="T351" s="2"/>
    </row>
    <row r="352" spans="6:20" x14ac:dyDescent="0.4">
      <c r="F352" s="21"/>
      <c r="G352" s="1"/>
      <c r="H352" s="2"/>
      <c r="J352" s="2"/>
      <c r="K352" s="2"/>
      <c r="L352" s="2"/>
      <c r="M352" s="2"/>
      <c r="N352" s="2"/>
      <c r="O352" s="2"/>
      <c r="R352" s="21"/>
      <c r="S352" s="21"/>
      <c r="T352" s="2"/>
    </row>
    <row r="353" spans="6:20" x14ac:dyDescent="0.4">
      <c r="F353" s="21"/>
      <c r="G353" s="1"/>
      <c r="H353" s="2"/>
      <c r="J353" s="2"/>
      <c r="K353" s="2"/>
      <c r="L353" s="2"/>
      <c r="M353" s="2"/>
      <c r="N353" s="2"/>
      <c r="O353" s="2"/>
      <c r="R353" s="21"/>
      <c r="S353" s="21"/>
      <c r="T353" s="2"/>
    </row>
    <row r="354" spans="6:20" x14ac:dyDescent="0.4">
      <c r="F354" s="21"/>
      <c r="G354" s="1"/>
      <c r="H354" s="2"/>
      <c r="J354" s="2"/>
      <c r="K354" s="2"/>
      <c r="L354" s="2"/>
      <c r="M354" s="2"/>
      <c r="N354" s="2"/>
      <c r="O354" s="2"/>
      <c r="R354" s="21"/>
      <c r="S354" s="21"/>
      <c r="T354" s="2"/>
    </row>
    <row r="355" spans="6:20" x14ac:dyDescent="0.4">
      <c r="F355" s="21"/>
      <c r="G355" s="1"/>
      <c r="H355" s="2"/>
      <c r="J355" s="2"/>
      <c r="K355" s="2"/>
      <c r="L355" s="2"/>
      <c r="M355" s="2"/>
      <c r="N355" s="2"/>
      <c r="O355" s="2"/>
      <c r="R355" s="21"/>
      <c r="S355" s="21"/>
      <c r="T355" s="2"/>
    </row>
    <row r="356" spans="6:20" x14ac:dyDescent="0.4">
      <c r="F356" s="21"/>
      <c r="G356" s="1"/>
      <c r="H356" s="2"/>
      <c r="J356" s="2"/>
      <c r="K356" s="2"/>
      <c r="L356" s="2"/>
      <c r="M356" s="2"/>
      <c r="N356" s="2"/>
      <c r="O356" s="2"/>
      <c r="R356" s="21"/>
      <c r="S356" s="21"/>
      <c r="T356" s="2"/>
    </row>
    <row r="357" spans="6:20" x14ac:dyDescent="0.4">
      <c r="F357" s="21"/>
      <c r="G357" s="1"/>
      <c r="H357" s="2"/>
      <c r="J357" s="2"/>
      <c r="K357" s="2"/>
      <c r="L357" s="2"/>
      <c r="M357" s="2"/>
      <c r="N357" s="2"/>
      <c r="O357" s="2"/>
      <c r="R357" s="21"/>
      <c r="S357" s="21"/>
      <c r="T357" s="2"/>
    </row>
    <row r="358" spans="6:20" x14ac:dyDescent="0.4">
      <c r="F358" s="21"/>
      <c r="G358" s="1"/>
      <c r="H358" s="2"/>
      <c r="J358" s="2"/>
      <c r="K358" s="2"/>
      <c r="L358" s="2"/>
      <c r="M358" s="2"/>
      <c r="N358" s="2"/>
      <c r="O358" s="2"/>
      <c r="R358" s="21"/>
      <c r="S358" s="21"/>
      <c r="T358" s="2"/>
    </row>
    <row r="359" spans="6:20" x14ac:dyDescent="0.4">
      <c r="F359" s="21"/>
      <c r="G359" s="1"/>
      <c r="H359" s="2"/>
      <c r="J359" s="2"/>
      <c r="K359" s="2"/>
      <c r="L359" s="2"/>
      <c r="M359" s="2"/>
      <c r="N359" s="2"/>
      <c r="O359" s="2"/>
      <c r="R359" s="21"/>
      <c r="S359" s="21"/>
      <c r="T359" s="2"/>
    </row>
    <row r="360" spans="6:20" x14ac:dyDescent="0.4">
      <c r="F360" s="21"/>
      <c r="G360" s="1"/>
      <c r="H360" s="2"/>
      <c r="J360" s="2"/>
      <c r="K360" s="2"/>
      <c r="L360" s="2"/>
      <c r="M360" s="2"/>
      <c r="N360" s="2"/>
      <c r="O360" s="2"/>
      <c r="R360" s="21"/>
      <c r="S360" s="21"/>
      <c r="T360" s="2"/>
    </row>
    <row r="361" spans="6:20" x14ac:dyDescent="0.4">
      <c r="F361" s="21"/>
      <c r="G361" s="1"/>
      <c r="H361" s="2"/>
      <c r="J361" s="2"/>
      <c r="K361" s="2"/>
      <c r="L361" s="2"/>
      <c r="M361" s="2"/>
      <c r="N361" s="2"/>
      <c r="O361" s="2"/>
      <c r="R361" s="21"/>
      <c r="S361" s="21"/>
      <c r="T361" s="2"/>
    </row>
    <row r="362" spans="6:20" x14ac:dyDescent="0.4">
      <c r="F362" s="21"/>
      <c r="G362" s="1"/>
      <c r="H362" s="2"/>
      <c r="J362" s="2"/>
      <c r="K362" s="2"/>
      <c r="L362" s="2"/>
      <c r="M362" s="2"/>
      <c r="N362" s="2"/>
      <c r="O362" s="2"/>
      <c r="R362" s="21"/>
      <c r="S362" s="21"/>
      <c r="T362" s="2"/>
    </row>
    <row r="363" spans="6:20" x14ac:dyDescent="0.4">
      <c r="F363" s="21"/>
      <c r="G363" s="1"/>
      <c r="H363" s="2"/>
      <c r="J363" s="2"/>
      <c r="K363" s="2"/>
      <c r="L363" s="2"/>
      <c r="M363" s="2"/>
      <c r="N363" s="2"/>
      <c r="O363" s="2"/>
      <c r="R363" s="21"/>
      <c r="S363" s="21"/>
      <c r="T363" s="2"/>
    </row>
    <row r="364" spans="6:20" x14ac:dyDescent="0.4">
      <c r="F364" s="21"/>
      <c r="G364" s="1"/>
      <c r="H364" s="2"/>
      <c r="J364" s="2"/>
      <c r="K364" s="2"/>
      <c r="L364" s="2"/>
      <c r="M364" s="2"/>
      <c r="N364" s="2"/>
      <c r="O364" s="2"/>
      <c r="R364" s="21"/>
      <c r="S364" s="21"/>
      <c r="T364" s="2"/>
    </row>
    <row r="365" spans="6:20" x14ac:dyDescent="0.4">
      <c r="F365" s="21"/>
      <c r="G365" s="1"/>
      <c r="H365" s="2"/>
      <c r="J365" s="2"/>
      <c r="K365" s="2"/>
      <c r="L365" s="2"/>
      <c r="M365" s="2"/>
      <c r="N365" s="2"/>
      <c r="O365" s="2"/>
      <c r="R365" s="21"/>
      <c r="S365" s="21"/>
      <c r="T365" s="2"/>
    </row>
    <row r="366" spans="6:20" x14ac:dyDescent="0.4">
      <c r="F366" s="21"/>
      <c r="G366" s="1"/>
      <c r="H366" s="2"/>
      <c r="J366" s="2"/>
      <c r="K366" s="2"/>
      <c r="L366" s="2"/>
      <c r="M366" s="2"/>
      <c r="N366" s="2"/>
      <c r="O366" s="2"/>
      <c r="R366" s="21"/>
      <c r="S366" s="21"/>
      <c r="T366" s="2"/>
    </row>
    <row r="367" spans="6:20" x14ac:dyDescent="0.4">
      <c r="F367" s="21"/>
      <c r="G367" s="1"/>
      <c r="H367" s="2"/>
      <c r="J367" s="2"/>
      <c r="K367" s="2"/>
      <c r="L367" s="2"/>
      <c r="M367" s="2"/>
      <c r="N367" s="2"/>
      <c r="O367" s="2"/>
      <c r="R367" s="21"/>
      <c r="S367" s="21"/>
      <c r="T367" s="2"/>
    </row>
    <row r="368" spans="6:20" x14ac:dyDescent="0.4">
      <c r="F368" s="21"/>
      <c r="G368" s="1"/>
      <c r="H368" s="2"/>
      <c r="J368" s="2"/>
      <c r="K368" s="2"/>
      <c r="L368" s="2"/>
      <c r="M368" s="2"/>
      <c r="N368" s="2"/>
      <c r="O368" s="2"/>
      <c r="R368" s="21"/>
      <c r="S368" s="21"/>
      <c r="T368" s="2"/>
    </row>
    <row r="369" spans="6:20" x14ac:dyDescent="0.4">
      <c r="F369" s="21"/>
      <c r="G369" s="1"/>
      <c r="H369" s="2"/>
      <c r="J369" s="2"/>
      <c r="K369" s="2"/>
      <c r="L369" s="2"/>
      <c r="M369" s="2"/>
      <c r="N369" s="2"/>
      <c r="O369" s="2"/>
      <c r="R369" s="21"/>
      <c r="S369" s="21"/>
      <c r="T369" s="2"/>
    </row>
    <row r="370" spans="6:20" x14ac:dyDescent="0.4">
      <c r="F370" s="21"/>
      <c r="G370" s="1"/>
      <c r="H370" s="2"/>
      <c r="J370" s="2"/>
      <c r="K370" s="2"/>
      <c r="L370" s="2"/>
      <c r="M370" s="2"/>
      <c r="N370" s="2"/>
      <c r="O370" s="2"/>
      <c r="R370" s="21"/>
      <c r="S370" s="21"/>
      <c r="T370" s="2"/>
    </row>
    <row r="371" spans="6:20" x14ac:dyDescent="0.4">
      <c r="F371" s="21"/>
      <c r="G371" s="1"/>
      <c r="H371" s="2"/>
      <c r="J371" s="2"/>
      <c r="K371" s="2"/>
      <c r="L371" s="2"/>
      <c r="M371" s="2"/>
      <c r="N371" s="2"/>
      <c r="O371" s="2"/>
      <c r="R371" s="21"/>
      <c r="S371" s="21"/>
      <c r="T371" s="2"/>
    </row>
    <row r="372" spans="6:20" x14ac:dyDescent="0.4">
      <c r="F372" s="21"/>
      <c r="G372" s="1"/>
      <c r="H372" s="2"/>
      <c r="J372" s="2"/>
      <c r="K372" s="2"/>
      <c r="L372" s="2"/>
      <c r="M372" s="2"/>
      <c r="N372" s="2"/>
      <c r="O372" s="2"/>
      <c r="R372" s="21"/>
      <c r="S372" s="21"/>
      <c r="T372" s="2"/>
    </row>
    <row r="373" spans="6:20" x14ac:dyDescent="0.4">
      <c r="F373" s="21"/>
      <c r="G373" s="1"/>
      <c r="H373" s="2"/>
      <c r="J373" s="2"/>
      <c r="K373" s="2"/>
      <c r="L373" s="2"/>
      <c r="M373" s="2"/>
      <c r="N373" s="2"/>
      <c r="O373" s="2"/>
      <c r="R373" s="21"/>
      <c r="S373" s="21"/>
      <c r="T373" s="2"/>
    </row>
    <row r="374" spans="6:20" x14ac:dyDescent="0.4">
      <c r="F374" s="21"/>
      <c r="G374" s="1"/>
      <c r="H374" s="2"/>
      <c r="J374" s="2"/>
      <c r="K374" s="2"/>
      <c r="L374" s="2"/>
      <c r="M374" s="2"/>
      <c r="N374" s="2"/>
      <c r="O374" s="2"/>
      <c r="R374" s="21"/>
      <c r="S374" s="21"/>
      <c r="T374" s="2"/>
    </row>
    <row r="375" spans="6:20" x14ac:dyDescent="0.4">
      <c r="F375" s="21"/>
      <c r="G375" s="1"/>
      <c r="H375" s="2"/>
      <c r="J375" s="2"/>
      <c r="K375" s="2"/>
      <c r="L375" s="2"/>
      <c r="M375" s="2"/>
      <c r="N375" s="2"/>
      <c r="O375" s="2"/>
      <c r="R375" s="21"/>
      <c r="S375" s="21"/>
      <c r="T375" s="2"/>
    </row>
    <row r="376" spans="6:20" x14ac:dyDescent="0.4">
      <c r="F376" s="21"/>
      <c r="G376" s="1"/>
      <c r="H376" s="2"/>
      <c r="J376" s="2"/>
      <c r="K376" s="2"/>
      <c r="L376" s="2"/>
      <c r="M376" s="2"/>
      <c r="N376" s="2"/>
      <c r="O376" s="2"/>
      <c r="R376" s="21"/>
      <c r="S376" s="21"/>
      <c r="T376" s="2"/>
    </row>
    <row r="377" spans="6:20" x14ac:dyDescent="0.4">
      <c r="F377" s="21"/>
      <c r="G377" s="1"/>
      <c r="H377" s="2"/>
      <c r="J377" s="2"/>
      <c r="K377" s="2"/>
      <c r="L377" s="2"/>
      <c r="M377" s="2"/>
      <c r="N377" s="2"/>
      <c r="O377" s="2"/>
      <c r="R377" s="21"/>
      <c r="S377" s="21"/>
      <c r="T377" s="2"/>
    </row>
    <row r="378" spans="6:20" x14ac:dyDescent="0.4">
      <c r="F378" s="21"/>
      <c r="G378" s="1"/>
      <c r="H378" s="2"/>
      <c r="J378" s="2"/>
      <c r="K378" s="2"/>
      <c r="L378" s="2"/>
      <c r="M378" s="2"/>
      <c r="N378" s="2"/>
      <c r="O378" s="2"/>
      <c r="R378" s="21"/>
      <c r="S378" s="21"/>
      <c r="T378" s="2"/>
    </row>
    <row r="379" spans="6:20" x14ac:dyDescent="0.4">
      <c r="F379" s="21"/>
      <c r="G379" s="1"/>
      <c r="H379" s="2"/>
      <c r="J379" s="2"/>
      <c r="K379" s="2"/>
      <c r="L379" s="2"/>
      <c r="M379" s="2"/>
      <c r="N379" s="2"/>
      <c r="O379" s="2"/>
      <c r="R379" s="21"/>
      <c r="S379" s="21"/>
      <c r="T379" s="2"/>
    </row>
    <row r="380" spans="6:20" x14ac:dyDescent="0.4">
      <c r="F380" s="21"/>
      <c r="G380" s="1"/>
      <c r="H380" s="2"/>
      <c r="J380" s="2"/>
      <c r="K380" s="2"/>
      <c r="L380" s="2"/>
      <c r="M380" s="2"/>
      <c r="N380" s="2"/>
      <c r="O380" s="2"/>
      <c r="R380" s="21"/>
      <c r="S380" s="21"/>
      <c r="T380" s="2"/>
    </row>
    <row r="381" spans="6:20" x14ac:dyDescent="0.4">
      <c r="F381" s="21"/>
      <c r="G381" s="1"/>
      <c r="H381" s="2"/>
      <c r="J381" s="2"/>
      <c r="K381" s="2"/>
      <c r="L381" s="2"/>
      <c r="M381" s="2"/>
      <c r="N381" s="2"/>
      <c r="O381" s="2"/>
      <c r="R381" s="21"/>
      <c r="S381" s="21"/>
      <c r="T381" s="2"/>
    </row>
    <row r="382" spans="6:20" x14ac:dyDescent="0.4">
      <c r="F382" s="21"/>
      <c r="G382" s="1"/>
      <c r="H382" s="2"/>
      <c r="J382" s="2"/>
      <c r="K382" s="2"/>
      <c r="L382" s="2"/>
      <c r="M382" s="2"/>
      <c r="N382" s="2"/>
      <c r="O382" s="2"/>
      <c r="R382" s="21"/>
      <c r="S382" s="21"/>
      <c r="T382" s="2"/>
    </row>
    <row r="383" spans="6:20" x14ac:dyDescent="0.4">
      <c r="F383" s="21"/>
      <c r="G383" s="1"/>
      <c r="H383" s="2"/>
      <c r="J383" s="2"/>
      <c r="K383" s="2"/>
      <c r="L383" s="2"/>
      <c r="M383" s="2"/>
      <c r="N383" s="2"/>
      <c r="O383" s="2"/>
      <c r="R383" s="21"/>
      <c r="S383" s="21"/>
      <c r="T383" s="2"/>
    </row>
    <row r="384" spans="6:20" x14ac:dyDescent="0.4">
      <c r="F384" s="21"/>
      <c r="G384" s="1"/>
      <c r="H384" s="2"/>
      <c r="J384" s="2"/>
      <c r="K384" s="2"/>
      <c r="L384" s="2"/>
      <c r="M384" s="2"/>
      <c r="N384" s="2"/>
      <c r="O384" s="2"/>
      <c r="R384" s="21"/>
      <c r="S384" s="21"/>
      <c r="T384" s="2"/>
    </row>
    <row r="385" spans="6:20" x14ac:dyDescent="0.4">
      <c r="F385" s="21"/>
      <c r="G385" s="1"/>
      <c r="H385" s="2"/>
      <c r="J385" s="2"/>
      <c r="K385" s="2"/>
      <c r="L385" s="2"/>
      <c r="M385" s="2"/>
      <c r="N385" s="2"/>
      <c r="O385" s="2"/>
      <c r="R385" s="21"/>
      <c r="S385" s="21"/>
      <c r="T385" s="2"/>
    </row>
    <row r="386" spans="6:20" x14ac:dyDescent="0.4">
      <c r="F386" s="21"/>
      <c r="G386" s="1"/>
      <c r="H386" s="2"/>
      <c r="J386" s="2"/>
      <c r="K386" s="2"/>
      <c r="L386" s="2"/>
      <c r="M386" s="2"/>
      <c r="N386" s="2"/>
      <c r="O386" s="2"/>
      <c r="R386" s="21"/>
      <c r="S386" s="21"/>
      <c r="T386" s="2"/>
    </row>
    <row r="387" spans="6:20" x14ac:dyDescent="0.4">
      <c r="F387" s="21"/>
      <c r="G387" s="1"/>
      <c r="H387" s="2"/>
      <c r="J387" s="2"/>
      <c r="K387" s="2"/>
      <c r="L387" s="2"/>
      <c r="M387" s="2"/>
      <c r="N387" s="2"/>
      <c r="O387" s="2"/>
      <c r="R387" s="21"/>
      <c r="S387" s="21"/>
      <c r="T387" s="2"/>
    </row>
    <row r="388" spans="6:20" x14ac:dyDescent="0.4">
      <c r="F388" s="21"/>
      <c r="G388" s="1"/>
      <c r="H388" s="2"/>
      <c r="J388" s="2"/>
      <c r="K388" s="2"/>
      <c r="L388" s="2"/>
      <c r="M388" s="2"/>
      <c r="N388" s="2"/>
      <c r="O388" s="2"/>
      <c r="R388" s="21"/>
      <c r="S388" s="21"/>
      <c r="T388" s="2"/>
    </row>
    <row r="389" spans="6:20" x14ac:dyDescent="0.4">
      <c r="F389" s="21"/>
      <c r="G389" s="1"/>
      <c r="H389" s="2"/>
      <c r="J389" s="2"/>
      <c r="K389" s="2"/>
      <c r="L389" s="2"/>
      <c r="M389" s="2"/>
      <c r="N389" s="2"/>
      <c r="O389" s="2"/>
      <c r="R389" s="21"/>
      <c r="S389" s="21"/>
      <c r="T389" s="2"/>
    </row>
    <row r="390" spans="6:20" x14ac:dyDescent="0.4">
      <c r="F390" s="21"/>
      <c r="G390" s="1"/>
      <c r="H390" s="2"/>
      <c r="J390" s="2"/>
      <c r="K390" s="2"/>
      <c r="L390" s="2"/>
      <c r="M390" s="2"/>
      <c r="N390" s="2"/>
      <c r="O390" s="2"/>
      <c r="R390" s="21"/>
      <c r="S390" s="21"/>
      <c r="T390" s="2"/>
    </row>
    <row r="391" spans="6:20" x14ac:dyDescent="0.4">
      <c r="F391" s="21"/>
      <c r="G391" s="1"/>
      <c r="H391" s="2"/>
      <c r="J391" s="2"/>
      <c r="K391" s="2"/>
      <c r="L391" s="2"/>
      <c r="M391" s="2"/>
      <c r="N391" s="2"/>
      <c r="O391" s="2"/>
      <c r="R391" s="21"/>
      <c r="S391" s="21"/>
      <c r="T391" s="2"/>
    </row>
    <row r="392" spans="6:20" x14ac:dyDescent="0.4">
      <c r="F392" s="21"/>
      <c r="G392" s="1"/>
      <c r="H392" s="2"/>
      <c r="J392" s="2"/>
      <c r="K392" s="2"/>
      <c r="L392" s="2"/>
      <c r="M392" s="2"/>
      <c r="N392" s="2"/>
      <c r="O392" s="2"/>
      <c r="R392" s="21"/>
      <c r="S392" s="21"/>
      <c r="T392" s="2"/>
    </row>
    <row r="393" spans="6:20" x14ac:dyDescent="0.4">
      <c r="F393" s="21"/>
      <c r="G393" s="1"/>
      <c r="H393" s="2"/>
      <c r="J393" s="2"/>
      <c r="K393" s="2"/>
      <c r="L393" s="2"/>
      <c r="M393" s="2"/>
      <c r="N393" s="2"/>
      <c r="O393" s="2"/>
      <c r="R393" s="21"/>
      <c r="S393" s="21"/>
      <c r="T393" s="2"/>
    </row>
    <row r="394" spans="6:20" x14ac:dyDescent="0.4">
      <c r="F394" s="21"/>
      <c r="G394" s="1"/>
      <c r="H394" s="2"/>
      <c r="J394" s="2"/>
      <c r="K394" s="2"/>
      <c r="L394" s="2"/>
      <c r="M394" s="2"/>
      <c r="N394" s="2"/>
      <c r="O394" s="2"/>
      <c r="R394" s="21"/>
      <c r="S394" s="21"/>
      <c r="T394" s="2"/>
    </row>
    <row r="395" spans="6:20" x14ac:dyDescent="0.4">
      <c r="F395" s="21"/>
      <c r="G395" s="1"/>
      <c r="H395" s="2"/>
      <c r="J395" s="2"/>
      <c r="K395" s="2"/>
      <c r="L395" s="2"/>
      <c r="M395" s="2"/>
      <c r="N395" s="2"/>
      <c r="O395" s="2"/>
      <c r="R395" s="21"/>
      <c r="S395" s="21"/>
      <c r="T395" s="2"/>
    </row>
    <row r="396" spans="6:20" x14ac:dyDescent="0.4">
      <c r="F396" s="21"/>
      <c r="G396" s="1"/>
      <c r="H396" s="2"/>
      <c r="J396" s="2"/>
      <c r="K396" s="2"/>
      <c r="L396" s="2"/>
      <c r="M396" s="2"/>
      <c r="N396" s="2"/>
      <c r="O396" s="2"/>
      <c r="R396" s="21"/>
      <c r="S396" s="21"/>
      <c r="T396" s="2"/>
    </row>
    <row r="397" spans="6:20" x14ac:dyDescent="0.4">
      <c r="F397" s="21"/>
      <c r="G397" s="1"/>
      <c r="H397" s="2"/>
      <c r="J397" s="2"/>
      <c r="K397" s="2"/>
      <c r="L397" s="2"/>
      <c r="M397" s="2"/>
      <c r="N397" s="2"/>
      <c r="O397" s="2"/>
      <c r="R397" s="21"/>
      <c r="S397" s="21"/>
      <c r="T397" s="2"/>
    </row>
    <row r="398" spans="6:20" x14ac:dyDescent="0.4">
      <c r="F398" s="21"/>
      <c r="G398" s="1"/>
      <c r="H398" s="2"/>
      <c r="J398" s="2"/>
      <c r="K398" s="2"/>
      <c r="L398" s="2"/>
      <c r="M398" s="2"/>
      <c r="N398" s="2"/>
      <c r="O398" s="2"/>
      <c r="R398" s="21"/>
      <c r="S398" s="21"/>
      <c r="T398" s="2"/>
    </row>
    <row r="399" spans="6:20" x14ac:dyDescent="0.4">
      <c r="F399" s="21"/>
      <c r="G399" s="1"/>
      <c r="H399" s="2"/>
      <c r="J399" s="2"/>
      <c r="K399" s="2"/>
      <c r="L399" s="2"/>
      <c r="M399" s="2"/>
      <c r="N399" s="2"/>
      <c r="O399" s="2"/>
      <c r="R399" s="21"/>
      <c r="S399" s="21"/>
      <c r="T399" s="2"/>
    </row>
    <row r="400" spans="6:20" x14ac:dyDescent="0.4">
      <c r="F400" s="21"/>
      <c r="G400" s="1"/>
      <c r="H400" s="2"/>
      <c r="J400" s="2"/>
      <c r="K400" s="2"/>
      <c r="L400" s="2"/>
      <c r="M400" s="2"/>
      <c r="N400" s="2"/>
      <c r="O400" s="2"/>
      <c r="R400" s="21"/>
      <c r="S400" s="21"/>
      <c r="T400" s="2"/>
    </row>
    <row r="401" spans="6:20" x14ac:dyDescent="0.4">
      <c r="F401" s="21"/>
      <c r="G401" s="1"/>
      <c r="H401" s="2"/>
      <c r="J401" s="2"/>
      <c r="K401" s="2"/>
      <c r="L401" s="2"/>
      <c r="M401" s="2"/>
      <c r="N401" s="2"/>
      <c r="O401" s="2"/>
      <c r="R401" s="21"/>
      <c r="S401" s="21"/>
      <c r="T401" s="2"/>
    </row>
    <row r="402" spans="6:20" x14ac:dyDescent="0.4">
      <c r="F402" s="21"/>
      <c r="G402" s="1"/>
      <c r="H402" s="2"/>
      <c r="J402" s="2"/>
      <c r="K402" s="2"/>
      <c r="L402" s="2"/>
      <c r="M402" s="2"/>
      <c r="N402" s="2"/>
      <c r="O402" s="2"/>
      <c r="R402" s="21"/>
      <c r="S402" s="21"/>
      <c r="T402" s="2"/>
    </row>
    <row r="403" spans="6:20" x14ac:dyDescent="0.4">
      <c r="F403" s="21"/>
      <c r="G403" s="1"/>
      <c r="H403" s="2"/>
      <c r="J403" s="2"/>
      <c r="K403" s="2"/>
      <c r="L403" s="2"/>
      <c r="M403" s="2"/>
      <c r="N403" s="2"/>
      <c r="O403" s="2"/>
      <c r="R403" s="21"/>
      <c r="S403" s="21"/>
      <c r="T403" s="2"/>
    </row>
    <row r="404" spans="6:20" x14ac:dyDescent="0.4">
      <c r="F404" s="21"/>
      <c r="G404" s="1"/>
      <c r="H404" s="2"/>
      <c r="J404" s="2"/>
      <c r="K404" s="2"/>
      <c r="L404" s="2"/>
      <c r="M404" s="2"/>
      <c r="N404" s="2"/>
      <c r="O404" s="2"/>
      <c r="R404" s="21"/>
      <c r="S404" s="21"/>
      <c r="T404" s="2"/>
    </row>
    <row r="405" spans="6:20" x14ac:dyDescent="0.4">
      <c r="F405" s="21"/>
      <c r="G405" s="1"/>
      <c r="H405" s="2"/>
      <c r="J405" s="2"/>
      <c r="K405" s="2"/>
      <c r="L405" s="2"/>
      <c r="M405" s="2"/>
      <c r="N405" s="2"/>
      <c r="O405" s="2"/>
      <c r="R405" s="21"/>
      <c r="S405" s="21"/>
      <c r="T405" s="2"/>
    </row>
    <row r="406" spans="6:20" x14ac:dyDescent="0.4">
      <c r="F406" s="21"/>
      <c r="G406" s="1"/>
      <c r="H406" s="2"/>
      <c r="J406" s="2"/>
      <c r="K406" s="2"/>
      <c r="L406" s="2"/>
      <c r="M406" s="2"/>
      <c r="N406" s="2"/>
      <c r="O406" s="2"/>
      <c r="R406" s="21"/>
      <c r="S406" s="21"/>
      <c r="T406" s="2"/>
    </row>
    <row r="407" spans="6:20" x14ac:dyDescent="0.4">
      <c r="F407" s="21"/>
      <c r="G407" s="1"/>
      <c r="H407" s="2"/>
      <c r="J407" s="2"/>
      <c r="K407" s="2"/>
      <c r="L407" s="2"/>
      <c r="M407" s="2"/>
      <c r="N407" s="2"/>
      <c r="O407" s="2"/>
      <c r="R407" s="21"/>
      <c r="S407" s="21"/>
      <c r="T407" s="2"/>
    </row>
    <row r="408" spans="6:20" x14ac:dyDescent="0.4">
      <c r="F408" s="21"/>
      <c r="G408" s="1"/>
      <c r="H408" s="2"/>
      <c r="J408" s="2"/>
      <c r="K408" s="2"/>
      <c r="L408" s="2"/>
      <c r="M408" s="2"/>
      <c r="N408" s="2"/>
      <c r="O408" s="2"/>
      <c r="R408" s="21"/>
      <c r="S408" s="21"/>
      <c r="T408" s="2"/>
    </row>
    <row r="409" spans="6:20" x14ac:dyDescent="0.4">
      <c r="F409" s="21"/>
      <c r="G409" s="1"/>
      <c r="H409" s="2"/>
      <c r="J409" s="2"/>
      <c r="K409" s="2"/>
      <c r="L409" s="2"/>
      <c r="M409" s="2"/>
      <c r="N409" s="2"/>
      <c r="O409" s="2"/>
      <c r="R409" s="21"/>
      <c r="S409" s="21"/>
      <c r="T409" s="2"/>
    </row>
    <row r="410" spans="6:20" x14ac:dyDescent="0.4">
      <c r="F410" s="21"/>
      <c r="G410" s="1"/>
      <c r="H410" s="2"/>
      <c r="J410" s="2"/>
      <c r="K410" s="2"/>
      <c r="L410" s="2"/>
      <c r="M410" s="2"/>
      <c r="N410" s="2"/>
      <c r="O410" s="2"/>
      <c r="R410" s="21"/>
      <c r="S410" s="21"/>
      <c r="T410" s="2"/>
    </row>
    <row r="411" spans="6:20" x14ac:dyDescent="0.4">
      <c r="F411" s="21"/>
      <c r="G411" s="1"/>
      <c r="H411" s="2"/>
      <c r="J411" s="2"/>
      <c r="K411" s="2"/>
      <c r="L411" s="2"/>
      <c r="M411" s="2"/>
      <c r="N411" s="2"/>
      <c r="O411" s="2"/>
      <c r="R411" s="21"/>
      <c r="S411" s="21"/>
      <c r="T411" s="2"/>
    </row>
    <row r="412" spans="6:20" x14ac:dyDescent="0.4">
      <c r="F412" s="21"/>
      <c r="G412" s="1"/>
      <c r="H412" s="2"/>
      <c r="J412" s="2"/>
      <c r="K412" s="2"/>
      <c r="L412" s="2"/>
      <c r="M412" s="2"/>
      <c r="N412" s="2"/>
      <c r="O412" s="2"/>
      <c r="R412" s="21"/>
      <c r="S412" s="21"/>
      <c r="T412" s="2"/>
    </row>
    <row r="413" spans="6:20" x14ac:dyDescent="0.4">
      <c r="F413" s="21"/>
      <c r="G413" s="1"/>
      <c r="H413" s="2"/>
      <c r="J413" s="2"/>
      <c r="K413" s="2"/>
      <c r="L413" s="2"/>
      <c r="M413" s="2"/>
      <c r="N413" s="2"/>
      <c r="O413" s="2"/>
      <c r="R413" s="21"/>
      <c r="S413" s="21"/>
      <c r="T413" s="2"/>
    </row>
    <row r="414" spans="6:20" x14ac:dyDescent="0.4">
      <c r="F414" s="21"/>
      <c r="G414" s="1"/>
      <c r="H414" s="2"/>
      <c r="J414" s="2"/>
      <c r="K414" s="2"/>
      <c r="L414" s="2"/>
      <c r="M414" s="2"/>
      <c r="N414" s="2"/>
      <c r="O414" s="2"/>
      <c r="R414" s="21"/>
      <c r="S414" s="21"/>
      <c r="T414" s="2"/>
    </row>
    <row r="415" spans="6:20" x14ac:dyDescent="0.4">
      <c r="F415" s="21"/>
      <c r="G415" s="1"/>
      <c r="H415" s="2"/>
      <c r="J415" s="2"/>
      <c r="K415" s="2"/>
      <c r="L415" s="2"/>
      <c r="M415" s="2"/>
      <c r="N415" s="2"/>
      <c r="O415" s="2"/>
      <c r="R415" s="21"/>
      <c r="S415" s="21"/>
      <c r="T415" s="2"/>
    </row>
    <row r="416" spans="6:20" x14ac:dyDescent="0.4">
      <c r="F416" s="21"/>
      <c r="G416" s="1"/>
      <c r="H416" s="2"/>
      <c r="J416" s="2"/>
      <c r="K416" s="2"/>
      <c r="L416" s="2"/>
      <c r="M416" s="2"/>
      <c r="N416" s="2"/>
      <c r="O416" s="2"/>
      <c r="R416" s="21"/>
      <c r="S416" s="21"/>
      <c r="T416" s="2"/>
    </row>
    <row r="417" spans="6:20" x14ac:dyDescent="0.4">
      <c r="F417" s="21"/>
      <c r="G417" s="1"/>
      <c r="H417" s="2"/>
      <c r="J417" s="2"/>
      <c r="K417" s="2"/>
      <c r="L417" s="2"/>
      <c r="M417" s="2"/>
      <c r="N417" s="2"/>
      <c r="O417" s="2"/>
      <c r="R417" s="21"/>
      <c r="S417" s="21"/>
      <c r="T417" s="2"/>
    </row>
    <row r="418" spans="6:20" x14ac:dyDescent="0.4">
      <c r="F418" s="21"/>
      <c r="G418" s="1"/>
      <c r="H418" s="2"/>
      <c r="J418" s="2"/>
      <c r="K418" s="2"/>
      <c r="L418" s="2"/>
      <c r="M418" s="2"/>
      <c r="N418" s="2"/>
      <c r="O418" s="2"/>
      <c r="R418" s="21"/>
      <c r="S418" s="21"/>
      <c r="T418" s="2"/>
    </row>
    <row r="419" spans="6:20" x14ac:dyDescent="0.4">
      <c r="F419" s="21"/>
      <c r="G419" s="1"/>
      <c r="H419" s="2"/>
      <c r="J419" s="2"/>
      <c r="K419" s="2"/>
      <c r="L419" s="2"/>
      <c r="M419" s="2"/>
      <c r="N419" s="2"/>
      <c r="O419" s="2"/>
      <c r="R419" s="21"/>
      <c r="S419" s="21"/>
      <c r="T419" s="2"/>
    </row>
    <row r="420" spans="6:20" x14ac:dyDescent="0.4">
      <c r="F420" s="21"/>
      <c r="G420" s="1"/>
      <c r="H420" s="2"/>
      <c r="J420" s="2"/>
      <c r="K420" s="2"/>
      <c r="L420" s="2"/>
      <c r="M420" s="2"/>
      <c r="N420" s="2"/>
      <c r="O420" s="2"/>
      <c r="R420" s="21"/>
      <c r="S420" s="21"/>
      <c r="T420" s="2"/>
    </row>
    <row r="421" spans="6:20" x14ac:dyDescent="0.4">
      <c r="F421" s="21"/>
      <c r="G421" s="1"/>
      <c r="H421" s="2"/>
      <c r="J421" s="2"/>
      <c r="K421" s="2"/>
      <c r="L421" s="2"/>
      <c r="M421" s="2"/>
      <c r="N421" s="2"/>
      <c r="O421" s="2"/>
      <c r="R421" s="21"/>
      <c r="S421" s="21"/>
      <c r="T421" s="2"/>
    </row>
    <row r="422" spans="6:20" x14ac:dyDescent="0.4">
      <c r="F422" s="21"/>
      <c r="G422" s="1"/>
      <c r="H422" s="2"/>
      <c r="J422" s="2"/>
      <c r="K422" s="2"/>
      <c r="L422" s="2"/>
      <c r="M422" s="2"/>
      <c r="N422" s="2"/>
      <c r="O422" s="2"/>
      <c r="R422" s="21"/>
      <c r="S422" s="21"/>
      <c r="T422" s="2"/>
    </row>
    <row r="423" spans="6:20" x14ac:dyDescent="0.4">
      <c r="F423" s="21"/>
      <c r="G423" s="1"/>
      <c r="H423" s="2"/>
      <c r="J423" s="2"/>
      <c r="K423" s="2"/>
      <c r="L423" s="2"/>
      <c r="M423" s="2"/>
      <c r="N423" s="2"/>
      <c r="O423" s="2"/>
      <c r="R423" s="21"/>
      <c r="S423" s="21"/>
      <c r="T423" s="2"/>
    </row>
    <row r="424" spans="6:20" x14ac:dyDescent="0.4">
      <c r="F424" s="21"/>
      <c r="G424" s="1"/>
      <c r="H424" s="2"/>
      <c r="J424" s="2"/>
      <c r="K424" s="2"/>
      <c r="L424" s="2"/>
      <c r="M424" s="2"/>
      <c r="N424" s="2"/>
      <c r="O424" s="2"/>
      <c r="R424" s="21"/>
      <c r="S424" s="21"/>
      <c r="T424" s="2"/>
    </row>
    <row r="425" spans="6:20" x14ac:dyDescent="0.4">
      <c r="F425" s="21"/>
      <c r="G425" s="1"/>
      <c r="H425" s="2"/>
      <c r="J425" s="2"/>
      <c r="K425" s="2"/>
      <c r="L425" s="2"/>
      <c r="M425" s="2"/>
      <c r="N425" s="2"/>
      <c r="O425" s="2"/>
      <c r="R425" s="21"/>
      <c r="S425" s="21"/>
      <c r="T425" s="2"/>
    </row>
    <row r="426" spans="6:20" x14ac:dyDescent="0.4">
      <c r="F426" s="21"/>
      <c r="G426" s="1"/>
      <c r="H426" s="2"/>
      <c r="J426" s="2"/>
      <c r="K426" s="2"/>
      <c r="L426" s="2"/>
      <c r="M426" s="2"/>
      <c r="N426" s="2"/>
      <c r="O426" s="2"/>
      <c r="R426" s="21"/>
      <c r="S426" s="21"/>
      <c r="T426" s="2"/>
    </row>
    <row r="427" spans="6:20" x14ac:dyDescent="0.4">
      <c r="F427" s="21"/>
      <c r="G427" s="1"/>
      <c r="H427" s="2"/>
      <c r="J427" s="2"/>
      <c r="K427" s="2"/>
      <c r="L427" s="2"/>
      <c r="M427" s="2"/>
      <c r="N427" s="2"/>
      <c r="O427" s="2"/>
      <c r="R427" s="21"/>
      <c r="S427" s="21"/>
      <c r="T427" s="2"/>
    </row>
    <row r="428" spans="6:20" x14ac:dyDescent="0.4">
      <c r="F428" s="21"/>
      <c r="G428" s="1"/>
      <c r="H428" s="2"/>
      <c r="J428" s="2"/>
      <c r="K428" s="2"/>
      <c r="L428" s="2"/>
      <c r="M428" s="2"/>
      <c r="N428" s="2"/>
      <c r="O428" s="2"/>
      <c r="R428" s="21"/>
      <c r="S428" s="21"/>
      <c r="T428" s="2"/>
    </row>
    <row r="429" spans="6:20" x14ac:dyDescent="0.4">
      <c r="F429" s="21"/>
      <c r="G429" s="1"/>
      <c r="H429" s="2"/>
      <c r="J429" s="2"/>
      <c r="K429" s="2"/>
      <c r="L429" s="2"/>
      <c r="M429" s="2"/>
      <c r="N429" s="2"/>
      <c r="O429" s="2"/>
      <c r="R429" s="21"/>
      <c r="S429" s="21"/>
      <c r="T429" s="2"/>
    </row>
    <row r="430" spans="6:20" x14ac:dyDescent="0.4">
      <c r="F430" s="21"/>
      <c r="G430" s="1"/>
      <c r="H430" s="2"/>
      <c r="J430" s="2"/>
      <c r="K430" s="2"/>
      <c r="L430" s="2"/>
      <c r="M430" s="2"/>
      <c r="N430" s="2"/>
      <c r="O430" s="2"/>
      <c r="R430" s="21"/>
      <c r="S430" s="21"/>
      <c r="T430" s="2"/>
    </row>
    <row r="431" spans="6:20" x14ac:dyDescent="0.4">
      <c r="F431" s="21"/>
      <c r="G431" s="1"/>
      <c r="H431" s="2"/>
      <c r="J431" s="2"/>
      <c r="K431" s="2"/>
      <c r="L431" s="2"/>
      <c r="M431" s="2"/>
      <c r="N431" s="2"/>
      <c r="O431" s="2"/>
      <c r="R431" s="21"/>
      <c r="S431" s="21"/>
      <c r="T431" s="2"/>
    </row>
    <row r="432" spans="6:20" x14ac:dyDescent="0.4">
      <c r="F432" s="21"/>
      <c r="G432" s="1"/>
      <c r="H432" s="2"/>
      <c r="J432" s="2"/>
      <c r="K432" s="2"/>
      <c r="L432" s="2"/>
      <c r="M432" s="2"/>
      <c r="N432" s="2"/>
      <c r="O432" s="2"/>
      <c r="R432" s="21"/>
      <c r="S432" s="21"/>
      <c r="T432" s="2"/>
    </row>
    <row r="433" spans="6:20" x14ac:dyDescent="0.4">
      <c r="F433" s="21"/>
      <c r="G433" s="1"/>
      <c r="H433" s="2"/>
      <c r="J433" s="2"/>
      <c r="K433" s="2"/>
      <c r="L433" s="2"/>
      <c r="M433" s="2"/>
      <c r="N433" s="2"/>
      <c r="O433" s="2"/>
      <c r="R433" s="21"/>
      <c r="S433" s="21"/>
      <c r="T433" s="2"/>
    </row>
    <row r="434" spans="6:20" x14ac:dyDescent="0.4">
      <c r="F434" s="21"/>
      <c r="G434" s="1"/>
      <c r="H434" s="2"/>
      <c r="J434" s="2"/>
      <c r="K434" s="2"/>
      <c r="L434" s="2"/>
      <c r="M434" s="2"/>
      <c r="N434" s="2"/>
      <c r="O434" s="2"/>
      <c r="R434" s="21"/>
      <c r="S434" s="21"/>
      <c r="T434" s="2"/>
    </row>
    <row r="435" spans="6:20" x14ac:dyDescent="0.4">
      <c r="F435" s="21"/>
      <c r="G435" s="1"/>
      <c r="H435" s="2"/>
      <c r="J435" s="2"/>
      <c r="K435" s="2"/>
      <c r="L435" s="2"/>
      <c r="M435" s="2"/>
      <c r="N435" s="2"/>
      <c r="O435" s="2"/>
      <c r="R435" s="21"/>
      <c r="S435" s="21"/>
      <c r="T435" s="2"/>
    </row>
    <row r="436" spans="6:20" x14ac:dyDescent="0.4">
      <c r="F436" s="21"/>
      <c r="G436" s="1"/>
      <c r="H436" s="2"/>
      <c r="J436" s="2"/>
      <c r="K436" s="2"/>
      <c r="L436" s="2"/>
      <c r="M436" s="2"/>
      <c r="N436" s="2"/>
      <c r="O436" s="2"/>
      <c r="R436" s="21"/>
      <c r="S436" s="21"/>
      <c r="T436" s="2"/>
    </row>
    <row r="437" spans="6:20" x14ac:dyDescent="0.4">
      <c r="F437" s="21"/>
      <c r="G437" s="1"/>
      <c r="H437" s="2"/>
      <c r="J437" s="2"/>
      <c r="K437" s="2"/>
      <c r="L437" s="2"/>
      <c r="M437" s="2"/>
      <c r="N437" s="2"/>
      <c r="O437" s="2"/>
      <c r="R437" s="21"/>
      <c r="S437" s="21"/>
      <c r="T437" s="2"/>
    </row>
    <row r="438" spans="6:20" x14ac:dyDescent="0.4">
      <c r="F438" s="21"/>
      <c r="G438" s="1"/>
      <c r="H438" s="2"/>
      <c r="J438" s="2"/>
      <c r="K438" s="2"/>
      <c r="L438" s="2"/>
      <c r="M438" s="2"/>
      <c r="N438" s="2"/>
      <c r="O438" s="2"/>
      <c r="R438" s="21"/>
      <c r="S438" s="21"/>
      <c r="T438" s="2"/>
    </row>
    <row r="439" spans="6:20" x14ac:dyDescent="0.4">
      <c r="F439" s="21"/>
      <c r="G439" s="1"/>
      <c r="H439" s="2"/>
      <c r="J439" s="2"/>
      <c r="K439" s="2"/>
      <c r="L439" s="2"/>
      <c r="M439" s="2"/>
      <c r="N439" s="2"/>
      <c r="O439" s="2"/>
      <c r="R439" s="21"/>
      <c r="S439" s="21"/>
      <c r="T439" s="2"/>
    </row>
    <row r="440" spans="6:20" x14ac:dyDescent="0.4">
      <c r="F440" s="21"/>
      <c r="G440" s="1"/>
      <c r="H440" s="2"/>
      <c r="J440" s="2"/>
      <c r="K440" s="2"/>
      <c r="L440" s="2"/>
      <c r="M440" s="2"/>
      <c r="N440" s="2"/>
      <c r="O440" s="2"/>
      <c r="R440" s="21"/>
      <c r="S440" s="21"/>
      <c r="T440" s="2"/>
    </row>
    <row r="441" spans="6:20" x14ac:dyDescent="0.4">
      <c r="F441" s="21"/>
      <c r="G441" s="1"/>
      <c r="H441" s="2"/>
      <c r="J441" s="2"/>
      <c r="K441" s="2"/>
      <c r="L441" s="2"/>
      <c r="M441" s="2"/>
      <c r="N441" s="2"/>
      <c r="O441" s="2"/>
      <c r="R441" s="21"/>
      <c r="S441" s="21"/>
      <c r="T441" s="2"/>
    </row>
    <row r="442" spans="6:20" x14ac:dyDescent="0.4">
      <c r="F442" s="21"/>
      <c r="G442" s="1"/>
      <c r="H442" s="2"/>
      <c r="J442" s="2"/>
      <c r="K442" s="2"/>
      <c r="L442" s="2"/>
      <c r="M442" s="2"/>
      <c r="N442" s="2"/>
      <c r="O442" s="2"/>
      <c r="R442" s="21"/>
      <c r="S442" s="21"/>
      <c r="T442" s="2"/>
    </row>
    <row r="443" spans="6:20" x14ac:dyDescent="0.4">
      <c r="F443" s="21"/>
      <c r="G443" s="1"/>
      <c r="H443" s="2"/>
      <c r="J443" s="2"/>
      <c r="K443" s="2"/>
      <c r="L443" s="2"/>
      <c r="M443" s="2"/>
      <c r="N443" s="2"/>
      <c r="O443" s="2"/>
      <c r="R443" s="21"/>
      <c r="S443" s="21"/>
      <c r="T443" s="2"/>
    </row>
    <row r="444" spans="6:20" x14ac:dyDescent="0.4">
      <c r="F444" s="21"/>
      <c r="G444" s="1"/>
      <c r="H444" s="2"/>
      <c r="J444" s="2"/>
      <c r="K444" s="2"/>
      <c r="L444" s="2"/>
      <c r="M444" s="2"/>
      <c r="N444" s="2"/>
      <c r="O444" s="2"/>
      <c r="R444" s="21"/>
      <c r="S444" s="21"/>
      <c r="T444" s="2"/>
    </row>
    <row r="445" spans="6:20" x14ac:dyDescent="0.4">
      <c r="F445" s="21"/>
      <c r="G445" s="1"/>
      <c r="H445" s="2"/>
      <c r="J445" s="2"/>
      <c r="K445" s="2"/>
      <c r="L445" s="2"/>
      <c r="M445" s="2"/>
      <c r="N445" s="2"/>
      <c r="O445" s="2"/>
      <c r="R445" s="21"/>
      <c r="S445" s="21"/>
      <c r="T445" s="2"/>
    </row>
    <row r="446" spans="6:20" x14ac:dyDescent="0.4">
      <c r="F446" s="21"/>
      <c r="G446" s="1"/>
      <c r="H446" s="2"/>
      <c r="J446" s="2"/>
      <c r="K446" s="2"/>
      <c r="L446" s="2"/>
      <c r="M446" s="2"/>
      <c r="N446" s="2"/>
      <c r="O446" s="2"/>
      <c r="R446" s="21"/>
      <c r="S446" s="21"/>
      <c r="T446" s="2"/>
    </row>
    <row r="447" spans="6:20" x14ac:dyDescent="0.4">
      <c r="F447" s="21"/>
      <c r="G447" s="1"/>
      <c r="H447" s="2"/>
      <c r="J447" s="2"/>
      <c r="K447" s="2"/>
      <c r="L447" s="2"/>
      <c r="M447" s="2"/>
      <c r="N447" s="2"/>
      <c r="O447" s="2"/>
      <c r="R447" s="21"/>
      <c r="S447" s="21"/>
      <c r="T447" s="2"/>
    </row>
    <row r="448" spans="6:20" x14ac:dyDescent="0.4">
      <c r="F448" s="21"/>
      <c r="G448" s="1"/>
      <c r="H448" s="2"/>
      <c r="J448" s="2"/>
      <c r="K448" s="2"/>
      <c r="L448" s="2"/>
      <c r="M448" s="2"/>
      <c r="N448" s="2"/>
      <c r="O448" s="2"/>
      <c r="R448" s="21"/>
      <c r="S448" s="21"/>
      <c r="T448" s="2"/>
    </row>
    <row r="449" spans="6:20" x14ac:dyDescent="0.4">
      <c r="F449" s="21"/>
      <c r="G449" s="1"/>
      <c r="H449" s="2"/>
      <c r="J449" s="2"/>
      <c r="K449" s="2"/>
      <c r="L449" s="2"/>
      <c r="M449" s="2"/>
      <c r="N449" s="2"/>
      <c r="O449" s="2"/>
      <c r="R449" s="21"/>
      <c r="S449" s="21"/>
      <c r="T449" s="2"/>
    </row>
    <row r="450" spans="6:20" x14ac:dyDescent="0.4">
      <c r="F450" s="21"/>
      <c r="G450" s="1"/>
      <c r="H450" s="2"/>
      <c r="J450" s="2"/>
      <c r="K450" s="2"/>
      <c r="L450" s="2"/>
      <c r="M450" s="2"/>
      <c r="N450" s="2"/>
      <c r="O450" s="2"/>
      <c r="R450" s="21"/>
      <c r="S450" s="21"/>
      <c r="T450" s="2"/>
    </row>
    <row r="451" spans="6:20" x14ac:dyDescent="0.4">
      <c r="F451" s="21"/>
      <c r="G451" s="1"/>
      <c r="H451" s="2"/>
      <c r="J451" s="2"/>
      <c r="K451" s="2"/>
      <c r="L451" s="2"/>
      <c r="M451" s="2"/>
      <c r="N451" s="2"/>
      <c r="O451" s="2"/>
      <c r="R451" s="21"/>
      <c r="S451" s="21"/>
      <c r="T451" s="2"/>
    </row>
    <row r="452" spans="6:20" x14ac:dyDescent="0.4">
      <c r="F452" s="21"/>
      <c r="G452" s="1"/>
      <c r="H452" s="2"/>
      <c r="J452" s="2"/>
      <c r="K452" s="2"/>
      <c r="L452" s="2"/>
      <c r="M452" s="2"/>
      <c r="N452" s="2"/>
      <c r="O452" s="2"/>
      <c r="R452" s="21"/>
      <c r="S452" s="21"/>
      <c r="T452" s="2"/>
    </row>
    <row r="453" spans="6:20" x14ac:dyDescent="0.4">
      <c r="F453" s="21"/>
      <c r="G453" s="1"/>
      <c r="H453" s="2"/>
      <c r="J453" s="2"/>
      <c r="K453" s="2"/>
      <c r="L453" s="2"/>
      <c r="M453" s="2"/>
      <c r="N453" s="2"/>
      <c r="O453" s="2"/>
      <c r="R453" s="21"/>
      <c r="S453" s="21"/>
      <c r="T453" s="2"/>
    </row>
    <row r="454" spans="6:20" x14ac:dyDescent="0.4">
      <c r="F454" s="21"/>
      <c r="G454" s="1"/>
      <c r="H454" s="2"/>
      <c r="J454" s="2"/>
      <c r="K454" s="2"/>
      <c r="L454" s="2"/>
      <c r="M454" s="2"/>
      <c r="N454" s="2"/>
      <c r="O454" s="2"/>
      <c r="R454" s="21"/>
      <c r="S454" s="21"/>
      <c r="T454" s="2"/>
    </row>
    <row r="455" spans="6:20" x14ac:dyDescent="0.4">
      <c r="F455" s="21"/>
      <c r="G455" s="1"/>
      <c r="H455" s="2"/>
      <c r="J455" s="2"/>
      <c r="K455" s="2"/>
      <c r="L455" s="2"/>
      <c r="M455" s="2"/>
      <c r="N455" s="2"/>
      <c r="O455" s="2"/>
      <c r="R455" s="21"/>
      <c r="S455" s="21"/>
      <c r="T455" s="2"/>
    </row>
  </sheetData>
  <mergeCells count="6">
    <mergeCell ref="Q5:V5"/>
    <mergeCell ref="A2:C2"/>
    <mergeCell ref="G2:H2"/>
    <mergeCell ref="J1:O1"/>
    <mergeCell ref="A1:C1"/>
    <mergeCell ref="R2:U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9594-9C22-4739-AC79-71C584A6CEA1}">
  <dimension ref="A1:I359"/>
  <sheetViews>
    <sheetView zoomScaleNormal="100" workbookViewId="0">
      <selection activeCell="H26" sqref="H26"/>
    </sheetView>
  </sheetViews>
  <sheetFormatPr defaultRowHeight="14.6" x14ac:dyDescent="0.4"/>
  <cols>
    <col min="6" max="6" width="7.69140625" style="1" customWidth="1"/>
    <col min="7" max="7" width="7.3828125" customWidth="1"/>
    <col min="8" max="8" width="17.15234375" customWidth="1"/>
    <col min="9" max="9" width="21.765625" customWidth="1"/>
  </cols>
  <sheetData>
    <row r="1" spans="1:9" x14ac:dyDescent="0.4">
      <c r="A1" s="46" t="s">
        <v>753</v>
      </c>
      <c r="B1" s="46" t="s">
        <v>182</v>
      </c>
      <c r="C1" s="46" t="s">
        <v>184</v>
      </c>
      <c r="D1" s="46" t="s">
        <v>12</v>
      </c>
      <c r="E1" s="46" t="s">
        <v>713</v>
      </c>
      <c r="F1" s="46" t="s">
        <v>753</v>
      </c>
      <c r="H1" s="863" t="s">
        <v>531</v>
      </c>
      <c r="I1" s="864"/>
    </row>
    <row r="2" spans="1:9" x14ac:dyDescent="0.4">
      <c r="A2" s="2">
        <v>0.3</v>
      </c>
      <c r="B2" s="21">
        <v>0.30030030030030042</v>
      </c>
      <c r="C2" s="21">
        <v>0.89587962962962941</v>
      </c>
      <c r="D2" s="696">
        <v>5.0546624999999965</v>
      </c>
      <c r="E2" s="695">
        <v>-5.7754687500000665</v>
      </c>
      <c r="F2" s="2">
        <v>0.3</v>
      </c>
      <c r="H2" s="703" t="s">
        <v>7</v>
      </c>
      <c r="I2" s="91" t="s">
        <v>163</v>
      </c>
    </row>
    <row r="3" spans="1:9" x14ac:dyDescent="0.4">
      <c r="A3" s="2">
        <v>0.31</v>
      </c>
      <c r="B3" s="21">
        <v>0.31698365031698378</v>
      </c>
      <c r="C3" s="21">
        <v>0.97837962962962943</v>
      </c>
      <c r="D3" s="696">
        <v>4.9450499999999957</v>
      </c>
      <c r="E3" s="695">
        <v>-6.514728749999958</v>
      </c>
      <c r="F3" s="2">
        <v>0.31</v>
      </c>
      <c r="H3" s="703" t="s">
        <v>712</v>
      </c>
      <c r="I3" s="91" t="s">
        <v>164</v>
      </c>
    </row>
    <row r="4" spans="1:9" x14ac:dyDescent="0.4">
      <c r="A4" s="2">
        <v>0.33</v>
      </c>
      <c r="B4" s="21">
        <v>0.33366700033366714</v>
      </c>
      <c r="C4" s="21">
        <v>1.0588888888888888</v>
      </c>
      <c r="D4" s="696">
        <v>4.8257249999999958</v>
      </c>
      <c r="E4" s="695">
        <v>-7.1246182500000268</v>
      </c>
      <c r="F4" s="2">
        <v>0.33</v>
      </c>
      <c r="H4" s="62" t="s">
        <v>895</v>
      </c>
      <c r="I4" s="82" t="s">
        <v>529</v>
      </c>
    </row>
    <row r="5" spans="1:9" x14ac:dyDescent="0.4">
      <c r="A5" s="2">
        <v>0.35</v>
      </c>
      <c r="B5" s="21">
        <v>0.3503503503503505</v>
      </c>
      <c r="C5" s="21">
        <v>1.1372685185185183</v>
      </c>
      <c r="D5" s="696">
        <v>4.6980749999999958</v>
      </c>
      <c r="E5" s="695">
        <v>-7.5958965000000198</v>
      </c>
      <c r="F5" s="2">
        <v>0.35</v>
      </c>
      <c r="H5" s="704" t="s">
        <v>733</v>
      </c>
      <c r="I5" s="82" t="s">
        <v>715</v>
      </c>
    </row>
    <row r="6" spans="1:9" x14ac:dyDescent="0.4">
      <c r="A6" s="2">
        <v>0.36</v>
      </c>
      <c r="B6" s="21">
        <v>0.36703370036703387</v>
      </c>
      <c r="C6" s="21">
        <v>1.2134259259259257</v>
      </c>
      <c r="D6" s="696">
        <v>4.5648749999999962</v>
      </c>
      <c r="E6" s="695">
        <v>-7.9100819999999077</v>
      </c>
      <c r="F6" s="2">
        <v>0.36</v>
      </c>
      <c r="H6" s="705" t="s">
        <v>734</v>
      </c>
      <c r="I6" s="82" t="s">
        <v>716</v>
      </c>
    </row>
    <row r="7" spans="1:9" x14ac:dyDescent="0.4">
      <c r="A7" s="2">
        <v>0.38</v>
      </c>
      <c r="B7" s="21">
        <v>0.38371705038371723</v>
      </c>
      <c r="C7" s="21">
        <v>1.2873302469135801</v>
      </c>
      <c r="D7" s="696">
        <v>4.4298249999999966</v>
      </c>
      <c r="E7" s="695">
        <v>-8.039452500000051</v>
      </c>
      <c r="F7" s="2">
        <v>0.38</v>
      </c>
      <c r="H7" s="704" t="s">
        <v>735</v>
      </c>
      <c r="I7" s="82" t="s">
        <v>531</v>
      </c>
    </row>
    <row r="8" spans="1:9" x14ac:dyDescent="0.4">
      <c r="A8" s="2">
        <v>0.4</v>
      </c>
      <c r="B8" s="21">
        <v>0.40040040040040059</v>
      </c>
      <c r="C8" s="21">
        <v>1.3589969135802469</v>
      </c>
      <c r="D8" s="696">
        <v>4.2956999999999965</v>
      </c>
      <c r="E8" s="695">
        <v>-8.0579339999999711</v>
      </c>
      <c r="F8" s="2">
        <v>0.4</v>
      </c>
      <c r="H8" s="706">
        <v>0.33333333333333331</v>
      </c>
      <c r="I8" s="82" t="s">
        <v>717</v>
      </c>
    </row>
    <row r="9" spans="1:9" x14ac:dyDescent="0.4">
      <c r="A9" s="2">
        <v>0.41</v>
      </c>
      <c r="B9" s="21">
        <v>0.41708375041708395</v>
      </c>
      <c r="C9" s="21">
        <v>1.428425925925926</v>
      </c>
      <c r="D9" s="696">
        <v>4.1615749999999965</v>
      </c>
      <c r="E9" s="695">
        <v>-8.0671747499999586</v>
      </c>
      <c r="F9" s="2">
        <v>0.41</v>
      </c>
      <c r="H9" s="707">
        <v>45813</v>
      </c>
      <c r="I9" s="82" t="s">
        <v>718</v>
      </c>
    </row>
    <row r="10" spans="1:9" x14ac:dyDescent="0.4">
      <c r="A10" s="2">
        <v>0.43</v>
      </c>
      <c r="B10" s="21">
        <v>0.43376710043376732</v>
      </c>
      <c r="C10" s="21">
        <v>1.4955941358024691</v>
      </c>
      <c r="D10" s="696">
        <v>4.0260624999999974</v>
      </c>
      <c r="E10" s="695">
        <v>-8.0948969999999747</v>
      </c>
      <c r="F10" s="2">
        <v>0.43</v>
      </c>
      <c r="H10" s="708" t="s">
        <v>738</v>
      </c>
      <c r="I10" s="91" t="s">
        <v>719</v>
      </c>
    </row>
    <row r="11" spans="1:9" x14ac:dyDescent="0.4">
      <c r="A11" s="2">
        <v>0.45</v>
      </c>
      <c r="B11" s="21">
        <v>0.45045045045045068</v>
      </c>
      <c r="C11" s="21">
        <v>1.5605015432098766</v>
      </c>
      <c r="D11" s="696">
        <v>3.8905499999999975</v>
      </c>
      <c r="E11" s="695">
        <v>-8.0764154999999462</v>
      </c>
      <c r="F11" s="2">
        <v>0.45</v>
      </c>
      <c r="H11" s="709">
        <v>4.575925925925926E-3</v>
      </c>
      <c r="I11" s="82" t="s">
        <v>533</v>
      </c>
    </row>
    <row r="12" spans="1:9" x14ac:dyDescent="0.4">
      <c r="A12" s="2">
        <v>0.46</v>
      </c>
      <c r="B12" s="21">
        <v>0.46713380046713404</v>
      </c>
      <c r="C12" s="21">
        <v>1.6231867283950618</v>
      </c>
      <c r="D12" s="696">
        <v>3.7573499999999989</v>
      </c>
      <c r="E12" s="695">
        <v>-7.9193227499999752</v>
      </c>
      <c r="F12" s="2">
        <v>0.46</v>
      </c>
      <c r="H12" s="703">
        <v>2000</v>
      </c>
      <c r="I12" s="91" t="s">
        <v>720</v>
      </c>
    </row>
    <row r="13" spans="1:9" x14ac:dyDescent="0.4">
      <c r="A13" s="2">
        <v>0.48</v>
      </c>
      <c r="B13" s="21">
        <v>0.4838171504838174</v>
      </c>
      <c r="C13" s="21">
        <v>1.6837422839506175</v>
      </c>
      <c r="D13" s="696">
        <v>3.6297000000000001</v>
      </c>
      <c r="E13" s="695">
        <v>-7.5681742499998981</v>
      </c>
      <c r="F13" s="2">
        <v>0.48</v>
      </c>
      <c r="H13" s="703">
        <v>19</v>
      </c>
      <c r="I13" s="697" t="s">
        <v>721</v>
      </c>
    </row>
    <row r="14" spans="1:9" x14ac:dyDescent="0.4">
      <c r="A14" s="2">
        <v>0.5</v>
      </c>
      <c r="B14" s="21">
        <v>0.50050050050050077</v>
      </c>
      <c r="C14" s="21">
        <v>1.7423302469135806</v>
      </c>
      <c r="D14" s="696">
        <v>3.5117625000000019</v>
      </c>
      <c r="E14" s="695">
        <v>-6.949043999999895</v>
      </c>
      <c r="F14" s="2">
        <v>0.5</v>
      </c>
      <c r="H14" s="710" t="s">
        <v>736</v>
      </c>
      <c r="I14" s="697" t="s">
        <v>722</v>
      </c>
    </row>
    <row r="15" spans="1:9" ht="15" thickBot="1" x14ac:dyDescent="0.45">
      <c r="A15" s="2">
        <v>0.51</v>
      </c>
      <c r="B15" s="21">
        <v>0.51718385051718407</v>
      </c>
      <c r="C15" s="21">
        <v>1.7992129629629632</v>
      </c>
      <c r="D15" s="696">
        <v>3.4095500000000034</v>
      </c>
      <c r="E15" s="695">
        <v>-5.997246749999916</v>
      </c>
      <c r="F15" s="2">
        <v>0.51</v>
      </c>
      <c r="H15" s="711" t="s">
        <v>737</v>
      </c>
      <c r="I15" s="697" t="s">
        <v>723</v>
      </c>
    </row>
    <row r="16" spans="1:9" ht="15" thickBot="1" x14ac:dyDescent="0.45">
      <c r="A16" s="2">
        <v>0.53</v>
      </c>
      <c r="B16" s="21">
        <v>0.53386720053386738</v>
      </c>
      <c r="C16" s="21">
        <v>1.854760802469136</v>
      </c>
      <c r="D16" s="696">
        <v>3.3295375000000047</v>
      </c>
      <c r="E16" s="695">
        <v>-4.6850602499999532</v>
      </c>
      <c r="F16" s="2">
        <v>0.53</v>
      </c>
      <c r="H16" s="703">
        <v>13.19</v>
      </c>
      <c r="I16" s="699" t="s">
        <v>724</v>
      </c>
    </row>
    <row r="17" spans="1:9" x14ac:dyDescent="0.4">
      <c r="A17" s="2">
        <v>0.55000000000000004</v>
      </c>
      <c r="B17" s="21">
        <v>0.55055055055055069</v>
      </c>
      <c r="C17" s="21">
        <v>1.909436728395062</v>
      </c>
      <c r="D17" s="696">
        <v>3.2772750000000062</v>
      </c>
      <c r="E17" s="695">
        <v>-3.0586882499999155</v>
      </c>
      <c r="F17" s="2">
        <v>0.55000000000000004</v>
      </c>
      <c r="H17" s="834"/>
      <c r="I17" s="701" t="s">
        <v>725</v>
      </c>
    </row>
    <row r="18" spans="1:9" x14ac:dyDescent="0.4">
      <c r="A18" s="2">
        <v>0.56000000000000005</v>
      </c>
      <c r="B18" s="21">
        <v>0.567233900567234</v>
      </c>
      <c r="C18" s="21">
        <v>1.9637654320987656</v>
      </c>
      <c r="D18" s="696">
        <v>3.2564625000000071</v>
      </c>
      <c r="E18" s="695">
        <v>-1.2844642499999468</v>
      </c>
      <c r="F18" s="2">
        <v>0.56000000000000005</v>
      </c>
      <c r="H18" s="44">
        <v>0.38</v>
      </c>
      <c r="I18" s="698" t="s">
        <v>2</v>
      </c>
    </row>
    <row r="19" spans="1:9" x14ac:dyDescent="0.4">
      <c r="A19" s="2">
        <v>0.57999999999999996</v>
      </c>
      <c r="B19" s="21">
        <v>0.5839172505839173</v>
      </c>
      <c r="C19" s="21">
        <v>2.0182407407407408</v>
      </c>
      <c r="D19" s="696">
        <v>3.2652500000000075</v>
      </c>
      <c r="E19" s="695">
        <v>0.35114850000005204</v>
      </c>
      <c r="F19" s="2">
        <v>0.57999999999999996</v>
      </c>
      <c r="H19" s="44">
        <v>0.57999999999999996</v>
      </c>
      <c r="I19" s="697" t="s">
        <v>726</v>
      </c>
    </row>
    <row r="20" spans="1:9" x14ac:dyDescent="0.4">
      <c r="A20" s="2">
        <v>0.6</v>
      </c>
      <c r="B20" s="21">
        <v>0.60060060060060061</v>
      </c>
      <c r="C20" s="21">
        <v>2.0732098765432099</v>
      </c>
      <c r="D20" s="696">
        <v>3.2948500000000087</v>
      </c>
      <c r="E20" s="695">
        <v>1.5616867500000466</v>
      </c>
      <c r="F20" s="2">
        <v>0.6</v>
      </c>
      <c r="H20" s="44">
        <v>0.93</v>
      </c>
      <c r="I20" s="698" t="s">
        <v>4</v>
      </c>
    </row>
    <row r="21" spans="1:9" x14ac:dyDescent="0.4">
      <c r="A21" s="2">
        <v>0.61</v>
      </c>
      <c r="B21" s="21">
        <v>0.61728395061728392</v>
      </c>
      <c r="C21" s="21">
        <v>2.1288425925925925</v>
      </c>
      <c r="D21" s="696">
        <v>3.3346250000000093</v>
      </c>
      <c r="E21" s="695">
        <v>2.2362615000000288</v>
      </c>
      <c r="F21" s="2">
        <v>0.61</v>
      </c>
      <c r="H21" s="44">
        <v>1.18</v>
      </c>
      <c r="I21" s="697" t="s">
        <v>373</v>
      </c>
    </row>
    <row r="22" spans="1:9" x14ac:dyDescent="0.4">
      <c r="A22" s="2">
        <v>0.63</v>
      </c>
      <c r="B22" s="21">
        <v>0.63396730063396722</v>
      </c>
      <c r="C22" s="21">
        <v>2.1851851851851851</v>
      </c>
      <c r="D22" s="696">
        <v>3.3771750000000096</v>
      </c>
      <c r="E22" s="695">
        <v>2.4580395000000186</v>
      </c>
      <c r="F22" s="2">
        <v>0.63</v>
      </c>
      <c r="H22" s="44">
        <v>1.28</v>
      </c>
      <c r="I22" s="698" t="s">
        <v>5</v>
      </c>
    </row>
    <row r="23" spans="1:9" x14ac:dyDescent="0.4">
      <c r="A23" s="2">
        <v>0.65</v>
      </c>
      <c r="B23" s="21">
        <v>0.65065065065065053</v>
      </c>
      <c r="C23" s="21">
        <v>2.2422067901234568</v>
      </c>
      <c r="D23" s="696">
        <v>3.4178750000000093</v>
      </c>
      <c r="E23" s="695">
        <v>2.3656320000000384</v>
      </c>
      <c r="F23" s="2">
        <v>0.65</v>
      </c>
      <c r="H23" s="44">
        <v>2.16</v>
      </c>
      <c r="I23" s="698" t="s">
        <v>2</v>
      </c>
    </row>
    <row r="24" spans="1:9" ht="15" thickBot="1" x14ac:dyDescent="0.45">
      <c r="A24" s="2">
        <v>0.66</v>
      </c>
      <c r="B24" s="21">
        <v>0.66733400066733384</v>
      </c>
      <c r="C24" s="21">
        <v>2.2998148148148148</v>
      </c>
      <c r="D24" s="696">
        <v>3.4530250000000096</v>
      </c>
      <c r="E24" s="695">
        <v>2.0791687499999778</v>
      </c>
      <c r="F24" s="2">
        <v>0.66</v>
      </c>
      <c r="H24" s="259">
        <v>2.33</v>
      </c>
      <c r="I24" s="700" t="s">
        <v>727</v>
      </c>
    </row>
    <row r="25" spans="1:9" x14ac:dyDescent="0.4">
      <c r="A25" s="2">
        <v>0.68</v>
      </c>
      <c r="B25" s="21">
        <v>0.68401735068401714</v>
      </c>
      <c r="C25" s="21">
        <v>2.3578935185185186</v>
      </c>
      <c r="D25" s="696">
        <v>3.4812375000000095</v>
      </c>
      <c r="E25" s="695">
        <v>1.7834647500000094</v>
      </c>
      <c r="F25" s="2">
        <v>0.68</v>
      </c>
      <c r="H25" s="44" t="s">
        <v>1142</v>
      </c>
      <c r="I25" s="697" t="s">
        <v>728</v>
      </c>
    </row>
    <row r="26" spans="1:9" x14ac:dyDescent="0.4">
      <c r="A26" s="2">
        <v>0.7</v>
      </c>
      <c r="B26" s="21">
        <v>0.70070070070070045</v>
      </c>
      <c r="C26" s="21">
        <v>2.4164043209876542</v>
      </c>
      <c r="D26" s="696">
        <v>3.5071375000000091</v>
      </c>
      <c r="E26" s="695">
        <v>1.6910572500000027</v>
      </c>
      <c r="F26" s="2">
        <v>0.7</v>
      </c>
      <c r="H26" s="44"/>
      <c r="I26" s="697" t="s">
        <v>729</v>
      </c>
    </row>
    <row r="27" spans="1:9" x14ac:dyDescent="0.4">
      <c r="A27" s="2">
        <v>0.71</v>
      </c>
      <c r="B27" s="21">
        <v>0.71738405071738376</v>
      </c>
      <c r="C27" s="21">
        <v>2.4754243827160494</v>
      </c>
      <c r="D27" s="696">
        <v>3.5376625000000086</v>
      </c>
      <c r="E27" s="695">
        <v>1.9035944999999783</v>
      </c>
      <c r="F27" s="2">
        <v>0.71</v>
      </c>
      <c r="H27" s="44"/>
      <c r="I27" s="697" t="s">
        <v>730</v>
      </c>
    </row>
    <row r="28" spans="1:9" x14ac:dyDescent="0.4">
      <c r="A28" s="2">
        <v>0.73</v>
      </c>
      <c r="B28" s="21">
        <v>0.73406740073406707</v>
      </c>
      <c r="C28" s="21">
        <v>2.5350925925925925</v>
      </c>
      <c r="D28" s="696">
        <v>3.5765125000000086</v>
      </c>
      <c r="E28" s="695">
        <v>2.3101875000000076</v>
      </c>
      <c r="F28" s="2">
        <v>0.73</v>
      </c>
      <c r="H28" s="44"/>
      <c r="I28" s="697" t="s">
        <v>731</v>
      </c>
    </row>
    <row r="29" spans="1:9" x14ac:dyDescent="0.4">
      <c r="A29" s="2">
        <v>0.75</v>
      </c>
      <c r="B29" s="21">
        <v>0.75075075075075037</v>
      </c>
      <c r="C29" s="21">
        <v>2.5955324074074073</v>
      </c>
      <c r="D29" s="696">
        <v>3.6227625000000088</v>
      </c>
      <c r="E29" s="695">
        <v>2.7075397500000231</v>
      </c>
      <c r="F29" s="2">
        <v>0.75</v>
      </c>
      <c r="H29" s="712" t="str">
        <f>IF(SUM(H25:H28)=0,"N/A",AVERAGE(H25:H28))</f>
        <v>N/A</v>
      </c>
      <c r="I29" s="698" t="s">
        <v>732</v>
      </c>
    </row>
    <row r="30" spans="1:9" x14ac:dyDescent="0.4">
      <c r="A30" s="2">
        <v>0.76</v>
      </c>
      <c r="B30" s="21">
        <v>0.76743410076743368</v>
      </c>
      <c r="C30" s="21">
        <v>2.6568132716049382</v>
      </c>
      <c r="D30" s="696">
        <v>3.673175000000009</v>
      </c>
      <c r="E30" s="695">
        <v>2.9755215000000028</v>
      </c>
      <c r="F30" s="2">
        <v>0.76</v>
      </c>
      <c r="I30" s="702"/>
    </row>
    <row r="31" spans="1:9" x14ac:dyDescent="0.4">
      <c r="A31" s="2">
        <v>0.78</v>
      </c>
      <c r="B31" s="21">
        <v>0.78411745078411699</v>
      </c>
      <c r="C31" s="21">
        <v>2.7189660493827161</v>
      </c>
      <c r="D31" s="696">
        <v>3.7254375000000088</v>
      </c>
      <c r="E31" s="695">
        <v>3.0956512500000248</v>
      </c>
      <c r="F31" s="2">
        <v>0.78</v>
      </c>
      <c r="I31" s="82"/>
    </row>
    <row r="32" spans="1:9" x14ac:dyDescent="0.4">
      <c r="A32" s="2">
        <v>0.8</v>
      </c>
      <c r="B32" s="21">
        <v>0.80080080080080029</v>
      </c>
      <c r="C32" s="21">
        <v>2.7819907407407407</v>
      </c>
      <c r="D32" s="696">
        <v>3.7777000000000096</v>
      </c>
      <c r="E32" s="695">
        <v>3.1141327500000529</v>
      </c>
      <c r="F32" s="2">
        <v>0.8</v>
      </c>
      <c r="I32" s="91"/>
    </row>
    <row r="33" spans="1:9" x14ac:dyDescent="0.4">
      <c r="A33" s="2">
        <v>0.81</v>
      </c>
      <c r="B33" s="21">
        <v>0.8174841508174836</v>
      </c>
      <c r="C33" s="21">
        <v>2.8458719135802468</v>
      </c>
      <c r="D33" s="696">
        <v>3.8290375000000103</v>
      </c>
      <c r="E33" s="695">
        <v>3.0679290000000092</v>
      </c>
      <c r="F33" s="2">
        <v>0.81</v>
      </c>
      <c r="I33" s="82"/>
    </row>
    <row r="34" spans="1:9" x14ac:dyDescent="0.4">
      <c r="A34" s="2">
        <v>0.83</v>
      </c>
      <c r="B34" s="21">
        <v>0.83416750083416691</v>
      </c>
      <c r="C34" s="21">
        <v>2.9105864197530864</v>
      </c>
      <c r="D34" s="696">
        <v>3.8789875000000102</v>
      </c>
      <c r="E34" s="695">
        <v>2.9755215000000295</v>
      </c>
      <c r="F34" s="2">
        <v>0.83</v>
      </c>
      <c r="I34" s="91"/>
    </row>
    <row r="35" spans="1:9" x14ac:dyDescent="0.4">
      <c r="A35" s="2">
        <v>0.85</v>
      </c>
      <c r="B35" s="21">
        <v>0.85085085085085022</v>
      </c>
      <c r="C35" s="21">
        <v>2.9760956790123458</v>
      </c>
      <c r="D35" s="696">
        <v>3.9266250000000102</v>
      </c>
      <c r="E35" s="695">
        <v>2.8461509999999932</v>
      </c>
      <c r="F35" s="2">
        <v>0.85</v>
      </c>
      <c r="I35" s="82"/>
    </row>
    <row r="36" spans="1:9" x14ac:dyDescent="0.4">
      <c r="A36" s="2">
        <v>0.86</v>
      </c>
      <c r="B36" s="21">
        <v>0.86753420086753352</v>
      </c>
      <c r="C36" s="21">
        <v>3.0423533950617285</v>
      </c>
      <c r="D36" s="696">
        <v>3.9714875000000105</v>
      </c>
      <c r="E36" s="695">
        <v>2.7075397499999965</v>
      </c>
      <c r="F36" s="2">
        <v>0.86</v>
      </c>
      <c r="I36" s="82"/>
    </row>
    <row r="37" spans="1:9" x14ac:dyDescent="0.4">
      <c r="A37" s="2">
        <v>0.88</v>
      </c>
      <c r="B37" s="21">
        <v>0.88421755088421683</v>
      </c>
      <c r="C37" s="21">
        <v>3.1093287037037038</v>
      </c>
      <c r="D37" s="696">
        <v>4.0145000000000097</v>
      </c>
      <c r="E37" s="695">
        <v>2.6151322499999901</v>
      </c>
      <c r="F37" s="2">
        <v>0.88</v>
      </c>
      <c r="I37" s="91"/>
    </row>
    <row r="38" spans="1:9" x14ac:dyDescent="0.4">
      <c r="A38" s="2">
        <v>0.9</v>
      </c>
      <c r="B38" s="21">
        <v>0.90090090090090014</v>
      </c>
      <c r="C38" s="21">
        <v>3.1770216049382718</v>
      </c>
      <c r="D38" s="696">
        <v>4.0575125000000103</v>
      </c>
      <c r="E38" s="695">
        <v>2.5966507500000686</v>
      </c>
      <c r="F38" s="2">
        <v>0.9</v>
      </c>
      <c r="I38" s="91"/>
    </row>
    <row r="39" spans="1:9" x14ac:dyDescent="0.4">
      <c r="A39" s="2">
        <v>0.91</v>
      </c>
      <c r="B39" s="21">
        <v>0.91758425091758344</v>
      </c>
      <c r="C39" s="21">
        <v>3.2454475308641979</v>
      </c>
      <c r="D39" s="696">
        <v>4.1014500000000105</v>
      </c>
      <c r="E39" s="695">
        <v>2.6428544999999519</v>
      </c>
      <c r="F39" s="2">
        <v>0.91</v>
      </c>
      <c r="I39" s="91"/>
    </row>
    <row r="40" spans="1:9" x14ac:dyDescent="0.4">
      <c r="A40" s="2">
        <v>0.93</v>
      </c>
      <c r="B40" s="21">
        <v>0.93426760093426675</v>
      </c>
      <c r="C40" s="21">
        <v>3.3146296296296298</v>
      </c>
      <c r="D40" s="696">
        <v>4.1467750000000088</v>
      </c>
      <c r="E40" s="695">
        <v>2.7722249999999349</v>
      </c>
      <c r="F40" s="2">
        <v>0.93</v>
      </c>
      <c r="I40" s="91"/>
    </row>
    <row r="41" spans="1:9" x14ac:dyDescent="0.4">
      <c r="A41" s="2">
        <v>0.95</v>
      </c>
      <c r="B41" s="21">
        <v>0.95095095095095006</v>
      </c>
      <c r="C41" s="21">
        <v>3.3846373456790126</v>
      </c>
      <c r="D41" s="696">
        <v>4.1962625000000067</v>
      </c>
      <c r="E41" s="695">
        <v>3.0309659999999004</v>
      </c>
      <c r="F41" s="2">
        <v>0.95</v>
      </c>
      <c r="I41" s="91"/>
    </row>
    <row r="42" spans="1:9" x14ac:dyDescent="0.4">
      <c r="A42" s="2">
        <v>0.96</v>
      </c>
      <c r="B42" s="21">
        <v>0.96763430096763337</v>
      </c>
      <c r="C42" s="21">
        <v>3.4555941358024693</v>
      </c>
      <c r="D42" s="696">
        <v>4.2531500000000051</v>
      </c>
      <c r="E42" s="695">
        <v>3.4098367499999145</v>
      </c>
      <c r="F42" s="2">
        <v>0.96</v>
      </c>
      <c r="I42" s="82"/>
    </row>
    <row r="43" spans="1:9" x14ac:dyDescent="0.4">
      <c r="A43" s="2">
        <v>0.98</v>
      </c>
      <c r="B43" s="21">
        <v>0.98431765098431667</v>
      </c>
      <c r="C43" s="21">
        <v>3.5276234567901237</v>
      </c>
      <c r="D43" s="696">
        <v>4.3174375000000031</v>
      </c>
      <c r="E43" s="695">
        <v>3.7887074999998753</v>
      </c>
      <c r="F43" s="2">
        <v>0.98</v>
      </c>
    </row>
    <row r="44" spans="1:9" x14ac:dyDescent="0.4">
      <c r="A44" s="2">
        <v>1</v>
      </c>
      <c r="B44" s="21">
        <v>1.001001001001</v>
      </c>
      <c r="C44" s="21">
        <v>3.6007947530864199</v>
      </c>
      <c r="D44" s="696">
        <v>4.3858874999999999</v>
      </c>
      <c r="E44" s="695">
        <v>4.0197262499998256</v>
      </c>
      <c r="F44" s="2">
        <v>1</v>
      </c>
    </row>
    <row r="45" spans="1:9" x14ac:dyDescent="0.4">
      <c r="A45" s="2">
        <v>1.01</v>
      </c>
      <c r="B45" s="21">
        <v>1.0176843510176834</v>
      </c>
      <c r="C45" s="21">
        <v>3.6751080246913586</v>
      </c>
      <c r="D45" s="696">
        <v>4.4543374999999958</v>
      </c>
      <c r="E45" s="695">
        <v>4.0289669999997324</v>
      </c>
      <c r="F45" s="2">
        <v>1.01</v>
      </c>
    </row>
    <row r="46" spans="1:9" x14ac:dyDescent="0.4">
      <c r="A46" s="2">
        <v>1.03</v>
      </c>
      <c r="B46" s="21">
        <v>1.0343677010343668</v>
      </c>
      <c r="C46" s="21">
        <v>3.7505015432098774</v>
      </c>
      <c r="D46" s="696">
        <v>4.5190874999999915</v>
      </c>
      <c r="E46" s="695">
        <v>3.7887074999997434</v>
      </c>
      <c r="F46" s="2">
        <v>1.03</v>
      </c>
    </row>
    <row r="47" spans="1:9" x14ac:dyDescent="0.4">
      <c r="A47" s="2">
        <v>1.05</v>
      </c>
      <c r="B47" s="21">
        <v>1.0510510510510502</v>
      </c>
      <c r="C47" s="21">
        <v>3.8268364197530875</v>
      </c>
      <c r="D47" s="696">
        <v>4.5755124999999879</v>
      </c>
      <c r="E47" s="695">
        <v>3.3174292499997526</v>
      </c>
      <c r="F47" s="2">
        <v>1.05</v>
      </c>
    </row>
    <row r="48" spans="1:9" x14ac:dyDescent="0.4">
      <c r="A48" s="2">
        <v>1.06</v>
      </c>
      <c r="B48" s="21">
        <v>1.0677344010677337</v>
      </c>
      <c r="C48" s="21">
        <v>3.9039197530864209</v>
      </c>
      <c r="D48" s="696">
        <v>4.620374999999985</v>
      </c>
      <c r="E48" s="695">
        <v>2.6982989999998583</v>
      </c>
      <c r="F48" s="2">
        <v>1.06</v>
      </c>
    </row>
    <row r="49" spans="1:6" x14ac:dyDescent="0.4">
      <c r="A49" s="2">
        <v>1.08</v>
      </c>
      <c r="B49" s="21">
        <v>1.0844177510844171</v>
      </c>
      <c r="C49" s="21">
        <v>3.9815663580246925</v>
      </c>
      <c r="D49" s="696">
        <v>4.6541374999999823</v>
      </c>
      <c r="E49" s="695">
        <v>2.0791687499998042</v>
      </c>
      <c r="F49" s="2">
        <v>1.08</v>
      </c>
    </row>
    <row r="50" spans="1:6" x14ac:dyDescent="0.4">
      <c r="A50" s="2">
        <v>1.1000000000000001</v>
      </c>
      <c r="B50" s="21">
        <v>1.1011011011011005</v>
      </c>
      <c r="C50" s="21">
        <v>4.0596373456790138</v>
      </c>
      <c r="D50" s="696">
        <v>4.6795749999999794</v>
      </c>
      <c r="E50" s="695">
        <v>1.5709274999998639</v>
      </c>
      <c r="F50" s="2">
        <v>1.1000000000000001</v>
      </c>
    </row>
    <row r="51" spans="1:6" x14ac:dyDescent="0.4">
      <c r="A51" s="2">
        <v>1.1100000000000001</v>
      </c>
      <c r="B51" s="21">
        <v>1.1177844511177839</v>
      </c>
      <c r="C51" s="21">
        <v>4.1380324074074091</v>
      </c>
      <c r="D51" s="696">
        <v>4.6989999999999794</v>
      </c>
      <c r="E51" s="695">
        <v>1.1735752499999308</v>
      </c>
      <c r="F51" s="2">
        <v>1.1100000000000001</v>
      </c>
    </row>
    <row r="52" spans="1:6" x14ac:dyDescent="0.4">
      <c r="A52" s="2">
        <v>1.1299999999999999</v>
      </c>
      <c r="B52" s="21">
        <v>1.1344678011344673</v>
      </c>
      <c r="C52" s="21">
        <v>4.216658950617286</v>
      </c>
      <c r="D52" s="696">
        <v>4.7128749999999791</v>
      </c>
      <c r="E52" s="695">
        <v>0.84090825000001546</v>
      </c>
      <c r="F52" s="2">
        <v>1.1299999999999999</v>
      </c>
    </row>
    <row r="53" spans="1:6" x14ac:dyDescent="0.4">
      <c r="A53" s="2">
        <v>1.1499999999999999</v>
      </c>
      <c r="B53" s="21">
        <v>1.1511511511511507</v>
      </c>
      <c r="C53" s="21">
        <v>4.295432098765434</v>
      </c>
      <c r="D53" s="696">
        <v>4.7216624999999794</v>
      </c>
      <c r="E53" s="695">
        <v>0.53596349999995541</v>
      </c>
      <c r="F53" s="2">
        <v>1.1499999999999999</v>
      </c>
    </row>
    <row r="54" spans="1:6" x14ac:dyDescent="0.4">
      <c r="A54" s="2">
        <v>1.1599999999999999</v>
      </c>
      <c r="B54" s="21">
        <v>1.1678345011678342</v>
      </c>
      <c r="C54" s="21">
        <v>4.3742746913580266</v>
      </c>
      <c r="D54" s="696">
        <v>4.7258249999999791</v>
      </c>
      <c r="E54" s="695">
        <v>0.27722250000004489</v>
      </c>
      <c r="F54" s="2">
        <v>1.1599999999999999</v>
      </c>
    </row>
    <row r="55" spans="1:6" x14ac:dyDescent="0.4">
      <c r="A55" s="2">
        <v>1.18</v>
      </c>
      <c r="B55" s="21">
        <v>1.1845178511845176</v>
      </c>
      <c r="C55" s="21">
        <v>4.4531327160493843</v>
      </c>
      <c r="D55" s="696">
        <v>4.7267499999999805</v>
      </c>
      <c r="E55" s="695">
        <v>0.10164825000007324</v>
      </c>
      <c r="F55" s="2">
        <v>1.18</v>
      </c>
    </row>
    <row r="56" spans="1:6" x14ac:dyDescent="0.4">
      <c r="A56" s="2">
        <v>1.2</v>
      </c>
      <c r="B56" s="21">
        <v>1.201201201201201</v>
      </c>
      <c r="C56" s="21">
        <v>4.531990740740742</v>
      </c>
      <c r="D56" s="696">
        <v>4.7267499999999805</v>
      </c>
      <c r="E56" s="695">
        <v>3.6962999999949196E-2</v>
      </c>
      <c r="F56" s="2">
        <v>1.2</v>
      </c>
    </row>
    <row r="57" spans="1:6" x14ac:dyDescent="0.4">
      <c r="A57" s="2">
        <v>1.21</v>
      </c>
      <c r="B57" s="21">
        <v>1.2178845512178844</v>
      </c>
      <c r="C57" s="21">
        <v>4.6108641975308657</v>
      </c>
      <c r="D57" s="696">
        <v>4.7276749999999801</v>
      </c>
      <c r="E57" s="695">
        <v>6.4685250000017569E-2</v>
      </c>
      <c r="F57" s="2">
        <v>1.21</v>
      </c>
    </row>
    <row r="58" spans="1:6" x14ac:dyDescent="0.4">
      <c r="A58" s="2">
        <v>1.23</v>
      </c>
      <c r="B58" s="21">
        <v>1.2345679012345678</v>
      </c>
      <c r="C58" s="21">
        <v>4.689776234567903</v>
      </c>
      <c r="D58" s="696">
        <v>4.7299874999999796</v>
      </c>
      <c r="E58" s="695">
        <v>0.13861124999996918</v>
      </c>
      <c r="F58" s="2">
        <v>1.23</v>
      </c>
    </row>
    <row r="59" spans="1:6" x14ac:dyDescent="0.4">
      <c r="A59" s="2">
        <v>1.25</v>
      </c>
      <c r="B59" s="21">
        <v>1.2512512512512513</v>
      </c>
      <c r="C59" s="21">
        <v>4.7687500000000016</v>
      </c>
      <c r="D59" s="696">
        <v>4.7336874999999798</v>
      </c>
      <c r="E59" s="695">
        <v>0.26798175000000435</v>
      </c>
      <c r="F59" s="2">
        <v>1.25</v>
      </c>
    </row>
    <row r="60" spans="1:6" x14ac:dyDescent="0.4">
      <c r="A60" s="2">
        <v>1.26</v>
      </c>
      <c r="B60" s="21">
        <v>1.2679346012679347</v>
      </c>
      <c r="C60" s="21">
        <v>4.8478472222222235</v>
      </c>
      <c r="D60" s="696">
        <v>4.7410874999999804</v>
      </c>
      <c r="E60" s="695">
        <v>0.47127825000004431</v>
      </c>
      <c r="F60" s="2">
        <v>1.26</v>
      </c>
    </row>
    <row r="61" spans="1:6" x14ac:dyDescent="0.4">
      <c r="A61" s="2">
        <v>1.28</v>
      </c>
      <c r="B61" s="21">
        <v>1.2846179512846181</v>
      </c>
      <c r="C61" s="21">
        <v>4.9271527777777795</v>
      </c>
      <c r="D61" s="696">
        <v>4.753574999999981</v>
      </c>
      <c r="E61" s="695">
        <v>0.6930562500000057</v>
      </c>
      <c r="F61" s="2">
        <v>1.28</v>
      </c>
    </row>
    <row r="62" spans="1:6" x14ac:dyDescent="0.4">
      <c r="A62" s="2">
        <v>1.3</v>
      </c>
      <c r="B62" s="21">
        <v>1.3013013013013015</v>
      </c>
      <c r="C62" s="21">
        <v>5.0067052469135822</v>
      </c>
      <c r="D62" s="696">
        <v>4.7683749999999812</v>
      </c>
      <c r="E62" s="695">
        <v>0.80394525000001293</v>
      </c>
      <c r="F62" s="2">
        <v>1.3</v>
      </c>
    </row>
    <row r="63" spans="1:6" x14ac:dyDescent="0.4">
      <c r="A63" s="2">
        <v>1.31</v>
      </c>
      <c r="B63" s="21">
        <v>1.3179846513179849</v>
      </c>
      <c r="C63" s="21">
        <v>5.0864737654321006</v>
      </c>
      <c r="D63" s="696">
        <v>4.7813249999999821</v>
      </c>
      <c r="E63" s="695">
        <v>0.77622300000005107</v>
      </c>
      <c r="F63" s="2">
        <v>1.31</v>
      </c>
    </row>
    <row r="64" spans="1:6" x14ac:dyDescent="0.4">
      <c r="A64" s="2">
        <v>1.33</v>
      </c>
      <c r="B64" s="21">
        <v>1.3346680013346683</v>
      </c>
      <c r="C64" s="21">
        <v>5.1664274691358045</v>
      </c>
      <c r="D64" s="696">
        <v>4.7924249999999828</v>
      </c>
      <c r="E64" s="695">
        <v>0.73001925000000811</v>
      </c>
      <c r="F64" s="2">
        <v>1.33</v>
      </c>
    </row>
    <row r="65" spans="1:6" x14ac:dyDescent="0.4">
      <c r="A65" s="2">
        <v>1.35</v>
      </c>
      <c r="B65" s="21">
        <v>1.3513513513513518</v>
      </c>
      <c r="C65" s="21">
        <v>5.2465895061728416</v>
      </c>
      <c r="D65" s="696">
        <v>4.8049124999999826</v>
      </c>
      <c r="E65" s="695">
        <v>0.75774150000002327</v>
      </c>
      <c r="F65" s="2">
        <v>1.35</v>
      </c>
    </row>
    <row r="66" spans="1:6" x14ac:dyDescent="0.4">
      <c r="A66" s="2">
        <v>1.36</v>
      </c>
      <c r="B66" s="21">
        <v>1.3680347013680352</v>
      </c>
      <c r="C66" s="21">
        <v>5.3269907407407429</v>
      </c>
      <c r="D66" s="696">
        <v>4.8192499999999816</v>
      </c>
      <c r="E66" s="695">
        <v>0.81318599999994701</v>
      </c>
      <c r="F66" s="2">
        <v>1.36</v>
      </c>
    </row>
    <row r="67" spans="1:6" x14ac:dyDescent="0.4">
      <c r="A67" s="2">
        <v>1.38</v>
      </c>
      <c r="B67" s="21">
        <v>1.3847180513847186</v>
      </c>
      <c r="C67" s="21">
        <v>5.4076234567901258</v>
      </c>
      <c r="D67" s="696">
        <v>4.8331249999999804</v>
      </c>
      <c r="E67" s="695">
        <v>0.83166749999992162</v>
      </c>
      <c r="F67" s="2">
        <v>1.38</v>
      </c>
    </row>
    <row r="68" spans="1:6" x14ac:dyDescent="0.4">
      <c r="A68" s="2">
        <v>1.4</v>
      </c>
      <c r="B68" s="21">
        <v>1.401401401401402</v>
      </c>
      <c r="C68" s="21">
        <v>5.488479938271607</v>
      </c>
      <c r="D68" s="696">
        <v>4.8465374999999788</v>
      </c>
      <c r="E68" s="695">
        <v>0.86863049999997732</v>
      </c>
      <c r="F68" s="2">
        <v>1.4</v>
      </c>
    </row>
    <row r="69" spans="1:6" x14ac:dyDescent="0.4">
      <c r="A69" s="2">
        <v>1.41</v>
      </c>
      <c r="B69" s="21">
        <v>1.4180847514180854</v>
      </c>
      <c r="C69" s="21">
        <v>5.5696064814814834</v>
      </c>
      <c r="D69" s="696">
        <v>4.8627249999999789</v>
      </c>
      <c r="E69" s="695">
        <v>0.99800099999990599</v>
      </c>
      <c r="F69" s="2">
        <v>1.41</v>
      </c>
    </row>
    <row r="70" spans="1:6" x14ac:dyDescent="0.4">
      <c r="A70" s="2">
        <v>1.43</v>
      </c>
      <c r="B70" s="21">
        <v>1.4347681014347688</v>
      </c>
      <c r="C70" s="21">
        <v>5.6510725308641998</v>
      </c>
      <c r="D70" s="696">
        <v>4.8830749999999776</v>
      </c>
      <c r="E70" s="695">
        <v>1.1828159999999714</v>
      </c>
      <c r="F70" s="2">
        <v>1.43</v>
      </c>
    </row>
    <row r="71" spans="1:6" x14ac:dyDescent="0.4">
      <c r="A71" s="2">
        <v>1.45</v>
      </c>
      <c r="B71" s="21">
        <v>1.4514514514514523</v>
      </c>
      <c r="C71" s="21">
        <v>5.7329166666666689</v>
      </c>
      <c r="D71" s="696">
        <v>4.9057374999999785</v>
      </c>
      <c r="E71" s="695">
        <v>1.2937049999999255</v>
      </c>
      <c r="F71" s="2">
        <v>1.45</v>
      </c>
    </row>
    <row r="72" spans="1:6" x14ac:dyDescent="0.4">
      <c r="A72" s="2">
        <v>1.46</v>
      </c>
      <c r="B72" s="21">
        <v>1.4681348014681357</v>
      </c>
      <c r="C72" s="21">
        <v>5.8151234567901255</v>
      </c>
      <c r="D72" s="696">
        <v>4.9274749999999772</v>
      </c>
      <c r="E72" s="695">
        <v>1.2567420000000826</v>
      </c>
      <c r="F72" s="2">
        <v>1.46</v>
      </c>
    </row>
    <row r="73" spans="1:6" x14ac:dyDescent="0.4">
      <c r="A73" s="2">
        <v>1.48</v>
      </c>
      <c r="B73" s="21">
        <v>1.4848181514848191</v>
      </c>
      <c r="C73" s="21">
        <v>5.8976388888888911</v>
      </c>
      <c r="D73" s="696">
        <v>4.9459749999999785</v>
      </c>
      <c r="E73" s="695">
        <v>1.099649249999926</v>
      </c>
      <c r="F73" s="2">
        <v>1.48</v>
      </c>
    </row>
    <row r="74" spans="1:6" x14ac:dyDescent="0.4">
      <c r="A74" s="2">
        <v>1.5</v>
      </c>
      <c r="B74" s="21">
        <v>1.5015015015015025</v>
      </c>
      <c r="C74" s="21">
        <v>5.9804012345679034</v>
      </c>
      <c r="D74" s="696">
        <v>4.9607749999999777</v>
      </c>
      <c r="E74" s="695">
        <v>0.92407500000000764</v>
      </c>
      <c r="F74" s="2">
        <v>1.5</v>
      </c>
    </row>
    <row r="75" spans="1:6" x14ac:dyDescent="0.4">
      <c r="A75" s="2">
        <v>1.51</v>
      </c>
      <c r="B75" s="21">
        <v>1.5181848515181859</v>
      </c>
      <c r="C75" s="21">
        <v>6.0633796296296314</v>
      </c>
      <c r="D75" s="696">
        <v>4.9737249999999777</v>
      </c>
      <c r="E75" s="695">
        <v>0.85014900000000271</v>
      </c>
      <c r="F75" s="2">
        <v>1.51</v>
      </c>
    </row>
    <row r="76" spans="1:6" x14ac:dyDescent="0.4">
      <c r="A76" s="2">
        <v>1.53</v>
      </c>
      <c r="B76" s="21">
        <v>1.5348682015348694</v>
      </c>
      <c r="C76" s="21">
        <v>6.146604938271607</v>
      </c>
      <c r="D76" s="696">
        <v>4.9885249999999779</v>
      </c>
      <c r="E76" s="695">
        <v>0.93331574999999489</v>
      </c>
      <c r="F76" s="2">
        <v>1.53</v>
      </c>
    </row>
    <row r="77" spans="1:6" x14ac:dyDescent="0.4">
      <c r="A77" s="2">
        <v>1.55</v>
      </c>
      <c r="B77" s="21">
        <v>1.5515515515515528</v>
      </c>
      <c r="C77" s="21">
        <v>6.2301466049382741</v>
      </c>
      <c r="D77" s="696">
        <v>5.0074874999999786</v>
      </c>
      <c r="E77" s="695">
        <v>1.16433450000005</v>
      </c>
      <c r="F77" s="2">
        <v>1.55</v>
      </c>
    </row>
    <row r="78" spans="1:6" x14ac:dyDescent="0.4">
      <c r="A78" s="2">
        <v>1.56</v>
      </c>
      <c r="B78" s="21">
        <v>1.5682349015682362</v>
      </c>
      <c r="C78" s="21">
        <v>6.3140972222222249</v>
      </c>
      <c r="D78" s="696">
        <v>5.0319999999999796</v>
      </c>
      <c r="E78" s="695">
        <v>1.5247237500000339</v>
      </c>
      <c r="F78" s="2">
        <v>1.56</v>
      </c>
    </row>
    <row r="79" spans="1:6" x14ac:dyDescent="0.4">
      <c r="A79" s="2">
        <v>1.58</v>
      </c>
      <c r="B79" s="21">
        <v>1.5849182515849196</v>
      </c>
      <c r="C79" s="21">
        <v>6.3985956790123488</v>
      </c>
      <c r="D79" s="696">
        <v>5.0648374999999799</v>
      </c>
      <c r="E79" s="695">
        <v>1.9960020000000249</v>
      </c>
      <c r="F79" s="2">
        <v>1.58</v>
      </c>
    </row>
    <row r="80" spans="1:6" x14ac:dyDescent="0.4">
      <c r="A80" s="2">
        <v>1.6</v>
      </c>
      <c r="B80" s="21">
        <v>1.601601601601603</v>
      </c>
      <c r="C80" s="21">
        <v>6.4838040123456819</v>
      </c>
      <c r="D80" s="696">
        <v>5.1073874999999802</v>
      </c>
      <c r="E80" s="695">
        <v>2.4672802500000159</v>
      </c>
      <c r="F80" s="2">
        <v>1.6</v>
      </c>
    </row>
    <row r="81" spans="1:6" x14ac:dyDescent="0.4">
      <c r="A81" s="2">
        <v>1.61</v>
      </c>
      <c r="B81" s="21">
        <v>1.6182849516182864</v>
      </c>
      <c r="C81" s="21">
        <v>6.5698148148148174</v>
      </c>
      <c r="D81" s="696">
        <v>5.1554874999999809</v>
      </c>
      <c r="E81" s="695">
        <v>2.7352619999999672</v>
      </c>
      <c r="F81" s="2">
        <v>1.61</v>
      </c>
    </row>
    <row r="82" spans="1:6" x14ac:dyDescent="0.4">
      <c r="A82" s="2">
        <v>1.63</v>
      </c>
      <c r="B82" s="21">
        <v>1.6349683016349699</v>
      </c>
      <c r="C82" s="21">
        <v>6.6565972222222252</v>
      </c>
      <c r="D82" s="696">
        <v>5.2017374999999797</v>
      </c>
      <c r="E82" s="695">
        <v>2.6982990000000178</v>
      </c>
      <c r="F82" s="2">
        <v>1.63</v>
      </c>
    </row>
    <row r="83" spans="1:6" x14ac:dyDescent="0.4">
      <c r="A83" s="2">
        <v>1.65</v>
      </c>
      <c r="B83" s="21">
        <v>1.6516516516516533</v>
      </c>
      <c r="C83" s="21">
        <v>6.7440586419753119</v>
      </c>
      <c r="D83" s="696">
        <v>5.2424374999999799</v>
      </c>
      <c r="E83" s="695">
        <v>2.4857617499998841</v>
      </c>
      <c r="F83" s="2">
        <v>1.65</v>
      </c>
    </row>
    <row r="84" spans="1:6" x14ac:dyDescent="0.4">
      <c r="A84" s="2">
        <v>1.66</v>
      </c>
      <c r="B84" s="21">
        <v>1.6683350016683367</v>
      </c>
      <c r="C84" s="21">
        <v>6.8321450617283981</v>
      </c>
      <c r="D84" s="696">
        <v>5.2798999999999774</v>
      </c>
      <c r="E84" s="695">
        <v>2.2917059999999378</v>
      </c>
      <c r="F84" s="2">
        <v>1.66</v>
      </c>
    </row>
    <row r="85" spans="1:6" x14ac:dyDescent="0.4">
      <c r="A85" s="2">
        <v>1.68</v>
      </c>
      <c r="B85" s="21">
        <v>1.6850183516850201</v>
      </c>
      <c r="C85" s="21">
        <v>6.9208410493827195</v>
      </c>
      <c r="D85" s="696">
        <v>5.3164374999999771</v>
      </c>
      <c r="E85" s="695">
        <v>2.1992984999999585</v>
      </c>
      <c r="F85" s="2">
        <v>1.68</v>
      </c>
    </row>
    <row r="86" spans="1:6" x14ac:dyDescent="0.4">
      <c r="A86" s="2">
        <v>1.7</v>
      </c>
      <c r="B86" s="21">
        <v>1.7017017017017035</v>
      </c>
      <c r="C86" s="21">
        <v>7.0101388888888927</v>
      </c>
      <c r="D86" s="696">
        <v>5.3525124999999774</v>
      </c>
      <c r="E86" s="695">
        <v>2.1715762499999967</v>
      </c>
      <c r="F86" s="2">
        <v>1.7</v>
      </c>
    </row>
    <row r="87" spans="1:6" x14ac:dyDescent="0.4">
      <c r="A87" s="2">
        <v>1.71</v>
      </c>
      <c r="B87" s="21">
        <v>1.718385051718387</v>
      </c>
      <c r="C87" s="21">
        <v>7.1000385802469177</v>
      </c>
      <c r="D87" s="696">
        <v>5.3885874999999759</v>
      </c>
      <c r="E87" s="695">
        <v>2.1808169999999838</v>
      </c>
      <c r="F87" s="2">
        <v>1.71</v>
      </c>
    </row>
    <row r="88" spans="1:6" x14ac:dyDescent="0.4">
      <c r="A88" s="2">
        <v>1.73</v>
      </c>
      <c r="B88" s="21">
        <v>1.7350684017350704</v>
      </c>
      <c r="C88" s="21">
        <v>7.1905555555555596</v>
      </c>
      <c r="D88" s="696">
        <v>5.4255874999999776</v>
      </c>
      <c r="E88" s="695">
        <v>2.2362614999999608</v>
      </c>
      <c r="F88" s="2">
        <v>1.73</v>
      </c>
    </row>
    <row r="89" spans="1:6" x14ac:dyDescent="0.4">
      <c r="A89" s="2">
        <v>1.75</v>
      </c>
      <c r="B89" s="21">
        <v>1.7517517517517538</v>
      </c>
      <c r="C89" s="21">
        <v>7.2817206790123494</v>
      </c>
      <c r="D89" s="696">
        <v>5.4644374999999785</v>
      </c>
      <c r="E89" s="695">
        <v>2.3009467500000849</v>
      </c>
      <c r="F89" s="2">
        <v>1.75</v>
      </c>
    </row>
    <row r="90" spans="1:6" x14ac:dyDescent="0.4">
      <c r="A90" s="2">
        <v>1.76</v>
      </c>
      <c r="B90" s="21">
        <v>1.7684351017684372</v>
      </c>
      <c r="C90" s="21">
        <v>7.3735416666666707</v>
      </c>
      <c r="D90" s="696">
        <v>5.5037499999999797</v>
      </c>
      <c r="E90" s="695">
        <v>2.3009467500000316</v>
      </c>
      <c r="F90" s="2">
        <v>1.76</v>
      </c>
    </row>
    <row r="91" spans="1:6" x14ac:dyDescent="0.4">
      <c r="A91" s="2">
        <v>1.78</v>
      </c>
      <c r="B91" s="21">
        <v>1.7851184517851206</v>
      </c>
      <c r="C91" s="21">
        <v>7.4659799382716088</v>
      </c>
      <c r="D91" s="696">
        <v>5.5407499999999805</v>
      </c>
      <c r="E91" s="695">
        <v>2.1438540000000348</v>
      </c>
      <c r="F91" s="2">
        <v>1.78</v>
      </c>
    </row>
    <row r="92" spans="1:6" x14ac:dyDescent="0.4">
      <c r="A92" s="2">
        <v>1.8</v>
      </c>
      <c r="B92" s="21">
        <v>1.801801801801804</v>
      </c>
      <c r="C92" s="21">
        <v>7.5589351851851889</v>
      </c>
      <c r="D92" s="696">
        <v>5.5717374999999798</v>
      </c>
      <c r="E92" s="695">
        <v>1.8296684999999873</v>
      </c>
      <c r="F92" s="2">
        <v>1.8</v>
      </c>
    </row>
    <row r="93" spans="1:6" x14ac:dyDescent="0.4">
      <c r="A93" s="2">
        <v>1.81</v>
      </c>
      <c r="B93" s="21">
        <v>1.8184851518184875</v>
      </c>
      <c r="C93" s="21">
        <v>7.6522839506172877</v>
      </c>
      <c r="D93" s="696">
        <v>5.5953249999999786</v>
      </c>
      <c r="E93" s="695">
        <v>1.4600384999999099</v>
      </c>
      <c r="F93" s="2">
        <v>1.81</v>
      </c>
    </row>
    <row r="94" spans="1:6" x14ac:dyDescent="0.4">
      <c r="A94" s="2">
        <v>1.83</v>
      </c>
      <c r="B94" s="21">
        <v>1.8351685018351709</v>
      </c>
      <c r="C94" s="21">
        <v>7.7459413580246954</v>
      </c>
      <c r="D94" s="696">
        <v>5.6138249999999772</v>
      </c>
      <c r="E94" s="695">
        <v>1.1273714999999411</v>
      </c>
      <c r="F94" s="2">
        <v>1.83</v>
      </c>
    </row>
    <row r="95" spans="1:6" x14ac:dyDescent="0.4">
      <c r="A95" s="2">
        <v>1.85</v>
      </c>
      <c r="B95" s="21">
        <v>1.8518518518518543</v>
      </c>
      <c r="C95" s="21">
        <v>7.8398379629629673</v>
      </c>
      <c r="D95" s="696">
        <v>5.6281624999999762</v>
      </c>
      <c r="E95" s="695">
        <v>0.7947044999999725</v>
      </c>
      <c r="F95" s="2">
        <v>1.85</v>
      </c>
    </row>
    <row r="96" spans="1:6" x14ac:dyDescent="0.4">
      <c r="A96" s="2">
        <v>1.86</v>
      </c>
      <c r="B96" s="21">
        <v>1.8685352018685377</v>
      </c>
      <c r="C96" s="21">
        <v>7.93385030864198</v>
      </c>
      <c r="D96" s="696">
        <v>5.6350999999999756</v>
      </c>
      <c r="E96" s="695">
        <v>0.33266699999996868</v>
      </c>
      <c r="F96" s="2">
        <v>1.86</v>
      </c>
    </row>
    <row r="97" spans="1:6" x14ac:dyDescent="0.4">
      <c r="A97" s="2">
        <v>1.88</v>
      </c>
      <c r="B97" s="21">
        <v>1.8852185518852211</v>
      </c>
      <c r="C97" s="21">
        <v>8.0277854938271656</v>
      </c>
      <c r="D97" s="696">
        <v>5.6304749999999766</v>
      </c>
      <c r="E97" s="695">
        <v>-0.26798174999995111</v>
      </c>
      <c r="F97" s="2">
        <v>1.88</v>
      </c>
    </row>
    <row r="98" spans="1:6" x14ac:dyDescent="0.4">
      <c r="A98" s="2">
        <v>1.9</v>
      </c>
      <c r="B98" s="21">
        <v>1.9019019019019046</v>
      </c>
      <c r="C98" s="21">
        <v>8.1214583333333383</v>
      </c>
      <c r="D98" s="696">
        <v>5.6147499999999795</v>
      </c>
      <c r="E98" s="695">
        <v>-0.88711199999984547</v>
      </c>
      <c r="F98" s="2">
        <v>1.9</v>
      </c>
    </row>
    <row r="99" spans="1:6" x14ac:dyDescent="0.4">
      <c r="A99" s="2">
        <v>1.91</v>
      </c>
      <c r="B99" s="21">
        <v>1.918585251918588</v>
      </c>
      <c r="C99" s="21">
        <v>8.2147299382716099</v>
      </c>
      <c r="D99" s="696">
        <v>5.590699999999984</v>
      </c>
      <c r="E99" s="695">
        <v>-1.4507977499997629</v>
      </c>
      <c r="F99" s="2">
        <v>1.91</v>
      </c>
    </row>
    <row r="100" spans="1:6" x14ac:dyDescent="0.4">
      <c r="A100" s="2">
        <v>1.93</v>
      </c>
      <c r="B100" s="21">
        <v>1.9352686019352714</v>
      </c>
      <c r="C100" s="21">
        <v>8.3074537037037093</v>
      </c>
      <c r="D100" s="696">
        <v>5.5578624999999882</v>
      </c>
      <c r="E100" s="695">
        <v>-2.0144834999996801</v>
      </c>
      <c r="F100" s="2">
        <v>1.93</v>
      </c>
    </row>
    <row r="101" spans="1:6" x14ac:dyDescent="0.4">
      <c r="A101" s="2">
        <v>1.95</v>
      </c>
      <c r="B101" s="21">
        <v>1.9519519519519548</v>
      </c>
      <c r="C101" s="21">
        <v>8.39944444444445</v>
      </c>
      <c r="D101" s="696">
        <v>5.5139249999999933</v>
      </c>
      <c r="E101" s="695">
        <v>-2.6151322499997063</v>
      </c>
      <c r="F101" s="2">
        <v>1.95</v>
      </c>
    </row>
    <row r="102" spans="1:6" x14ac:dyDescent="0.4">
      <c r="A102" s="2">
        <v>1.96</v>
      </c>
      <c r="B102" s="21">
        <v>1.9686353019686382</v>
      </c>
      <c r="C102" s="21">
        <v>8.4905324074074127</v>
      </c>
      <c r="D102" s="696">
        <v>5.4598124999999991</v>
      </c>
      <c r="E102" s="695">
        <v>-3.1603364999996488</v>
      </c>
      <c r="F102" s="2">
        <v>1.96</v>
      </c>
    </row>
    <row r="103" spans="1:6" x14ac:dyDescent="0.4">
      <c r="A103" s="2">
        <v>1.98</v>
      </c>
      <c r="B103" s="21">
        <v>1.9853186519853216</v>
      </c>
      <c r="C103" s="21">
        <v>8.5806172839506232</v>
      </c>
      <c r="D103" s="696">
        <v>5.399687500000006</v>
      </c>
      <c r="E103" s="695">
        <v>-3.5669294999995693</v>
      </c>
      <c r="F103" s="2">
        <v>1.98</v>
      </c>
    </row>
    <row r="104" spans="1:6" x14ac:dyDescent="0.4">
      <c r="A104" s="2">
        <v>2</v>
      </c>
      <c r="B104" s="21">
        <v>2.0020020020020048</v>
      </c>
      <c r="C104" s="21">
        <v>8.6696296296296342</v>
      </c>
      <c r="D104" s="696">
        <v>5.3354000000000141</v>
      </c>
      <c r="E104" s="695">
        <v>-3.9088372499995239</v>
      </c>
      <c r="F104" s="2">
        <v>2</v>
      </c>
    </row>
    <row r="105" spans="1:6" x14ac:dyDescent="0.4">
      <c r="A105" s="2">
        <v>2.0099999999999998</v>
      </c>
      <c r="B105" s="21">
        <v>2.018685352018688</v>
      </c>
      <c r="C105" s="21">
        <v>8.7574537037037086</v>
      </c>
      <c r="D105" s="696">
        <v>5.264175000000022</v>
      </c>
      <c r="E105" s="695">
        <v>-4.3339117499995314</v>
      </c>
      <c r="F105" s="2">
        <v>2.0099999999999998</v>
      </c>
    </row>
    <row r="106" spans="1:6" x14ac:dyDescent="0.4">
      <c r="A106" s="2">
        <v>2.0299999999999998</v>
      </c>
      <c r="B106" s="21">
        <v>2.0353687020353712</v>
      </c>
      <c r="C106" s="21">
        <v>8.8439197530864249</v>
      </c>
      <c r="D106" s="696">
        <v>5.1827750000000306</v>
      </c>
      <c r="E106" s="695">
        <v>-4.879115999999641</v>
      </c>
      <c r="F106" s="2">
        <v>2.0299999999999998</v>
      </c>
    </row>
    <row r="107" spans="1:6" x14ac:dyDescent="0.4">
      <c r="A107" s="2">
        <v>2.0499999999999998</v>
      </c>
      <c r="B107" s="21">
        <v>2.0520520520520544</v>
      </c>
      <c r="C107" s="21">
        <v>8.9288580246913636</v>
      </c>
      <c r="D107" s="696">
        <v>5.091200000000037</v>
      </c>
      <c r="E107" s="695">
        <v>-5.4520424999996591</v>
      </c>
      <c r="F107" s="2">
        <v>2.0499999999999998</v>
      </c>
    </row>
    <row r="108" spans="1:6" x14ac:dyDescent="0.4">
      <c r="A108" s="2">
        <v>2.06</v>
      </c>
      <c r="B108" s="21">
        <v>2.0687354020687376</v>
      </c>
      <c r="C108" s="21">
        <v>9.0121296296296354</v>
      </c>
      <c r="D108" s="696">
        <v>4.9913000000000425</v>
      </c>
      <c r="E108" s="695">
        <v>-5.978765249999741</v>
      </c>
      <c r="F108" s="2">
        <v>2.06</v>
      </c>
    </row>
    <row r="109" spans="1:6" x14ac:dyDescent="0.4">
      <c r="A109" s="2">
        <v>2.08</v>
      </c>
      <c r="B109" s="21">
        <v>2.0854187520854208</v>
      </c>
      <c r="C109" s="21">
        <v>9.0936033950617343</v>
      </c>
      <c r="D109" s="696">
        <v>4.8835375000000454</v>
      </c>
      <c r="E109" s="695">
        <v>-6.4777657499999135</v>
      </c>
      <c r="F109" s="2">
        <v>2.08</v>
      </c>
    </row>
    <row r="110" spans="1:6" x14ac:dyDescent="0.4">
      <c r="A110" s="2">
        <v>2.1</v>
      </c>
      <c r="B110" s="21">
        <v>2.102102102102104</v>
      </c>
      <c r="C110" s="21">
        <v>9.1731327160493894</v>
      </c>
      <c r="D110" s="696">
        <v>4.7669875000000461</v>
      </c>
      <c r="E110" s="695">
        <v>-6.9767662499999794</v>
      </c>
      <c r="F110" s="2">
        <v>2.1</v>
      </c>
    </row>
    <row r="111" spans="1:6" x14ac:dyDescent="0.4">
      <c r="A111" s="2">
        <v>2.11</v>
      </c>
      <c r="B111" s="21">
        <v>2.1187854521187872</v>
      </c>
      <c r="C111" s="21">
        <v>9.2505787037037113</v>
      </c>
      <c r="D111" s="696">
        <v>4.6421125000000458</v>
      </c>
      <c r="E111" s="695">
        <v>-7.4388037500000426</v>
      </c>
      <c r="F111" s="2">
        <v>2.11</v>
      </c>
    </row>
    <row r="112" spans="1:6" x14ac:dyDescent="0.4">
      <c r="A112" s="2">
        <v>2.13</v>
      </c>
      <c r="B112" s="21">
        <v>2.1354688021354704</v>
      </c>
      <c r="C112" s="21">
        <v>9.3258410493827242</v>
      </c>
      <c r="D112" s="696">
        <v>4.5112250000000449</v>
      </c>
      <c r="E112" s="695">
        <v>-7.8176745000001659</v>
      </c>
      <c r="F112" s="2">
        <v>2.13</v>
      </c>
    </row>
    <row r="113" spans="1:6" x14ac:dyDescent="0.4">
      <c r="A113" s="2">
        <v>2.15</v>
      </c>
      <c r="B113" s="21">
        <v>2.1521521521521536</v>
      </c>
      <c r="C113" s="21">
        <v>9.3988425925926009</v>
      </c>
      <c r="D113" s="696">
        <v>4.3757125000000423</v>
      </c>
      <c r="E113" s="695">
        <v>-8.1318600000002181</v>
      </c>
      <c r="F113" s="2">
        <v>2.15</v>
      </c>
    </row>
    <row r="114" spans="1:6" x14ac:dyDescent="0.4">
      <c r="A114" s="2">
        <v>2.16</v>
      </c>
      <c r="B114" s="21">
        <v>2.1688355021688368</v>
      </c>
      <c r="C114" s="21">
        <v>9.4694984567901326</v>
      </c>
      <c r="D114" s="696">
        <v>4.2351125000000396</v>
      </c>
      <c r="E114" s="695">
        <v>-8.4275640000002419</v>
      </c>
      <c r="F114" s="2">
        <v>2.16</v>
      </c>
    </row>
    <row r="115" spans="1:6" x14ac:dyDescent="0.4">
      <c r="A115" s="2">
        <v>2.1800000000000002</v>
      </c>
      <c r="B115" s="21">
        <v>2.18551885218552</v>
      </c>
      <c r="C115" s="21">
        <v>9.5377237654321085</v>
      </c>
      <c r="D115" s="696">
        <v>4.0894250000000367</v>
      </c>
      <c r="E115" s="695">
        <v>-8.6585827500001926</v>
      </c>
      <c r="F115" s="2">
        <v>2.1800000000000002</v>
      </c>
    </row>
    <row r="116" spans="1:6" x14ac:dyDescent="0.4">
      <c r="A116" s="2">
        <v>2.2000000000000002</v>
      </c>
      <c r="B116" s="21">
        <v>2.2022022022022032</v>
      </c>
      <c r="C116" s="21">
        <v>9.6034953703703803</v>
      </c>
      <c r="D116" s="696">
        <v>3.9423500000000349</v>
      </c>
      <c r="E116" s="695">
        <v>-8.6770642500002477</v>
      </c>
      <c r="F116" s="2">
        <v>2.2000000000000002</v>
      </c>
    </row>
    <row r="117" spans="1:6" x14ac:dyDescent="0.4">
      <c r="A117" s="2">
        <v>2.21</v>
      </c>
      <c r="B117" s="21">
        <v>2.2188855522188864</v>
      </c>
      <c r="C117" s="21">
        <v>9.6669058641975401</v>
      </c>
      <c r="D117" s="696">
        <v>3.8008250000000334</v>
      </c>
      <c r="E117" s="695">
        <v>-8.3351565000001546</v>
      </c>
      <c r="F117" s="2">
        <v>2.21</v>
      </c>
    </row>
    <row r="118" spans="1:6" x14ac:dyDescent="0.4">
      <c r="A118" s="2">
        <v>2.23</v>
      </c>
      <c r="B118" s="21">
        <v>2.2355689022355696</v>
      </c>
      <c r="C118" s="21">
        <v>9.7281712962963063</v>
      </c>
      <c r="D118" s="696">
        <v>3.6722500000000324</v>
      </c>
      <c r="E118" s="695">
        <v>-7.5774150000001201</v>
      </c>
      <c r="F118" s="2">
        <v>2.23</v>
      </c>
    </row>
    <row r="119" spans="1:6" x14ac:dyDescent="0.4">
      <c r="A119" s="2">
        <v>2.25</v>
      </c>
      <c r="B119" s="21">
        <v>2.2522522522522528</v>
      </c>
      <c r="C119" s="21">
        <v>9.7876157407407511</v>
      </c>
      <c r="D119" s="696">
        <v>3.5631000000000324</v>
      </c>
      <c r="E119" s="695">
        <v>-6.4685250000000591</v>
      </c>
      <c r="F119" s="2">
        <v>2.25</v>
      </c>
    </row>
    <row r="120" spans="1:6" x14ac:dyDescent="0.4">
      <c r="A120" s="2">
        <v>2.2599999999999998</v>
      </c>
      <c r="B120" s="21">
        <v>2.268935602268936</v>
      </c>
      <c r="C120" s="21">
        <v>9.8456250000000107</v>
      </c>
      <c r="D120" s="696">
        <v>3.4770750000000326</v>
      </c>
      <c r="E120" s="695">
        <v>-5.1470977500000483</v>
      </c>
      <c r="F120" s="2">
        <v>2.2599999999999998</v>
      </c>
    </row>
    <row r="121" spans="1:6" x14ac:dyDescent="0.4">
      <c r="A121" s="2">
        <v>2.2799999999999998</v>
      </c>
      <c r="B121" s="21">
        <v>2.2856189522856192</v>
      </c>
      <c r="C121" s="21">
        <v>9.9025925925926028</v>
      </c>
      <c r="D121" s="696">
        <v>3.414637500000032</v>
      </c>
      <c r="E121" s="695">
        <v>-3.8071890000000352</v>
      </c>
      <c r="F121" s="2">
        <v>2.2799999999999998</v>
      </c>
    </row>
    <row r="122" spans="1:6" x14ac:dyDescent="0.4">
      <c r="A122" s="2">
        <v>2.2999999999999998</v>
      </c>
      <c r="B122" s="21">
        <v>2.3023023023023024</v>
      </c>
      <c r="C122" s="21">
        <v>9.9588580246913683</v>
      </c>
      <c r="D122" s="696">
        <v>3.3725500000000319</v>
      </c>
      <c r="E122" s="695">
        <v>-2.6243730000001011</v>
      </c>
      <c r="F122" s="2">
        <v>2.2999999999999998</v>
      </c>
    </row>
    <row r="123" spans="1:6" x14ac:dyDescent="0.4">
      <c r="A123" s="2">
        <v>2.31</v>
      </c>
      <c r="B123" s="21">
        <v>2.3189856523189856</v>
      </c>
      <c r="C123" s="21">
        <v>10.014675925925935</v>
      </c>
      <c r="D123" s="696">
        <v>3.34572500000003</v>
      </c>
      <c r="E123" s="695">
        <v>-1.7095387500000421</v>
      </c>
      <c r="F123" s="2">
        <v>2.31</v>
      </c>
    </row>
    <row r="124" spans="1:6" x14ac:dyDescent="0.4">
      <c r="A124" s="2">
        <v>2.33</v>
      </c>
      <c r="B124" s="21">
        <v>2.3356690023356688</v>
      </c>
      <c r="C124" s="21">
        <v>10.070216049382726</v>
      </c>
      <c r="D124" s="696">
        <v>3.3290750000000293</v>
      </c>
      <c r="E124" s="695">
        <v>-1.0811677500000989</v>
      </c>
      <c r="F124" s="2">
        <v>2.33</v>
      </c>
    </row>
    <row r="125" spans="1:6" x14ac:dyDescent="0.4">
      <c r="A125" s="2">
        <v>2.35</v>
      </c>
      <c r="B125" s="21">
        <v>2.352352352352352</v>
      </c>
      <c r="C125" s="21">
        <v>10.125578703703713</v>
      </c>
      <c r="D125" s="696">
        <v>3.3184375000000284</v>
      </c>
      <c r="E125" s="695">
        <v>-0.67457475000004008</v>
      </c>
      <c r="F125" s="2">
        <v>2.35</v>
      </c>
    </row>
    <row r="126" spans="1:6" x14ac:dyDescent="0.4">
      <c r="A126" s="2">
        <v>2.36</v>
      </c>
      <c r="B126" s="21">
        <v>2.3690357023690352</v>
      </c>
      <c r="C126" s="21">
        <v>10.180833333333343</v>
      </c>
      <c r="D126" s="696">
        <v>3.3119625000000283</v>
      </c>
      <c r="E126" s="695">
        <v>-0.37887075000001669</v>
      </c>
      <c r="F126" s="2">
        <v>2.36</v>
      </c>
    </row>
    <row r="127" spans="1:6" x14ac:dyDescent="0.4">
      <c r="A127" s="2">
        <v>2.38</v>
      </c>
      <c r="B127" s="21">
        <v>2.3857190523857184</v>
      </c>
      <c r="C127" s="21">
        <v>10.236057098765441</v>
      </c>
      <c r="D127" s="696">
        <v>3.3101125000000287</v>
      </c>
      <c r="E127" s="695">
        <v>-6.4685249999965194E-2</v>
      </c>
      <c r="F127" s="2">
        <v>2.38</v>
      </c>
    </row>
    <row r="128" spans="1:6" x14ac:dyDescent="0.4">
      <c r="A128" s="2">
        <v>2.4</v>
      </c>
      <c r="B128" s="21">
        <v>2.4024024024024015</v>
      </c>
      <c r="C128" s="21">
        <v>10.29136574074075</v>
      </c>
      <c r="D128" s="696">
        <v>3.3152000000000288</v>
      </c>
      <c r="E128" s="695">
        <v>0.36038924999998861</v>
      </c>
      <c r="F128" s="2">
        <v>2.4</v>
      </c>
    </row>
    <row r="129" spans="1:6" x14ac:dyDescent="0.4">
      <c r="A129" s="2">
        <v>2.41</v>
      </c>
      <c r="B129" s="21">
        <v>2.4190857524190847</v>
      </c>
      <c r="C129" s="21">
        <v>10.346921296296305</v>
      </c>
      <c r="D129" s="696">
        <v>3.3300000000000289</v>
      </c>
      <c r="E129" s="695">
        <v>0.93331575000006051</v>
      </c>
      <c r="F129" s="2">
        <v>2.41</v>
      </c>
    </row>
    <row r="130" spans="1:6" x14ac:dyDescent="0.4">
      <c r="A130" s="2">
        <v>2.4300000000000002</v>
      </c>
      <c r="B130" s="21">
        <v>2.4357691024357679</v>
      </c>
      <c r="C130" s="21">
        <v>10.402924382716058</v>
      </c>
      <c r="D130" s="696">
        <v>3.3568250000000304</v>
      </c>
      <c r="E130" s="695">
        <v>1.6078905000000474</v>
      </c>
      <c r="F130" s="2">
        <v>2.4300000000000002</v>
      </c>
    </row>
    <row r="131" spans="1:6" x14ac:dyDescent="0.4">
      <c r="A131" s="2">
        <v>2.4500000000000002</v>
      </c>
      <c r="B131" s="21">
        <v>2.4524524524524511</v>
      </c>
      <c r="C131" s="21">
        <v>10.45957561728396</v>
      </c>
      <c r="D131" s="696">
        <v>3.3956750000000309</v>
      </c>
      <c r="E131" s="695">
        <v>2.2824652500000875</v>
      </c>
      <c r="F131" s="2">
        <v>2.4500000000000002</v>
      </c>
    </row>
    <row r="132" spans="1:6" x14ac:dyDescent="0.4">
      <c r="A132" s="2">
        <v>2.46</v>
      </c>
      <c r="B132" s="21">
        <v>2.4691358024691343</v>
      </c>
      <c r="C132" s="21">
        <v>10.517037037037046</v>
      </c>
      <c r="D132" s="696">
        <v>3.4442375000000314</v>
      </c>
      <c r="E132" s="695">
        <v>2.8369102500000247</v>
      </c>
      <c r="F132" s="2">
        <v>2.46</v>
      </c>
    </row>
    <row r="133" spans="1:6" x14ac:dyDescent="0.4">
      <c r="A133" s="2">
        <v>2.48</v>
      </c>
      <c r="B133" s="21">
        <v>2.4858191524858175</v>
      </c>
      <c r="C133" s="21">
        <v>10.575408950617293</v>
      </c>
      <c r="D133" s="696">
        <v>3.4988125000000316</v>
      </c>
      <c r="E133" s="695">
        <v>3.1972995000000668</v>
      </c>
      <c r="F133" s="2">
        <v>2.48</v>
      </c>
    </row>
    <row r="134" spans="1:6" x14ac:dyDescent="0.4">
      <c r="A134" s="2">
        <v>2.5</v>
      </c>
      <c r="B134" s="21">
        <v>2.5025025025025007</v>
      </c>
      <c r="C134" s="21">
        <v>10.634729938271613</v>
      </c>
      <c r="D134" s="696">
        <v>3.5557000000000323</v>
      </c>
      <c r="E134" s="695">
        <v>3.3266700000000768</v>
      </c>
      <c r="F134" s="2">
        <v>2.5</v>
      </c>
    </row>
    <row r="135" spans="1:6" x14ac:dyDescent="0.4">
      <c r="A135" s="2">
        <v>2.5099999999999998</v>
      </c>
      <c r="B135" s="21">
        <v>2.5191858525191839</v>
      </c>
      <c r="C135" s="21">
        <v>10.694969135802477</v>
      </c>
      <c r="D135" s="696">
        <v>3.6107375000000341</v>
      </c>
      <c r="E135" s="695">
        <v>3.2157810000000948</v>
      </c>
      <c r="F135" s="2">
        <v>2.5099999999999998</v>
      </c>
    </row>
    <row r="136" spans="1:6" x14ac:dyDescent="0.4">
      <c r="A136" s="2">
        <v>2.5299999999999998</v>
      </c>
      <c r="B136" s="21">
        <v>2.5358692025358671</v>
      </c>
      <c r="C136" s="21">
        <v>10.756026234567909</v>
      </c>
      <c r="D136" s="696">
        <v>3.6597625000000349</v>
      </c>
      <c r="E136" s="695">
        <v>2.9293177500001386</v>
      </c>
      <c r="F136" s="2">
        <v>2.5299999999999998</v>
      </c>
    </row>
    <row r="137" spans="1:6" x14ac:dyDescent="0.4">
      <c r="A137" s="2">
        <v>2.5499999999999998</v>
      </c>
      <c r="B137" s="21">
        <v>2.5525525525525503</v>
      </c>
      <c r="C137" s="21">
        <v>10.81779320987655</v>
      </c>
      <c r="D137" s="696">
        <v>3.7023125000000365</v>
      </c>
      <c r="E137" s="695">
        <v>2.6151322500000607</v>
      </c>
      <c r="F137" s="2">
        <v>2.5499999999999998</v>
      </c>
    </row>
    <row r="138" spans="1:6" x14ac:dyDescent="0.4">
      <c r="A138" s="2">
        <v>2.56</v>
      </c>
      <c r="B138" s="21">
        <v>2.5692359025692335</v>
      </c>
      <c r="C138" s="21">
        <v>10.880216049382723</v>
      </c>
      <c r="D138" s="696">
        <v>3.7416250000000368</v>
      </c>
      <c r="E138" s="695">
        <v>2.4487987500000741</v>
      </c>
      <c r="F138" s="2">
        <v>2.56</v>
      </c>
    </row>
    <row r="139" spans="1:6" x14ac:dyDescent="0.4">
      <c r="A139" s="2">
        <v>2.58</v>
      </c>
      <c r="B139" s="21">
        <v>2.5859192525859167</v>
      </c>
      <c r="C139" s="21">
        <v>10.943317901234575</v>
      </c>
      <c r="D139" s="696">
        <v>3.7823250000000379</v>
      </c>
      <c r="E139" s="695">
        <v>2.4857617500000502</v>
      </c>
      <c r="F139" s="2">
        <v>2.58</v>
      </c>
    </row>
    <row r="140" spans="1:6" x14ac:dyDescent="0.4">
      <c r="A140" s="2">
        <v>2.6</v>
      </c>
      <c r="B140" s="21">
        <v>2.6026026026025999</v>
      </c>
      <c r="C140" s="21">
        <v>11.007160493827168</v>
      </c>
      <c r="D140" s="696">
        <v>3.8267250000000383</v>
      </c>
      <c r="E140" s="695">
        <v>2.6705767500000648</v>
      </c>
      <c r="F140" s="2">
        <v>2.6</v>
      </c>
    </row>
    <row r="141" spans="1:6" x14ac:dyDescent="0.4">
      <c r="A141" s="2">
        <v>2.61</v>
      </c>
      <c r="B141" s="21">
        <v>2.6192859526192831</v>
      </c>
      <c r="C141" s="21">
        <v>11.071813271604945</v>
      </c>
      <c r="D141" s="696">
        <v>3.875287500000038</v>
      </c>
      <c r="E141" s="695">
        <v>2.9200770000000182</v>
      </c>
      <c r="F141" s="2">
        <v>2.61</v>
      </c>
    </row>
    <row r="142" spans="1:6" x14ac:dyDescent="0.4">
      <c r="A142" s="2"/>
      <c r="B142" s="21"/>
      <c r="C142" s="21"/>
      <c r="D142" s="696"/>
      <c r="E142" s="695"/>
    </row>
    <row r="143" spans="1:6" x14ac:dyDescent="0.4">
      <c r="A143" s="2"/>
      <c r="B143" s="21"/>
      <c r="C143" s="21"/>
      <c r="D143" s="696"/>
      <c r="E143" s="695"/>
    </row>
    <row r="144" spans="1:6" x14ac:dyDescent="0.4">
      <c r="A144" s="2"/>
      <c r="B144" s="21"/>
      <c r="C144" s="21"/>
      <c r="D144" s="696"/>
      <c r="E144" s="695"/>
    </row>
    <row r="145" spans="1:5" x14ac:dyDescent="0.4">
      <c r="A145" s="2"/>
      <c r="B145" s="21"/>
      <c r="C145" s="21"/>
      <c r="D145" s="696"/>
      <c r="E145" s="695"/>
    </row>
    <row r="146" spans="1:5" x14ac:dyDescent="0.4">
      <c r="A146" s="2"/>
      <c r="B146" s="21"/>
      <c r="C146" s="21"/>
      <c r="D146" s="696"/>
      <c r="E146" s="695"/>
    </row>
    <row r="147" spans="1:5" x14ac:dyDescent="0.4">
      <c r="A147" s="2"/>
      <c r="B147" s="21"/>
      <c r="C147" s="21"/>
      <c r="D147" s="696"/>
      <c r="E147" s="695"/>
    </row>
    <row r="148" spans="1:5" x14ac:dyDescent="0.4">
      <c r="A148" s="2"/>
      <c r="B148" s="21"/>
      <c r="C148" s="21"/>
      <c r="D148" s="696"/>
      <c r="E148" s="695"/>
    </row>
    <row r="149" spans="1:5" x14ac:dyDescent="0.4">
      <c r="A149" s="2"/>
      <c r="B149" s="21"/>
      <c r="C149" s="21"/>
      <c r="D149" s="696"/>
      <c r="E149" s="695"/>
    </row>
    <row r="150" spans="1:5" x14ac:dyDescent="0.4">
      <c r="A150" s="2"/>
      <c r="B150" s="21"/>
      <c r="C150" s="21"/>
      <c r="D150" s="696"/>
      <c r="E150" s="695"/>
    </row>
    <row r="151" spans="1:5" x14ac:dyDescent="0.4">
      <c r="A151" s="2"/>
      <c r="B151" s="21"/>
      <c r="C151" s="21"/>
      <c r="D151" s="696"/>
      <c r="E151" s="695"/>
    </row>
    <row r="152" spans="1:5" x14ac:dyDescent="0.4">
      <c r="A152" s="2"/>
      <c r="B152" s="21"/>
      <c r="C152" s="21"/>
      <c r="D152" s="696"/>
      <c r="E152" s="695"/>
    </row>
    <row r="153" spans="1:5" x14ac:dyDescent="0.4">
      <c r="A153" s="2"/>
      <c r="B153" s="21"/>
      <c r="C153" s="21"/>
      <c r="D153" s="696"/>
      <c r="E153" s="695"/>
    </row>
    <row r="154" spans="1:5" x14ac:dyDescent="0.4">
      <c r="A154" s="2"/>
      <c r="B154" s="21"/>
      <c r="C154" s="21"/>
      <c r="D154" s="696"/>
      <c r="E154" s="695"/>
    </row>
    <row r="155" spans="1:5" x14ac:dyDescent="0.4">
      <c r="A155" s="2"/>
      <c r="B155" s="21"/>
      <c r="C155" s="21"/>
      <c r="D155" s="696"/>
      <c r="E155" s="695"/>
    </row>
    <row r="156" spans="1:5" x14ac:dyDescent="0.4">
      <c r="A156" s="2"/>
      <c r="B156" s="21"/>
      <c r="C156" s="21"/>
      <c r="D156" s="696"/>
      <c r="E156" s="695"/>
    </row>
    <row r="157" spans="1:5" x14ac:dyDescent="0.4">
      <c r="A157" s="2"/>
      <c r="B157" s="21"/>
      <c r="C157" s="21"/>
      <c r="D157" s="696"/>
      <c r="E157" s="695"/>
    </row>
    <row r="158" spans="1:5" x14ac:dyDescent="0.4">
      <c r="A158" s="2"/>
      <c r="B158" s="21"/>
      <c r="C158" s="21"/>
      <c r="D158" s="696"/>
      <c r="E158" s="695"/>
    </row>
    <row r="159" spans="1:5" x14ac:dyDescent="0.4">
      <c r="A159" s="2"/>
      <c r="B159" s="21"/>
      <c r="C159" s="21"/>
      <c r="D159" s="696"/>
      <c r="E159" s="695"/>
    </row>
    <row r="160" spans="1:5" x14ac:dyDescent="0.4">
      <c r="A160" s="1"/>
      <c r="B160" s="21"/>
      <c r="C160" s="21"/>
      <c r="D160" s="696"/>
      <c r="E160" s="695"/>
    </row>
    <row r="161" spans="1:5" x14ac:dyDescent="0.4">
      <c r="A161" s="1"/>
      <c r="B161" s="21"/>
      <c r="C161" s="21"/>
      <c r="D161" s="696"/>
      <c r="E161" s="695"/>
    </row>
    <row r="162" spans="1:5" x14ac:dyDescent="0.4">
      <c r="A162" s="1"/>
      <c r="B162" s="21"/>
      <c r="C162" s="21"/>
      <c r="D162" s="696"/>
      <c r="E162" s="695"/>
    </row>
    <row r="163" spans="1:5" x14ac:dyDescent="0.4">
      <c r="A163" s="1"/>
      <c r="B163" s="21"/>
      <c r="C163" s="21"/>
      <c r="D163" s="696"/>
      <c r="E163" s="695"/>
    </row>
    <row r="164" spans="1:5" x14ac:dyDescent="0.4">
      <c r="A164" s="1"/>
      <c r="B164" s="21"/>
      <c r="C164" s="21"/>
      <c r="D164" s="696"/>
      <c r="E164" s="695"/>
    </row>
    <row r="165" spans="1:5" x14ac:dyDescent="0.4">
      <c r="A165" s="1"/>
      <c r="B165" s="21"/>
      <c r="C165" s="21"/>
      <c r="D165" s="696"/>
      <c r="E165" s="695"/>
    </row>
    <row r="166" spans="1:5" x14ac:dyDescent="0.4">
      <c r="A166" s="1"/>
      <c r="B166" s="21"/>
      <c r="C166" s="21"/>
      <c r="D166" s="696"/>
      <c r="E166" s="695"/>
    </row>
    <row r="167" spans="1:5" x14ac:dyDescent="0.4">
      <c r="A167" s="1"/>
      <c r="B167" s="21"/>
      <c r="C167" s="21"/>
      <c r="D167" s="696"/>
      <c r="E167" s="695"/>
    </row>
    <row r="168" spans="1:5" x14ac:dyDescent="0.4">
      <c r="A168" s="1"/>
      <c r="B168" s="21"/>
      <c r="C168" s="21"/>
      <c r="D168" s="696"/>
      <c r="E168" s="695"/>
    </row>
    <row r="169" spans="1:5" x14ac:dyDescent="0.4">
      <c r="A169" s="1"/>
      <c r="B169" s="21"/>
      <c r="C169" s="21"/>
      <c r="D169" s="696"/>
      <c r="E169" s="695"/>
    </row>
    <row r="170" spans="1:5" x14ac:dyDescent="0.4">
      <c r="A170" s="1"/>
      <c r="B170" s="21"/>
      <c r="C170" s="21"/>
      <c r="D170" s="696"/>
      <c r="E170" s="695"/>
    </row>
    <row r="171" spans="1:5" x14ac:dyDescent="0.4">
      <c r="A171" s="1"/>
      <c r="B171" s="21"/>
      <c r="C171" s="21"/>
      <c r="D171" s="696"/>
      <c r="E171" s="695"/>
    </row>
    <row r="172" spans="1:5" x14ac:dyDescent="0.4">
      <c r="A172" s="1"/>
      <c r="B172" s="21"/>
      <c r="C172" s="21"/>
      <c r="D172" s="696"/>
      <c r="E172" s="695"/>
    </row>
    <row r="173" spans="1:5" x14ac:dyDescent="0.4">
      <c r="A173" s="1"/>
      <c r="B173" s="21"/>
      <c r="C173" s="21"/>
      <c r="D173" s="696"/>
      <c r="E173" s="695"/>
    </row>
    <row r="174" spans="1:5" x14ac:dyDescent="0.4">
      <c r="A174" s="1"/>
      <c r="B174" s="21"/>
      <c r="C174" s="21"/>
      <c r="D174" s="696"/>
      <c r="E174" s="695"/>
    </row>
    <row r="175" spans="1:5" x14ac:dyDescent="0.4">
      <c r="A175" s="1"/>
      <c r="B175" s="21"/>
      <c r="C175" s="21"/>
      <c r="D175" s="696"/>
      <c r="E175" s="695"/>
    </row>
    <row r="176" spans="1:5" x14ac:dyDescent="0.4">
      <c r="A176" s="1"/>
      <c r="B176" s="21"/>
      <c r="C176" s="21"/>
      <c r="D176" s="696"/>
      <c r="E176" s="695"/>
    </row>
    <row r="177" spans="1:5" x14ac:dyDescent="0.4">
      <c r="A177" s="1"/>
      <c r="B177" s="21"/>
      <c r="C177" s="21"/>
      <c r="D177" s="696"/>
      <c r="E177" s="695"/>
    </row>
    <row r="178" spans="1:5" x14ac:dyDescent="0.4">
      <c r="A178" s="1"/>
      <c r="B178" s="21"/>
      <c r="C178" s="21"/>
      <c r="D178" s="696"/>
      <c r="E178" s="695"/>
    </row>
    <row r="179" spans="1:5" x14ac:dyDescent="0.4">
      <c r="A179" s="1"/>
      <c r="B179" s="21"/>
      <c r="C179" s="21"/>
      <c r="D179" s="696"/>
      <c r="E179" s="695"/>
    </row>
    <row r="180" spans="1:5" x14ac:dyDescent="0.4">
      <c r="A180" s="1"/>
      <c r="B180" s="21"/>
      <c r="C180" s="21"/>
      <c r="D180" s="696"/>
      <c r="E180" s="695"/>
    </row>
    <row r="181" spans="1:5" x14ac:dyDescent="0.4">
      <c r="A181" s="1"/>
      <c r="B181" s="21"/>
      <c r="C181" s="21"/>
      <c r="D181" s="696"/>
      <c r="E181" s="695"/>
    </row>
    <row r="182" spans="1:5" x14ac:dyDescent="0.4">
      <c r="A182" s="1"/>
      <c r="B182" s="21"/>
      <c r="C182" s="21"/>
      <c r="D182" s="696"/>
      <c r="E182" s="695"/>
    </row>
    <row r="183" spans="1:5" x14ac:dyDescent="0.4">
      <c r="B183" s="21"/>
      <c r="C183" s="21"/>
      <c r="D183" s="696"/>
      <c r="E183" s="695"/>
    </row>
    <row r="184" spans="1:5" x14ac:dyDescent="0.4">
      <c r="B184" s="21"/>
      <c r="C184" s="21"/>
      <c r="D184" s="696"/>
      <c r="E184" s="695"/>
    </row>
    <row r="185" spans="1:5" x14ac:dyDescent="0.4">
      <c r="B185" s="21"/>
      <c r="C185" s="21"/>
      <c r="D185" s="696"/>
      <c r="E185" s="694"/>
    </row>
    <row r="186" spans="1:5" x14ac:dyDescent="0.4">
      <c r="B186" s="21"/>
      <c r="C186" s="21"/>
      <c r="D186" s="696"/>
      <c r="E186" s="694"/>
    </row>
    <row r="187" spans="1:5" x14ac:dyDescent="0.4">
      <c r="B187" s="21"/>
      <c r="C187" s="21"/>
      <c r="D187" s="696"/>
      <c r="E187" s="694"/>
    </row>
    <row r="188" spans="1:5" x14ac:dyDescent="0.4">
      <c r="B188" s="21"/>
      <c r="C188" s="21"/>
      <c r="D188" s="696"/>
      <c r="E188" s="694"/>
    </row>
    <row r="189" spans="1:5" x14ac:dyDescent="0.4">
      <c r="B189" s="21"/>
      <c r="C189" s="21"/>
      <c r="D189" s="696"/>
      <c r="E189" s="694"/>
    </row>
    <row r="190" spans="1:5" x14ac:dyDescent="0.4">
      <c r="B190" s="21"/>
      <c r="C190" s="21"/>
      <c r="D190" s="696"/>
      <c r="E190" s="694"/>
    </row>
    <row r="191" spans="1:5" x14ac:dyDescent="0.4">
      <c r="B191" s="21"/>
      <c r="C191" s="21"/>
      <c r="D191" s="696"/>
      <c r="E191" s="694"/>
    </row>
    <row r="192" spans="1:5" x14ac:dyDescent="0.4">
      <c r="B192" s="21"/>
      <c r="C192" s="21"/>
      <c r="D192" s="696"/>
      <c r="E192" s="694"/>
    </row>
    <row r="193" spans="2:5" x14ac:dyDescent="0.4">
      <c r="B193" s="21"/>
      <c r="C193" s="21"/>
      <c r="D193" s="696"/>
      <c r="E193" s="694"/>
    </row>
    <row r="194" spans="2:5" x14ac:dyDescent="0.4">
      <c r="B194" s="21"/>
      <c r="C194" s="21"/>
      <c r="D194" s="696"/>
      <c r="E194" s="694"/>
    </row>
    <row r="195" spans="2:5" x14ac:dyDescent="0.4">
      <c r="B195" s="21"/>
      <c r="C195" s="21"/>
      <c r="D195" s="696"/>
      <c r="E195" s="694"/>
    </row>
    <row r="196" spans="2:5" x14ac:dyDescent="0.4">
      <c r="B196" s="21"/>
      <c r="C196" s="21"/>
      <c r="D196" s="696"/>
      <c r="E196" s="694"/>
    </row>
    <row r="197" spans="2:5" x14ac:dyDescent="0.4">
      <c r="B197" s="21"/>
      <c r="C197" s="21"/>
      <c r="D197" s="696"/>
      <c r="E197" s="694"/>
    </row>
    <row r="198" spans="2:5" x14ac:dyDescent="0.4">
      <c r="B198" s="21"/>
      <c r="C198" s="21"/>
      <c r="D198" s="696"/>
      <c r="E198" s="694"/>
    </row>
    <row r="199" spans="2:5" x14ac:dyDescent="0.4">
      <c r="B199" s="21"/>
      <c r="C199" s="21"/>
      <c r="D199" s="696"/>
      <c r="E199" s="694"/>
    </row>
    <row r="200" spans="2:5" x14ac:dyDescent="0.4">
      <c r="B200" s="21"/>
      <c r="C200" s="21"/>
      <c r="D200" s="696"/>
      <c r="E200" s="694"/>
    </row>
    <row r="201" spans="2:5" x14ac:dyDescent="0.4">
      <c r="B201" s="21"/>
      <c r="C201" s="21"/>
      <c r="D201" s="696"/>
      <c r="E201" s="694"/>
    </row>
    <row r="202" spans="2:5" x14ac:dyDescent="0.4">
      <c r="B202" s="21"/>
      <c r="C202" s="21"/>
      <c r="D202" s="696"/>
      <c r="E202" s="694"/>
    </row>
    <row r="203" spans="2:5" x14ac:dyDescent="0.4">
      <c r="B203" s="21"/>
      <c r="C203" s="21"/>
      <c r="D203" s="696"/>
      <c r="E203" s="694"/>
    </row>
    <row r="204" spans="2:5" x14ac:dyDescent="0.4">
      <c r="B204" s="21"/>
      <c r="C204" s="21"/>
      <c r="D204" s="696"/>
      <c r="E204" s="694"/>
    </row>
    <row r="205" spans="2:5" x14ac:dyDescent="0.4">
      <c r="B205" s="21"/>
      <c r="C205" s="21"/>
      <c r="D205" s="696"/>
      <c r="E205" s="694"/>
    </row>
    <row r="206" spans="2:5" x14ac:dyDescent="0.4">
      <c r="B206" s="21"/>
      <c r="C206" s="21"/>
      <c r="D206" s="696"/>
      <c r="E206" s="694"/>
    </row>
    <row r="207" spans="2:5" x14ac:dyDescent="0.4">
      <c r="B207" s="21"/>
      <c r="C207" s="21"/>
      <c r="D207" s="696"/>
      <c r="E207" s="694"/>
    </row>
    <row r="208" spans="2:5" x14ac:dyDescent="0.4">
      <c r="B208" s="21"/>
      <c r="C208" s="21"/>
      <c r="D208" s="696"/>
      <c r="E208" s="694"/>
    </row>
    <row r="209" spans="2:5" x14ac:dyDescent="0.4">
      <c r="B209" s="21"/>
      <c r="C209" s="21"/>
      <c r="D209" s="696"/>
      <c r="E209" s="694"/>
    </row>
    <row r="210" spans="2:5" x14ac:dyDescent="0.4">
      <c r="B210" s="21"/>
      <c r="C210" s="21"/>
      <c r="D210" s="696"/>
      <c r="E210" s="694"/>
    </row>
    <row r="211" spans="2:5" x14ac:dyDescent="0.4">
      <c r="B211" s="21"/>
      <c r="C211" s="21"/>
      <c r="D211" s="696"/>
      <c r="E211" s="694"/>
    </row>
    <row r="212" spans="2:5" x14ac:dyDescent="0.4">
      <c r="B212" s="21"/>
      <c r="C212" s="21"/>
      <c r="D212" s="696"/>
      <c r="E212" s="694"/>
    </row>
    <row r="213" spans="2:5" x14ac:dyDescent="0.4">
      <c r="B213" s="21"/>
      <c r="C213" s="21"/>
      <c r="D213" s="696"/>
      <c r="E213" s="694"/>
    </row>
    <row r="214" spans="2:5" x14ac:dyDescent="0.4">
      <c r="B214" s="21"/>
      <c r="C214" s="21"/>
      <c r="D214" s="696"/>
      <c r="E214" s="694"/>
    </row>
    <row r="215" spans="2:5" x14ac:dyDescent="0.4">
      <c r="B215" s="21"/>
      <c r="C215" s="21"/>
      <c r="D215" s="696"/>
      <c r="E215" s="694"/>
    </row>
    <row r="216" spans="2:5" x14ac:dyDescent="0.4">
      <c r="B216" s="21"/>
      <c r="C216" s="21"/>
      <c r="D216" s="696"/>
      <c r="E216" s="694"/>
    </row>
    <row r="217" spans="2:5" x14ac:dyDescent="0.4">
      <c r="B217" s="21"/>
      <c r="C217" s="21"/>
      <c r="D217" s="696"/>
      <c r="E217" s="694"/>
    </row>
    <row r="218" spans="2:5" x14ac:dyDescent="0.4">
      <c r="B218" s="21"/>
      <c r="C218" s="21"/>
      <c r="D218" s="696"/>
      <c r="E218" s="694"/>
    </row>
    <row r="219" spans="2:5" x14ac:dyDescent="0.4">
      <c r="B219" s="21"/>
      <c r="C219" s="21"/>
      <c r="D219" s="696"/>
      <c r="E219" s="694"/>
    </row>
    <row r="220" spans="2:5" x14ac:dyDescent="0.4">
      <c r="B220" s="21"/>
      <c r="C220" s="21"/>
      <c r="D220" s="696"/>
      <c r="E220" s="694"/>
    </row>
    <row r="221" spans="2:5" x14ac:dyDescent="0.4">
      <c r="B221" s="21"/>
      <c r="C221" s="21"/>
      <c r="D221" s="696"/>
      <c r="E221" s="694"/>
    </row>
    <row r="222" spans="2:5" x14ac:dyDescent="0.4">
      <c r="B222" s="21"/>
      <c r="C222" s="21"/>
      <c r="D222" s="696"/>
      <c r="E222" s="694"/>
    </row>
    <row r="223" spans="2:5" x14ac:dyDescent="0.4">
      <c r="B223" s="21"/>
      <c r="C223" s="21"/>
      <c r="D223" s="696"/>
      <c r="E223" s="694"/>
    </row>
    <row r="224" spans="2:5" x14ac:dyDescent="0.4">
      <c r="B224" s="21"/>
      <c r="C224" s="21"/>
      <c r="D224" s="696"/>
      <c r="E224" s="21"/>
    </row>
    <row r="225" spans="2:5" x14ac:dyDescent="0.4">
      <c r="B225" s="21"/>
      <c r="C225" s="21"/>
      <c r="D225" s="696"/>
      <c r="E225" s="21"/>
    </row>
    <row r="226" spans="2:5" x14ac:dyDescent="0.4">
      <c r="B226" s="21"/>
      <c r="C226" s="21"/>
      <c r="D226" s="696"/>
      <c r="E226" s="21"/>
    </row>
    <row r="227" spans="2:5" x14ac:dyDescent="0.4">
      <c r="B227" s="21"/>
      <c r="C227" s="21"/>
      <c r="D227" s="696"/>
      <c r="E227" s="21"/>
    </row>
    <row r="228" spans="2:5" x14ac:dyDescent="0.4">
      <c r="B228" s="21"/>
      <c r="C228" s="21"/>
      <c r="D228" s="696"/>
      <c r="E228" s="21"/>
    </row>
    <row r="229" spans="2:5" x14ac:dyDescent="0.4">
      <c r="B229" s="21"/>
      <c r="C229" s="21"/>
      <c r="D229" s="696"/>
      <c r="E229" s="21"/>
    </row>
    <row r="230" spans="2:5" x14ac:dyDescent="0.4">
      <c r="B230" s="21"/>
      <c r="C230" s="21"/>
      <c r="D230" s="696"/>
      <c r="E230" s="21"/>
    </row>
    <row r="231" spans="2:5" x14ac:dyDescent="0.4">
      <c r="B231" s="21"/>
      <c r="C231" s="21"/>
      <c r="D231" s="696"/>
      <c r="E231" s="21"/>
    </row>
    <row r="232" spans="2:5" x14ac:dyDescent="0.4">
      <c r="B232" s="21"/>
      <c r="C232" s="21"/>
      <c r="D232" s="696"/>
      <c r="E232" s="21"/>
    </row>
    <row r="233" spans="2:5" x14ac:dyDescent="0.4">
      <c r="B233" s="21"/>
      <c r="C233" s="21"/>
      <c r="D233" s="696"/>
      <c r="E233" s="21"/>
    </row>
    <row r="234" spans="2:5" x14ac:dyDescent="0.4">
      <c r="B234" s="21"/>
      <c r="C234" s="21"/>
      <c r="D234" s="696"/>
      <c r="E234" s="21"/>
    </row>
    <row r="235" spans="2:5" x14ac:dyDescent="0.4">
      <c r="B235" s="21"/>
      <c r="C235" s="21"/>
      <c r="D235" s="696"/>
      <c r="E235" s="21"/>
    </row>
    <row r="236" spans="2:5" x14ac:dyDescent="0.4">
      <c r="B236" s="21"/>
      <c r="C236" s="21"/>
      <c r="D236" s="696"/>
      <c r="E236" s="21"/>
    </row>
    <row r="237" spans="2:5" x14ac:dyDescent="0.4">
      <c r="B237" s="21"/>
      <c r="C237" s="21"/>
      <c r="D237" s="696"/>
      <c r="E237" s="21"/>
    </row>
    <row r="238" spans="2:5" x14ac:dyDescent="0.4">
      <c r="B238" s="21"/>
      <c r="C238" s="21"/>
      <c r="D238" s="696"/>
      <c r="E238" s="21"/>
    </row>
    <row r="239" spans="2:5" x14ac:dyDescent="0.4">
      <c r="B239" s="21"/>
      <c r="C239" s="21"/>
      <c r="D239" s="696"/>
      <c r="E239" s="21"/>
    </row>
    <row r="240" spans="2:5" x14ac:dyDescent="0.4">
      <c r="B240" s="21"/>
      <c r="C240" s="21"/>
      <c r="D240" s="696"/>
      <c r="E240" s="21"/>
    </row>
    <row r="241" spans="2:5" x14ac:dyDescent="0.4">
      <c r="B241" s="21"/>
      <c r="C241" s="21"/>
      <c r="D241" s="21"/>
      <c r="E241" s="21"/>
    </row>
    <row r="242" spans="2:5" x14ac:dyDescent="0.4">
      <c r="B242" s="21"/>
      <c r="C242" s="21"/>
      <c r="D242" s="21"/>
      <c r="E242" s="21"/>
    </row>
    <row r="243" spans="2:5" x14ac:dyDescent="0.4">
      <c r="B243" s="21"/>
      <c r="C243" s="21"/>
      <c r="D243" s="21"/>
      <c r="E243" s="21"/>
    </row>
    <row r="244" spans="2:5" x14ac:dyDescent="0.4">
      <c r="B244" s="21"/>
      <c r="C244" s="21"/>
      <c r="D244" s="21"/>
      <c r="E244" s="21"/>
    </row>
    <row r="245" spans="2:5" x14ac:dyDescent="0.4">
      <c r="B245" s="21"/>
      <c r="C245" s="21"/>
      <c r="D245" s="21"/>
      <c r="E245" s="21"/>
    </row>
    <row r="246" spans="2:5" x14ac:dyDescent="0.4">
      <c r="B246" s="21"/>
      <c r="C246" s="21"/>
      <c r="D246" s="21"/>
      <c r="E246" s="21"/>
    </row>
    <row r="247" spans="2:5" x14ac:dyDescent="0.4">
      <c r="B247" s="21"/>
      <c r="C247" s="21"/>
      <c r="D247" s="21"/>
      <c r="E247" s="21"/>
    </row>
    <row r="248" spans="2:5" x14ac:dyDescent="0.4">
      <c r="B248" s="21"/>
      <c r="C248" s="21"/>
      <c r="D248" s="21"/>
      <c r="E248" s="21"/>
    </row>
    <row r="249" spans="2:5" x14ac:dyDescent="0.4">
      <c r="B249" s="21"/>
      <c r="C249" s="21"/>
      <c r="D249" s="21"/>
      <c r="E249" s="21"/>
    </row>
    <row r="250" spans="2:5" x14ac:dyDescent="0.4">
      <c r="B250" s="21"/>
      <c r="C250" s="21"/>
      <c r="D250" s="21"/>
      <c r="E250" s="21"/>
    </row>
    <row r="251" spans="2:5" x14ac:dyDescent="0.4">
      <c r="B251" s="21"/>
      <c r="C251" s="21"/>
      <c r="D251" s="21"/>
      <c r="E251" s="21"/>
    </row>
    <row r="252" spans="2:5" x14ac:dyDescent="0.4">
      <c r="B252" s="21"/>
      <c r="C252" s="21"/>
      <c r="D252" s="21"/>
      <c r="E252" s="21"/>
    </row>
    <row r="253" spans="2:5" x14ac:dyDescent="0.4">
      <c r="B253" s="21"/>
      <c r="C253" s="21"/>
      <c r="D253" s="21"/>
      <c r="E253" s="21"/>
    </row>
    <row r="254" spans="2:5" x14ac:dyDescent="0.4">
      <c r="B254" s="21"/>
      <c r="C254" s="21"/>
      <c r="D254" s="21"/>
      <c r="E254" s="21"/>
    </row>
    <row r="255" spans="2:5" x14ac:dyDescent="0.4">
      <c r="B255" s="21"/>
      <c r="C255" s="21"/>
      <c r="D255" s="21"/>
      <c r="E255" s="21"/>
    </row>
    <row r="256" spans="2:5" x14ac:dyDescent="0.4">
      <c r="B256" s="21"/>
      <c r="C256" s="21"/>
      <c r="D256" s="21"/>
      <c r="E256" s="21"/>
    </row>
    <row r="257" spans="2:5" x14ac:dyDescent="0.4">
      <c r="B257" s="21"/>
      <c r="C257" s="21"/>
      <c r="D257" s="21"/>
      <c r="E257" s="21"/>
    </row>
    <row r="258" spans="2:5" x14ac:dyDescent="0.4">
      <c r="B258" s="21"/>
      <c r="C258" s="21"/>
      <c r="D258" s="21"/>
      <c r="E258" s="21"/>
    </row>
    <row r="259" spans="2:5" x14ac:dyDescent="0.4">
      <c r="B259" s="21"/>
      <c r="C259" s="21"/>
      <c r="D259" s="21"/>
      <c r="E259" s="21"/>
    </row>
    <row r="260" spans="2:5" x14ac:dyDescent="0.4">
      <c r="B260" s="21"/>
      <c r="C260" s="21"/>
      <c r="D260" s="21"/>
      <c r="E260" s="21"/>
    </row>
    <row r="261" spans="2:5" x14ac:dyDescent="0.4">
      <c r="B261" s="21"/>
      <c r="C261" s="21"/>
      <c r="D261" s="21"/>
      <c r="E261" s="21"/>
    </row>
    <row r="262" spans="2:5" x14ac:dyDescent="0.4">
      <c r="B262" s="21"/>
      <c r="C262" s="21"/>
      <c r="D262" s="21"/>
      <c r="E262" s="21"/>
    </row>
    <row r="263" spans="2:5" x14ac:dyDescent="0.4">
      <c r="B263" s="21"/>
      <c r="C263" s="21"/>
      <c r="D263" s="21"/>
      <c r="E263" s="21"/>
    </row>
    <row r="264" spans="2:5" x14ac:dyDescent="0.4">
      <c r="B264" s="21"/>
      <c r="C264" s="21"/>
      <c r="D264" s="21"/>
      <c r="E264" s="21"/>
    </row>
    <row r="265" spans="2:5" x14ac:dyDescent="0.4">
      <c r="B265" s="21"/>
      <c r="C265" s="21"/>
      <c r="D265" s="21"/>
      <c r="E265" s="21"/>
    </row>
    <row r="266" spans="2:5" x14ac:dyDescent="0.4">
      <c r="B266" s="21"/>
      <c r="C266" s="21"/>
      <c r="D266" s="21"/>
      <c r="E266" s="21"/>
    </row>
    <row r="267" spans="2:5" x14ac:dyDescent="0.4">
      <c r="B267" s="21"/>
      <c r="C267" s="21"/>
      <c r="D267" s="21"/>
      <c r="E267" s="21"/>
    </row>
    <row r="268" spans="2:5" x14ac:dyDescent="0.4">
      <c r="B268" s="21"/>
      <c r="C268" s="21"/>
      <c r="D268" s="21"/>
      <c r="E268" s="21"/>
    </row>
    <row r="269" spans="2:5" x14ac:dyDescent="0.4">
      <c r="B269" s="21"/>
      <c r="C269" s="21"/>
      <c r="D269" s="21"/>
      <c r="E269" s="21"/>
    </row>
    <row r="270" spans="2:5" x14ac:dyDescent="0.4">
      <c r="B270" s="21"/>
      <c r="C270" s="21"/>
      <c r="D270" s="21"/>
      <c r="E270" s="21"/>
    </row>
    <row r="271" spans="2:5" x14ac:dyDescent="0.4">
      <c r="B271" s="21"/>
      <c r="C271" s="21"/>
      <c r="D271" s="21"/>
      <c r="E271" s="21"/>
    </row>
    <row r="272" spans="2:5" x14ac:dyDescent="0.4">
      <c r="B272" s="21"/>
      <c r="C272" s="21"/>
      <c r="D272" s="21"/>
      <c r="E272" s="21"/>
    </row>
    <row r="273" spans="2:5" x14ac:dyDescent="0.4">
      <c r="B273" s="21"/>
      <c r="C273" s="21"/>
      <c r="D273" s="21"/>
      <c r="E273" s="21"/>
    </row>
    <row r="274" spans="2:5" x14ac:dyDescent="0.4">
      <c r="B274" s="21"/>
      <c r="C274" s="21"/>
      <c r="D274" s="21"/>
      <c r="E274" s="21"/>
    </row>
    <row r="275" spans="2:5" x14ac:dyDescent="0.4">
      <c r="B275" s="21"/>
      <c r="C275" s="21"/>
      <c r="D275" s="21"/>
      <c r="E275" s="21"/>
    </row>
    <row r="276" spans="2:5" x14ac:dyDescent="0.4">
      <c r="B276" s="21"/>
      <c r="C276" s="21"/>
      <c r="D276" s="21"/>
      <c r="E276" s="21"/>
    </row>
    <row r="277" spans="2:5" x14ac:dyDescent="0.4">
      <c r="B277" s="21"/>
      <c r="C277" s="21"/>
      <c r="D277" s="21"/>
      <c r="E277" s="21"/>
    </row>
    <row r="278" spans="2:5" x14ac:dyDescent="0.4">
      <c r="B278" s="21"/>
      <c r="C278" s="21"/>
      <c r="D278" s="21"/>
      <c r="E278" s="21"/>
    </row>
    <row r="279" spans="2:5" x14ac:dyDescent="0.4">
      <c r="B279" s="21"/>
      <c r="C279" s="21"/>
      <c r="D279" s="21"/>
      <c r="E279" s="21"/>
    </row>
    <row r="280" spans="2:5" x14ac:dyDescent="0.4">
      <c r="B280" s="21"/>
      <c r="C280" s="21"/>
      <c r="D280" s="21"/>
      <c r="E280" s="21"/>
    </row>
    <row r="281" spans="2:5" x14ac:dyDescent="0.4">
      <c r="B281" s="21"/>
      <c r="C281" s="21"/>
      <c r="D281" s="21"/>
      <c r="E281" s="21"/>
    </row>
    <row r="282" spans="2:5" x14ac:dyDescent="0.4">
      <c r="B282" s="21"/>
      <c r="C282" s="21"/>
      <c r="D282" s="21"/>
      <c r="E282" s="21"/>
    </row>
    <row r="283" spans="2:5" x14ac:dyDescent="0.4">
      <c r="B283" s="21"/>
      <c r="C283" s="21"/>
      <c r="D283" s="21"/>
      <c r="E283" s="21"/>
    </row>
    <row r="284" spans="2:5" x14ac:dyDescent="0.4">
      <c r="B284" s="21"/>
      <c r="C284" s="21"/>
      <c r="D284" s="21"/>
      <c r="E284" s="21"/>
    </row>
    <row r="285" spans="2:5" x14ac:dyDescent="0.4">
      <c r="B285" s="21"/>
      <c r="C285" s="21"/>
      <c r="D285" s="21"/>
      <c r="E285" s="21"/>
    </row>
    <row r="286" spans="2:5" x14ac:dyDescent="0.4">
      <c r="B286" s="21"/>
      <c r="C286" s="21"/>
      <c r="D286" s="21"/>
      <c r="E286" s="21"/>
    </row>
    <row r="287" spans="2:5" x14ac:dyDescent="0.4">
      <c r="B287" s="21"/>
      <c r="C287" s="21"/>
      <c r="D287" s="21"/>
      <c r="E287" s="21"/>
    </row>
    <row r="288" spans="2:5" x14ac:dyDescent="0.4">
      <c r="B288" s="21"/>
      <c r="C288" s="21"/>
      <c r="D288" s="21"/>
      <c r="E288" s="21"/>
    </row>
    <row r="289" spans="2:5" x14ac:dyDescent="0.4">
      <c r="B289" s="21"/>
      <c r="C289" s="21"/>
      <c r="D289" s="21"/>
      <c r="E289" s="21"/>
    </row>
    <row r="290" spans="2:5" x14ac:dyDescent="0.4">
      <c r="B290" s="21"/>
      <c r="C290" s="21"/>
      <c r="D290" s="21"/>
      <c r="E290" s="21"/>
    </row>
    <row r="291" spans="2:5" x14ac:dyDescent="0.4">
      <c r="B291" s="21"/>
      <c r="C291" s="21"/>
      <c r="D291" s="21"/>
      <c r="E291" s="21"/>
    </row>
    <row r="292" spans="2:5" x14ac:dyDescent="0.4">
      <c r="B292" s="21"/>
      <c r="C292" s="21"/>
      <c r="D292" s="21"/>
      <c r="E292" s="21"/>
    </row>
    <row r="293" spans="2:5" x14ac:dyDescent="0.4">
      <c r="B293" s="21"/>
      <c r="C293" s="21"/>
      <c r="D293" s="21"/>
      <c r="E293" s="21"/>
    </row>
    <row r="294" spans="2:5" x14ac:dyDescent="0.4">
      <c r="B294" s="21"/>
      <c r="C294" s="21"/>
      <c r="D294" s="21"/>
      <c r="E294" s="21"/>
    </row>
    <row r="295" spans="2:5" x14ac:dyDescent="0.4">
      <c r="B295" s="21"/>
      <c r="C295" s="21"/>
      <c r="D295" s="21"/>
      <c r="E295" s="21"/>
    </row>
    <row r="296" spans="2:5" x14ac:dyDescent="0.4">
      <c r="B296" s="21"/>
      <c r="C296" s="21"/>
      <c r="D296" s="21"/>
      <c r="E296" s="21"/>
    </row>
    <row r="297" spans="2:5" x14ac:dyDescent="0.4">
      <c r="B297" s="21"/>
      <c r="C297" s="21"/>
      <c r="D297" s="21"/>
      <c r="E297" s="21"/>
    </row>
    <row r="298" spans="2:5" x14ac:dyDescent="0.4">
      <c r="B298" s="21"/>
      <c r="C298" s="21"/>
      <c r="D298" s="21"/>
      <c r="E298" s="21"/>
    </row>
    <row r="299" spans="2:5" x14ac:dyDescent="0.4">
      <c r="B299" s="21"/>
      <c r="C299" s="21"/>
      <c r="D299" s="21"/>
      <c r="E299" s="21"/>
    </row>
    <row r="300" spans="2:5" x14ac:dyDescent="0.4">
      <c r="B300" s="21"/>
      <c r="C300" s="21"/>
      <c r="D300" s="21"/>
      <c r="E300" s="21"/>
    </row>
    <row r="301" spans="2:5" x14ac:dyDescent="0.4">
      <c r="B301" s="21"/>
      <c r="C301" s="21"/>
      <c r="D301" s="21"/>
      <c r="E301" s="21"/>
    </row>
    <row r="302" spans="2:5" x14ac:dyDescent="0.4">
      <c r="B302" s="21"/>
      <c r="C302" s="21"/>
      <c r="D302" s="21"/>
      <c r="E302" s="21"/>
    </row>
    <row r="303" spans="2:5" x14ac:dyDescent="0.4">
      <c r="B303" s="21"/>
      <c r="C303" s="21"/>
      <c r="D303" s="21"/>
      <c r="E303" s="21"/>
    </row>
    <row r="304" spans="2:5" x14ac:dyDescent="0.4">
      <c r="B304" s="21"/>
      <c r="C304" s="21"/>
      <c r="D304" s="21"/>
      <c r="E304" s="21"/>
    </row>
    <row r="305" spans="2:5" x14ac:dyDescent="0.4">
      <c r="B305" s="21"/>
      <c r="C305" s="21"/>
      <c r="D305" s="21"/>
      <c r="E305" s="21"/>
    </row>
    <row r="306" spans="2:5" x14ac:dyDescent="0.4">
      <c r="B306" s="21"/>
      <c r="C306" s="21"/>
      <c r="D306" s="21"/>
      <c r="E306" s="21"/>
    </row>
    <row r="307" spans="2:5" x14ac:dyDescent="0.4">
      <c r="B307" s="21"/>
      <c r="C307" s="21"/>
      <c r="D307" s="21"/>
      <c r="E307" s="21"/>
    </row>
    <row r="308" spans="2:5" x14ac:dyDescent="0.4">
      <c r="B308" s="21"/>
      <c r="C308" s="21"/>
      <c r="D308" s="21"/>
      <c r="E308" s="21"/>
    </row>
    <row r="309" spans="2:5" x14ac:dyDescent="0.4">
      <c r="B309" s="21"/>
      <c r="C309" s="21"/>
      <c r="D309" s="21"/>
      <c r="E309" s="21"/>
    </row>
    <row r="310" spans="2:5" x14ac:dyDescent="0.4">
      <c r="B310" s="21"/>
      <c r="C310" s="21"/>
      <c r="D310" s="21"/>
      <c r="E310" s="21"/>
    </row>
    <row r="311" spans="2:5" x14ac:dyDescent="0.4">
      <c r="B311" s="21"/>
      <c r="C311" s="21"/>
      <c r="D311" s="21"/>
      <c r="E311" s="21"/>
    </row>
    <row r="312" spans="2:5" x14ac:dyDescent="0.4">
      <c r="B312" s="21"/>
      <c r="C312" s="21"/>
      <c r="D312" s="21"/>
      <c r="E312" s="21"/>
    </row>
    <row r="313" spans="2:5" x14ac:dyDescent="0.4">
      <c r="B313" s="21"/>
      <c r="C313" s="21"/>
      <c r="D313" s="21"/>
      <c r="E313" s="21"/>
    </row>
    <row r="314" spans="2:5" x14ac:dyDescent="0.4">
      <c r="B314" s="21"/>
      <c r="C314" s="21"/>
      <c r="D314" s="21"/>
      <c r="E314" s="21"/>
    </row>
    <row r="315" spans="2:5" x14ac:dyDescent="0.4">
      <c r="B315" s="21"/>
      <c r="C315" s="21"/>
      <c r="D315" s="21"/>
      <c r="E315" s="21"/>
    </row>
    <row r="316" spans="2:5" x14ac:dyDescent="0.4">
      <c r="B316" s="21"/>
      <c r="C316" s="21"/>
      <c r="D316" s="21"/>
      <c r="E316" s="21"/>
    </row>
    <row r="317" spans="2:5" x14ac:dyDescent="0.4">
      <c r="B317" s="21"/>
      <c r="C317" s="21"/>
      <c r="D317" s="21"/>
      <c r="E317" s="21"/>
    </row>
    <row r="318" spans="2:5" x14ac:dyDescent="0.4">
      <c r="B318" s="21"/>
      <c r="C318" s="21"/>
      <c r="D318" s="21"/>
      <c r="E318" s="21"/>
    </row>
    <row r="319" spans="2:5" x14ac:dyDescent="0.4">
      <c r="B319" s="21"/>
      <c r="C319" s="21"/>
      <c r="D319" s="21"/>
      <c r="E319" s="21"/>
    </row>
    <row r="320" spans="2:5" x14ac:dyDescent="0.4">
      <c r="B320" s="21"/>
      <c r="C320" s="21"/>
      <c r="D320" s="21"/>
      <c r="E320" s="21"/>
    </row>
    <row r="321" spans="2:5" x14ac:dyDescent="0.4">
      <c r="B321" s="21"/>
      <c r="C321" s="21"/>
      <c r="D321" s="21"/>
      <c r="E321" s="21"/>
    </row>
    <row r="322" spans="2:5" x14ac:dyDescent="0.4">
      <c r="B322" s="21"/>
      <c r="C322" s="21"/>
      <c r="D322" s="21"/>
      <c r="E322" s="21"/>
    </row>
    <row r="323" spans="2:5" x14ac:dyDescent="0.4">
      <c r="B323" s="21"/>
      <c r="C323" s="21"/>
      <c r="D323" s="21"/>
      <c r="E323" s="21"/>
    </row>
    <row r="324" spans="2:5" x14ac:dyDescent="0.4">
      <c r="B324" s="21"/>
      <c r="C324" s="21"/>
      <c r="D324" s="21"/>
      <c r="E324" s="21"/>
    </row>
    <row r="325" spans="2:5" x14ac:dyDescent="0.4">
      <c r="B325" s="21"/>
      <c r="C325" s="21"/>
      <c r="D325" s="21"/>
      <c r="E325" s="21"/>
    </row>
    <row r="326" spans="2:5" x14ac:dyDescent="0.4">
      <c r="B326" s="21"/>
      <c r="C326" s="21"/>
      <c r="D326" s="21"/>
      <c r="E326" s="21"/>
    </row>
    <row r="327" spans="2:5" x14ac:dyDescent="0.4">
      <c r="B327" s="21"/>
      <c r="C327" s="21"/>
      <c r="D327" s="21"/>
      <c r="E327" s="21"/>
    </row>
    <row r="328" spans="2:5" x14ac:dyDescent="0.4">
      <c r="B328" s="21"/>
      <c r="C328" s="21"/>
      <c r="D328" s="21"/>
      <c r="E328" s="21"/>
    </row>
    <row r="329" spans="2:5" x14ac:dyDescent="0.4">
      <c r="B329" s="21"/>
      <c r="C329" s="21"/>
      <c r="D329" s="21"/>
      <c r="E329" s="21"/>
    </row>
    <row r="330" spans="2:5" x14ac:dyDescent="0.4">
      <c r="B330" s="21"/>
      <c r="C330" s="21"/>
      <c r="D330" s="21"/>
      <c r="E330" s="21"/>
    </row>
    <row r="331" spans="2:5" x14ac:dyDescent="0.4">
      <c r="B331" s="21"/>
      <c r="C331" s="21"/>
      <c r="D331" s="21"/>
      <c r="E331" s="21"/>
    </row>
    <row r="332" spans="2:5" x14ac:dyDescent="0.4">
      <c r="B332" s="21"/>
      <c r="C332" s="21"/>
      <c r="D332" s="21"/>
      <c r="E332" s="21"/>
    </row>
    <row r="333" spans="2:5" x14ac:dyDescent="0.4">
      <c r="B333" s="21"/>
      <c r="C333" s="21"/>
      <c r="D333" s="21"/>
      <c r="E333" s="21"/>
    </row>
    <row r="334" spans="2:5" x14ac:dyDescent="0.4">
      <c r="B334" s="21"/>
      <c r="C334" s="21"/>
      <c r="D334" s="21"/>
      <c r="E334" s="21"/>
    </row>
    <row r="335" spans="2:5" x14ac:dyDescent="0.4">
      <c r="B335" s="21"/>
      <c r="C335" s="21"/>
      <c r="D335" s="21"/>
      <c r="E335" s="21"/>
    </row>
    <row r="336" spans="2:5" x14ac:dyDescent="0.4">
      <c r="B336" s="21"/>
      <c r="C336" s="21"/>
      <c r="D336" s="21"/>
      <c r="E336" s="21"/>
    </row>
    <row r="337" spans="2:5" x14ac:dyDescent="0.4">
      <c r="B337" s="21"/>
      <c r="C337" s="21"/>
      <c r="D337" s="21"/>
      <c r="E337" s="21"/>
    </row>
    <row r="338" spans="2:5" x14ac:dyDescent="0.4">
      <c r="B338" s="21"/>
      <c r="C338" s="21"/>
      <c r="D338" s="21"/>
      <c r="E338" s="21"/>
    </row>
    <row r="339" spans="2:5" x14ac:dyDescent="0.4">
      <c r="B339" s="21"/>
      <c r="C339" s="21"/>
      <c r="D339" s="21"/>
      <c r="E339" s="21"/>
    </row>
    <row r="340" spans="2:5" x14ac:dyDescent="0.4">
      <c r="B340" s="21"/>
      <c r="C340" s="21"/>
      <c r="D340" s="21"/>
      <c r="E340" s="21"/>
    </row>
    <row r="341" spans="2:5" x14ac:dyDescent="0.4">
      <c r="B341" s="21"/>
      <c r="C341" s="21"/>
      <c r="D341" s="21"/>
      <c r="E341" s="21"/>
    </row>
    <row r="342" spans="2:5" x14ac:dyDescent="0.4">
      <c r="B342" s="21"/>
      <c r="C342" s="21"/>
      <c r="D342" s="21"/>
      <c r="E342" s="21"/>
    </row>
    <row r="343" spans="2:5" x14ac:dyDescent="0.4">
      <c r="B343" s="21"/>
      <c r="C343" s="21"/>
      <c r="D343" s="21"/>
      <c r="E343" s="21"/>
    </row>
    <row r="344" spans="2:5" x14ac:dyDescent="0.4">
      <c r="B344" s="21"/>
      <c r="C344" s="21"/>
      <c r="D344" s="21"/>
      <c r="E344" s="21"/>
    </row>
    <row r="345" spans="2:5" x14ac:dyDescent="0.4">
      <c r="B345" s="21"/>
      <c r="C345" s="21"/>
      <c r="D345" s="21"/>
      <c r="E345" s="21"/>
    </row>
    <row r="346" spans="2:5" x14ac:dyDescent="0.4">
      <c r="B346" s="21"/>
      <c r="C346" s="21"/>
      <c r="D346" s="21"/>
      <c r="E346" s="21"/>
    </row>
    <row r="347" spans="2:5" x14ac:dyDescent="0.4">
      <c r="B347" s="21"/>
      <c r="C347" s="21"/>
      <c r="D347" s="21"/>
      <c r="E347" s="21"/>
    </row>
    <row r="348" spans="2:5" x14ac:dyDescent="0.4">
      <c r="B348" s="21"/>
      <c r="C348" s="21"/>
      <c r="D348" s="21"/>
      <c r="E348" s="21"/>
    </row>
    <row r="349" spans="2:5" x14ac:dyDescent="0.4">
      <c r="B349" s="21"/>
      <c r="C349" s="21"/>
      <c r="D349" s="21"/>
      <c r="E349" s="21"/>
    </row>
    <row r="350" spans="2:5" x14ac:dyDescent="0.4">
      <c r="B350" s="21"/>
      <c r="C350" s="21"/>
      <c r="D350" s="21"/>
      <c r="E350" s="21"/>
    </row>
    <row r="351" spans="2:5" x14ac:dyDescent="0.4">
      <c r="B351" s="21"/>
      <c r="C351" s="21"/>
      <c r="D351" s="21"/>
      <c r="E351" s="21"/>
    </row>
    <row r="352" spans="2:5" x14ac:dyDescent="0.4">
      <c r="B352" s="21"/>
      <c r="C352" s="21"/>
      <c r="D352" s="21"/>
      <c r="E352" s="21"/>
    </row>
    <row r="353" spans="2:5" x14ac:dyDescent="0.4">
      <c r="B353" s="21"/>
      <c r="C353" s="21"/>
      <c r="D353" s="21"/>
      <c r="E353" s="21"/>
    </row>
    <row r="354" spans="2:5" x14ac:dyDescent="0.4">
      <c r="B354" s="21"/>
      <c r="C354" s="21"/>
      <c r="D354" s="21"/>
      <c r="E354" s="21"/>
    </row>
    <row r="355" spans="2:5" x14ac:dyDescent="0.4">
      <c r="B355" s="21"/>
      <c r="C355" s="21"/>
      <c r="D355" s="21"/>
      <c r="E355" s="21"/>
    </row>
    <row r="356" spans="2:5" x14ac:dyDescent="0.4">
      <c r="B356" s="21"/>
      <c r="C356" s="21"/>
      <c r="D356" s="21"/>
      <c r="E356" s="21"/>
    </row>
    <row r="357" spans="2:5" x14ac:dyDescent="0.4">
      <c r="B357" s="21"/>
      <c r="C357" s="21"/>
      <c r="D357" s="21"/>
      <c r="E357" s="21"/>
    </row>
    <row r="358" spans="2:5" x14ac:dyDescent="0.4">
      <c r="B358" s="21"/>
      <c r="C358" s="21"/>
      <c r="D358" s="21"/>
      <c r="E358" s="21"/>
    </row>
    <row r="359" spans="2:5" x14ac:dyDescent="0.4">
      <c r="B359" s="21"/>
      <c r="C359" s="21"/>
      <c r="D359" s="21"/>
      <c r="E359" s="21"/>
    </row>
  </sheetData>
  <mergeCells count="1">
    <mergeCell ref="H1:I1"/>
  </mergeCells>
  <dataValidations disablePrompts="1" count="1">
    <dataValidation type="list" allowBlank="1" showInputMessage="1" showErrorMessage="1" sqref="H15" xr:uid="{EB3DB9E5-B80D-4246-B377-4629C6324777}">
      <formula1>$E$46:$E$56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6C6FA-81E9-43F7-8B70-E2A364466564}">
  <sheetPr>
    <pageSetUpPr fitToPage="1"/>
  </sheetPr>
  <dimension ref="A1:BQ622"/>
  <sheetViews>
    <sheetView zoomScale="40" zoomScaleNormal="40" workbookViewId="0">
      <selection activeCell="S18" sqref="S18"/>
    </sheetView>
  </sheetViews>
  <sheetFormatPr defaultColWidth="8.84375" defaultRowHeight="14.6" x14ac:dyDescent="0.4"/>
  <cols>
    <col min="1" max="1" width="8.84375" style="63"/>
    <col min="2" max="2" width="10.3046875" style="63" customWidth="1"/>
    <col min="3" max="13" width="8.84375" style="63"/>
    <col min="14" max="14" width="6" style="63" customWidth="1"/>
    <col min="15" max="26" width="8.84375" style="63"/>
    <col min="27" max="28" width="8.69140625" style="59" customWidth="1"/>
    <col min="29" max="29" width="8.69140625" style="44" customWidth="1"/>
    <col min="30" max="30" width="8.69140625" style="67" customWidth="1"/>
    <col min="31" max="31" width="8.69140625" style="69" customWidth="1"/>
    <col min="33" max="33" width="8.84375" style="1"/>
    <col min="35" max="35" width="8.84375" style="1"/>
    <col min="36" max="36" width="8.69140625" style="63" customWidth="1"/>
    <col min="37" max="37" width="18" style="63" customWidth="1"/>
    <col min="38" max="40" width="8.84375" style="63"/>
    <col min="41" max="41" width="12.4609375" style="63" bestFit="1" customWidth="1"/>
    <col min="42" max="43" width="8.84375" style="63"/>
    <col min="44" max="44" width="8.69140625" style="69" customWidth="1"/>
    <col min="45" max="46" width="8.69140625" style="70" customWidth="1"/>
    <col min="47" max="47" width="8.69140625" style="71" customWidth="1"/>
    <col min="48" max="48" width="8.84375" style="55"/>
    <col min="49" max="49" width="9.84375" style="63" bestFit="1" customWidth="1"/>
    <col min="50" max="57" width="8.84375" style="63"/>
    <col min="58" max="58" width="10" style="63" customWidth="1"/>
    <col min="59" max="16384" width="8.84375" style="63"/>
  </cols>
  <sheetData>
    <row r="1" spans="1:59" ht="17.149999999999999" customHeight="1" thickTop="1" thickBot="1" x14ac:dyDescent="0.45">
      <c r="B1" s="872" t="s">
        <v>346</v>
      </c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64" t="s">
        <v>347</v>
      </c>
      <c r="P1" s="65"/>
      <c r="Q1" s="65"/>
      <c r="R1" s="65"/>
      <c r="S1" s="65"/>
      <c r="T1" s="65"/>
      <c r="U1" s="65"/>
      <c r="V1" s="65"/>
      <c r="W1" s="43"/>
      <c r="Y1" s="434"/>
      <c r="Z1" s="716" t="s">
        <v>754</v>
      </c>
      <c r="AA1" s="59" t="s">
        <v>0</v>
      </c>
      <c r="AB1" s="59" t="s">
        <v>1</v>
      </c>
      <c r="AC1" s="44" t="s">
        <v>15</v>
      </c>
      <c r="AD1" s="67" t="s">
        <v>348</v>
      </c>
      <c r="AE1" s="435" t="s">
        <v>754</v>
      </c>
      <c r="AF1" s="844" t="s">
        <v>349</v>
      </c>
      <c r="AG1" s="844"/>
      <c r="AH1" s="844" t="s">
        <v>350</v>
      </c>
      <c r="AI1" s="844"/>
      <c r="AJ1" s="23" t="s">
        <v>351</v>
      </c>
      <c r="AP1" t="s">
        <v>6</v>
      </c>
      <c r="AQ1" s="1"/>
      <c r="AV1" s="52"/>
      <c r="AW1" s="1"/>
      <c r="AX1" s="1"/>
      <c r="BB1" s="1"/>
      <c r="BC1" s="1"/>
      <c r="BD1" s="1"/>
      <c r="BE1" s="1"/>
      <c r="BF1" s="1"/>
    </row>
    <row r="2" spans="1:59" ht="14.6" customHeight="1" x14ac:dyDescent="0.4">
      <c r="A2" t="s">
        <v>353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4" t="s">
        <v>354</v>
      </c>
      <c r="N2" s="73"/>
      <c r="O2" s="75"/>
      <c r="P2" s="24"/>
      <c r="X2" s="57"/>
      <c r="Y2" s="77"/>
      <c r="Z2" s="717">
        <f>Inputs!A2</f>
        <v>0.3</v>
      </c>
      <c r="AA2" s="59">
        <f>Inputs!B2</f>
        <v>0.30030030030030042</v>
      </c>
      <c r="AB2" s="59">
        <f>Inputs!C2</f>
        <v>0.89587962962962941</v>
      </c>
      <c r="AC2" s="44">
        <f>Inputs!D2</f>
        <v>5.0546624999999965</v>
      </c>
      <c r="AE2" s="718">
        <f>Inputs!F2</f>
        <v>0.3</v>
      </c>
      <c r="AF2" s="2">
        <f>IFERROR(SMALL(AF9:AF70,COUNTIF(AF9:AF70,0)+1),0)</f>
        <v>0.63396730063396722</v>
      </c>
      <c r="AG2" s="78">
        <f>SUM(AG10:AG72)</f>
        <v>-3.191250000000069E-2</v>
      </c>
      <c r="AH2" s="2">
        <f>IFERROR(SMALL(AH9:AH80,COUNTIF(AH9:AH80,0)+1),0)</f>
        <v>1.1511511511511507</v>
      </c>
      <c r="AI2" s="79">
        <f>SUM(AI10:AI80)</f>
        <v>2.2662500000001806E-2</v>
      </c>
      <c r="AJ2" s="25"/>
      <c r="AK2" s="80" t="s">
        <v>355</v>
      </c>
      <c r="AL2" s="67">
        <f>AF3-AF2</f>
        <v>6.6733400066733228E-2</v>
      </c>
      <c r="AM2" s="67">
        <f>AH3-AH2</f>
        <v>0.11678345011678393</v>
      </c>
      <c r="AN2" t="s">
        <v>356</v>
      </c>
      <c r="AQ2" s="59"/>
      <c r="AR2" s="81"/>
      <c r="AS2" s="54"/>
      <c r="AT2" s="54"/>
      <c r="AW2" s="763"/>
      <c r="AX2" s="763"/>
      <c r="AY2"/>
      <c r="BB2" s="1"/>
      <c r="BC2" s="1"/>
      <c r="BD2" s="1"/>
      <c r="BE2" s="1"/>
      <c r="BF2" s="760"/>
    </row>
    <row r="3" spans="1:59" ht="14.6" customHeight="1" x14ac:dyDescent="0.4">
      <c r="A3" s="82">
        <v>11.2</v>
      </c>
      <c r="B3" s="76"/>
      <c r="M3" s="83">
        <v>0</v>
      </c>
      <c r="N3" t="s">
        <v>357</v>
      </c>
      <c r="O3" s="84"/>
      <c r="P3" s="24"/>
      <c r="X3" s="57"/>
      <c r="Y3" s="77"/>
      <c r="Z3" s="717">
        <f>Inputs!A3</f>
        <v>0.31</v>
      </c>
      <c r="AA3" s="59">
        <f>Inputs!B3</f>
        <v>0.31698365031698378</v>
      </c>
      <c r="AB3" s="59">
        <f>Inputs!C3</f>
        <v>0.97837962962962943</v>
      </c>
      <c r="AC3" s="44">
        <f>Inputs!D3</f>
        <v>4.9450499999999957</v>
      </c>
      <c r="AE3" s="718">
        <f>Inputs!F3</f>
        <v>0.31</v>
      </c>
      <c r="AF3" s="2">
        <f>MAX(AF9:AF72)</f>
        <v>0.70070070070070045</v>
      </c>
      <c r="AH3" s="2">
        <f>MAX(AH9:AH80)</f>
        <v>1.2679346012679347</v>
      </c>
      <c r="AJ3" s="25">
        <f t="shared" ref="AJ3:AJ66" si="0">(AA3-AA2)*((AC2+AC3)/2)</f>
        <v>8.3414351851851851E-2</v>
      </c>
      <c r="AK3" s="80" t="s">
        <v>358</v>
      </c>
      <c r="AL3" s="67">
        <f>AF6-AF7</f>
        <v>0.76698225000001585</v>
      </c>
      <c r="AQ3" s="59"/>
      <c r="AR3" s="81"/>
      <c r="AS3" s="54"/>
      <c r="AT3" s="54"/>
      <c r="AW3" s="85"/>
      <c r="AX3" s="85"/>
      <c r="AY3"/>
      <c r="BB3" s="761"/>
      <c r="BC3" s="761"/>
      <c r="BD3" s="761"/>
      <c r="BE3" s="761"/>
      <c r="BG3" s="761"/>
    </row>
    <row r="4" spans="1:59" ht="14.6" customHeight="1" x14ac:dyDescent="0.4">
      <c r="A4" s="82">
        <v>19.18</v>
      </c>
      <c r="B4" s="76"/>
      <c r="M4" s="86"/>
      <c r="N4" s="1" t="s">
        <v>359</v>
      </c>
      <c r="O4" s="84"/>
      <c r="P4" s="24"/>
      <c r="X4" s="57"/>
      <c r="Y4" s="77"/>
      <c r="Z4" s="717">
        <f>Inputs!A4</f>
        <v>0.33</v>
      </c>
      <c r="AA4" s="59">
        <f>Inputs!B4</f>
        <v>0.33366700033366714</v>
      </c>
      <c r="AB4" s="59">
        <f>Inputs!C4</f>
        <v>1.0588888888888888</v>
      </c>
      <c r="AC4" s="44">
        <f>Inputs!D4</f>
        <v>4.8257249999999958</v>
      </c>
      <c r="AD4" s="67">
        <f>IF(Inputs!E4=0,"",Inputs!E4)</f>
        <v>-7.1246182500000268</v>
      </c>
      <c r="AE4" s="718">
        <f>Inputs!F4</f>
        <v>0.33</v>
      </c>
      <c r="AF4" s="44">
        <f>IFERROR(VLOOKUP(AF2,AA7:AD72,3,FALSE),0)</f>
        <v>3.3771750000000096</v>
      </c>
      <c r="AH4" s="44">
        <f>IFERROR(VLOOKUP(AH2,AA7:AE80,3,FALSE),0)</f>
        <v>4.7216624999999794</v>
      </c>
      <c r="AJ4" s="25">
        <f t="shared" si="0"/>
        <v>8.1504629629629621E-2</v>
      </c>
      <c r="AK4" s="80" t="s">
        <v>360</v>
      </c>
      <c r="AL4" s="67">
        <f>AF5-AF4</f>
        <v>0.12996249999999954</v>
      </c>
      <c r="AQ4" s="59"/>
      <c r="AR4" s="81"/>
      <c r="AS4" s="54"/>
      <c r="AT4" s="54"/>
      <c r="AW4" s="87"/>
      <c r="AX4" s="87"/>
      <c r="AY4"/>
    </row>
    <row r="5" spans="1:59" x14ac:dyDescent="0.4">
      <c r="A5" t="s">
        <v>361</v>
      </c>
      <c r="B5" s="76"/>
      <c r="M5" s="86"/>
      <c r="N5" s="1" t="s">
        <v>362</v>
      </c>
      <c r="O5" s="84"/>
      <c r="P5" s="24"/>
      <c r="X5" s="57"/>
      <c r="Y5" s="77"/>
      <c r="Z5" s="717">
        <f>Inputs!A5</f>
        <v>0.35</v>
      </c>
      <c r="AA5" s="59">
        <f>Inputs!B5</f>
        <v>0.3503503503503505</v>
      </c>
      <c r="AB5" s="59">
        <f>Inputs!C5</f>
        <v>1.1372685185185183</v>
      </c>
      <c r="AC5" s="44">
        <f>Inputs!D5</f>
        <v>4.6980749999999958</v>
      </c>
      <c r="AD5" s="67">
        <f>IF(Inputs!E5=0,"",Inputs!E5)</f>
        <v>-7.5958965000000198</v>
      </c>
      <c r="AE5" s="718">
        <f>Inputs!F5</f>
        <v>0.35</v>
      </c>
      <c r="AF5" s="44">
        <f>IFERROR(VLOOKUP(AF3,AA7:AD72,3,FALSE),0)</f>
        <v>3.5071375000000091</v>
      </c>
      <c r="AH5" s="44">
        <f>IFERROR(VLOOKUP(AH3,AA7:AD80,3,FALSE),0)</f>
        <v>4.7410874999999804</v>
      </c>
      <c r="AJ5" s="25">
        <f t="shared" si="0"/>
        <v>7.9444444444444429E-2</v>
      </c>
      <c r="AK5" s="22" t="s">
        <v>363</v>
      </c>
      <c r="AL5" s="88">
        <f>M19</f>
        <v>0</v>
      </c>
      <c r="AM5" s="88">
        <f>M19</f>
        <v>0</v>
      </c>
      <c r="AN5" s="88"/>
      <c r="AO5" s="88"/>
      <c r="AQ5" s="59"/>
      <c r="AR5" s="81"/>
      <c r="AS5" s="54"/>
      <c r="AT5" s="54"/>
      <c r="AW5" s="87"/>
      <c r="AX5" s="87"/>
      <c r="AY5"/>
      <c r="BF5" s="762"/>
    </row>
    <row r="6" spans="1:59" x14ac:dyDescent="0.4">
      <c r="A6" s="82">
        <v>9.6999999999999993</v>
      </c>
      <c r="B6" s="76"/>
      <c r="M6" s="86"/>
      <c r="N6" s="63">
        <v>4.6500000000000004</v>
      </c>
      <c r="O6" s="84"/>
      <c r="P6" s="24"/>
      <c r="X6" s="57"/>
      <c r="Y6" s="77"/>
      <c r="Z6" s="717">
        <f>Inputs!A6</f>
        <v>0.36</v>
      </c>
      <c r="AA6" s="59">
        <f>Inputs!B6</f>
        <v>0.36703370036703387</v>
      </c>
      <c r="AB6" s="59">
        <f>Inputs!C6</f>
        <v>1.2134259259259257</v>
      </c>
      <c r="AC6" s="44">
        <f>Inputs!D6</f>
        <v>4.5648749999999962</v>
      </c>
      <c r="AD6" s="67">
        <f>IF(Inputs!E6=0,"",Inputs!E6)</f>
        <v>-7.9100819999999077</v>
      </c>
      <c r="AE6" s="718">
        <f>Inputs!F6</f>
        <v>0.36</v>
      </c>
      <c r="AF6" s="67">
        <f>IFERROR(VLOOKUP(AF2,AA7:AD72,4,FALSE),0)</f>
        <v>2.4580395000000186</v>
      </c>
      <c r="AH6" s="67">
        <f>IFERROR(VLOOKUP(AH2,AA7:AD80,4,FALSE),0)</f>
        <v>0.53596349999995541</v>
      </c>
      <c r="AJ6" s="25">
        <f t="shared" si="0"/>
        <v>7.7268518518518514E-2</v>
      </c>
      <c r="AK6" s="22" t="s">
        <v>363</v>
      </c>
      <c r="AL6" s="63">
        <v>25</v>
      </c>
      <c r="AM6" s="63">
        <v>-5</v>
      </c>
      <c r="AO6" s="626"/>
      <c r="AQ6" s="59"/>
      <c r="AR6" s="81"/>
      <c r="AS6" s="54"/>
      <c r="AT6" s="54"/>
      <c r="AX6" s="85"/>
      <c r="AY6"/>
    </row>
    <row r="7" spans="1:59" ht="15" thickBot="1" x14ac:dyDescent="0.45">
      <c r="A7" s="91">
        <v>16.61</v>
      </c>
      <c r="B7" s="76"/>
      <c r="M7" s="92">
        <f>C32</f>
        <v>0.38</v>
      </c>
      <c r="N7" s="93"/>
      <c r="O7" s="94" t="s">
        <v>364</v>
      </c>
      <c r="P7" s="24"/>
      <c r="Z7" s="717">
        <f>Inputs!A7</f>
        <v>0.38</v>
      </c>
      <c r="AA7" s="59">
        <f>Inputs!B7</f>
        <v>0.38371705038371723</v>
      </c>
      <c r="AB7" s="59">
        <f>Inputs!C7</f>
        <v>1.2873302469135801</v>
      </c>
      <c r="AC7" s="44">
        <f>Inputs!D7</f>
        <v>4.4298249999999966</v>
      </c>
      <c r="AD7" s="67">
        <f>IF(Inputs!E7=0,"",Inputs!E7)</f>
        <v>-8.039452500000051</v>
      </c>
      <c r="AE7" s="718">
        <f>Inputs!F7</f>
        <v>0.38</v>
      </c>
      <c r="AF7" s="67">
        <f>IFERROR(VLOOKUP(AF3,AA7:AD72,4,FALSE),0)</f>
        <v>1.6910572500000027</v>
      </c>
      <c r="AH7" s="67">
        <f>IFERROR(VLOOKUP(AH3,AA7:AD80,4,FALSE),0)</f>
        <v>0.47127825000004431</v>
      </c>
      <c r="AJ7" s="25">
        <f t="shared" si="0"/>
        <v>7.5030864197530855E-2</v>
      </c>
      <c r="AK7" s="22" t="s">
        <v>365</v>
      </c>
      <c r="AL7" s="95">
        <f>M43</f>
        <v>0</v>
      </c>
      <c r="AM7" s="95">
        <f>M43</f>
        <v>0</v>
      </c>
      <c r="AQ7" s="59"/>
      <c r="AR7" s="81"/>
      <c r="AS7" s="54"/>
      <c r="AT7" s="54"/>
      <c r="AX7" s="87"/>
      <c r="AY7"/>
    </row>
    <row r="8" spans="1:59" x14ac:dyDescent="0.4">
      <c r="B8" s="76"/>
      <c r="M8" s="74" t="s">
        <v>366</v>
      </c>
      <c r="N8" s="73"/>
      <c r="O8" s="96"/>
      <c r="P8" s="24"/>
      <c r="Z8" s="717">
        <f>Inputs!A8</f>
        <v>0.4</v>
      </c>
      <c r="AA8" s="59">
        <f>Inputs!B8</f>
        <v>0.40040040040040059</v>
      </c>
      <c r="AB8" s="59">
        <f>Inputs!C8</f>
        <v>1.3589969135802469</v>
      </c>
      <c r="AC8" s="44">
        <f>Inputs!D8</f>
        <v>4.2956999999999965</v>
      </c>
      <c r="AD8" s="67">
        <f>IF(Inputs!E8=0,"",Inputs!E8)</f>
        <v>-8.0579339999999711</v>
      </c>
      <c r="AE8" s="718">
        <f>Inputs!F8</f>
        <v>0.4</v>
      </c>
      <c r="AF8" s="2"/>
      <c r="AJ8" s="25">
        <f t="shared" si="0"/>
        <v>7.27854938271605E-2</v>
      </c>
      <c r="AK8" s="22" t="s">
        <v>365</v>
      </c>
      <c r="AL8" s="97">
        <v>25</v>
      </c>
      <c r="AM8" s="63">
        <v>-5</v>
      </c>
      <c r="AQ8" s="59"/>
      <c r="AR8" s="81"/>
      <c r="AS8" s="54"/>
      <c r="AT8" s="54"/>
      <c r="AV8" s="98"/>
      <c r="AX8" s="85"/>
      <c r="AY8"/>
    </row>
    <row r="9" spans="1:59" x14ac:dyDescent="0.4">
      <c r="B9" s="76"/>
      <c r="M9" s="99">
        <v>0</v>
      </c>
      <c r="N9" t="s">
        <v>357</v>
      </c>
      <c r="O9" s="84"/>
      <c r="P9" s="24"/>
      <c r="Z9" s="717">
        <f>Inputs!A9</f>
        <v>0.41</v>
      </c>
      <c r="AA9" s="59">
        <f>Inputs!B9</f>
        <v>0.41708375041708395</v>
      </c>
      <c r="AB9" s="59">
        <f>Inputs!C9</f>
        <v>1.428425925925926</v>
      </c>
      <c r="AC9" s="44">
        <f>Inputs!D9</f>
        <v>4.1615749999999965</v>
      </c>
      <c r="AD9" s="67">
        <f>IF(Inputs!E9=0,"",Inputs!E9)</f>
        <v>-8.0671747499999586</v>
      </c>
      <c r="AE9" s="718">
        <f>Inputs!F9</f>
        <v>0.41</v>
      </c>
      <c r="AF9" s="2"/>
      <c r="AJ9" s="25">
        <f t="shared" si="0"/>
        <v>7.0547839506172827E-2</v>
      </c>
      <c r="AK9" s="100" t="s">
        <v>2</v>
      </c>
      <c r="AL9" s="26">
        <f>C32</f>
        <v>0.38</v>
      </c>
      <c r="AM9" s="27">
        <f>C32</f>
        <v>0.38</v>
      </c>
      <c r="AQ9" s="59"/>
      <c r="AR9" s="81"/>
      <c r="AS9" s="54"/>
      <c r="AT9" s="54"/>
      <c r="AV9" s="98"/>
      <c r="AW9" s="53"/>
      <c r="AX9" s="85"/>
      <c r="AY9"/>
    </row>
    <row r="10" spans="1:59" x14ac:dyDescent="0.4">
      <c r="B10" s="76"/>
      <c r="M10" s="101">
        <v>4.8380000000000001</v>
      </c>
      <c r="N10" s="1" t="s">
        <v>367</v>
      </c>
      <c r="O10" s="84"/>
      <c r="P10" s="24"/>
      <c r="Z10" s="717">
        <f>Inputs!A10</f>
        <v>0.43</v>
      </c>
      <c r="AA10" s="59">
        <f>Inputs!B10</f>
        <v>0.43376710043376732</v>
      </c>
      <c r="AB10" s="59">
        <f>Inputs!C10</f>
        <v>1.4955941358024691</v>
      </c>
      <c r="AC10" s="44">
        <f>Inputs!D10</f>
        <v>4.0260624999999974</v>
      </c>
      <c r="AD10" s="67">
        <f>IF(Inputs!E10=0,"",Inputs!E10)</f>
        <v>-8.0948969999999747</v>
      </c>
      <c r="AE10" s="718">
        <f>Inputs!F10</f>
        <v>0.43</v>
      </c>
      <c r="AF10" s="2">
        <f>IF(SUM(AF$8:AF9)=0,
IF(AND(AA10&gt;=T$64,AA10&lt;T$66),   IF(OR(AD10&lt;AD9,AD10&gt;AD11),AA10,0),0),
IF(AA10&gt;T$66,0,           IF(AF9=0,0,  IF(OR(AD10&lt;AD9,AD10&gt;AD11),AA10,0))))</f>
        <v>0</v>
      </c>
      <c r="AH10" s="2">
        <f>IF(SUM(AH$8:AH9)=0,
IF(AA10&gt;=T$66,   IF(AD11&lt;0.5,AA10,0),0),
IF(AH9=0,0,  IF(AND(AA10&lt;T$68,AD10&lt;0.5),AA10,0)))</f>
        <v>0</v>
      </c>
      <c r="AJ10" s="25">
        <f t="shared" si="0"/>
        <v>6.8298611111111115E-2</v>
      </c>
      <c r="AK10" s="100" t="s">
        <v>2</v>
      </c>
      <c r="AL10" s="26">
        <v>25</v>
      </c>
      <c r="AM10" s="27">
        <v>-5</v>
      </c>
      <c r="AN10" s="26"/>
      <c r="AO10" s="27"/>
      <c r="AQ10" s="59"/>
      <c r="AR10" s="81"/>
      <c r="AS10" s="54"/>
      <c r="AT10" s="54"/>
      <c r="AV10" s="98"/>
      <c r="AW10" s="53"/>
      <c r="AX10" s="87"/>
      <c r="AY10"/>
    </row>
    <row r="11" spans="1:59" x14ac:dyDescent="0.4">
      <c r="B11" s="76"/>
      <c r="M11" s="86"/>
      <c r="O11" s="84"/>
      <c r="P11" s="24"/>
      <c r="Z11" s="717">
        <f>Inputs!A11</f>
        <v>0.45</v>
      </c>
      <c r="AA11" s="59">
        <f>Inputs!B11</f>
        <v>0.45045045045045068</v>
      </c>
      <c r="AB11" s="59">
        <f>Inputs!C11</f>
        <v>1.5605015432098766</v>
      </c>
      <c r="AC11" s="44">
        <f>Inputs!D11</f>
        <v>3.8905499999999975</v>
      </c>
      <c r="AD11" s="67">
        <f>IF(Inputs!E11=0,"",Inputs!E11)</f>
        <v>-8.0764154999999462</v>
      </c>
      <c r="AE11" s="718">
        <f>Inputs!F11</f>
        <v>0.45</v>
      </c>
      <c r="AF11" s="2">
        <f>IF(SUM(AF$8:AF10)=0,
IF(AND(AA11&gt;=T$64,AA11&lt;T$66),   IF(OR(AD11&lt;AD10,AD11&gt;AD12),AA11,0),0),
IF(AA11&gt;T$66,0,           IF(AF10=0,0,  IF(OR(AD11&lt;AD10,AD11&gt;AD12),AA11,0))))</f>
        <v>0</v>
      </c>
      <c r="AG11" s="102">
        <f t="shared" ref="AG11:AG24" si="1">IF(AND(AF10&gt;0,AF11&gt;0),                        (AF11-AF10)*(AD11-AF$6),0)</f>
        <v>0</v>
      </c>
      <c r="AH11" s="2">
        <f>IF(SUM(AH$8:AH10)=0,
IF(AA11&gt;=T$66,   IF(AD12&lt;0.5,AA11,0),0),
IF(AH10=0,0,  IF(AND(AA11&lt;T$68,AD11&lt;0.5),AA11,0)))</f>
        <v>0</v>
      </c>
      <c r="AI11" s="102">
        <f t="shared" ref="AI11:AI54" si="2">IF(AND(AH10&gt;0,AH11&gt;0),                        (AH11-AH10)*AD11,   0)</f>
        <v>0</v>
      </c>
      <c r="AJ11" s="25">
        <f t="shared" si="0"/>
        <v>6.603780864197531E-2</v>
      </c>
      <c r="AK11" s="22" t="s">
        <v>368</v>
      </c>
      <c r="AL11" s="28">
        <f>C33</f>
        <v>0.57999999999999996</v>
      </c>
      <c r="AM11" s="29">
        <f>C33</f>
        <v>0.57999999999999996</v>
      </c>
      <c r="AN11" s="28"/>
      <c r="AO11" s="29"/>
      <c r="AQ11" s="59"/>
      <c r="AR11" s="81"/>
      <c r="AS11" s="54"/>
      <c r="AT11" s="54"/>
      <c r="AV11" s="98"/>
      <c r="AW11" s="103"/>
      <c r="AX11" s="85"/>
      <c r="AY11"/>
    </row>
    <row r="12" spans="1:59" x14ac:dyDescent="0.4">
      <c r="A12" t="s">
        <v>369</v>
      </c>
      <c r="B12" s="76"/>
      <c r="M12" s="86"/>
      <c r="O12" s="84"/>
      <c r="P12" s="24"/>
      <c r="Z12" s="717">
        <f>Inputs!A12</f>
        <v>0.46</v>
      </c>
      <c r="AA12" s="59">
        <f>Inputs!B12</f>
        <v>0.46713380046713404</v>
      </c>
      <c r="AB12" s="59">
        <f>Inputs!C12</f>
        <v>1.6231867283950618</v>
      </c>
      <c r="AC12" s="44">
        <f>Inputs!D12</f>
        <v>3.7573499999999989</v>
      </c>
      <c r="AD12" s="67">
        <f>IF(Inputs!E12=0,"",Inputs!E12)</f>
        <v>-7.9193227499999752</v>
      </c>
      <c r="AE12" s="718">
        <f>Inputs!F12</f>
        <v>0.46</v>
      </c>
      <c r="AF12" s="2">
        <f>IF(SUM(AF$8:AF11)=0,
IF(AND(AA12&gt;=T$64,AA12&lt;T$66),   IF(OR(AD12&lt;AD11,AD12&gt;AD13),AA12,0),0),
IF(AA12&gt;T$66,0,           IF(AF11=0,0,  IF(OR(AD12&lt;AD11,AD12&gt;AD13),AA12,0))))</f>
        <v>0</v>
      </c>
      <c r="AG12" s="102">
        <f t="shared" si="1"/>
        <v>0</v>
      </c>
      <c r="AH12" s="2">
        <f>IF(SUM(AH$8:AH11)=0,
IF(AA12&gt;=T$66,   IF(AD13&lt;0.5,AA12,0),0),
IF(AH11=0,0,  IF(AND(AA12&lt;T$68,AD12&lt;0.5),AA12,0)))</f>
        <v>0</v>
      </c>
      <c r="AI12" s="102">
        <f t="shared" si="2"/>
        <v>0</v>
      </c>
      <c r="AJ12" s="25">
        <f t="shared" si="0"/>
        <v>6.3796296296296309E-2</v>
      </c>
      <c r="AK12" s="22" t="s">
        <v>368</v>
      </c>
      <c r="AL12" s="28">
        <v>25</v>
      </c>
      <c r="AM12" s="29">
        <v>-5</v>
      </c>
      <c r="AN12" s="28"/>
      <c r="AO12" s="29"/>
      <c r="AQ12" s="59"/>
      <c r="AR12" s="81"/>
      <c r="AS12" s="54"/>
      <c r="AT12" s="54"/>
      <c r="AV12" s="103"/>
      <c r="AX12" s="85"/>
      <c r="AY12"/>
    </row>
    <row r="13" spans="1:59" ht="15" thickBot="1" x14ac:dyDescent="0.45">
      <c r="A13" t="s">
        <v>370</v>
      </c>
      <c r="B13" s="76"/>
      <c r="M13" s="92">
        <f>C33</f>
        <v>0.57999999999999996</v>
      </c>
      <c r="N13" s="874" t="s">
        <v>368</v>
      </c>
      <c r="O13" s="875"/>
      <c r="Z13" s="717">
        <f>Inputs!A13</f>
        <v>0.48</v>
      </c>
      <c r="AA13" s="59">
        <f>Inputs!B13</f>
        <v>0.4838171504838174</v>
      </c>
      <c r="AB13" s="59">
        <f>Inputs!C13</f>
        <v>1.6837422839506175</v>
      </c>
      <c r="AC13" s="44">
        <f>Inputs!D13</f>
        <v>3.6297000000000001</v>
      </c>
      <c r="AD13" s="67">
        <f>IF(Inputs!E13=0,"",Inputs!E13)</f>
        <v>-7.5681742499998981</v>
      </c>
      <c r="AE13" s="718">
        <f>Inputs!F13</f>
        <v>0.48</v>
      </c>
      <c r="AF13" s="2">
        <f>IF(SUM(AF$8:AF12)=0,
IF(AND(AA13&gt;=T$64,AA13&lt;T$66),   IF(OR(AD13&lt;AD12,AD13&gt;AD14),AA13,0),0),
IF(AA13&gt;T$66,0,           IF(AF12=0,0,  IF(OR(AD13&lt;AD12,AD13&gt;AD14),AA13,0))))</f>
        <v>0</v>
      </c>
      <c r="AG13" s="102">
        <f t="shared" si="1"/>
        <v>0</v>
      </c>
      <c r="AH13" s="2">
        <f>IF(SUM(AH$8:AH12)=0,
IF(AA13&gt;=T$66,   IF(AD14&lt;0.5,AA13,0),0),
IF(AH12=0,0,  IF(AND(AA13&lt;T$68,AD13&lt;0.5),AA13,0)))</f>
        <v>0</v>
      </c>
      <c r="AI13" s="102">
        <f t="shared" si="2"/>
        <v>0</v>
      </c>
      <c r="AJ13" s="25">
        <f t="shared" si="0"/>
        <v>6.1620370370370402E-2</v>
      </c>
      <c r="AK13" s="100" t="s">
        <v>4</v>
      </c>
      <c r="AL13" s="30">
        <f>C34</f>
        <v>0.93</v>
      </c>
      <c r="AM13" s="30">
        <f>C34</f>
        <v>0.93</v>
      </c>
      <c r="AN13" s="30"/>
      <c r="AO13" s="30"/>
      <c r="AQ13" s="59"/>
      <c r="AR13" s="81"/>
      <c r="AS13" s="54"/>
      <c r="AT13" s="54"/>
      <c r="AV13" s="103"/>
      <c r="AX13" s="87"/>
      <c r="AY13"/>
    </row>
    <row r="14" spans="1:59" x14ac:dyDescent="0.4">
      <c r="B14" s="76"/>
      <c r="M14" s="74" t="s">
        <v>371</v>
      </c>
      <c r="N14" s="73"/>
      <c r="O14" s="96"/>
      <c r="R14" s="24"/>
      <c r="S14" s="628"/>
      <c r="T14" s="24"/>
      <c r="Z14" s="717">
        <f>Inputs!A14</f>
        <v>0.5</v>
      </c>
      <c r="AA14" s="59">
        <f>Inputs!B14</f>
        <v>0.50050050050050077</v>
      </c>
      <c r="AB14" s="59">
        <f>Inputs!C14</f>
        <v>1.7423302469135806</v>
      </c>
      <c r="AC14" s="44">
        <f>Inputs!D14</f>
        <v>3.5117625000000019</v>
      </c>
      <c r="AD14" s="67">
        <f>IF(Inputs!E14=0,"",Inputs!E14)</f>
        <v>-6.949043999999895</v>
      </c>
      <c r="AE14" s="718">
        <f>Inputs!F14</f>
        <v>0.5</v>
      </c>
      <c r="AF14" s="2">
        <f>IF(SUM(AF$8:AF13)=0,
IF(AND(AA14&gt;=T$64,AA14&lt;T$66),   IF(OR(AD14&lt;AD13,AD14&gt;AD15),AA14,0),0),
IF(AA14&gt;T$66,0,           IF(AF13=0,0,  IF(OR(AD14&lt;AD13,AD14&gt;AD15),AA14,0))))</f>
        <v>0</v>
      </c>
      <c r="AG14" s="102">
        <f t="shared" si="1"/>
        <v>0</v>
      </c>
      <c r="AH14" s="2">
        <f>IF(SUM(AH$8:AH13)=0,
IF(AA14&gt;=T$66,   IF(AD15&lt;0.5,AA14,0),0),
IF(AH13=0,0,  IF(AND(AA14&lt;T$68,AD14&lt;0.5),AA14,0)))</f>
        <v>0</v>
      </c>
      <c r="AI14" s="102">
        <f t="shared" si="2"/>
        <v>0</v>
      </c>
      <c r="AJ14" s="25">
        <f t="shared" si="0"/>
        <v>5.9571759259259324E-2</v>
      </c>
      <c r="AK14" s="100" t="s">
        <v>4</v>
      </c>
      <c r="AL14" s="30">
        <v>25</v>
      </c>
      <c r="AM14" s="30">
        <v>-5</v>
      </c>
      <c r="AN14" s="30"/>
      <c r="AO14" s="30"/>
      <c r="AQ14" s="59"/>
      <c r="AR14" s="81"/>
      <c r="AS14" s="54"/>
      <c r="AT14" s="54"/>
      <c r="AV14" s="103"/>
      <c r="AX14" s="85"/>
      <c r="AY14"/>
    </row>
    <row r="15" spans="1:59" x14ac:dyDescent="0.4">
      <c r="A15" t="s">
        <v>372</v>
      </c>
      <c r="B15" s="76"/>
      <c r="M15" s="99">
        <v>0</v>
      </c>
      <c r="N15" t="s">
        <v>357</v>
      </c>
      <c r="O15" s="84"/>
      <c r="R15" s="52"/>
      <c r="S15" s="52"/>
      <c r="T15" s="52"/>
      <c r="Z15" s="717">
        <f>Inputs!A15</f>
        <v>0.51</v>
      </c>
      <c r="AA15" s="59">
        <f>Inputs!B15</f>
        <v>0.51718385051718407</v>
      </c>
      <c r="AB15" s="59">
        <f>Inputs!C15</f>
        <v>1.7992129629629632</v>
      </c>
      <c r="AC15" s="44">
        <f>Inputs!D15</f>
        <v>3.4095500000000034</v>
      </c>
      <c r="AD15" s="67">
        <f>IF(Inputs!E15=0,"",Inputs!E15)</f>
        <v>-5.997246749999916</v>
      </c>
      <c r="AE15" s="718">
        <f>Inputs!F15</f>
        <v>0.51</v>
      </c>
      <c r="AF15" s="2">
        <f>IF(SUM(AF$8:AF14)=0,
IF(AND(AA15&gt;=T$64,AA15&lt;T$66),   IF(OR(AD15&lt;AD14,AD15&gt;AD16),AA15,0),0),
IF(AA15&gt;T$66,0,           IF(AF14=0,0,  IF(OR(AD15&lt;AD14,AD15&gt;AD16),AA15,0))))</f>
        <v>0</v>
      </c>
      <c r="AG15" s="102">
        <f t="shared" si="1"/>
        <v>0</v>
      </c>
      <c r="AH15" s="2">
        <f>IF(SUM(AH$8:AH14)=0,
IF(AA15&gt;=T$66,   IF(AD16&lt;0.5,AA15,0),0),
IF(AH14=0,0,  IF(AND(AA15&lt;T$68,AD15&lt;0.5),AA15,0)))</f>
        <v>0</v>
      </c>
      <c r="AI15" s="102">
        <f t="shared" si="2"/>
        <v>0</v>
      </c>
      <c r="AJ15" s="25">
        <f t="shared" si="0"/>
        <v>5.7735339506172732E-2</v>
      </c>
      <c r="AK15" s="22" t="s">
        <v>373</v>
      </c>
      <c r="AL15" s="31">
        <f>C35</f>
        <v>1.18</v>
      </c>
      <c r="AM15" s="32">
        <f>C35</f>
        <v>1.18</v>
      </c>
      <c r="AN15" s="31"/>
      <c r="AO15" s="32"/>
      <c r="AQ15" s="59"/>
      <c r="AR15" s="81"/>
      <c r="AS15" s="54"/>
      <c r="AT15" s="54"/>
      <c r="AV15" s="103"/>
      <c r="AX15" s="87"/>
      <c r="AY15"/>
    </row>
    <row r="16" spans="1:59" x14ac:dyDescent="0.4">
      <c r="A16" t="s">
        <v>374</v>
      </c>
      <c r="B16" s="76"/>
      <c r="M16" s="104"/>
      <c r="O16" s="84"/>
      <c r="R16" s="53"/>
      <c r="S16" s="53"/>
      <c r="T16" s="53"/>
      <c r="U16" s="53"/>
      <c r="Z16" s="717">
        <f>Inputs!A16</f>
        <v>0.53</v>
      </c>
      <c r="AA16" s="59">
        <f>Inputs!B16</f>
        <v>0.53386720053386738</v>
      </c>
      <c r="AB16" s="59">
        <f>Inputs!C16</f>
        <v>1.854760802469136</v>
      </c>
      <c r="AC16" s="44">
        <f>Inputs!D16</f>
        <v>3.3295375000000047</v>
      </c>
      <c r="AD16" s="67">
        <f>IF(Inputs!E16=0,"",Inputs!E16)</f>
        <v>-4.6850602499999532</v>
      </c>
      <c r="AE16" s="718">
        <f>Inputs!F16</f>
        <v>0.53</v>
      </c>
      <c r="AF16" s="2">
        <f>IF(SUM(AF$8:AF15)=0,
IF(AND(AA16&gt;=T$64,AA16&lt;T$66),   IF(OR(AD16&lt;AD15,AD16&gt;AD17),AA16,0),0),
IF(AA16&gt;T$66,0,           IF(AF15=0,0,  IF(OR(AD16&lt;AD15,AD16&gt;AD17),AA16,0))))</f>
        <v>0</v>
      </c>
      <c r="AG16" s="102">
        <f t="shared" si="1"/>
        <v>0</v>
      </c>
      <c r="AH16" s="2">
        <f>IF(SUM(AH$8:AH15)=0,
IF(AA16&gt;=T$66,   IF(AD17&lt;0.5,AA16,0),0),
IF(AH15=0,0,  IF(AND(AA16&lt;T$68,AD16&lt;0.5),AA16,0)))</f>
        <v>0</v>
      </c>
      <c r="AI16" s="102">
        <f t="shared" si="2"/>
        <v>0</v>
      </c>
      <c r="AJ16" s="25">
        <f t="shared" si="0"/>
        <v>5.6215277777777697E-2</v>
      </c>
      <c r="AK16" s="22" t="s">
        <v>373</v>
      </c>
      <c r="AL16" s="31">
        <v>25</v>
      </c>
      <c r="AM16" s="32">
        <v>-5</v>
      </c>
      <c r="AN16" s="31"/>
      <c r="AO16" s="32"/>
      <c r="AQ16" s="59"/>
      <c r="AR16" s="81"/>
      <c r="AS16" s="54"/>
      <c r="AT16" s="54"/>
      <c r="AV16" s="103"/>
    </row>
    <row r="17" spans="1:51" x14ac:dyDescent="0.4">
      <c r="B17" s="76"/>
      <c r="M17" s="86"/>
      <c r="N17" s="63" t="s">
        <v>375</v>
      </c>
      <c r="O17" s="84"/>
      <c r="Q17" s="1"/>
      <c r="R17" s="53"/>
      <c r="S17" s="53"/>
      <c r="T17" s="53"/>
      <c r="Z17" s="717">
        <f>Inputs!A17</f>
        <v>0.55000000000000004</v>
      </c>
      <c r="AA17" s="59">
        <f>Inputs!B17</f>
        <v>0.55055055055055069</v>
      </c>
      <c r="AB17" s="59">
        <f>Inputs!C17</f>
        <v>1.909436728395062</v>
      </c>
      <c r="AC17" s="44">
        <f>Inputs!D17</f>
        <v>3.2772750000000062</v>
      </c>
      <c r="AD17" s="67">
        <f>IF(Inputs!E17=0,"",Inputs!E17)</f>
        <v>-3.0586882499999155</v>
      </c>
      <c r="AE17" s="718">
        <f>Inputs!F17</f>
        <v>0.55000000000000004</v>
      </c>
      <c r="AF17" s="2">
        <f>IF(SUM(AF$8:AF16)=0,
IF(AND(AA17&gt;=T$64,AA17&lt;T$66),   IF(OR(AD17&lt;AD16,AD17&gt;AD18),AA17,0),0),
IF(AA17&gt;T$66,0,           IF(AF16=0,0,  IF(OR(AD17&lt;AD16,AD17&gt;AD18),AA17,0))))</f>
        <v>0</v>
      </c>
      <c r="AG17" s="102">
        <f t="shared" si="1"/>
        <v>0</v>
      </c>
      <c r="AH17" s="2">
        <f>IF(SUM(AH$8:AH16)=0,
IF(AA17&gt;=T$66,   IF(AD18&lt;0.5,AA17,0),0),
IF(AH16=0,0,  IF(AND(AA17&lt;T$68,AD17&lt;0.5),AA17,0)))</f>
        <v>0</v>
      </c>
      <c r="AI17" s="102">
        <f t="shared" si="2"/>
        <v>0</v>
      </c>
      <c r="AJ17" s="25">
        <f t="shared" si="0"/>
        <v>5.5111882716049332E-2</v>
      </c>
      <c r="AK17" s="100" t="s">
        <v>5</v>
      </c>
      <c r="AL17" s="33">
        <f>C36</f>
        <v>1.28</v>
      </c>
      <c r="AM17" s="34">
        <f>C36</f>
        <v>1.28</v>
      </c>
      <c r="AN17" s="33"/>
      <c r="AO17" s="34"/>
      <c r="AP17" s="103"/>
      <c r="AQ17" s="85"/>
      <c r="AR17" s="105"/>
      <c r="AS17" s="106"/>
      <c r="AT17" s="106"/>
      <c r="AV17" s="103"/>
      <c r="AW17"/>
    </row>
    <row r="18" spans="1:51" x14ac:dyDescent="0.4">
      <c r="B18" s="76"/>
      <c r="M18" s="86"/>
      <c r="O18" s="84"/>
      <c r="Q18" s="1"/>
      <c r="R18" s="77"/>
      <c r="S18" s="77"/>
      <c r="T18" s="77"/>
      <c r="W18" s="107"/>
      <c r="X18" s="107"/>
      <c r="Y18" s="108" t="s">
        <v>2</v>
      </c>
      <c r="Z18" s="717">
        <f>Inputs!A18</f>
        <v>0.56000000000000005</v>
      </c>
      <c r="AA18" s="59">
        <f>Inputs!B18</f>
        <v>0.567233900567234</v>
      </c>
      <c r="AB18" s="59">
        <f>Inputs!C18</f>
        <v>1.9637654320987656</v>
      </c>
      <c r="AC18" s="44">
        <f>Inputs!D18</f>
        <v>3.2564625000000071</v>
      </c>
      <c r="AD18" s="67">
        <f>IF(Inputs!E18=0,"",Inputs!E18)</f>
        <v>-1.2844642499999468</v>
      </c>
      <c r="AE18" s="718">
        <f>Inputs!F18</f>
        <v>0.56000000000000005</v>
      </c>
      <c r="AF18" s="2">
        <f>IF(SUM(AF$8:AF17)=0,
IF(AND(AA18&gt;=T$64,AA18&lt;T$66),   IF(OR(AD18&lt;AD17,AD18&gt;AD19),AA18,0),0),
IF(AA18&gt;T$66,0,           IF(AF17=0,0,  IF(OR(AD18&lt;AD17,AD18&gt;AD19),AA18,0))))</f>
        <v>0</v>
      </c>
      <c r="AG18" s="102">
        <f t="shared" si="1"/>
        <v>0</v>
      </c>
      <c r="AH18" s="2">
        <f>IF(SUM(AH$8:AH17)=0,
IF(AA18&gt;=T$66,   IF(AD19&lt;0.5,AA18,0),0),
IF(AH17=0,0,  IF(AND(AA18&lt;T$68,AD18&lt;0.5),AA18,0)))</f>
        <v>0</v>
      </c>
      <c r="AI18" s="102">
        <f t="shared" si="2"/>
        <v>0</v>
      </c>
      <c r="AJ18" s="25">
        <f t="shared" si="0"/>
        <v>5.4502314814814788E-2</v>
      </c>
      <c r="AK18" s="100" t="s">
        <v>5</v>
      </c>
      <c r="AL18" s="33">
        <v>25</v>
      </c>
      <c r="AM18" s="34">
        <v>-5</v>
      </c>
      <c r="AN18" s="33"/>
      <c r="AO18" s="34"/>
      <c r="AP18" s="103"/>
      <c r="AQ18" s="85"/>
      <c r="AR18" s="105"/>
      <c r="AS18" s="106"/>
      <c r="AT18" s="106"/>
      <c r="AV18" s="103"/>
    </row>
    <row r="19" spans="1:51" ht="15" thickBot="1" x14ac:dyDescent="0.45">
      <c r="B19" s="76"/>
      <c r="M19" s="109">
        <v>0</v>
      </c>
      <c r="N19" s="874" t="s">
        <v>363</v>
      </c>
      <c r="O19" s="875"/>
      <c r="Q19" s="1"/>
      <c r="R19" s="77"/>
      <c r="S19" s="77"/>
      <c r="T19" s="77"/>
      <c r="W19" s="107"/>
      <c r="X19" s="107"/>
      <c r="Y19" s="111" t="s">
        <v>368</v>
      </c>
      <c r="Z19" s="717">
        <f>Inputs!A19</f>
        <v>0.57999999999999996</v>
      </c>
      <c r="AA19" s="59">
        <f>Inputs!B19</f>
        <v>0.5839172505839173</v>
      </c>
      <c r="AB19" s="59">
        <f>Inputs!C19</f>
        <v>2.0182407407407408</v>
      </c>
      <c r="AC19" s="44">
        <f>Inputs!D19</f>
        <v>3.2652500000000075</v>
      </c>
      <c r="AD19" s="67">
        <f>IF(Inputs!E19=0,"",Inputs!E19)</f>
        <v>0.35114850000005204</v>
      </c>
      <c r="AE19" s="718">
        <f>Inputs!F19</f>
        <v>0.57999999999999996</v>
      </c>
      <c r="AF19" s="2">
        <f>IF(SUM(AF$8:AF18)=0,
IF(AND(AA19&gt;=T$64,AA19&lt;T$66),   IF(OR(AD19&lt;AD18,AD19&gt;AD20),AA19,0),0),
IF(AA19&gt;T$66,0,           IF(AF18=0,0,  IF(OR(AD19&lt;AD18,AD19&gt;AD20),AA19,0))))</f>
        <v>0</v>
      </c>
      <c r="AG19" s="102">
        <f t="shared" si="1"/>
        <v>0</v>
      </c>
      <c r="AH19" s="2">
        <f>IF(SUM(AH$8:AH18)=0,
IF(AA19&gt;=T$66,   IF(AD20&lt;0.5,AA19,0),0),
IF(AH18=0,0,  IF(AND(AA19&lt;T$68,AD19&lt;0.5),AA19,0)))</f>
        <v>0</v>
      </c>
      <c r="AI19" s="102">
        <f t="shared" si="2"/>
        <v>0</v>
      </c>
      <c r="AJ19" s="25">
        <f t="shared" si="0"/>
        <v>5.4402006172839489E-2</v>
      </c>
      <c r="AK19" s="100" t="s">
        <v>10</v>
      </c>
      <c r="AL19" s="35">
        <f>C38</f>
        <v>2.16</v>
      </c>
      <c r="AM19" s="36">
        <f>C38</f>
        <v>2.16</v>
      </c>
      <c r="AN19" s="35"/>
      <c r="AO19" s="36"/>
      <c r="AP19" s="103"/>
      <c r="AQ19" s="85"/>
      <c r="AR19" s="105"/>
      <c r="AS19" s="106"/>
      <c r="AT19" s="106"/>
      <c r="AV19" s="103"/>
      <c r="AW19" s="82"/>
    </row>
    <row r="20" spans="1:51" x14ac:dyDescent="0.4">
      <c r="B20" s="76"/>
      <c r="M20" s="74" t="s">
        <v>376</v>
      </c>
      <c r="N20" s="73"/>
      <c r="O20" s="96"/>
      <c r="W20" s="107"/>
      <c r="X20" s="107"/>
      <c r="Y20" t="s">
        <v>4</v>
      </c>
      <c r="Z20" s="717">
        <f>Inputs!A20</f>
        <v>0.6</v>
      </c>
      <c r="AA20" s="59">
        <f>Inputs!B20</f>
        <v>0.60060060060060061</v>
      </c>
      <c r="AB20" s="59">
        <f>Inputs!C20</f>
        <v>2.0732098765432099</v>
      </c>
      <c r="AC20" s="44">
        <f>Inputs!D20</f>
        <v>3.2948500000000087</v>
      </c>
      <c r="AD20" s="67">
        <f>IF(Inputs!E20=0,"",Inputs!E20)</f>
        <v>1.5616867500000466</v>
      </c>
      <c r="AE20" s="718">
        <f>Inputs!F20</f>
        <v>0.6</v>
      </c>
      <c r="AF20" s="2">
        <f>IF(SUM(AF$8:AF19)=0,
IF(AND(AA20&gt;=T$64,AA20&lt;T$66),   IF(OR(AD20&lt;AD19,AD20&gt;AD21),AA20,0),0),
IF(AA20&gt;T$66,0,           IF(AF19=0,0,  IF(OR(AD20&lt;AD19,AD20&gt;AD21),AA20,0))))</f>
        <v>0</v>
      </c>
      <c r="AG20" s="102">
        <f t="shared" si="1"/>
        <v>0</v>
      </c>
      <c r="AH20" s="2">
        <f>IF(SUM(AH$8:AH19)=0,
IF(AA20&gt;=T$66,   IF(AD21&lt;0.5,AA20,0),0),
IF(AH19=0,0,  IF(AND(AA20&lt;T$68,AD20&lt;0.5),AA20,0)))</f>
        <v>0</v>
      </c>
      <c r="AI20" s="102">
        <f t="shared" si="2"/>
        <v>0</v>
      </c>
      <c r="AJ20" s="25">
        <f t="shared" si="0"/>
        <v>5.4722222222222214E-2</v>
      </c>
      <c r="AK20" s="100" t="s">
        <v>10</v>
      </c>
      <c r="AL20" s="27">
        <v>25</v>
      </c>
      <c r="AM20" s="27">
        <v>-5</v>
      </c>
      <c r="AN20" s="27"/>
      <c r="AO20" s="27"/>
      <c r="AP20" s="103"/>
      <c r="AQ20" s="85"/>
      <c r="AR20" s="105"/>
      <c r="AS20" s="106"/>
      <c r="AT20" s="106"/>
      <c r="AV20" s="103"/>
      <c r="AW20" s="764"/>
    </row>
    <row r="21" spans="1:51" x14ac:dyDescent="0.4">
      <c r="B21" s="76"/>
      <c r="M21" s="99">
        <v>4.3570000000000002</v>
      </c>
      <c r="N21" t="s">
        <v>357</v>
      </c>
      <c r="O21" s="84"/>
      <c r="W21" s="107"/>
      <c r="X21" s="107"/>
      <c r="Y21" s="113" t="s">
        <v>373</v>
      </c>
      <c r="Z21" s="717">
        <f>Inputs!A21</f>
        <v>0.61</v>
      </c>
      <c r="AA21" s="59">
        <f>Inputs!B21</f>
        <v>0.61728395061728392</v>
      </c>
      <c r="AB21" s="59">
        <f>Inputs!C21</f>
        <v>2.1288425925925925</v>
      </c>
      <c r="AC21" s="44">
        <f>Inputs!D21</f>
        <v>3.3346250000000093</v>
      </c>
      <c r="AD21" s="67">
        <f>IF(Inputs!E21=0,"",Inputs!E21)</f>
        <v>2.2362615000000288</v>
      </c>
      <c r="AE21" s="718">
        <f>Inputs!F21</f>
        <v>0.61</v>
      </c>
      <c r="AF21" s="2">
        <f>IF(SUM(AF$8:AF20)=0,
IF(AND(AA21&gt;=T$64,AA21&lt;T$66),   IF(OR(AD21&lt;AD20,AD21&gt;AD22),AA21,0),0),
IF(AA21&gt;T$66,0,           IF(AF20=0,0,  IF(OR(AD21&lt;AD20,AD21&gt;AD22),AA21,0))))</f>
        <v>0</v>
      </c>
      <c r="AG21" s="102">
        <f t="shared" si="1"/>
        <v>0</v>
      </c>
      <c r="AH21" s="2">
        <f>IF(SUM(AH$8:AH20)=0,
IF(AA21&gt;=T$66,   IF(AD22&lt;0.5,AA21,0),0),
IF(AH20=0,0,  IF(AND(AA21&lt;T$68,AD21&lt;0.5),AA21,0)))</f>
        <v>0</v>
      </c>
      <c r="AI21" s="102">
        <f t="shared" si="2"/>
        <v>0</v>
      </c>
      <c r="AJ21" s="25">
        <f t="shared" si="0"/>
        <v>5.5300925925925934E-2</v>
      </c>
      <c r="AK21" s="22" t="s">
        <v>377</v>
      </c>
      <c r="AL21" s="29">
        <f>C39</f>
        <v>2.33</v>
      </c>
      <c r="AM21" s="29">
        <f>C39</f>
        <v>2.33</v>
      </c>
      <c r="AN21" s="29"/>
      <c r="AO21" s="29"/>
      <c r="AP21" s="103"/>
      <c r="AQ21" s="85"/>
      <c r="AR21" s="105"/>
      <c r="AS21" s="106"/>
      <c r="AT21" s="106"/>
      <c r="AV21" s="103"/>
      <c r="AW21" s="765"/>
    </row>
    <row r="22" spans="1:51" x14ac:dyDescent="0.4">
      <c r="B22" s="76"/>
      <c r="M22" s="101">
        <v>5.2549999999999999</v>
      </c>
      <c r="N22" s="1" t="s">
        <v>367</v>
      </c>
      <c r="O22" s="84"/>
      <c r="W22" s="107"/>
      <c r="X22" s="107"/>
      <c r="Y22" s="116" t="s">
        <v>159</v>
      </c>
      <c r="Z22" s="717">
        <f>Inputs!A22</f>
        <v>0.63</v>
      </c>
      <c r="AA22" s="59">
        <f>Inputs!B22</f>
        <v>0.63396730063396722</v>
      </c>
      <c r="AB22" s="59">
        <f>Inputs!C22</f>
        <v>2.1851851851851851</v>
      </c>
      <c r="AC22" s="44">
        <f>Inputs!D22</f>
        <v>3.3771750000000096</v>
      </c>
      <c r="AD22" s="67">
        <f>IF(Inputs!E22=0,"",Inputs!E22)</f>
        <v>2.4580395000000186</v>
      </c>
      <c r="AE22" s="718">
        <f>Inputs!F22</f>
        <v>0.63</v>
      </c>
      <c r="AF22" s="2">
        <f>IF(SUM(AF$8:AF21)=0,
IF(AND(AA22&gt;=T$64,AA22&lt;T$66),   IF(OR(AD22&lt;AD21,AD22&gt;AD23),AA22,0),0),
IF(AA22&gt;T$66,0,           IF(AF21=0,0,  IF(OR(AD22&lt;AD21,AD22&gt;AD23),AA22,0))))</f>
        <v>0.63396730063396722</v>
      </c>
      <c r="AG22" s="102">
        <f t="shared" si="1"/>
        <v>0</v>
      </c>
      <c r="AH22" s="2">
        <f>IF(SUM(AH$8:AH21)=0,
IF(AA22&gt;=T$66,   IF(AD23&lt;0.5,AA22,0),0),
IF(AH21=0,0,  IF(AND(AA22&lt;T$68,AD22&lt;0.5),AA22,0)))</f>
        <v>0</v>
      </c>
      <c r="AI22" s="102">
        <f t="shared" si="2"/>
        <v>0</v>
      </c>
      <c r="AJ22" s="25">
        <f t="shared" si="0"/>
        <v>5.5987654320987665E-2</v>
      </c>
      <c r="AK22" s="22" t="s">
        <v>377</v>
      </c>
      <c r="AL22" s="29">
        <v>25</v>
      </c>
      <c r="AM22" s="29">
        <v>-5</v>
      </c>
      <c r="AN22" s="29"/>
      <c r="AO22" s="29"/>
      <c r="AP22" s="103"/>
      <c r="AQ22" s="85"/>
      <c r="AR22" s="105"/>
      <c r="AS22" s="106"/>
      <c r="AT22" s="106"/>
      <c r="AV22" s="103"/>
      <c r="AW22" s="766"/>
    </row>
    <row r="23" spans="1:51" ht="15" thickBot="1" x14ac:dyDescent="0.45"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86"/>
      <c r="O23" s="84"/>
      <c r="P23" s="100"/>
      <c r="Q23" s="626"/>
      <c r="W23" s="107"/>
      <c r="X23" s="107"/>
      <c r="Y23" s="107" t="s">
        <v>378</v>
      </c>
      <c r="Z23" s="717">
        <f>Inputs!A23</f>
        <v>0.65</v>
      </c>
      <c r="AA23" s="59">
        <f>Inputs!B23</f>
        <v>0.65065065065065053</v>
      </c>
      <c r="AB23" s="59">
        <f>Inputs!C23</f>
        <v>2.2422067901234568</v>
      </c>
      <c r="AC23" s="44">
        <f>Inputs!D23</f>
        <v>3.4178750000000093</v>
      </c>
      <c r="AD23" s="67">
        <f>IF(Inputs!E23=0,"",Inputs!E23)</f>
        <v>2.3656320000000384</v>
      </c>
      <c r="AE23" s="718">
        <f>Inputs!F23</f>
        <v>0.65</v>
      </c>
      <c r="AF23" s="2">
        <f>IF(SUM(AF$8:AF22)=0,
IF(AND(AA23&gt;=T$64,AA23&lt;T$66),   IF(OR(AD23&lt;AD22,AD23&gt;AD24),AA23,0),0),
IF(AA23&gt;T$66,0,           IF(AF22=0,0,  IF(OR(AD23&lt;AD22,AD23&gt;AD24),AA23,0))))</f>
        <v>0.65065065065065053</v>
      </c>
      <c r="AG23" s="102">
        <f t="shared" si="1"/>
        <v>-1.5416666666663325E-3</v>
      </c>
      <c r="AH23" s="2">
        <f>IF(SUM(AH$8:AH22)=0,
IF(AA23&gt;=T$66,   IF(AD24&lt;0.5,AA23,0),0),
IF(AH22=0,0,  IF(AND(AA23&lt;T$68,AD23&lt;0.5),AA23,0)))</f>
        <v>0</v>
      </c>
      <c r="AI23" s="102">
        <f t="shared" si="2"/>
        <v>0</v>
      </c>
      <c r="AJ23" s="25">
        <f t="shared" si="0"/>
        <v>5.6682098765432114E-2</v>
      </c>
      <c r="AK23" s="119" t="s">
        <v>379</v>
      </c>
      <c r="AL23" s="120">
        <v>-5</v>
      </c>
      <c r="AM23" s="120">
        <v>30</v>
      </c>
      <c r="AN23" s="120"/>
      <c r="AO23" s="120"/>
      <c r="AP23" s="103"/>
      <c r="AQ23" s="85"/>
      <c r="AR23" s="105"/>
      <c r="AS23" s="106"/>
      <c r="AT23" s="106"/>
      <c r="AV23" s="103"/>
    </row>
    <row r="24" spans="1:51" ht="15.9" x14ac:dyDescent="0.45">
      <c r="B24" s="121" t="s">
        <v>380</v>
      </c>
      <c r="C24" s="122" t="str">
        <f>Inputs!H4</f>
        <v>RCA</v>
      </c>
      <c r="D24" s="122"/>
      <c r="E24" s="73"/>
      <c r="F24" s="123"/>
      <c r="G24" s="50" t="s">
        <v>16</v>
      </c>
      <c r="H24" s="424" t="str">
        <f>Inputs!H5</f>
        <v>S1380016.MP4</v>
      </c>
      <c r="I24" s="124"/>
      <c r="J24" s="73"/>
      <c r="K24" s="125" t="s">
        <v>84</v>
      </c>
      <c r="L24" s="126">
        <f>Inputs!H16</f>
        <v>13.19</v>
      </c>
      <c r="M24" s="86"/>
      <c r="O24" s="84"/>
      <c r="P24" s="100"/>
      <c r="Q24" s="626"/>
      <c r="W24" s="107"/>
      <c r="X24" s="107"/>
      <c r="Y24" s="108" t="s">
        <v>2</v>
      </c>
      <c r="Z24" s="717">
        <f>Inputs!A24</f>
        <v>0.66</v>
      </c>
      <c r="AA24" s="59">
        <f>Inputs!B24</f>
        <v>0.66733400066733384</v>
      </c>
      <c r="AB24" s="59">
        <f>Inputs!C24</f>
        <v>2.2998148148148148</v>
      </c>
      <c r="AC24" s="44">
        <f>Inputs!D24</f>
        <v>3.4530250000000096</v>
      </c>
      <c r="AD24" s="67">
        <f>IF(Inputs!E24=0,"",Inputs!E24)</f>
        <v>2.0791687499999778</v>
      </c>
      <c r="AE24" s="718">
        <f>Inputs!F24</f>
        <v>0.66</v>
      </c>
      <c r="AF24" s="2">
        <f>IF(SUM(AF$8:AF23)=0,
IF(AND(AA24&gt;=T$64,AA24&lt;T$66),   IF(OR(AD24&lt;AD23,AD24&gt;AD25),AA24,0),0),
IF(AA24&gt;T$66,0,           IF(AF23=0,0,  IF(OR(AD24&lt;AD23,AD24&gt;AD25),AA24,0))))</f>
        <v>0.66733400066733384</v>
      </c>
      <c r="AG24" s="102">
        <f t="shared" si="1"/>
        <v>-6.3208333333339972E-3</v>
      </c>
      <c r="AH24" s="2">
        <f>IF(SUM(AH$8:AH23)=0,
IF(AA24&gt;=T$66,   IF(AD25&lt;0.5,AA24,0),0),
IF(AH23=0,0,  IF(AND(AA24&lt;T$68,AD24&lt;0.5),AA24,0)))</f>
        <v>0</v>
      </c>
      <c r="AI24" s="102">
        <f t="shared" si="2"/>
        <v>0</v>
      </c>
      <c r="AJ24" s="25">
        <f t="shared" si="0"/>
        <v>5.7314814814814818E-2</v>
      </c>
      <c r="AK24" s="119" t="s">
        <v>379</v>
      </c>
      <c r="AL24" s="127">
        <f>I28</f>
        <v>4.5965276190476256</v>
      </c>
      <c r="AM24" s="128">
        <f>I28</f>
        <v>4.5965276190476256</v>
      </c>
      <c r="AN24" s="128"/>
      <c r="AO24" s="128"/>
      <c r="AP24" s="103"/>
      <c r="AQ24" s="85"/>
      <c r="AR24" s="105"/>
      <c r="AS24" s="106"/>
      <c r="AT24" s="106"/>
      <c r="AV24" s="103"/>
    </row>
    <row r="25" spans="1:51" ht="16.3" thickBot="1" x14ac:dyDescent="0.5">
      <c r="B25" s="76"/>
      <c r="C25" s="37" t="s">
        <v>163</v>
      </c>
      <c r="D25" s="129" t="str">
        <f>Inputs!H2</f>
        <v>W4-</v>
      </c>
      <c r="E25" s="77"/>
      <c r="G25" s="37" t="s">
        <v>8</v>
      </c>
      <c r="H25" s="130" t="str">
        <f>Inputs!H6</f>
        <v>Henley Course 1800m</v>
      </c>
      <c r="I25" s="131"/>
      <c r="K25"/>
      <c r="L25" s="132" t="s">
        <v>17</v>
      </c>
      <c r="M25" s="92">
        <f>C34</f>
        <v>0.93</v>
      </c>
      <c r="N25" s="874" t="s">
        <v>381</v>
      </c>
      <c r="O25" s="875"/>
      <c r="W25" s="107"/>
      <c r="X25" s="107"/>
      <c r="Y25" s="133" t="s">
        <v>382</v>
      </c>
      <c r="Z25" s="717">
        <f>Inputs!A25</f>
        <v>0.68</v>
      </c>
      <c r="AA25" s="59">
        <f>Inputs!B25</f>
        <v>0.68401735068401714</v>
      </c>
      <c r="AB25" s="59">
        <f>Inputs!C25</f>
        <v>2.3578935185185186</v>
      </c>
      <c r="AC25" s="44">
        <f>Inputs!D25</f>
        <v>3.4812375000000095</v>
      </c>
      <c r="AD25" s="67">
        <f>IF(Inputs!E25=0,"",Inputs!E25)</f>
        <v>1.7834647500000094</v>
      </c>
      <c r="AE25" s="718">
        <f>Inputs!F25</f>
        <v>0.68</v>
      </c>
      <c r="AF25" s="2">
        <f>IF(SUM(AF$8:AF24)=0,
IF(AND(AA25&gt;=T$64,AA25&lt;T$66),   IF(OR(AD25&lt;AD24,AD25&gt;AD26),AA25,0),0),
IF(AA25&gt;T$66,0,           IF(AF24=0,0,  IF(OR(AD25&lt;AD24,AD25&gt;AD26),AA25,0))))</f>
        <v>0.68401735068401714</v>
      </c>
      <c r="AG25" s="102">
        <f>IF(AND(AF24&gt;0,AF25&gt;0),                        (AF25-AF24)*(AD25-AF$6),0)</f>
        <v>-1.1254166666666791E-2</v>
      </c>
      <c r="AH25" s="2">
        <f>IF(SUM(AH$8:AH24)=0,
IF(AA25&gt;=T$66,   IF(AD26&lt;0.5,AA25,0),0),
IF(AH24=0,0,  IF(AND(AA25&lt;T$68,AD25&lt;0.5),AA25,0)))</f>
        <v>0</v>
      </c>
      <c r="AI25" s="102">
        <f t="shared" si="2"/>
        <v>0</v>
      </c>
      <c r="AJ25" s="25">
        <f t="shared" si="0"/>
        <v>5.7843364197530868E-2</v>
      </c>
      <c r="AK25" s="134" t="s">
        <v>161</v>
      </c>
      <c r="AL25" s="135">
        <v>-5</v>
      </c>
      <c r="AM25" s="135">
        <v>25</v>
      </c>
      <c r="AN25" s="135" t="s">
        <v>383</v>
      </c>
      <c r="AO25" s="135"/>
      <c r="AP25" s="103"/>
      <c r="AQ25" s="85"/>
      <c r="AR25" s="105"/>
      <c r="AS25" s="106"/>
      <c r="AT25" s="106"/>
      <c r="AV25" s="103"/>
    </row>
    <row r="26" spans="1:51" ht="14.6" customHeight="1" thickBot="1" x14ac:dyDescent="0.5">
      <c r="B26" s="117"/>
      <c r="C26" s="136" t="s">
        <v>164</v>
      </c>
      <c r="D26" s="137" t="str">
        <f>Inputs!H3</f>
        <v>U23W4-</v>
      </c>
      <c r="E26" s="713" t="str">
        <f>Inputs!H10</f>
        <v>1ST</v>
      </c>
      <c r="F26" s="118"/>
      <c r="G26" s="136" t="s">
        <v>14</v>
      </c>
      <c r="H26" s="713" t="str">
        <f>Inputs!H7</f>
        <v xml:space="preserve">Analysis </v>
      </c>
      <c r="I26" s="138"/>
      <c r="J26" s="118"/>
      <c r="K26" s="139">
        <f>Inputs!H8</f>
        <v>0.33333333333333331</v>
      </c>
      <c r="L26" s="140">
        <f>Inputs!H9</f>
        <v>45813</v>
      </c>
      <c r="M26" s="74" t="s">
        <v>384</v>
      </c>
      <c r="N26" s="73"/>
      <c r="O26" s="96"/>
      <c r="W26" s="107"/>
      <c r="X26" s="107"/>
      <c r="Y26" s="107"/>
      <c r="Z26" s="717">
        <f>Inputs!A26</f>
        <v>0.7</v>
      </c>
      <c r="AA26" s="59">
        <f>Inputs!B26</f>
        <v>0.70070070070070045</v>
      </c>
      <c r="AB26" s="59">
        <f>Inputs!C26</f>
        <v>2.4164043209876542</v>
      </c>
      <c r="AC26" s="44">
        <f>Inputs!D26</f>
        <v>3.5071375000000091</v>
      </c>
      <c r="AD26" s="67">
        <f>IF(Inputs!E26=0,"",Inputs!E26)</f>
        <v>1.6910572500000027</v>
      </c>
      <c r="AE26" s="718">
        <f>Inputs!F26</f>
        <v>0.7</v>
      </c>
      <c r="AF26" s="2">
        <f>IF(SUM(AF$8:AF25)=0,
IF(AND(AA26&gt;=T$64,AA26&lt;T$66),   IF(OR(AD26&lt;AD25,AD26&gt;AD27),AA26,0),0),
IF(AA26&gt;T$66,0,           IF(AF25=0,0,  IF(OR(AD26&lt;AD25,AD26&gt;AD27),AA26,0))))</f>
        <v>0.70070070070070045</v>
      </c>
      <c r="AG26" s="102">
        <f t="shared" ref="AG26:AG89" si="3">IF(AND(AF25&gt;0,AF26&gt;0),                        (AF26-AF25)*(AD26-AF$6),0)</f>
        <v>-1.2795833333333565E-2</v>
      </c>
      <c r="AH26" s="2">
        <f>IF(SUM(AH$8:AH25)=0,
IF(AA26&gt;=T$66,   IF(AD27&lt;0.5,AA26,0),0),
IF(AH25=0,0,  IF(AND(AA26&lt;T$68,AD26&lt;0.5),AA26,0)))</f>
        <v>0</v>
      </c>
      <c r="AI26" s="102">
        <f t="shared" si="2"/>
        <v>0</v>
      </c>
      <c r="AJ26" s="25">
        <f t="shared" si="0"/>
        <v>5.8294753086419765E-2</v>
      </c>
      <c r="AK26" s="134" t="s">
        <v>161</v>
      </c>
      <c r="AL26" s="143">
        <f>T69</f>
        <v>1.8685352018685377</v>
      </c>
      <c r="AM26" s="143">
        <f>T69</f>
        <v>1.8685352018685377</v>
      </c>
      <c r="AN26" s="143" t="s">
        <v>385</v>
      </c>
      <c r="AO26" s="143"/>
      <c r="AP26" s="103"/>
      <c r="AQ26" s="85"/>
      <c r="AR26" s="105"/>
      <c r="AS26" s="106"/>
      <c r="AT26" s="106"/>
      <c r="AV26" s="103"/>
      <c r="AW26" s="77"/>
    </row>
    <row r="27" spans="1:51" ht="14.6" customHeight="1" x14ac:dyDescent="0.4">
      <c r="B27" s="76">
        <f>Inputs!H12</f>
        <v>2000</v>
      </c>
      <c r="C27" s="91" t="s">
        <v>386</v>
      </c>
      <c r="D27" s="144" t="s">
        <v>3</v>
      </c>
      <c r="E27" s="145" t="s">
        <v>387</v>
      </c>
      <c r="H27" s="146" t="s">
        <v>388</v>
      </c>
      <c r="I27" s="147" t="s">
        <v>389</v>
      </c>
      <c r="J27" s="148" t="s">
        <v>387</v>
      </c>
      <c r="K27" s="149" t="s">
        <v>390</v>
      </c>
      <c r="L27" s="150"/>
      <c r="M27" s="99">
        <v>4.8710000000000004</v>
      </c>
      <c r="N27" t="s">
        <v>357</v>
      </c>
      <c r="O27" s="151"/>
      <c r="W27" s="107"/>
      <c r="X27" s="107"/>
      <c r="Y27" s="107"/>
      <c r="Z27" s="717">
        <f>Inputs!A27</f>
        <v>0.71</v>
      </c>
      <c r="AA27" s="59">
        <f>Inputs!B27</f>
        <v>0.71738405071738376</v>
      </c>
      <c r="AB27" s="59">
        <f>Inputs!C27</f>
        <v>2.4754243827160494</v>
      </c>
      <c r="AC27" s="44">
        <f>Inputs!D27</f>
        <v>3.5376625000000086</v>
      </c>
      <c r="AD27" s="67">
        <f>IF(Inputs!E27=0,"",Inputs!E27)</f>
        <v>1.9035944999999783</v>
      </c>
      <c r="AE27" s="718">
        <f>Inputs!F27</f>
        <v>0.71</v>
      </c>
      <c r="AF27" s="2">
        <f>IF(SUM(AF$8:AF26)=0,
IF(AND(AA27&gt;=T$64,AA27&lt;T$66),   IF(OR(AD27&lt;AD26,AD27&gt;AD28),AA27,0),0),
IF(AA27&gt;T$66,0,           IF(AF26=0,0,  IF(OR(AD27&lt;AD26,AD27&gt;AD28),AA27,0))))</f>
        <v>0</v>
      </c>
      <c r="AG27" s="102">
        <f t="shared" si="3"/>
        <v>0</v>
      </c>
      <c r="AH27" s="2">
        <f>IF(SUM(AH$8:AH26)=0,
IF(AA27&gt;=T$66,   IF(AD28&lt;0.5,AA27,0),0),
IF(AH26=0,0,  IF(AND(AA27&lt;T$68,AD27&lt;0.5),AA27,0)))</f>
        <v>0</v>
      </c>
      <c r="AI27" s="102">
        <f t="shared" si="2"/>
        <v>0</v>
      </c>
      <c r="AJ27" s="25">
        <f t="shared" si="0"/>
        <v>5.8765432098765433E-2</v>
      </c>
      <c r="AK27" s="152" t="s">
        <v>391</v>
      </c>
      <c r="AL27" s="153">
        <f>T63</f>
        <v>0.38371705038371723</v>
      </c>
      <c r="AM27" s="153">
        <f>T68</f>
        <v>1.2846179512846181</v>
      </c>
      <c r="AN27" s="154">
        <f>T70</f>
        <v>2.1688355021688368</v>
      </c>
      <c r="AP27" s="103"/>
      <c r="AQ27" s="85"/>
      <c r="AR27" s="105"/>
      <c r="AS27" s="106"/>
      <c r="AT27" s="106"/>
      <c r="AV27" s="103"/>
    </row>
    <row r="28" spans="1:51" ht="16.3" thickBot="1" x14ac:dyDescent="0.5">
      <c r="A28" s="43" t="str">
        <f>IF(E28="N/A","",IF(J28&lt;(E28-A29),"check boat speed",IF(J28&gt;(E28+A30),"check boat speed","")))</f>
        <v>check boat speed</v>
      </c>
      <c r="B28" s="76"/>
      <c r="C28" s="37" t="s">
        <v>392</v>
      </c>
      <c r="D28" s="155">
        <f>Inputs!H11</f>
        <v>4.575925925925926E-3</v>
      </c>
      <c r="E28" s="156">
        <f>IFERROR(D28/(Inputs!H12/500),"n/a")</f>
        <v>1.1439814814814815E-3</v>
      </c>
      <c r="G28" s="37" t="s">
        <v>393</v>
      </c>
      <c r="H28" s="157">
        <f>((U71-U64)/(T71-T64))*(T71-T64)</f>
        <v>8.0519753086419854</v>
      </c>
      <c r="I28" s="158">
        <f>(U71-U64)/(T71-T64)</f>
        <v>4.5965276190476256</v>
      </c>
      <c r="J28" s="159">
        <f>500/I28/86400</f>
        <v>1.2590019067993934E-3</v>
      </c>
      <c r="K28" s="160">
        <f>E30/J28</f>
        <v>0.90606752426666803</v>
      </c>
      <c r="L28" s="161"/>
      <c r="M28" s="101">
        <v>5.4720000000000004</v>
      </c>
      <c r="N28" s="1" t="s">
        <v>367</v>
      </c>
      <c r="O28" s="84"/>
      <c r="Q28" s="629"/>
      <c r="W28" s="107"/>
      <c r="X28" s="107"/>
      <c r="Y28" s="107"/>
      <c r="Z28" s="717">
        <f>Inputs!A28</f>
        <v>0.73</v>
      </c>
      <c r="AA28" s="59">
        <f>Inputs!B28</f>
        <v>0.73406740073406707</v>
      </c>
      <c r="AB28" s="59">
        <f>Inputs!C28</f>
        <v>2.5350925925925925</v>
      </c>
      <c r="AC28" s="44">
        <f>Inputs!D28</f>
        <v>3.5765125000000086</v>
      </c>
      <c r="AD28" s="67">
        <f>IF(Inputs!E28=0,"",Inputs!E28)</f>
        <v>2.3101875000000076</v>
      </c>
      <c r="AE28" s="718">
        <f>Inputs!F28</f>
        <v>0.73</v>
      </c>
      <c r="AF28" s="2">
        <f>IF(SUM(AF$8:AF27)=0,
IF(AND(AA28&gt;=T$64,AA28&lt;T$66),   IF(OR(AD28&lt;AD27,AD28&gt;AD29),AA28,0),0),
IF(AA28&gt;T$66,0,           IF(AF27=0,0,  IF(OR(AD28&lt;AD27,AD28&gt;AD29),AA28,0))))</f>
        <v>0</v>
      </c>
      <c r="AG28" s="102">
        <f t="shared" si="3"/>
        <v>0</v>
      </c>
      <c r="AH28" s="2">
        <f>IF(SUM(AH$8:AH27)=0,
IF(AA28&gt;=T$66,   IF(AD29&lt;0.5,AA28,0),0),
IF(AH27=0,0,  IF(AND(AA28&lt;T$68,AD28&lt;0.5),AA28,0)))</f>
        <v>0</v>
      </c>
      <c r="AI28" s="102">
        <f t="shared" si="2"/>
        <v>0</v>
      </c>
      <c r="AJ28" s="25">
        <f t="shared" si="0"/>
        <v>5.9344135802469125E-2</v>
      </c>
      <c r="AK28" s="162" t="s">
        <v>391</v>
      </c>
      <c r="AL28" s="163">
        <f>I28-(V68-I28)</f>
        <v>4.4394802380952703</v>
      </c>
      <c r="AM28" s="163">
        <f>V68</f>
        <v>4.753574999999981</v>
      </c>
      <c r="AN28" s="164">
        <f>I28-(V68-I28)</f>
        <v>4.4394802380952703</v>
      </c>
      <c r="AO28" s="100"/>
      <c r="AP28" s="103"/>
      <c r="AQ28" s="85"/>
      <c r="AR28" s="105"/>
      <c r="AS28" s="106"/>
      <c r="AT28" s="106"/>
      <c r="AV28" s="103"/>
      <c r="AW28" s="767"/>
      <c r="AX28" s="767"/>
      <c r="AY28" s="767"/>
    </row>
    <row r="29" spans="1:51" ht="15.9" x14ac:dyDescent="0.45">
      <c r="A29" s="165">
        <v>5.7870370370370367E-6</v>
      </c>
      <c r="B29" s="76"/>
      <c r="C29" s="37" t="s">
        <v>394</v>
      </c>
      <c r="D29" s="166">
        <f>IF(D28="n/a","n/a",E30/E28)</f>
        <v>0.99716713881019836</v>
      </c>
      <c r="E29" s="167">
        <f>500/(E28*86400)</f>
        <v>5.0586806960744637</v>
      </c>
      <c r="F29" s="168"/>
      <c r="G29" s="169" t="s">
        <v>395</v>
      </c>
      <c r="H29" s="170">
        <f>IF(J45="","",VLOOKUP(J45,B503:AL620,36,FALSE))</f>
        <v>0</v>
      </c>
      <c r="I29" s="171">
        <f>IF(J45="","",VLOOKUP(J45,B503:AL620,37,FALSE))</f>
        <v>0</v>
      </c>
      <c r="J29" s="172" t="e">
        <f>500/I29/86400</f>
        <v>#DIV/0!</v>
      </c>
      <c r="K29" s="173" t="e">
        <f>E30/J29</f>
        <v>#DIV/0!</v>
      </c>
      <c r="L29" s="150"/>
      <c r="M29" s="174"/>
      <c r="O29" s="84"/>
      <c r="P29" s="22"/>
      <c r="Q29" s="175"/>
      <c r="R29"/>
      <c r="W29" s="107"/>
      <c r="X29" s="107"/>
      <c r="Y29" s="107"/>
      <c r="Z29" s="717">
        <f>Inputs!A29</f>
        <v>0.75</v>
      </c>
      <c r="AA29" s="59">
        <f>Inputs!B29</f>
        <v>0.75075075075075037</v>
      </c>
      <c r="AB29" s="59">
        <f>Inputs!C29</f>
        <v>2.5955324074074073</v>
      </c>
      <c r="AC29" s="44">
        <f>Inputs!D29</f>
        <v>3.6227625000000088</v>
      </c>
      <c r="AD29" s="67">
        <f>IF(Inputs!E29=0,"",Inputs!E29)</f>
        <v>2.7075397500000231</v>
      </c>
      <c r="AE29" s="718">
        <f>Inputs!F29</f>
        <v>0.75</v>
      </c>
      <c r="AF29" s="2">
        <f>IF(SUM(AF$8:AF28)=0,
IF(AND(AA29&gt;=T$64,AA29&lt;T$66),   IF(OR(AD29&lt;AD28,AD29&gt;AD30),AA29,0),0),
IF(AA29&gt;T$66,0,           IF(AF28=0,0,  IF(OR(AD29&lt;AD28,AD29&gt;AD30),AA29,0))))</f>
        <v>0</v>
      </c>
      <c r="AG29" s="102">
        <f t="shared" si="3"/>
        <v>0</v>
      </c>
      <c r="AH29" s="2">
        <f>IF(SUM(AH$8:AH28)=0,
IF(AA29&gt;=T$66,   IF(AD30&lt;0.5,AA29,0),0),
IF(AH28=0,0,  IF(AND(AA29&lt;T$68,AD29&lt;0.5),AA29,0)))</f>
        <v>0</v>
      </c>
      <c r="AI29" s="102">
        <f t="shared" si="2"/>
        <v>0</v>
      </c>
      <c r="AJ29" s="25">
        <f t="shared" si="0"/>
        <v>6.005401234567901E-2</v>
      </c>
      <c r="AK29" s="22" t="s">
        <v>396</v>
      </c>
      <c r="AL29" s="95">
        <f>((U68-U63)/(T68-T63))</f>
        <v>4.0402030092592618</v>
      </c>
      <c r="AM29" s="95">
        <f>AL29</f>
        <v>4.0402030092592618</v>
      </c>
      <c r="AO29" s="100"/>
      <c r="AP29" s="103"/>
      <c r="AQ29" s="85"/>
      <c r="AR29" s="105"/>
      <c r="AS29" s="106"/>
      <c r="AT29" s="106"/>
      <c r="AV29" s="103"/>
      <c r="AW29" s="767"/>
      <c r="AX29" s="767"/>
      <c r="AY29" s="767"/>
    </row>
    <row r="30" spans="1:51" ht="16.3" thickBot="1" x14ac:dyDescent="0.5">
      <c r="A30" s="165">
        <v>1.7361111111111111E-5</v>
      </c>
      <c r="B30" s="117"/>
      <c r="C30" s="136" t="s">
        <v>9</v>
      </c>
      <c r="D30" s="176">
        <f>VLOOKUP(D26,B503:C620,2,FALSE)</f>
        <v>4.5629629629629631E-3</v>
      </c>
      <c r="E30" s="177">
        <f>VLOOKUP(D26,B503:D620,3,FALSE)</f>
        <v>1.1407407407407408E-3</v>
      </c>
      <c r="F30" s="118"/>
      <c r="G30" s="178" t="s">
        <v>397</v>
      </c>
      <c r="H30" s="179">
        <f>H28-H29</f>
        <v>8.0519753086419854</v>
      </c>
      <c r="I30" s="180">
        <f t="shared" ref="I30:K30" si="4">I28-I29</f>
        <v>4.5965276190476256</v>
      </c>
      <c r="J30" s="181" t="e">
        <f>(J28*86400)-(J29*86400)</f>
        <v>#DIV/0!</v>
      </c>
      <c r="K30" s="182" t="e">
        <f t="shared" si="4"/>
        <v>#DIV/0!</v>
      </c>
      <c r="L30" s="161"/>
      <c r="M30" s="174"/>
      <c r="O30" s="84"/>
      <c r="P30" s="53"/>
      <c r="Q30" s="183"/>
      <c r="W30" s="107"/>
      <c r="X30" s="107"/>
      <c r="Y30" s="107"/>
      <c r="Z30" s="717">
        <f>Inputs!A30</f>
        <v>0.76</v>
      </c>
      <c r="AA30" s="59">
        <f>Inputs!B30</f>
        <v>0.76743410076743368</v>
      </c>
      <c r="AB30" s="59">
        <f>Inputs!C30</f>
        <v>2.6568132716049382</v>
      </c>
      <c r="AC30" s="44">
        <f>Inputs!D30</f>
        <v>3.673175000000009</v>
      </c>
      <c r="AD30" s="67">
        <f>IF(Inputs!E30=0,"",Inputs!E30)</f>
        <v>2.9755215000000028</v>
      </c>
      <c r="AE30" s="718">
        <f>Inputs!F30</f>
        <v>0.76</v>
      </c>
      <c r="AF30" s="2">
        <f>IF(SUM(AF$8:AF29)=0,
IF(AND(AA30&gt;=T$64,AA30&lt;T$66),   IF(OR(AD30&lt;AD29,AD30&gt;AD31),AA30,0),0),
IF(AA30&gt;T$66,0,           IF(AF29=0,0,  IF(OR(AD30&lt;AD29,AD30&gt;AD31),AA30,0))))</f>
        <v>0</v>
      </c>
      <c r="AG30" s="102">
        <f t="shared" si="3"/>
        <v>0</v>
      </c>
      <c r="AH30" s="2">
        <f>IF(SUM(AH$8:AH29)=0,
IF(AA30&gt;=T$66,   IF(AD31&lt;0.5,AA30,0),0),
IF(AH29=0,0,  IF(AND(AA30&lt;T$68,AD30&lt;0.5),AA30,0)))</f>
        <v>0</v>
      </c>
      <c r="AI30" s="102">
        <f t="shared" si="2"/>
        <v>0</v>
      </c>
      <c r="AJ30" s="25">
        <f t="shared" si="0"/>
        <v>6.0860339506172832E-2</v>
      </c>
      <c r="AK30" s="22" t="s">
        <v>398</v>
      </c>
      <c r="AL30" s="95">
        <f>((U70-U68)/(T70-T68))</f>
        <v>5.1371358490566053</v>
      </c>
      <c r="AM30" s="95">
        <f>AL30</f>
        <v>5.1371358490566053</v>
      </c>
      <c r="AP30" s="103"/>
      <c r="AQ30" s="85"/>
      <c r="AR30" s="105"/>
      <c r="AS30" s="106"/>
      <c r="AT30" s="106"/>
      <c r="AV30" s="103"/>
    </row>
    <row r="31" spans="1:51" ht="14.6" customHeight="1" thickBot="1" x14ac:dyDescent="0.5">
      <c r="B31" s="184" t="s">
        <v>399</v>
      </c>
      <c r="C31" s="39" t="s">
        <v>6</v>
      </c>
      <c r="D31" s="39" t="s">
        <v>15</v>
      </c>
      <c r="E31" s="185" t="s">
        <v>400</v>
      </c>
      <c r="F31" s="186" t="str">
        <f>Inputs!H14</f>
        <v xml:space="preserve">cloudy wind 1.9m/s 12 oclock </v>
      </c>
      <c r="G31" s="186"/>
      <c r="H31" s="187"/>
      <c r="I31" s="188"/>
      <c r="J31" s="189"/>
      <c r="K31" s="190"/>
      <c r="L31" s="191"/>
      <c r="M31" s="92">
        <f>C35</f>
        <v>1.18</v>
      </c>
      <c r="N31" s="874" t="s">
        <v>373</v>
      </c>
      <c r="O31" s="875"/>
      <c r="P31" s="192"/>
      <c r="Q31" s="62"/>
      <c r="W31" s="107"/>
      <c r="X31" s="107"/>
      <c r="Y31" s="107"/>
      <c r="Z31" s="717">
        <f>Inputs!A31</f>
        <v>0.78</v>
      </c>
      <c r="AA31" s="59">
        <f>Inputs!B31</f>
        <v>0.78411745078411699</v>
      </c>
      <c r="AB31" s="59">
        <f>Inputs!C31</f>
        <v>2.7189660493827161</v>
      </c>
      <c r="AC31" s="44">
        <f>Inputs!D31</f>
        <v>3.7254375000000088</v>
      </c>
      <c r="AD31" s="67">
        <f>IF(Inputs!E31=0,"",Inputs!E31)</f>
        <v>3.0956512500000248</v>
      </c>
      <c r="AE31" s="718">
        <f>Inputs!F31</f>
        <v>0.78</v>
      </c>
      <c r="AF31" s="2">
        <f>IF(SUM(AF$8:AF30)=0,
IF(AND(AA31&gt;=T$64,AA31&lt;T$66),   IF(OR(AD31&lt;AD30,AD31&gt;AD32),AA31,0),0),
IF(AA31&gt;T$66,0,           IF(AF30=0,0,  IF(OR(AD31&lt;AD30,AD31&gt;AD32),AA31,0))))</f>
        <v>0</v>
      </c>
      <c r="AG31" s="102">
        <f t="shared" si="3"/>
        <v>0</v>
      </c>
      <c r="AH31" s="2">
        <f>IF(SUM(AH$8:AH30)=0,
IF(AA31&gt;=T$66,   IF(AD32&lt;0.5,AA31,0),0),
IF(AH30=0,0,  IF(AND(AA31&lt;T$68,AD31&lt;0.5),AA31,0)))</f>
        <v>0</v>
      </c>
      <c r="AI31" s="102">
        <f t="shared" si="2"/>
        <v>0</v>
      </c>
      <c r="AJ31" s="25">
        <f t="shared" si="0"/>
        <v>6.1716820987654311E-2</v>
      </c>
      <c r="AK31" s="193"/>
      <c r="AL31" s="194" t="s">
        <v>401</v>
      </c>
      <c r="AM31" s="195"/>
      <c r="AN31" s="196">
        <f>(AM38-AM37)/(AL38-AL37)</f>
        <v>0.47878293650785037</v>
      </c>
      <c r="AP31" s="103"/>
      <c r="AQ31" s="85"/>
      <c r="AR31" s="105"/>
      <c r="AS31" s="106"/>
      <c r="AT31" s="106"/>
      <c r="AV31" s="103"/>
    </row>
    <row r="32" spans="1:51" ht="14.6" customHeight="1" thickBot="1" x14ac:dyDescent="0.5">
      <c r="B32" s="197" t="s">
        <v>2</v>
      </c>
      <c r="C32" s="40">
        <f>Inputs!H18</f>
        <v>0.38</v>
      </c>
      <c r="D32" s="42">
        <f>V63</f>
        <v>4.4298249999999966</v>
      </c>
      <c r="E32" s="198" t="s">
        <v>402</v>
      </c>
      <c r="F32" s="199">
        <f>Inputs!H13</f>
        <v>19</v>
      </c>
      <c r="H32" s="200"/>
      <c r="I32" s="201"/>
      <c r="J32" s="202"/>
      <c r="K32" s="60"/>
      <c r="L32" s="203"/>
      <c r="M32" s="204" t="s">
        <v>403</v>
      </c>
      <c r="N32" s="73"/>
      <c r="O32" s="96"/>
      <c r="Q32" s="32"/>
      <c r="W32" s="107"/>
      <c r="X32" s="107"/>
      <c r="Y32" s="107"/>
      <c r="Z32" s="717">
        <f>Inputs!A32</f>
        <v>0.8</v>
      </c>
      <c r="AA32" s="59">
        <f>Inputs!B32</f>
        <v>0.80080080080080029</v>
      </c>
      <c r="AB32" s="59">
        <f>Inputs!C32</f>
        <v>2.7819907407407407</v>
      </c>
      <c r="AC32" s="44">
        <f>Inputs!D32</f>
        <v>3.7777000000000096</v>
      </c>
      <c r="AD32" s="67">
        <f>IF(Inputs!E32=0,"",Inputs!E32)</f>
        <v>3.1141327500000529</v>
      </c>
      <c r="AE32" s="718">
        <f>Inputs!F32</f>
        <v>0.8</v>
      </c>
      <c r="AF32" s="2">
        <f>IF(SUM(AF$8:AF31)=0,
IF(AND(AA32&gt;=T$64,AA32&lt;T$66),   IF(OR(AD32&lt;AD31,AD32&gt;AD33),AA32,0),0),
IF(AA32&gt;T$66,0,           IF(AF31=0,0,  IF(OR(AD32&lt;AD31,AD32&gt;AD33),AA32,0))))</f>
        <v>0</v>
      </c>
      <c r="AG32" s="102">
        <f t="shared" si="3"/>
        <v>0</v>
      </c>
      <c r="AH32" s="2">
        <f>IF(SUM(AH$8:AH31)=0,
IF(AA32&gt;=T$66,   IF(AD33&lt;0.5,AA32,0),0),
IF(AH31=0,0,  IF(AND(AA32&lt;T$68,AD32&lt;0.5),AA32,0)))</f>
        <v>0</v>
      </c>
      <c r="AI32" s="102">
        <f t="shared" si="2"/>
        <v>0</v>
      </c>
      <c r="AJ32" s="25">
        <f t="shared" si="0"/>
        <v>6.2588734567901233E-2</v>
      </c>
      <c r="AK32" s="205" t="s">
        <v>391</v>
      </c>
      <c r="AL32" s="1" t="s">
        <v>179</v>
      </c>
      <c r="AM32" s="20" t="s">
        <v>180</v>
      </c>
      <c r="AN32" s="206">
        <f>(AM43-AM42)/(AL43-AL42)</f>
        <v>-0.32488584016166616</v>
      </c>
      <c r="AP32" s="103"/>
      <c r="AQ32" s="85"/>
      <c r="AR32" s="105"/>
      <c r="AS32" s="106"/>
      <c r="AT32" s="106"/>
      <c r="AV32" s="103"/>
    </row>
    <row r="33" spans="1:48" ht="16.3" thickBot="1" x14ac:dyDescent="0.5">
      <c r="B33" s="197" t="s">
        <v>368</v>
      </c>
      <c r="C33" s="40">
        <f>Inputs!H19</f>
        <v>0.57999999999999996</v>
      </c>
      <c r="D33" s="42">
        <f>V64</f>
        <v>3.2652500000000075</v>
      </c>
      <c r="E33" s="207" t="s">
        <v>404</v>
      </c>
      <c r="F33" s="208" t="str">
        <f>Inputs!H15</f>
        <v>slight 5-9cm</v>
      </c>
      <c r="G33" s="136"/>
      <c r="H33" s="209"/>
      <c r="I33" s="210"/>
      <c r="J33" s="110"/>
      <c r="K33" s="211"/>
      <c r="L33" s="212"/>
      <c r="M33" s="213">
        <v>5.0049999999999999</v>
      </c>
      <c r="N33" t="s">
        <v>357</v>
      </c>
      <c r="O33" s="84"/>
      <c r="P33" s="214"/>
      <c r="Q33" s="215"/>
      <c r="R33" s="215"/>
      <c r="S33" s="215"/>
      <c r="T33" s="215"/>
      <c r="U33" s="215"/>
      <c r="V33" s="215"/>
      <c r="W33" s="107"/>
      <c r="X33" s="107"/>
      <c r="Y33" s="107"/>
      <c r="Z33" s="717">
        <f>Inputs!A33</f>
        <v>0.81</v>
      </c>
      <c r="AA33" s="59">
        <f>Inputs!B33</f>
        <v>0.8174841508174836</v>
      </c>
      <c r="AB33" s="59">
        <f>Inputs!C33</f>
        <v>2.8458719135802468</v>
      </c>
      <c r="AC33" s="44">
        <f>Inputs!D33</f>
        <v>3.8290375000000103</v>
      </c>
      <c r="AD33" s="67">
        <f>IF(Inputs!E33=0,"",Inputs!E33)</f>
        <v>3.0679290000000092</v>
      </c>
      <c r="AE33" s="718">
        <f>Inputs!F33</f>
        <v>0.81</v>
      </c>
      <c r="AF33" s="2">
        <f>IF(SUM(AF$8:AF32)=0,
IF(AND(AA33&gt;=T$64,AA33&lt;T$66),   IF(OR(AD33&lt;AD32,AD33&gt;AD34),AA33,0),0),
IF(AA33&gt;T$66,0,           IF(AF32=0,0,  IF(OR(AD33&lt;AD32,AD33&gt;AD34),AA33,0))))</f>
        <v>0</v>
      </c>
      <c r="AG33" s="102">
        <f t="shared" si="3"/>
        <v>0</v>
      </c>
      <c r="AH33" s="2">
        <f>IF(SUM(AH$8:AH32)=0,
IF(AA33&gt;=T$66,   IF(AD34&lt;0.5,AA33,0),0),
IF(AH32=0,0,  IF(AND(AA33&lt;T$68,AD33&lt;0.5),AA33,0)))</f>
        <v>0</v>
      </c>
      <c r="AI33" s="102">
        <f t="shared" si="2"/>
        <v>0</v>
      </c>
      <c r="AJ33" s="25">
        <f t="shared" si="0"/>
        <v>6.345293209876543E-2</v>
      </c>
      <c r="AK33" s="205" t="s">
        <v>407</v>
      </c>
      <c r="AL33" s="216">
        <f>C32</f>
        <v>0.38</v>
      </c>
      <c r="AM33" s="217">
        <f>((U71-U64)/(T71-T64))-(AVERAGE(V67,V68)-((U71-U64)/(T71-T64)))</f>
        <v>4.4528927380952705</v>
      </c>
      <c r="AN33" s="218">
        <f>AM33-AL33*AN32</f>
        <v>4.5763493573567038</v>
      </c>
      <c r="AP33" s="103"/>
      <c r="AQ33" s="85"/>
      <c r="AR33" s="105"/>
      <c r="AS33" s="106"/>
      <c r="AT33" s="106"/>
      <c r="AV33" s="103"/>
    </row>
    <row r="34" spans="1:48" ht="15.9" x14ac:dyDescent="0.45">
      <c r="B34" s="197" t="s">
        <v>408</v>
      </c>
      <c r="C34" s="40">
        <f>Inputs!H20</f>
        <v>0.93</v>
      </c>
      <c r="D34" s="42">
        <f t="shared" ref="D34:D39" si="5">V66</f>
        <v>4.1467750000000088</v>
      </c>
      <c r="E34" s="219"/>
      <c r="F34" s="50" t="s">
        <v>409</v>
      </c>
      <c r="G34" s="220">
        <f>T68-T64</f>
        <v>0.70070070070070078</v>
      </c>
      <c r="H34" s="221" t="s">
        <v>410</v>
      </c>
      <c r="I34" s="51"/>
      <c r="J34" s="51"/>
      <c r="K34" s="222"/>
      <c r="L34" s="223"/>
      <c r="M34" s="101">
        <v>3.887</v>
      </c>
      <c r="N34" s="1" t="s">
        <v>367</v>
      </c>
      <c r="O34" s="84"/>
      <c r="P34" s="224"/>
      <c r="Q34" s="221" t="s">
        <v>410</v>
      </c>
      <c r="R34" s="225" t="s">
        <v>411</v>
      </c>
      <c r="S34" s="225" t="s">
        <v>412</v>
      </c>
      <c r="T34" s="225" t="s">
        <v>413</v>
      </c>
      <c r="U34" s="225" t="s">
        <v>414</v>
      </c>
      <c r="V34" s="225" t="s">
        <v>415</v>
      </c>
      <c r="W34" s="225" t="s">
        <v>416</v>
      </c>
      <c r="X34" s="107"/>
      <c r="Y34" s="107"/>
      <c r="Z34" s="717">
        <f>Inputs!A34</f>
        <v>0.83</v>
      </c>
      <c r="AA34" s="59">
        <f>Inputs!B34</f>
        <v>0.83416750083416691</v>
      </c>
      <c r="AB34" s="59">
        <f>Inputs!C34</f>
        <v>2.9105864197530864</v>
      </c>
      <c r="AC34" s="44">
        <f>Inputs!D34</f>
        <v>3.8789875000000102</v>
      </c>
      <c r="AD34" s="67">
        <f>IF(Inputs!E34=0,"",Inputs!E34)</f>
        <v>2.9755215000000295</v>
      </c>
      <c r="AE34" s="718">
        <f>Inputs!F34</f>
        <v>0.83</v>
      </c>
      <c r="AF34" s="2">
        <f>IF(SUM(AF$8:AF33)=0,
IF(AND(AA34&gt;=T$64,AA34&lt;T$66),   IF(OR(AD34&lt;AD33,AD34&gt;AD35),AA34,0),0),
IF(AA34&gt;T$66,0,           IF(AF33=0,0,  IF(OR(AD34&lt;AD33,AD34&gt;AD35),AA34,0))))</f>
        <v>0</v>
      </c>
      <c r="AG34" s="102">
        <f t="shared" si="3"/>
        <v>0</v>
      </c>
      <c r="AH34" s="2">
        <f>IF(SUM(AH$8:AH33)=0,
IF(AA34&gt;=T$66,   IF(AD35&lt;0.5,AA34,0),0),
IF(AH33=0,0,  IF(AND(AA34&lt;T$68,AD34&lt;0.5),AA34,0)))</f>
        <v>0</v>
      </c>
      <c r="AI34" s="102">
        <f t="shared" si="2"/>
        <v>0</v>
      </c>
      <c r="AJ34" s="25">
        <f t="shared" si="0"/>
        <v>6.4297839506172849E-2</v>
      </c>
      <c r="AK34" s="114"/>
      <c r="AL34" s="226">
        <f>AL33+AN36/4</f>
        <v>0.43957465941279605</v>
      </c>
      <c r="AM34" s="227">
        <f>(AN37/2)*(AL34-AL33)^2+AN$32*(AL34-AL33)+AM33</f>
        <v>4.4395225615259477</v>
      </c>
      <c r="AN34" s="228">
        <f>AM37-AL37*AN31</f>
        <v>4.1751986349207177</v>
      </c>
      <c r="AP34" s="103"/>
      <c r="AQ34" s="85"/>
      <c r="AR34" s="105"/>
      <c r="AS34" s="106"/>
      <c r="AT34" s="106"/>
      <c r="AV34" s="103"/>
    </row>
    <row r="35" spans="1:48" ht="15.9" x14ac:dyDescent="0.45">
      <c r="A35" s="229">
        <f>C39-C33</f>
        <v>1.75</v>
      </c>
      <c r="B35" s="197" t="s">
        <v>373</v>
      </c>
      <c r="C35" s="40">
        <f>Inputs!H21</f>
        <v>1.18</v>
      </c>
      <c r="D35" s="42">
        <f t="shared" si="5"/>
        <v>4.7267499999999805</v>
      </c>
      <c r="E35" s="230"/>
      <c r="F35" s="37" t="s">
        <v>417</v>
      </c>
      <c r="G35" s="231" t="str">
        <f>Inputs!H29</f>
        <v>N/A</v>
      </c>
      <c r="H35" s="232" t="s">
        <v>418</v>
      </c>
      <c r="I35" s="233"/>
      <c r="J35" s="234"/>
      <c r="K35" s="235"/>
      <c r="L35" s="236"/>
      <c r="M35" s="237"/>
      <c r="O35" s="84"/>
      <c r="P35" s="224"/>
      <c r="Q35" s="232" t="s">
        <v>418</v>
      </c>
      <c r="R35" s="238" t="s">
        <v>419</v>
      </c>
      <c r="S35" s="238" t="s">
        <v>420</v>
      </c>
      <c r="T35" s="238" t="s">
        <v>421</v>
      </c>
      <c r="U35" s="238" t="s">
        <v>419</v>
      </c>
      <c r="V35" s="238" t="s">
        <v>419</v>
      </c>
      <c r="W35" s="107" t="s">
        <v>422</v>
      </c>
      <c r="X35" s="107"/>
      <c r="Y35" s="107"/>
      <c r="Z35" s="717">
        <f>Inputs!A35</f>
        <v>0.85</v>
      </c>
      <c r="AA35" s="59">
        <f>Inputs!B35</f>
        <v>0.85085085085085022</v>
      </c>
      <c r="AB35" s="59">
        <f>Inputs!C35</f>
        <v>2.9760956790123458</v>
      </c>
      <c r="AC35" s="44">
        <f>Inputs!D35</f>
        <v>3.9266250000000102</v>
      </c>
      <c r="AD35" s="67">
        <f>IF(Inputs!E35=0,"",Inputs!E35)</f>
        <v>2.8461509999999932</v>
      </c>
      <c r="AE35" s="718">
        <f>Inputs!F35</f>
        <v>0.85</v>
      </c>
      <c r="AF35" s="2">
        <f>IF(SUM(AF$8:AF34)=0,
IF(AND(AA35&gt;=T$64,AA35&lt;T$66),   IF(OR(AD35&lt;AD34,AD35&gt;AD36),AA35,0),0),
IF(AA35&gt;T$66,0,           IF(AF34=0,0,  IF(OR(AD35&lt;AD34,AD35&gt;AD36),AA35,0))))</f>
        <v>0</v>
      </c>
      <c r="AG35" s="102">
        <f t="shared" si="3"/>
        <v>0</v>
      </c>
      <c r="AH35" s="2">
        <f>IF(SUM(AH$8:AH34)=0,
IF(AA35&gt;=T$66,   IF(AD36&lt;0.5,AA35,0),0),
IF(AH34=0,0,  IF(AND(AA35&lt;T$68,AD35&lt;0.5),AA35,0)))</f>
        <v>0</v>
      </c>
      <c r="AI35" s="102">
        <f t="shared" si="2"/>
        <v>0</v>
      </c>
      <c r="AJ35" s="25">
        <f t="shared" si="0"/>
        <v>6.5111882716049382E-2</v>
      </c>
      <c r="AK35" s="114"/>
      <c r="AL35" s="226">
        <f>AL33+AN36/2</f>
        <v>0.49914931882559205</v>
      </c>
      <c r="AM35" s="227">
        <f>(AN37/2)*(AL35-AL33)^2+AN$32*(AL35-AL33)+AM33</f>
        <v>4.4381219583693206</v>
      </c>
      <c r="AN35" s="239">
        <f>(AN34-AN33)/(AN32-AN31)</f>
        <v>0.49914931882559205</v>
      </c>
      <c r="AP35" s="103"/>
      <c r="AQ35" s="85"/>
      <c r="AR35" s="105"/>
      <c r="AS35" s="106"/>
      <c r="AT35" s="106"/>
      <c r="AV35" s="103"/>
    </row>
    <row r="36" spans="1:48" ht="15.9" x14ac:dyDescent="0.45">
      <c r="B36" s="197" t="s">
        <v>5</v>
      </c>
      <c r="C36" s="40">
        <f>Inputs!H22</f>
        <v>1.28</v>
      </c>
      <c r="D36" s="42">
        <f t="shared" si="5"/>
        <v>4.753574999999981</v>
      </c>
      <c r="E36" s="230"/>
      <c r="F36" s="37" t="s">
        <v>423</v>
      </c>
      <c r="G36" s="240">
        <f>ABS(U67-U64)</f>
        <v>2.4348919753086435</v>
      </c>
      <c r="H36" s="232" t="s">
        <v>424</v>
      </c>
      <c r="I36" s="241"/>
      <c r="J36" s="58"/>
      <c r="K36" s="242"/>
      <c r="L36" s="243"/>
      <c r="M36" s="237"/>
      <c r="O36" s="84"/>
      <c r="Q36" s="232" t="s">
        <v>424</v>
      </c>
      <c r="R36" s="238" t="s">
        <v>425</v>
      </c>
      <c r="S36" s="238" t="s">
        <v>425</v>
      </c>
      <c r="T36" s="238" t="s">
        <v>425</v>
      </c>
      <c r="U36" s="238" t="s">
        <v>425</v>
      </c>
      <c r="V36" s="238" t="s">
        <v>425</v>
      </c>
      <c r="W36" s="107" t="s">
        <v>422</v>
      </c>
      <c r="X36" s="107"/>
      <c r="Y36" s="107"/>
      <c r="Z36" s="717">
        <f>Inputs!A36</f>
        <v>0.86</v>
      </c>
      <c r="AA36" s="59">
        <f>Inputs!B36</f>
        <v>0.86753420086753352</v>
      </c>
      <c r="AB36" s="59">
        <f>Inputs!C36</f>
        <v>3.0423533950617285</v>
      </c>
      <c r="AC36" s="44">
        <f>Inputs!D36</f>
        <v>3.9714875000000105</v>
      </c>
      <c r="AD36" s="67">
        <f>IF(Inputs!E36=0,"",Inputs!E36)</f>
        <v>2.7075397499999965</v>
      </c>
      <c r="AE36" s="718">
        <f>Inputs!F36</f>
        <v>0.86</v>
      </c>
      <c r="AF36" s="2">
        <f>IF(SUM(AF$8:AF35)=0,
IF(AND(AA36&gt;=T$64,AA36&lt;T$66),   IF(OR(AD36&lt;AD35,AD36&gt;AD37),AA36,0),0),
IF(AA36&gt;T$66,0,           IF(AF35=0,0,  IF(OR(AD36&lt;AD35,AD36&gt;AD37),AA36,0))))</f>
        <v>0</v>
      </c>
      <c r="AG36" s="102">
        <f t="shared" si="3"/>
        <v>0</v>
      </c>
      <c r="AH36" s="2">
        <f>IF(SUM(AH$8:AH35)=0,
IF(AA36&gt;=T$66,   IF(AD37&lt;0.5,AA36,0),0),
IF(AH35=0,0,  IF(AND(AA36&lt;T$68,AD36&lt;0.5),AA36,0)))</f>
        <v>0</v>
      </c>
      <c r="AI36" s="102">
        <f t="shared" si="2"/>
        <v>0</v>
      </c>
      <c r="AJ36" s="25">
        <f t="shared" si="0"/>
        <v>6.5883487654320991E-2</v>
      </c>
      <c r="AK36" s="114"/>
      <c r="AL36" s="226">
        <f>AL33+AN36/1.3333</f>
        <v>0.55872844644954933</v>
      </c>
      <c r="AM36" s="227">
        <f>(AN37/2)*(AL36-AL33)^2+AN$32*(AL36-AL33)+AM33</f>
        <v>4.4486921702218671</v>
      </c>
      <c r="AN36" s="239">
        <f>(AN35-AL33)*2</f>
        <v>0.23829863765118409</v>
      </c>
      <c r="AP36" s="103"/>
      <c r="AQ36" s="85"/>
      <c r="AR36" s="105"/>
      <c r="AS36" s="106"/>
      <c r="AT36" s="106"/>
      <c r="AV36" s="103"/>
    </row>
    <row r="37" spans="1:48" ht="16.3" thickBot="1" x14ac:dyDescent="0.5">
      <c r="B37" s="197" t="s">
        <v>161</v>
      </c>
      <c r="C37" s="40">
        <f>S69</f>
        <v>1.86</v>
      </c>
      <c r="D37" s="42">
        <f t="shared" si="5"/>
        <v>5.6350999999999756</v>
      </c>
      <c r="E37" s="230"/>
      <c r="F37" s="37" t="s">
        <v>426</v>
      </c>
      <c r="G37" s="244">
        <f xml:space="preserve"> (S66-S64)/(S67-S64)</f>
        <v>0.58333333333333348</v>
      </c>
      <c r="H37" s="232" t="s">
        <v>428</v>
      </c>
      <c r="I37" s="233"/>
      <c r="J37" s="58"/>
      <c r="K37" s="245"/>
      <c r="L37" s="246"/>
      <c r="M37" s="92">
        <f>C36</f>
        <v>1.28</v>
      </c>
      <c r="N37" s="874" t="s">
        <v>427</v>
      </c>
      <c r="O37" s="875"/>
      <c r="Q37" s="232" t="s">
        <v>428</v>
      </c>
      <c r="R37" s="238" t="s">
        <v>406</v>
      </c>
      <c r="S37" s="238" t="s">
        <v>406</v>
      </c>
      <c r="T37" s="238" t="s">
        <v>406</v>
      </c>
      <c r="U37" s="238" t="s">
        <v>406</v>
      </c>
      <c r="V37" s="238" t="s">
        <v>406</v>
      </c>
      <c r="W37" s="107" t="s">
        <v>422</v>
      </c>
      <c r="X37" s="107"/>
      <c r="Y37" s="107"/>
      <c r="Z37" s="717">
        <f>Inputs!A37</f>
        <v>0.88</v>
      </c>
      <c r="AA37" s="59">
        <f>Inputs!B37</f>
        <v>0.88421755088421683</v>
      </c>
      <c r="AB37" s="59">
        <f>Inputs!C37</f>
        <v>3.1093287037037038</v>
      </c>
      <c r="AC37" s="44">
        <f>Inputs!D37</f>
        <v>4.0145000000000097</v>
      </c>
      <c r="AD37" s="67">
        <f>IF(Inputs!E37=0,"",Inputs!E37)</f>
        <v>2.6151322499999901</v>
      </c>
      <c r="AE37" s="718">
        <f>Inputs!F37</f>
        <v>0.88</v>
      </c>
      <c r="AF37" s="2">
        <f>IF(SUM(AF$8:AF36)=0,
IF(AND(AA37&gt;=T$64,AA37&lt;T$66),   IF(OR(AD37&lt;AD36,AD37&gt;AD38),AA37,0),0),
IF(AA37&gt;T$66,0,           IF(AF36=0,0,  IF(OR(AD37&lt;AD36,AD37&gt;AD38),AA37,0))))</f>
        <v>0</v>
      </c>
      <c r="AG37" s="102">
        <f t="shared" si="3"/>
        <v>0</v>
      </c>
      <c r="AH37" s="2">
        <f>IF(SUM(AH$8:AH36)=0,
IF(AA37&gt;=T$66,   IF(AD38&lt;0.5,AA37,0),0),
IF(AH36=0,0,  IF(AND(AA37&lt;T$68,AD37&lt;0.5),AA37,0)))</f>
        <v>0</v>
      </c>
      <c r="AI37" s="102">
        <f t="shared" si="2"/>
        <v>0</v>
      </c>
      <c r="AJ37" s="25">
        <f t="shared" si="0"/>
        <v>6.6616512345679002E-2</v>
      </c>
      <c r="AK37" s="205" t="s">
        <v>429</v>
      </c>
      <c r="AL37" s="247">
        <f>C33</f>
        <v>0.57999999999999996</v>
      </c>
      <c r="AM37" s="217">
        <f>((U71-U64)/(T71-T64))-(AVERAGE(V67,V68)-((U71-U64)/(T71-T64)))</f>
        <v>4.4528927380952705</v>
      </c>
      <c r="AN37" s="248">
        <f>(AN31-AN32)/AN36</f>
        <v>3.3725277852654276</v>
      </c>
      <c r="AO37" s="1"/>
      <c r="AP37" s="103"/>
      <c r="AQ37" s="85"/>
      <c r="AR37" s="105"/>
      <c r="AS37" s="106"/>
      <c r="AT37" s="106"/>
      <c r="AV37" s="103"/>
    </row>
    <row r="38" spans="1:48" ht="15.9" x14ac:dyDescent="0.45">
      <c r="B38" s="197" t="s">
        <v>430</v>
      </c>
      <c r="C38" s="40">
        <f>Inputs!H23</f>
        <v>2.16</v>
      </c>
      <c r="D38" s="42">
        <f t="shared" si="5"/>
        <v>4.2351125000000396</v>
      </c>
      <c r="E38" s="230"/>
      <c r="F38" s="37" t="s">
        <v>431</v>
      </c>
      <c r="G38" s="249">
        <f>60/(C39-C33)</f>
        <v>34.285714285714285</v>
      </c>
      <c r="H38" s="232" t="s">
        <v>433</v>
      </c>
      <c r="I38" s="233"/>
      <c r="J38" s="58"/>
      <c r="K38" s="250"/>
      <c r="L38" s="251"/>
      <c r="M38" s="252" t="s">
        <v>432</v>
      </c>
      <c r="N38" s="73"/>
      <c r="O38" s="96"/>
      <c r="Q38" s="232" t="s">
        <v>433</v>
      </c>
      <c r="R38" s="238" t="s">
        <v>411</v>
      </c>
      <c r="S38" s="238" t="s">
        <v>434</v>
      </c>
      <c r="T38" s="238" t="s">
        <v>434</v>
      </c>
      <c r="U38" s="238" t="s">
        <v>434</v>
      </c>
      <c r="V38" s="238" t="s">
        <v>434</v>
      </c>
      <c r="W38" s="107"/>
      <c r="X38" s="107"/>
      <c r="Y38" s="107"/>
      <c r="Z38" s="717">
        <f>Inputs!A38</f>
        <v>0.9</v>
      </c>
      <c r="AA38" s="59">
        <f>Inputs!B38</f>
        <v>0.90090090090090014</v>
      </c>
      <c r="AB38" s="59">
        <f>Inputs!C38</f>
        <v>3.1770216049382718</v>
      </c>
      <c r="AC38" s="44">
        <f>Inputs!D38</f>
        <v>4.0575125000000103</v>
      </c>
      <c r="AD38" s="67">
        <f>IF(Inputs!E38=0,"",Inputs!E38)</f>
        <v>2.5966507500000686</v>
      </c>
      <c r="AE38" s="718">
        <f>Inputs!F38</f>
        <v>0.9</v>
      </c>
      <c r="AF38" s="2">
        <f>IF(SUM(AF$8:AF37)=0,
IF(AND(AA38&gt;=T$64,AA38&lt;T$66),   IF(OR(AD38&lt;AD37,AD38&gt;AD39),AA38,0),0),
IF(AA38&gt;T$66,0,           IF(AF37=0,0,  IF(OR(AD38&lt;AD37,AD38&gt;AD39),AA38,0))))</f>
        <v>0</v>
      </c>
      <c r="AG38" s="102">
        <f t="shared" si="3"/>
        <v>0</v>
      </c>
      <c r="AH38" s="2">
        <f>IF(SUM(AH$8:AH37)=0,
IF(AA38&gt;=T$66,   IF(AD39&lt;0.5,AA38,0),0),
IF(AH37=0,0,  IF(AND(AA38&lt;T$68,AD38&lt;0.5),AA38,0)))</f>
        <v>0</v>
      </c>
      <c r="AI38" s="102">
        <f t="shared" si="2"/>
        <v>0</v>
      </c>
      <c r="AJ38" s="25">
        <f t="shared" si="0"/>
        <v>6.7334104938271605E-2</v>
      </c>
      <c r="AK38" s="205" t="s">
        <v>373</v>
      </c>
      <c r="AL38" s="247">
        <f>C35</f>
        <v>1.18</v>
      </c>
      <c r="AM38" s="217">
        <f>AVERAGE(V67,V68)</f>
        <v>4.7401624999999807</v>
      </c>
      <c r="AN38" s="253">
        <f>AM38-AL38*AN31</f>
        <v>4.1751986349207169</v>
      </c>
      <c r="AP38" s="103"/>
      <c r="AQ38" s="85"/>
      <c r="AR38" s="105"/>
      <c r="AS38" s="106"/>
      <c r="AT38" s="106"/>
      <c r="AV38" s="103"/>
    </row>
    <row r="39" spans="1:48" ht="16.3" thickBot="1" x14ac:dyDescent="0.5">
      <c r="B39" s="254" t="s">
        <v>382</v>
      </c>
      <c r="C39" s="40">
        <f>Inputs!H24</f>
        <v>2.33</v>
      </c>
      <c r="D39" s="255">
        <f t="shared" si="5"/>
        <v>3.3290750000000293</v>
      </c>
      <c r="E39" s="256"/>
      <c r="F39" s="136" t="s">
        <v>435</v>
      </c>
      <c r="G39" s="257">
        <f>(C39-C36)/(C36-C33)</f>
        <v>1.5</v>
      </c>
      <c r="H39" s="258" t="s">
        <v>436</v>
      </c>
      <c r="I39" s="259"/>
      <c r="J39" s="260"/>
      <c r="K39" s="261"/>
      <c r="L39" s="262"/>
      <c r="M39" s="213">
        <v>0</v>
      </c>
      <c r="N39" t="s">
        <v>357</v>
      </c>
      <c r="O39" s="84"/>
      <c r="Q39" s="258" t="s">
        <v>436</v>
      </c>
      <c r="R39" s="263" t="s">
        <v>411</v>
      </c>
      <c r="S39" s="263" t="s">
        <v>437</v>
      </c>
      <c r="T39" s="263" t="s">
        <v>438</v>
      </c>
      <c r="U39" s="263" t="s">
        <v>439</v>
      </c>
      <c r="V39" s="263" t="s">
        <v>406</v>
      </c>
      <c r="W39" s="107"/>
      <c r="X39" s="107"/>
      <c r="Y39" s="107"/>
      <c r="Z39" s="717">
        <f>Inputs!A39</f>
        <v>0.91</v>
      </c>
      <c r="AA39" s="59">
        <f>Inputs!B39</f>
        <v>0.91758425091758344</v>
      </c>
      <c r="AB39" s="59">
        <f>Inputs!C39</f>
        <v>3.2454475308641979</v>
      </c>
      <c r="AC39" s="44">
        <f>Inputs!D39</f>
        <v>4.1014500000000105</v>
      </c>
      <c r="AD39" s="67">
        <f>IF(Inputs!E39=0,"",Inputs!E39)</f>
        <v>2.6428544999999519</v>
      </c>
      <c r="AE39" s="718">
        <f>Inputs!F39</f>
        <v>0.91</v>
      </c>
      <c r="AF39" s="2">
        <f>IF(SUM(AF$8:AF38)=0,
IF(AND(AA39&gt;=T$64,AA39&lt;T$66),   IF(OR(AD39&lt;AD38,AD39&gt;AD40),AA39,0),0),
IF(AA39&gt;T$66,0,           IF(AF38=0,0,  IF(OR(AD39&lt;AD38,AD39&gt;AD40),AA39,0))))</f>
        <v>0</v>
      </c>
      <c r="AG39" s="102">
        <f t="shared" si="3"/>
        <v>0</v>
      </c>
      <c r="AH39" s="2">
        <f>IF(SUM(AH$8:AH38)=0,
IF(AA39&gt;=T$66,   IF(AD40&lt;0.5,AA39,0),0),
IF(AH38=0,0,  IF(AND(AA39&lt;T$68,AD39&lt;0.5),AA39,0)))</f>
        <v>0</v>
      </c>
      <c r="AI39" s="102">
        <f t="shared" si="2"/>
        <v>0</v>
      </c>
      <c r="AJ39" s="25">
        <f t="shared" si="0"/>
        <v>6.8059413580246905E-2</v>
      </c>
      <c r="AK39" s="114"/>
      <c r="AL39" s="226">
        <f>AL38+AN41/4</f>
        <v>1.2011460815610815</v>
      </c>
      <c r="AM39" s="227">
        <f>(AN42/2)*(AL39-AL38)^2+AN$31*(AL39-AL38)+AM38</f>
        <v>4.7481625773379861</v>
      </c>
      <c r="AN39" s="253">
        <f>AM42-AL42*AN32</f>
        <v>5.1575166823898426</v>
      </c>
      <c r="AP39" s="103"/>
      <c r="AQ39" s="85"/>
      <c r="AR39" s="105"/>
      <c r="AS39" s="106"/>
      <c r="AT39" s="106"/>
      <c r="AV39" s="103"/>
    </row>
    <row r="40" spans="1:48" ht="15" thickBot="1" x14ac:dyDescent="0.45">
      <c r="B40" s="264" t="s">
        <v>440</v>
      </c>
      <c r="C40" s="265"/>
      <c r="D40" s="266" t="s">
        <v>441</v>
      </c>
      <c r="E40" s="267"/>
      <c r="F40" s="268" t="s">
        <v>442</v>
      </c>
      <c r="G40" s="266" t="s">
        <v>443</v>
      </c>
      <c r="H40" s="269"/>
      <c r="I40" s="268" t="s">
        <v>444</v>
      </c>
      <c r="J40" s="266" t="s">
        <v>445</v>
      </c>
      <c r="K40" s="269"/>
      <c r="L40" s="268" t="s">
        <v>446</v>
      </c>
      <c r="M40" s="104" t="s">
        <v>352</v>
      </c>
      <c r="O40" s="84"/>
      <c r="X40" s="107"/>
      <c r="Y40" s="107"/>
      <c r="Z40" s="717">
        <f>Inputs!A40</f>
        <v>0.93</v>
      </c>
      <c r="AA40" s="59">
        <f>Inputs!B40</f>
        <v>0.93426760093426675</v>
      </c>
      <c r="AB40" s="59">
        <f>Inputs!C40</f>
        <v>3.3146296296296298</v>
      </c>
      <c r="AC40" s="44">
        <f>Inputs!D40</f>
        <v>4.1467750000000088</v>
      </c>
      <c r="AD40" s="67">
        <f>IF(Inputs!E40=0,"",Inputs!E40)</f>
        <v>2.7722249999999349</v>
      </c>
      <c r="AE40" s="718">
        <f>Inputs!F40</f>
        <v>0.93</v>
      </c>
      <c r="AF40" s="2">
        <f>IF(SUM(AF$8:AF39)=0,
IF(AND(AA40&gt;=T$64,AA40&lt;T$66),   IF(OR(AD40&lt;AD39,AD40&gt;AD41),AA40,0),0),
IF(AA40&gt;T$66,0,           IF(AF39=0,0,  IF(OR(AD40&lt;AD39,AD40&gt;AD41),AA40,0))))</f>
        <v>0</v>
      </c>
      <c r="AG40" s="102">
        <f t="shared" si="3"/>
        <v>0</v>
      </c>
      <c r="AH40" s="2">
        <f>IF(SUM(AH$8:AH39)=0,
IF(AA40&gt;=T$66,   IF(AD41&lt;0.5,AA40,0),0),
IF(AH39=0,0,  IF(AND(AA40&lt;T$68,AD40&lt;0.5),AA40,0)))</f>
        <v>0</v>
      </c>
      <c r="AI40" s="102">
        <f t="shared" si="2"/>
        <v>0</v>
      </c>
      <c r="AJ40" s="25">
        <f t="shared" si="0"/>
        <v>6.8804012345678997E-2</v>
      </c>
      <c r="AK40" s="114"/>
      <c r="AL40" s="226">
        <f>AL38+AN41/2</f>
        <v>1.2222921631221628</v>
      </c>
      <c r="AM40" s="227">
        <f>(AN42/2)*(AL40-AL38)^2+AN$31*(AL40-AL38)+AM38</f>
        <v>4.7519140433011051</v>
      </c>
      <c r="AN40" s="227">
        <f>(AN39-AN38)/(AN31-AN32)</f>
        <v>1.2222921631221628</v>
      </c>
      <c r="AO40" s="95"/>
      <c r="AP40" s="103"/>
      <c r="AQ40" s="85"/>
      <c r="AR40" s="105"/>
      <c r="AS40" s="106"/>
      <c r="AT40" s="106"/>
      <c r="AV40" s="103"/>
    </row>
    <row r="41" spans="1:48" ht="15.9" x14ac:dyDescent="0.45">
      <c r="B41" s="184"/>
      <c r="C41" s="37" t="s">
        <v>447</v>
      </c>
      <c r="D41" s="52"/>
      <c r="E41" s="238"/>
      <c r="F41" s="37"/>
      <c r="J41" s="37"/>
      <c r="K41" s="270"/>
      <c r="L41" s="271"/>
      <c r="M41" s="174"/>
      <c r="N41" s="44"/>
      <c r="O41" s="84"/>
      <c r="Q41" s="272" t="s">
        <v>448</v>
      </c>
      <c r="R41" s="273" t="s">
        <v>449</v>
      </c>
      <c r="S41" s="273" t="s">
        <v>450</v>
      </c>
      <c r="T41" s="273" t="s">
        <v>451</v>
      </c>
      <c r="U41" s="273" t="s">
        <v>452</v>
      </c>
      <c r="V41" s="273" t="s">
        <v>439</v>
      </c>
      <c r="W41" s="107" t="s">
        <v>422</v>
      </c>
      <c r="Z41" s="717">
        <f>Inputs!A41</f>
        <v>0.95</v>
      </c>
      <c r="AA41" s="59">
        <f>Inputs!B41</f>
        <v>0.95095095095095006</v>
      </c>
      <c r="AB41" s="59">
        <f>Inputs!C41</f>
        <v>3.3846373456790126</v>
      </c>
      <c r="AC41" s="44">
        <f>Inputs!D41</f>
        <v>4.1962625000000067</v>
      </c>
      <c r="AD41" s="67">
        <f>IF(Inputs!E41=0,"",Inputs!E41)</f>
        <v>3.0309659999999004</v>
      </c>
      <c r="AE41" s="718">
        <f>Inputs!F41</f>
        <v>0.95</v>
      </c>
      <c r="AF41" s="2">
        <f>IF(SUM(AF$8:AF40)=0,
IF(AND(AA41&gt;=T$64,AA41&lt;T$66),   IF(OR(AD41&lt;AD40,AD41&gt;AD42),AA41,0),0),
IF(AA41&gt;T$66,0,           IF(AF40=0,0,  IF(OR(AD41&lt;AD40,AD41&gt;AD42),AA41,0))))</f>
        <v>0</v>
      </c>
      <c r="AG41" s="102">
        <f t="shared" si="3"/>
        <v>0</v>
      </c>
      <c r="AH41" s="2">
        <f>IF(SUM(AH$8:AH40)=0,
IF(AA41&gt;=T$66,   IF(AD42&lt;0.5,AA41,0),0),
IF(AH40=0,0,  IF(AND(AA41&lt;T$68,AD41&lt;0.5),AA41,0)))</f>
        <v>0</v>
      </c>
      <c r="AI41" s="102">
        <f t="shared" si="2"/>
        <v>0</v>
      </c>
      <c r="AJ41" s="25">
        <f t="shared" si="0"/>
        <v>6.9594907407407355E-2</v>
      </c>
      <c r="AK41" s="114"/>
      <c r="AL41" s="226">
        <f>AL38+AN41/1.3333</f>
        <v>1.2434398306790113</v>
      </c>
      <c r="AM41" s="227">
        <f>(AN42/2)*(AL41-AL38)^2+AN$31*(AL41-AL38)+AM38</f>
        <v>4.751416701263639</v>
      </c>
      <c r="AN41" s="227">
        <f>(AN40-AL38)*2</f>
        <v>8.4584326244325769E-2</v>
      </c>
      <c r="AP41" s="103"/>
      <c r="AQ41" s="85"/>
      <c r="AR41" s="105"/>
      <c r="AS41" s="106"/>
      <c r="AT41" s="106"/>
      <c r="AV41" s="103"/>
    </row>
    <row r="42" spans="1:48" ht="14.6" customHeight="1" thickBot="1" x14ac:dyDescent="0.5">
      <c r="B42" s="184"/>
      <c r="C42" s="37" t="s">
        <v>453</v>
      </c>
      <c r="D42" s="52"/>
      <c r="E42" s="232"/>
      <c r="F42" s="37"/>
      <c r="G42" s="238"/>
      <c r="H42" s="238"/>
      <c r="J42" s="37"/>
      <c r="K42" s="274"/>
      <c r="L42" s="275"/>
      <c r="M42" s="174"/>
      <c r="O42" s="84"/>
      <c r="Q42" s="238" t="s">
        <v>454</v>
      </c>
      <c r="R42" s="273" t="s">
        <v>449</v>
      </c>
      <c r="S42" s="273" t="s">
        <v>455</v>
      </c>
      <c r="T42" s="273" t="s">
        <v>449</v>
      </c>
      <c r="U42" s="273" t="s">
        <v>439</v>
      </c>
      <c r="V42" s="273" t="s">
        <v>439</v>
      </c>
      <c r="W42" s="107" t="s">
        <v>422</v>
      </c>
      <c r="Z42" s="717">
        <f>Inputs!A42</f>
        <v>0.96</v>
      </c>
      <c r="AA42" s="59">
        <f>Inputs!B42</f>
        <v>0.96763430096763337</v>
      </c>
      <c r="AB42" s="59">
        <f>Inputs!C42</f>
        <v>3.4555941358024693</v>
      </c>
      <c r="AC42" s="44">
        <f>Inputs!D42</f>
        <v>4.2531500000000051</v>
      </c>
      <c r="AD42" s="67">
        <f>IF(Inputs!E42=0,"",Inputs!E42)</f>
        <v>3.4098367499999145</v>
      </c>
      <c r="AE42" s="718">
        <f>Inputs!F42</f>
        <v>0.96</v>
      </c>
      <c r="AF42" s="2">
        <f>IF(SUM(AF$8:AF41)=0,
IF(AND(AA42&gt;=T$64,AA42&lt;T$66),   IF(OR(AD42&lt;AD41,AD42&gt;AD43),AA42,0),0),
IF(AA42&gt;T$66,0,           IF(AF41=0,0,  IF(OR(AD42&lt;AD41,AD42&gt;AD43),AA42,0))))</f>
        <v>0</v>
      </c>
      <c r="AG42" s="102">
        <f t="shared" si="3"/>
        <v>0</v>
      </c>
      <c r="AH42" s="2">
        <f>IF(SUM(AH$8:AH41)=0,
IF(AA42&gt;=T$66,   IF(AD43&lt;0.5,AA42,0),0),
IF(AH41=0,0,  IF(AND(AA42&lt;T$68,AD42&lt;0.5),AA42,0)))</f>
        <v>0</v>
      </c>
      <c r="AI42" s="102">
        <f t="shared" si="2"/>
        <v>0</v>
      </c>
      <c r="AJ42" s="25">
        <f t="shared" si="0"/>
        <v>7.0482253086419672E-2</v>
      </c>
      <c r="AK42" s="205" t="s">
        <v>5</v>
      </c>
      <c r="AL42" s="247">
        <f>T68</f>
        <v>1.2846179512846181</v>
      </c>
      <c r="AM42" s="217">
        <f>AVERAGE(V67,V68)</f>
        <v>4.7401624999999807</v>
      </c>
      <c r="AN42" s="253">
        <f>(AN32-AN31)/AN41</f>
        <v>-9.5013912429600946</v>
      </c>
      <c r="AO42" s="49"/>
      <c r="AP42" s="103"/>
      <c r="AQ42" s="85"/>
      <c r="AR42" s="105"/>
      <c r="AS42" s="106"/>
      <c r="AT42" s="106"/>
      <c r="AV42" s="103"/>
    </row>
    <row r="43" spans="1:48" ht="14.6" customHeight="1" thickBot="1" x14ac:dyDescent="0.5">
      <c r="B43" s="76"/>
      <c r="C43" s="37" t="s">
        <v>456</v>
      </c>
      <c r="D43" s="52"/>
      <c r="E43" s="238"/>
      <c r="F43" s="37"/>
      <c r="J43" s="37"/>
      <c r="K43" s="274"/>
      <c r="L43" s="276"/>
      <c r="M43" s="109">
        <v>0</v>
      </c>
      <c r="N43" s="876" t="s">
        <v>365</v>
      </c>
      <c r="O43" s="877"/>
      <c r="Q43" s="238" t="s">
        <v>457</v>
      </c>
      <c r="R43" s="273" t="s">
        <v>449</v>
      </c>
      <c r="S43" s="273" t="s">
        <v>458</v>
      </c>
      <c r="T43" s="273" t="s">
        <v>459</v>
      </c>
      <c r="U43" s="273" t="s">
        <v>439</v>
      </c>
      <c r="V43" s="273" t="s">
        <v>439</v>
      </c>
      <c r="W43" s="107" t="s">
        <v>422</v>
      </c>
      <c r="Z43" s="717">
        <f>Inputs!A43</f>
        <v>0.98</v>
      </c>
      <c r="AA43" s="59">
        <f>Inputs!B43</f>
        <v>0.98431765098431667</v>
      </c>
      <c r="AB43" s="59">
        <f>Inputs!C43</f>
        <v>3.5276234567901237</v>
      </c>
      <c r="AC43" s="44">
        <f>Inputs!D43</f>
        <v>4.3174375000000031</v>
      </c>
      <c r="AD43" s="67">
        <f>IF(Inputs!E43=0,"",Inputs!E43)</f>
        <v>3.7887074999998753</v>
      </c>
      <c r="AE43" s="718">
        <f>Inputs!F43</f>
        <v>0.98</v>
      </c>
      <c r="AF43" s="2">
        <f>IF(SUM(AF$8:AF42)=0,
IF(AND(AA43&gt;=T$64,AA43&lt;T$66),   IF(OR(AD43&lt;AD42,AD43&gt;AD44),AA43,0),0),
IF(AA43&gt;T$66,0,           IF(AF42=0,0,  IF(OR(AD43&lt;AD42,AD43&gt;AD44),AA43,0))))</f>
        <v>0</v>
      </c>
      <c r="AG43" s="102">
        <f t="shared" si="3"/>
        <v>0</v>
      </c>
      <c r="AH43" s="2">
        <f>IF(SUM(AH$8:AH42)=0,
IF(AA43&gt;=T$66,   IF(AD44&lt;0.5,AA43,0),0),
IF(AH42=0,0,  IF(AND(AA43&lt;T$68,AD43&lt;0.5),AA43,0)))</f>
        <v>0</v>
      </c>
      <c r="AI43" s="102">
        <f t="shared" si="2"/>
        <v>0</v>
      </c>
      <c r="AJ43" s="25">
        <f t="shared" si="0"/>
        <v>7.1493055555555449E-2</v>
      </c>
      <c r="AK43" s="205" t="s">
        <v>10</v>
      </c>
      <c r="AL43" s="247">
        <f>T70</f>
        <v>2.1688355021688368</v>
      </c>
      <c r="AM43" s="217">
        <f>((U71-U64)/(T71-T64))-(AVERAGE(V67,V68)-((U71-U64)/(T71-T64)))</f>
        <v>4.4528927380952705</v>
      </c>
      <c r="AN43" s="218">
        <f>AM43-AL43*AN32</f>
        <v>5.1575166823898417</v>
      </c>
      <c r="AO43" s="49"/>
      <c r="AP43" s="103"/>
      <c r="AQ43" s="85"/>
      <c r="AR43" s="105"/>
      <c r="AS43" s="106"/>
      <c r="AT43" s="106"/>
      <c r="AV43" s="103"/>
    </row>
    <row r="44" spans="1:48" ht="14.6" customHeight="1" thickBot="1" x14ac:dyDescent="0.5">
      <c r="A44"/>
      <c r="B44" s="277" t="s">
        <v>460</v>
      </c>
      <c r="C44" s="278" t="s">
        <v>11</v>
      </c>
      <c r="F44" s="118"/>
      <c r="G44" s="118"/>
      <c r="H44" s="118"/>
      <c r="J44" s="37"/>
      <c r="K44" s="274"/>
      <c r="L44" s="279"/>
      <c r="M44" s="280" t="s">
        <v>461</v>
      </c>
      <c r="N44" s="73"/>
      <c r="O44" s="96"/>
      <c r="Q44" s="277" t="s">
        <v>462</v>
      </c>
      <c r="Z44" s="717">
        <f>Inputs!A44</f>
        <v>1</v>
      </c>
      <c r="AA44" s="59">
        <f>Inputs!B44</f>
        <v>1.001001001001</v>
      </c>
      <c r="AB44" s="59">
        <f>Inputs!C44</f>
        <v>3.6007947530864199</v>
      </c>
      <c r="AC44" s="44">
        <f>Inputs!D44</f>
        <v>4.3858874999999999</v>
      </c>
      <c r="AD44" s="67">
        <f>IF(Inputs!E44=0,"",Inputs!E44)</f>
        <v>4.0197262499998256</v>
      </c>
      <c r="AE44" s="718">
        <f>Inputs!F44</f>
        <v>1</v>
      </c>
      <c r="AF44" s="2">
        <f>IF(SUM(AF$8:AF43)=0,
IF(AND(AA44&gt;=T$64,AA44&lt;T$66),   IF(OR(AD44&lt;AD43,AD44&gt;AD45),AA44,0),0),
IF(AA44&gt;T$66,0,           IF(AF43=0,0,  IF(OR(AD44&lt;AD43,AD44&gt;AD45),AA44,0))))</f>
        <v>0</v>
      </c>
      <c r="AG44" s="102">
        <f t="shared" si="3"/>
        <v>0</v>
      </c>
      <c r="AH44" s="2">
        <f>IF(SUM(AH$8:AH43)=0,
IF(AA44&gt;=T$66,   IF(AD45&lt;0.5,AA44,0),0),
IF(AH43=0,0,  IF(AND(AA44&lt;T$68,AD44&lt;0.5),AA44,0)))</f>
        <v>0</v>
      </c>
      <c r="AI44" s="102">
        <f t="shared" si="2"/>
        <v>0</v>
      </c>
      <c r="AJ44" s="25">
        <f t="shared" si="0"/>
        <v>7.2600308641975142E-2</v>
      </c>
      <c r="AK44" s="114"/>
      <c r="AL44" s="226">
        <f>AL43+AN46/4</f>
        <v>2.2168421025074658</v>
      </c>
      <c r="AM44" s="227">
        <f>(AN47/2)*(AL44-AL43)^2+AN$32*(AL44-AL43)+AM43</f>
        <v>4.4421187491317253</v>
      </c>
      <c r="AN44" s="228">
        <f>AM47-AL47*AN31</f>
        <v>3.3373284960319793</v>
      </c>
      <c r="AO44" s="49"/>
      <c r="AP44" s="103"/>
      <c r="AQ44" s="85"/>
      <c r="AR44" s="105"/>
      <c r="AS44" s="106"/>
      <c r="AT44" s="106"/>
      <c r="AV44" s="103"/>
    </row>
    <row r="45" spans="1:48" ht="14.6" customHeight="1" x14ac:dyDescent="0.45">
      <c r="B45" s="281" t="s">
        <v>463</v>
      </c>
      <c r="C45" s="168"/>
      <c r="D45" s="282"/>
      <c r="E45" s="283"/>
      <c r="F45" s="284" t="s">
        <v>464</v>
      </c>
      <c r="G45" s="285">
        <f>U71-U64</f>
        <v>8.0519753086419854</v>
      </c>
      <c r="H45" s="286"/>
      <c r="I45" s="287" t="s">
        <v>465</v>
      </c>
      <c r="J45" s="288" t="str">
        <f>D25</f>
        <v>W4-</v>
      </c>
      <c r="K45" s="289"/>
      <c r="L45" s="290"/>
      <c r="M45" s="99">
        <v>0</v>
      </c>
      <c r="N45" t="s">
        <v>357</v>
      </c>
      <c r="O45" s="84"/>
      <c r="Q45" s="291" t="s">
        <v>466</v>
      </c>
      <c r="R45" s="292" t="s">
        <v>405</v>
      </c>
      <c r="S45" s="292" t="s">
        <v>425</v>
      </c>
      <c r="T45" s="293" t="s">
        <v>406</v>
      </c>
      <c r="U45" s="293" t="s">
        <v>467</v>
      </c>
      <c r="V45" s="293" t="s">
        <v>468</v>
      </c>
      <c r="W45" s="294" t="s">
        <v>422</v>
      </c>
      <c r="Z45" s="717">
        <f>Inputs!A45</f>
        <v>1.01</v>
      </c>
      <c r="AA45" s="59">
        <f>Inputs!B45</f>
        <v>1.0176843510176834</v>
      </c>
      <c r="AB45" s="59">
        <f>Inputs!C45</f>
        <v>3.6751080246913586</v>
      </c>
      <c r="AC45" s="44">
        <f>Inputs!D45</f>
        <v>4.4543374999999958</v>
      </c>
      <c r="AD45" s="67">
        <f>IF(Inputs!E45=0,"",Inputs!E45)</f>
        <v>4.0289669999997324</v>
      </c>
      <c r="AE45" s="718">
        <f>Inputs!F45</f>
        <v>1.01</v>
      </c>
      <c r="AF45" s="2">
        <f>IF(SUM(AF$8:AF44)=0,
IF(AND(AA45&gt;=T$64,AA45&lt;T$66),   IF(OR(AD45&lt;AD44,AD45&gt;AD46),AA45,0),0),
IF(AA45&gt;T$66,0,           IF(AF44=0,0,  IF(OR(AD45&lt;AD44,AD45&gt;AD46),AA45,0))))</f>
        <v>0</v>
      </c>
      <c r="AG45" s="102">
        <f t="shared" si="3"/>
        <v>0</v>
      </c>
      <c r="AH45" s="2">
        <f>IF(SUM(AH$8:AH44)=0,
IF(AA45&gt;=T$66,   IF(AD46&lt;0.5,AA45,0),0),
IF(AH44=0,0,  IF(AND(AA45&lt;T$68,AD45&lt;0.5),AA45,0)))</f>
        <v>0</v>
      </c>
      <c r="AI45" s="102">
        <f t="shared" si="2"/>
        <v>0</v>
      </c>
      <c r="AJ45" s="25">
        <f t="shared" si="0"/>
        <v>7.3742283950617563E-2</v>
      </c>
      <c r="AK45" s="205"/>
      <c r="AL45" s="226">
        <f>AL43+AN46/2</f>
        <v>2.2648487028460949</v>
      </c>
      <c r="AM45" s="227">
        <f>(AN47/2)*(AL45-AL43)^2+AN$32*(AL45-AL43)+AM43</f>
        <v>4.4409901116097332</v>
      </c>
      <c r="AN45" s="239">
        <f>(AN44-AN43)/(AN32-AN31)</f>
        <v>2.2648487028460949</v>
      </c>
      <c r="AO45" s="49"/>
      <c r="AP45" s="103"/>
      <c r="AQ45" s="85"/>
      <c r="AR45" s="105"/>
      <c r="AS45" s="106"/>
      <c r="AT45" s="106"/>
      <c r="AV45" s="103"/>
    </row>
    <row r="46" spans="1:48" ht="14.6" customHeight="1" x14ac:dyDescent="0.45">
      <c r="B46" s="76"/>
      <c r="C46" s="37"/>
      <c r="D46" s="57" t="s">
        <v>469</v>
      </c>
      <c r="E46" s="295">
        <f xml:space="preserve"> ((T64-T63)+(T71-T70))/2</f>
        <v>0.18351685018351602</v>
      </c>
      <c r="F46" s="296" t="s">
        <v>470</v>
      </c>
      <c r="G46" s="297"/>
      <c r="H46" s="298"/>
      <c r="I46" s="299"/>
      <c r="J46" s="299"/>
      <c r="K46" s="300"/>
      <c r="L46" s="301"/>
      <c r="M46" s="101">
        <v>6.3890000000000002</v>
      </c>
      <c r="N46" s="1" t="s">
        <v>367</v>
      </c>
      <c r="O46" s="84"/>
      <c r="Q46" s="296" t="s">
        <v>470</v>
      </c>
      <c r="R46" s="302"/>
      <c r="S46" s="302"/>
      <c r="T46" s="302"/>
      <c r="U46" s="302"/>
      <c r="V46" s="302"/>
      <c r="W46" s="294" t="s">
        <v>422</v>
      </c>
      <c r="Z46" s="717">
        <f>Inputs!A46</f>
        <v>1.03</v>
      </c>
      <c r="AA46" s="59">
        <f>Inputs!B46</f>
        <v>1.0343677010343668</v>
      </c>
      <c r="AB46" s="59">
        <f>Inputs!C46</f>
        <v>3.7505015432098774</v>
      </c>
      <c r="AC46" s="44">
        <f>Inputs!D46</f>
        <v>4.5190874999999915</v>
      </c>
      <c r="AD46" s="67">
        <f>IF(Inputs!E46=0,"",Inputs!E46)</f>
        <v>3.7887074999997434</v>
      </c>
      <c r="AE46" s="718">
        <f>Inputs!F46</f>
        <v>1.03</v>
      </c>
      <c r="AF46" s="2">
        <f>IF(SUM(AF$8:AF45)=0,
IF(AND(AA46&gt;=T$64,AA46&lt;T$66),   IF(OR(AD46&lt;AD45,AD46&gt;AD47),AA46,0),0),
IF(AA46&gt;T$66,0,           IF(AF45=0,0,  IF(OR(AD46&lt;AD45,AD46&gt;AD47),AA46,0))))</f>
        <v>0</v>
      </c>
      <c r="AG46" s="102">
        <f t="shared" si="3"/>
        <v>0</v>
      </c>
      <c r="AH46" s="2">
        <f>IF(SUM(AH$8:AH45)=0,
IF(AA46&gt;=T$66,   IF(AD47&lt;0.5,AA46,0),0),
IF(AH45=0,0,  IF(AND(AA46&lt;T$68,AD46&lt;0.5),AA46,0)))</f>
        <v>0</v>
      </c>
      <c r="AI46" s="102">
        <f t="shared" si="2"/>
        <v>0</v>
      </c>
      <c r="AJ46" s="25">
        <f t="shared" si="0"/>
        <v>7.4853395061728598E-2</v>
      </c>
      <c r="AK46" s="205"/>
      <c r="AL46" s="226">
        <f>AL43+AN46/1.3333</f>
        <v>2.3128589037697638</v>
      </c>
      <c r="AM46" s="227">
        <f>(AN47/2)*(AL46-AL43)^2+AN$32*(AL46-AL43)+AM43</f>
        <v>4.4495078260356564</v>
      </c>
      <c r="AN46" s="239">
        <f>(AN45-AL43)*2</f>
        <v>0.1920264013545161</v>
      </c>
      <c r="AO46" s="49"/>
      <c r="AP46" s="103"/>
      <c r="AQ46" s="85"/>
      <c r="AR46" s="105"/>
      <c r="AS46" s="106"/>
      <c r="AT46" s="106"/>
      <c r="AV46" s="103"/>
    </row>
    <row r="47" spans="1:48" ht="14.6" customHeight="1" thickBot="1" x14ac:dyDescent="0.45">
      <c r="B47" s="117"/>
      <c r="C47" s="118"/>
      <c r="D47" s="260" t="s">
        <v>471</v>
      </c>
      <c r="E47" s="303">
        <f>E46/(T71-T64)</f>
        <v>0.10476190476190429</v>
      </c>
      <c r="F47" s="304" t="s">
        <v>472</v>
      </c>
      <c r="G47" s="304"/>
      <c r="H47" s="260"/>
      <c r="I47" s="118"/>
      <c r="J47" s="118"/>
      <c r="K47" s="305"/>
      <c r="L47" s="306"/>
      <c r="M47" s="307"/>
      <c r="N47" s="308"/>
      <c r="O47" s="84"/>
      <c r="Q47" s="304" t="s">
        <v>472</v>
      </c>
      <c r="R47" s="302"/>
      <c r="S47" s="302"/>
      <c r="T47" s="302"/>
      <c r="U47" s="302"/>
      <c r="V47" s="302"/>
      <c r="W47" s="309" t="s">
        <v>422</v>
      </c>
      <c r="Z47" s="717">
        <f>Inputs!A47</f>
        <v>1.05</v>
      </c>
      <c r="AA47" s="59">
        <f>Inputs!B47</f>
        <v>1.0510510510510502</v>
      </c>
      <c r="AB47" s="59">
        <f>Inputs!C47</f>
        <v>3.8268364197530875</v>
      </c>
      <c r="AC47" s="44">
        <f>Inputs!D47</f>
        <v>4.5755124999999879</v>
      </c>
      <c r="AD47" s="67">
        <f>IF(Inputs!E47=0,"",Inputs!E47)</f>
        <v>3.3174292499997526</v>
      </c>
      <c r="AE47" s="718">
        <f>Inputs!F47</f>
        <v>1.05</v>
      </c>
      <c r="AF47" s="2">
        <f>IF(SUM(AF$8:AF46)=0,
IF(AND(AA47&gt;=T$64,AA47&lt;T$66),   IF(OR(AD47&lt;AD46,AD47&gt;AD48),AA47,0),0),
IF(AA47&gt;T$66,0,           IF(AF46=0,0,  IF(OR(AD47&lt;AD46,AD47&gt;AD48),AA47,0))))</f>
        <v>0</v>
      </c>
      <c r="AG47" s="102">
        <f t="shared" si="3"/>
        <v>0</v>
      </c>
      <c r="AH47" s="2">
        <f>IF(SUM(AH$8:AH46)=0,
IF(AA47&gt;=T$66,   IF(AD48&lt;0.5,AA47,0),0),
IF(AH46=0,0,  IF(AND(AA47&lt;T$68,AD47&lt;0.5),AA47,0)))</f>
        <v>0</v>
      </c>
      <c r="AI47" s="102">
        <f t="shared" si="2"/>
        <v>0</v>
      </c>
      <c r="AJ47" s="25">
        <f t="shared" si="0"/>
        <v>7.5864197530864333E-2</v>
      </c>
      <c r="AK47" s="310" t="s">
        <v>377</v>
      </c>
      <c r="AL47" s="311">
        <f>C39</f>
        <v>2.33</v>
      </c>
      <c r="AM47" s="312">
        <f>((U71-U64)/(T71-T64))-(AVERAGE(V67,V68)-((U71-U64)/(T71-T64)))</f>
        <v>4.4528927380952705</v>
      </c>
      <c r="AN47" s="248">
        <f>(AN31-AN32)/AN46</f>
        <v>4.1851993840461343</v>
      </c>
      <c r="AO47" s="49"/>
      <c r="AP47" s="103"/>
      <c r="AQ47" s="85"/>
      <c r="AR47" s="105"/>
      <c r="AS47" s="106"/>
      <c r="AT47" s="106"/>
      <c r="AV47" s="103"/>
    </row>
    <row r="48" spans="1:48" ht="14.6" customHeight="1" x14ac:dyDescent="0.4">
      <c r="B48" s="313"/>
      <c r="C48" s="314"/>
      <c r="D48" s="57" t="s">
        <v>473</v>
      </c>
      <c r="E48" s="315">
        <f>AG2</f>
        <v>-3.191250000000069E-2</v>
      </c>
      <c r="F48" s="316" t="s">
        <v>474</v>
      </c>
      <c r="G48" s="314"/>
      <c r="H48" s="317"/>
      <c r="K48" s="318"/>
      <c r="L48" s="319"/>
      <c r="M48" s="174"/>
      <c r="N48" s="308"/>
      <c r="O48" s="84"/>
      <c r="P48" s="320"/>
      <c r="Q48" s="316" t="s">
        <v>474</v>
      </c>
      <c r="R48" s="321"/>
      <c r="S48" s="302"/>
      <c r="T48" s="321"/>
      <c r="U48" s="321"/>
      <c r="V48" s="321"/>
      <c r="W48" s="322" t="s">
        <v>422</v>
      </c>
      <c r="Z48" s="717">
        <f>Inputs!A48</f>
        <v>1.06</v>
      </c>
      <c r="AA48" s="59">
        <f>Inputs!B48</f>
        <v>1.0677344010677337</v>
      </c>
      <c r="AB48" s="59">
        <f>Inputs!C48</f>
        <v>3.9039197530864209</v>
      </c>
      <c r="AC48" s="44">
        <f>Inputs!D48</f>
        <v>4.620374999999985</v>
      </c>
      <c r="AD48" s="67">
        <f>IF(Inputs!E48=0,"",Inputs!E48)</f>
        <v>2.6982989999998583</v>
      </c>
      <c r="AE48" s="718">
        <f>Inputs!F48</f>
        <v>1.06</v>
      </c>
      <c r="AF48" s="2">
        <f>IF(SUM(AF$8:AF47)=0,
IF(AND(AA48&gt;=T$64,AA48&lt;T$66),   IF(OR(AD48&lt;AD47,AD48&gt;AD49),AA48,0),0),
IF(AA48&gt;T$66,0,           IF(AF47=0,0,  IF(OR(AD48&lt;AD47,AD48&gt;AD49),AA48,0))))</f>
        <v>0</v>
      </c>
      <c r="AG48" s="102">
        <f t="shared" si="3"/>
        <v>0</v>
      </c>
      <c r="AH48" s="2">
        <f>IF(SUM(AH$8:AH47)=0,
IF(AA48&gt;=T$66,   IF(AD49&lt;0.5,AA48,0),0),
IF(AH47=0,0,  IF(AND(AA48&lt;T$68,AD48&lt;0.5),AA48,0)))</f>
        <v>0</v>
      </c>
      <c r="AI48" s="102">
        <f t="shared" si="2"/>
        <v>0</v>
      </c>
      <c r="AJ48" s="25">
        <f t="shared" si="0"/>
        <v>7.6709104938271697E-2</v>
      </c>
      <c r="AK48" s="323"/>
      <c r="AL48" s="324"/>
      <c r="AM48" s="324"/>
      <c r="AO48" s="49"/>
      <c r="AP48" s="103"/>
      <c r="AQ48" s="85"/>
      <c r="AR48" s="105"/>
      <c r="AS48" s="106"/>
      <c r="AT48" s="106"/>
      <c r="AV48" s="103"/>
    </row>
    <row r="49" spans="2:48" ht="14.6" customHeight="1" thickBot="1" x14ac:dyDescent="0.5">
      <c r="B49" s="325"/>
      <c r="C49" s="326"/>
      <c r="D49" s="317" t="s">
        <v>475</v>
      </c>
      <c r="E49" s="327">
        <f>(V67-V64)/(T67-T64)</f>
        <v>2.4333974999999564</v>
      </c>
      <c r="F49" s="296" t="s">
        <v>476</v>
      </c>
      <c r="G49" s="296"/>
      <c r="H49" s="317"/>
      <c r="I49" s="317"/>
      <c r="J49" s="328"/>
      <c r="K49" s="300"/>
      <c r="L49" s="301"/>
      <c r="M49" s="92">
        <f>C37</f>
        <v>1.86</v>
      </c>
      <c r="N49" s="93"/>
      <c r="O49" s="94" t="s">
        <v>161</v>
      </c>
      <c r="Q49" s="296" t="s">
        <v>476</v>
      </c>
      <c r="R49" s="302"/>
      <c r="S49" s="302"/>
      <c r="T49" s="302"/>
      <c r="U49" s="302"/>
      <c r="V49" s="302"/>
      <c r="Z49" s="717">
        <f>Inputs!A49</f>
        <v>1.08</v>
      </c>
      <c r="AA49" s="59">
        <f>Inputs!B49</f>
        <v>1.0844177510844171</v>
      </c>
      <c r="AB49" s="59">
        <f>Inputs!C49</f>
        <v>3.9815663580246925</v>
      </c>
      <c r="AC49" s="44">
        <f>Inputs!D49</f>
        <v>4.6541374999999823</v>
      </c>
      <c r="AD49" s="67">
        <f>IF(Inputs!E49=0,"",Inputs!E49)</f>
        <v>2.0791687499998042</v>
      </c>
      <c r="AE49" s="718">
        <f>Inputs!F49</f>
        <v>1.08</v>
      </c>
      <c r="AF49" s="2">
        <f>IF(SUM(AF$8:AF48)=0,
IF(AND(AA49&gt;=T$64,AA49&lt;T$66),   IF(OR(AD49&lt;AD48,AD49&gt;AD50),AA49,0),0),
IF(AA49&gt;T$66,0,           IF(AF48=0,0,  IF(OR(AD49&lt;AD48,AD49&gt;AD50),AA49,0))))</f>
        <v>0</v>
      </c>
      <c r="AG49" s="102">
        <f t="shared" si="3"/>
        <v>0</v>
      </c>
      <c r="AH49" s="2">
        <f>IF(SUM(AH$8:AH48)=0,
IF(AA49&gt;=T$66,   IF(AD50&lt;0.5,AA49,0),0),
IF(AH48=0,0,  IF(AND(AA49&lt;T$68,AD49&lt;0.5),AA49,0)))</f>
        <v>0</v>
      </c>
      <c r="AI49" s="102">
        <f t="shared" si="2"/>
        <v>0</v>
      </c>
      <c r="AJ49" s="25">
        <f t="shared" si="0"/>
        <v>7.7364969135802514E-2</v>
      </c>
      <c r="AK49" s="329" t="s">
        <v>757</v>
      </c>
      <c r="AL49" s="330">
        <f>S69</f>
        <v>1.86</v>
      </c>
      <c r="AO49" s="49"/>
      <c r="AP49" s="103"/>
      <c r="AQ49" s="85"/>
      <c r="AR49" s="105"/>
      <c r="AS49" s="106"/>
      <c r="AT49" s="106"/>
      <c r="AV49" s="103"/>
    </row>
    <row r="50" spans="2:48" ht="14.6" customHeight="1" x14ac:dyDescent="0.45">
      <c r="B50" s="76"/>
      <c r="C50" s="37"/>
      <c r="D50" s="57" t="s">
        <v>477</v>
      </c>
      <c r="E50" s="331">
        <f>V74</f>
        <v>1.0795007032348967</v>
      </c>
      <c r="F50" s="332" t="s">
        <v>479</v>
      </c>
      <c r="G50" s="332"/>
      <c r="K50" s="333"/>
      <c r="L50" s="334"/>
      <c r="M50" s="335" t="s">
        <v>478</v>
      </c>
      <c r="N50" s="336"/>
      <c r="O50" s="96"/>
      <c r="P50" s="43"/>
      <c r="Q50" s="332" t="s">
        <v>479</v>
      </c>
      <c r="R50" s="337"/>
      <c r="S50" s="337"/>
      <c r="T50" s="337"/>
      <c r="U50" s="337"/>
      <c r="V50" s="337"/>
      <c r="Z50" s="717">
        <f>Inputs!A50</f>
        <v>1.1000000000000001</v>
      </c>
      <c r="AA50" s="59">
        <f>Inputs!B50</f>
        <v>1.1011011011011005</v>
      </c>
      <c r="AB50" s="59">
        <f>Inputs!C50</f>
        <v>4.0596373456790138</v>
      </c>
      <c r="AC50" s="44">
        <f>Inputs!D50</f>
        <v>4.6795749999999794</v>
      </c>
      <c r="AD50" s="67">
        <f>IF(Inputs!E50=0,"",Inputs!E50)</f>
        <v>1.5709274999998639</v>
      </c>
      <c r="AE50" s="718">
        <f>Inputs!F50</f>
        <v>1.1000000000000001</v>
      </c>
      <c r="AF50" s="2">
        <f>IF(SUM(AF$8:AF49)=0,
IF(AND(AA50&gt;=T$64,AA50&lt;T$66),   IF(OR(AD50&lt;AD49,AD50&gt;AD51),AA50,0),0),
IF(AA50&gt;T$66,0,           IF(AF49=0,0,  IF(OR(AD50&lt;AD49,AD50&gt;AD51),AA50,0))))</f>
        <v>0</v>
      </c>
      <c r="AG50" s="102">
        <f t="shared" si="3"/>
        <v>0</v>
      </c>
      <c r="AH50" s="2">
        <f>IF(SUM(AH$8:AH49)=0,
IF(AA50&gt;=T$66,   IF(AD51&lt;0.5,AA50,0),0),
IF(AH49=0,0,  IF(AND(AA50&lt;T$68,AD50&lt;0.5),AA50,0)))</f>
        <v>0</v>
      </c>
      <c r="AI50" s="102">
        <f t="shared" si="2"/>
        <v>0</v>
      </c>
      <c r="AJ50" s="25">
        <f t="shared" si="0"/>
        <v>7.7858796296296301E-2</v>
      </c>
      <c r="AK50" s="329" t="s">
        <v>756</v>
      </c>
      <c r="AL50" s="338" cm="1">
        <f t="array" ref="AL50">INDEX(AM51:AM250,MATCH(TRUE,AM51:AM250&gt;0,0))</f>
        <v>2.4024024024024015</v>
      </c>
      <c r="AM50" s="338">
        <f>AL50-AL49</f>
        <v>0.54240240240240145</v>
      </c>
      <c r="AO50" s="49"/>
      <c r="AP50" s="103"/>
      <c r="AQ50" s="85"/>
      <c r="AR50" s="105"/>
      <c r="AS50" s="106"/>
      <c r="AT50" s="106"/>
      <c r="AV50" s="103"/>
    </row>
    <row r="51" spans="2:48" ht="14.6" customHeight="1" thickBot="1" x14ac:dyDescent="0.45">
      <c r="B51" s="325"/>
      <c r="C51" s="339"/>
      <c r="D51" s="317" t="s">
        <v>480</v>
      </c>
      <c r="E51" s="327">
        <f>(V67-V66)/(T67-T66)</f>
        <v>2.3175800999998817</v>
      </c>
      <c r="F51" s="296" t="s">
        <v>482</v>
      </c>
      <c r="G51" s="340"/>
      <c r="H51" s="341"/>
      <c r="I51" s="317"/>
      <c r="J51" s="342"/>
      <c r="K51" s="343"/>
      <c r="L51" s="344"/>
      <c r="M51" s="99">
        <v>5.7889999999999997</v>
      </c>
      <c r="N51" t="s">
        <v>481</v>
      </c>
      <c r="O51" s="84"/>
      <c r="Q51" s="296" t="s">
        <v>482</v>
      </c>
      <c r="R51" s="302"/>
      <c r="S51" s="302"/>
      <c r="T51" s="302"/>
      <c r="U51" s="302"/>
      <c r="V51" s="302"/>
      <c r="Z51" s="717">
        <f>Inputs!A51</f>
        <v>1.1100000000000001</v>
      </c>
      <c r="AA51" s="59">
        <f>Inputs!B51</f>
        <v>1.1177844511177839</v>
      </c>
      <c r="AB51" s="59">
        <f>Inputs!C51</f>
        <v>4.1380324074074091</v>
      </c>
      <c r="AC51" s="44">
        <f>Inputs!D51</f>
        <v>4.6989999999999794</v>
      </c>
      <c r="AD51" s="67">
        <f>IF(Inputs!E51=0,"",Inputs!E51)</f>
        <v>1.1735752499999308</v>
      </c>
      <c r="AE51" s="718">
        <f>Inputs!F51</f>
        <v>1.1100000000000001</v>
      </c>
      <c r="AF51" s="2">
        <f>IF(SUM(AF$8:AF50)=0,
IF(AND(AA51&gt;=T$64,AA51&lt;T$66),   IF(OR(AD51&lt;AD50,AD51&gt;AD52),AA51,0),0),
IF(AA51&gt;T$66,0,           IF(AF50=0,0,  IF(OR(AD51&lt;AD50,AD51&gt;AD52),AA51,0))))</f>
        <v>0</v>
      </c>
      <c r="AG51" s="102">
        <f t="shared" si="3"/>
        <v>0</v>
      </c>
      <c r="AH51" s="2">
        <f>IF(SUM(AH$8:AH50)=0,
IF(AA51&gt;=T$66,   IF(AD52&lt;0.5,AA51,0),0),
IF(AH50=0,0,  IF(AND(AA51&lt;T$68,AD51&lt;0.5),AA51,0)))</f>
        <v>0</v>
      </c>
      <c r="AI51" s="102">
        <f t="shared" si="2"/>
        <v>0</v>
      </c>
      <c r="AJ51" s="25">
        <f t="shared" si="0"/>
        <v>7.8233024691357997E-2</v>
      </c>
      <c r="AL51" s="87">
        <f>IF(AA51&gt;(AL$49+0.05),AA51, )</f>
        <v>0</v>
      </c>
      <c r="AM51" s="63">
        <f t="shared" ref="AM51:AM114" si="6">IF(AND(AL51&gt;0,AD51&gt;0),AA51,0)</f>
        <v>0</v>
      </c>
      <c r="AO51" s="49"/>
      <c r="AP51" s="103"/>
      <c r="AQ51" s="85"/>
      <c r="AR51" s="105"/>
      <c r="AS51" s="106"/>
      <c r="AT51" s="106"/>
      <c r="AV51" s="103"/>
    </row>
    <row r="52" spans="2:48" ht="14.6" customHeight="1" x14ac:dyDescent="0.4">
      <c r="B52" s="313"/>
      <c r="C52" s="168"/>
      <c r="D52" s="345" t="s">
        <v>483</v>
      </c>
      <c r="E52" s="346">
        <f>((U68-U63)/(T68-T63))/((U71-U64)/(T71-T64))</f>
        <v>0.87896850494642931</v>
      </c>
      <c r="F52" s="347" t="s">
        <v>484</v>
      </c>
      <c r="G52" s="347"/>
      <c r="H52" s="168"/>
      <c r="I52" s="168"/>
      <c r="J52" s="168"/>
      <c r="K52" s="348"/>
      <c r="L52" s="349"/>
      <c r="M52" s="101">
        <v>6.3890000000000002</v>
      </c>
      <c r="N52" s="1" t="s">
        <v>367</v>
      </c>
      <c r="O52" s="84"/>
      <c r="Q52" s="347" t="s">
        <v>484</v>
      </c>
      <c r="R52" s="302"/>
      <c r="S52" s="302"/>
      <c r="T52" s="302"/>
      <c r="U52" s="302"/>
      <c r="V52" s="302"/>
      <c r="W52" s="309" t="s">
        <v>422</v>
      </c>
      <c r="Z52" s="717">
        <f>Inputs!A52</f>
        <v>1.1299999999999999</v>
      </c>
      <c r="AA52" s="59">
        <f>Inputs!B52</f>
        <v>1.1344678011344673</v>
      </c>
      <c r="AB52" s="59">
        <f>Inputs!C52</f>
        <v>4.216658950617286</v>
      </c>
      <c r="AC52" s="44">
        <f>Inputs!D52</f>
        <v>4.7128749999999791</v>
      </c>
      <c r="AD52" s="67">
        <f>IF(Inputs!E52=0,"",Inputs!E52)</f>
        <v>0.84090825000001546</v>
      </c>
      <c r="AE52" s="718">
        <f>Inputs!F52</f>
        <v>1.1299999999999999</v>
      </c>
      <c r="AF52" s="2">
        <f>IF(SUM(AF$8:AF51)=0,
IF(AND(AA52&gt;=T$64,AA52&lt;T$66),   IF(OR(AD52&lt;AD51,AD52&gt;AD53),AA52,0),0),
IF(AA52&gt;T$66,0,           IF(AF51=0,0,  IF(OR(AD52&lt;AD51,AD52&gt;AD53),AA52,0))))</f>
        <v>0</v>
      </c>
      <c r="AG52" s="102">
        <f t="shared" si="3"/>
        <v>0</v>
      </c>
      <c r="AH52" s="2">
        <f>IF(SUM(AH$8:AH51)=0,
IF(AA52&gt;=T$66,   IF(AD53&lt;0.5,AA52,0),0),
IF(AH51=0,0,  IF(AND(AA52&lt;T$68,AD52&lt;0.5),AA52,0)))</f>
        <v>0</v>
      </c>
      <c r="AI52" s="102">
        <f t="shared" si="2"/>
        <v>0</v>
      </c>
      <c r="AJ52" s="25">
        <f t="shared" si="0"/>
        <v>7.851080246913579E-2</v>
      </c>
      <c r="AL52" s="87">
        <f t="shared" ref="AL52:AL115" si="7">IF(AA52&gt;(AL$49+0.05),AA52, )</f>
        <v>0</v>
      </c>
      <c r="AM52" s="63">
        <f t="shared" si="6"/>
        <v>0</v>
      </c>
      <c r="AO52" s="49"/>
      <c r="AP52" s="103"/>
      <c r="AQ52" s="85"/>
      <c r="AR52" s="105"/>
      <c r="AS52" s="106"/>
      <c r="AT52" s="106"/>
      <c r="AV52" s="103"/>
    </row>
    <row r="53" spans="2:48" ht="14.6" customHeight="1" thickBot="1" x14ac:dyDescent="0.45">
      <c r="B53" s="350"/>
      <c r="C53" s="351"/>
      <c r="D53" s="352" t="s">
        <v>485</v>
      </c>
      <c r="E53" s="353">
        <f>V68-V63</f>
        <v>0.32374999999998444</v>
      </c>
      <c r="F53" s="354" t="s">
        <v>486</v>
      </c>
      <c r="G53" s="351"/>
      <c r="H53" s="351"/>
      <c r="I53" s="351"/>
      <c r="J53" s="351"/>
      <c r="K53" s="355"/>
      <c r="L53" s="356"/>
      <c r="M53" s="357"/>
      <c r="N53" s="308"/>
      <c r="O53" s="84"/>
      <c r="Q53" s="354" t="s">
        <v>486</v>
      </c>
      <c r="R53" s="302"/>
      <c r="S53" s="302"/>
      <c r="T53" s="302"/>
      <c r="U53" s="302"/>
      <c r="V53" s="302"/>
      <c r="W53" s="309" t="s">
        <v>422</v>
      </c>
      <c r="Z53" s="717">
        <f>Inputs!A53</f>
        <v>1.1499999999999999</v>
      </c>
      <c r="AA53" s="59">
        <f>Inputs!B53</f>
        <v>1.1511511511511507</v>
      </c>
      <c r="AB53" s="59">
        <f>Inputs!C53</f>
        <v>4.295432098765434</v>
      </c>
      <c r="AC53" s="44">
        <f>Inputs!D53</f>
        <v>4.7216624999999794</v>
      </c>
      <c r="AD53" s="67">
        <f>IF(Inputs!E53=0,"",Inputs!E53)</f>
        <v>0.53596349999995541</v>
      </c>
      <c r="AE53" s="718">
        <f>Inputs!F53</f>
        <v>1.1499999999999999</v>
      </c>
      <c r="AF53" s="2">
        <f>IF(SUM(AF$8:AF52)=0,
IF(AND(AA53&gt;=T$64,AA53&lt;T$66),   IF(OR(AD53&lt;AD52,AD53&gt;AD54),AA53,0),0),
IF(AA53&gt;T$66,0,           IF(AF52=0,0,  IF(OR(AD53&lt;AD52,AD53&gt;AD54),AA53,0))))</f>
        <v>0</v>
      </c>
      <c r="AG53" s="102">
        <f t="shared" si="3"/>
        <v>0</v>
      </c>
      <c r="AH53" s="2">
        <f>IF(SUM(AH$8:AH52)=0,
IF(AA53&gt;=T$66,   IF(AD54&lt;0.5,AA53,0),0),
IF(AH52=0,0,  IF(AND(AA53&lt;T$68,AD53&lt;0.5),AA53,0)))</f>
        <v>1.1511511511511507</v>
      </c>
      <c r="AI53" s="102">
        <f t="shared" si="2"/>
        <v>0</v>
      </c>
      <c r="AJ53" s="25">
        <f t="shared" si="0"/>
        <v>7.8699845679012323E-2</v>
      </c>
      <c r="AL53" s="87">
        <f>IF(AA53&gt;(AL$49+0.05),AA53, )</f>
        <v>0</v>
      </c>
      <c r="AM53" s="63">
        <f t="shared" si="6"/>
        <v>0</v>
      </c>
      <c r="AO53" s="49"/>
      <c r="AP53" s="103"/>
      <c r="AQ53" s="85"/>
      <c r="AR53" s="105"/>
      <c r="AS53" s="106"/>
      <c r="AT53" s="106"/>
      <c r="AV53" s="103"/>
    </row>
    <row r="54" spans="2:48" ht="14.6" customHeight="1" x14ac:dyDescent="0.4">
      <c r="B54" s="72"/>
      <c r="C54" s="73"/>
      <c r="D54" s="125" t="s">
        <v>487</v>
      </c>
      <c r="E54" s="358">
        <f>C36-C35</f>
        <v>0.10000000000000009</v>
      </c>
      <c r="F54" s="359" t="s">
        <v>488</v>
      </c>
      <c r="G54" s="73"/>
      <c r="H54" s="73"/>
      <c r="I54" s="73"/>
      <c r="J54" s="360"/>
      <c r="K54" s="361"/>
      <c r="L54" s="362"/>
      <c r="M54" s="174"/>
      <c r="N54" s="308"/>
      <c r="O54" s="84"/>
      <c r="Q54" s="359" t="s">
        <v>488</v>
      </c>
      <c r="R54" s="363"/>
      <c r="S54" s="363"/>
      <c r="T54" s="363"/>
      <c r="U54" s="363"/>
      <c r="V54" s="363"/>
      <c r="Z54" s="717">
        <f>Inputs!A54</f>
        <v>1.1599999999999999</v>
      </c>
      <c r="AA54" s="59">
        <f>Inputs!B54</f>
        <v>1.1678345011678342</v>
      </c>
      <c r="AB54" s="59">
        <f>Inputs!C54</f>
        <v>4.3742746913580266</v>
      </c>
      <c r="AC54" s="44">
        <f>Inputs!D54</f>
        <v>4.7258249999999791</v>
      </c>
      <c r="AD54" s="67">
        <f>IF(Inputs!E54=0,"",Inputs!E54)</f>
        <v>0.27722250000004489</v>
      </c>
      <c r="AE54" s="718">
        <f>Inputs!F54</f>
        <v>1.1599999999999999</v>
      </c>
      <c r="AF54" s="2">
        <f>IF(SUM(AF$8:AF53)=0,
IF(AND(AA54&gt;=T$64,AA54&lt;T$66),   IF(OR(AD54&lt;AD53,AD54&gt;AD55),AA54,0),0),
IF(AA54&gt;T$66,0,           IF(AF53=0,0,  IF(OR(AD54&lt;AD53,AD54&gt;AD55),AA54,0))))</f>
        <v>0</v>
      </c>
      <c r="AG54" s="102">
        <f t="shared" si="3"/>
        <v>0</v>
      </c>
      <c r="AH54" s="2">
        <f>IF(SUM(AH$8:AH53)=0,
IF(AA54&gt;=T$66,   IF(AD55&lt;0.5,AA54,0),0),
IF(AH53=0,0,  IF(AND(AA54&lt;T$68,AD54&lt;0.5),AA54,0)))</f>
        <v>1.1678345011678342</v>
      </c>
      <c r="AI54" s="102">
        <f t="shared" si="2"/>
        <v>4.6250000000007674E-3</v>
      </c>
      <c r="AJ54" s="25">
        <f t="shared" si="0"/>
        <v>7.8807870370370348E-2</v>
      </c>
      <c r="AL54" s="87">
        <f t="shared" si="7"/>
        <v>0</v>
      </c>
      <c r="AM54" s="63">
        <f t="shared" si="6"/>
        <v>0</v>
      </c>
      <c r="AO54" s="49"/>
      <c r="AP54" s="103"/>
      <c r="AQ54" s="85"/>
      <c r="AR54" s="105"/>
      <c r="AS54" s="106"/>
      <c r="AT54" s="106"/>
      <c r="AV54" s="103"/>
    </row>
    <row r="55" spans="2:48" ht="14.6" customHeight="1" thickBot="1" x14ac:dyDescent="0.45">
      <c r="B55" s="76"/>
      <c r="D55" s="57" t="s">
        <v>489</v>
      </c>
      <c r="E55" s="364">
        <f>(T68-T67)/(T71-T64)</f>
        <v>5.7142857142857384E-2</v>
      </c>
      <c r="F55" s="332" t="s">
        <v>490</v>
      </c>
      <c r="G55" s="332"/>
      <c r="K55" s="365"/>
      <c r="L55" s="366"/>
      <c r="M55" s="92">
        <f>C38</f>
        <v>2.16</v>
      </c>
      <c r="N55" s="874" t="s">
        <v>160</v>
      </c>
      <c r="O55" s="875"/>
      <c r="Q55" s="332" t="s">
        <v>490</v>
      </c>
      <c r="R55" s="302"/>
      <c r="S55" s="302"/>
      <c r="T55" s="302"/>
      <c r="U55" s="302"/>
      <c r="V55" s="302"/>
      <c r="Z55" s="717">
        <f>Inputs!A55</f>
        <v>1.18</v>
      </c>
      <c r="AA55" s="59">
        <f>Inputs!B55</f>
        <v>1.1845178511845176</v>
      </c>
      <c r="AB55" s="59">
        <f>Inputs!C55</f>
        <v>4.4531327160493843</v>
      </c>
      <c r="AC55" s="44">
        <f>Inputs!D55</f>
        <v>4.7267499999999805</v>
      </c>
      <c r="AD55" s="67">
        <f>IF(Inputs!E55=0,"",Inputs!E55)</f>
        <v>0.10164825000007324</v>
      </c>
      <c r="AE55" s="718">
        <f>Inputs!F55</f>
        <v>1.18</v>
      </c>
      <c r="AF55" s="2">
        <f>IF(SUM(AF$8:AF54)=0,
IF(AND(AA55&gt;=T$64,AA55&lt;T$66),   IF(OR(AD55&lt;AD54,AD55&gt;AD56),AA55,0),0),
IF(AA55&gt;T$66,0,           IF(AF54=0,0,  IF(OR(AD55&lt;AD54,AD55&gt;AD56),AA55,0))))</f>
        <v>0</v>
      </c>
      <c r="AG55" s="102">
        <f t="shared" si="3"/>
        <v>0</v>
      </c>
      <c r="AH55" s="2">
        <f>IF(SUM(AH$8:AH54)=0,
IF(AA55&gt;=T$66,   IF(AD56&lt;0.5,AA55,0),0),
IF(AH54=0,0,  IF(AND(AA55&lt;T$68,AD55&lt;0.5),AA55,0)))</f>
        <v>1.1845178511845176</v>
      </c>
      <c r="AI55" s="102">
        <f>IF(AND(AH54&gt;0,AH55&gt;0),                        (AH55-AH54)*AD55,   0)</f>
        <v>1.6958333333345621E-3</v>
      </c>
      <c r="AJ55" s="25">
        <f t="shared" si="0"/>
        <v>7.88503086419753E-2</v>
      </c>
      <c r="AL55" s="87">
        <f t="shared" si="7"/>
        <v>0</v>
      </c>
      <c r="AM55" s="63">
        <f t="shared" si="6"/>
        <v>0</v>
      </c>
      <c r="AO55" s="49"/>
      <c r="AP55" s="103"/>
      <c r="AQ55" s="85"/>
      <c r="AR55" s="105"/>
      <c r="AS55" s="106"/>
      <c r="AT55" s="106"/>
      <c r="AV55" s="103"/>
    </row>
    <row r="56" spans="2:48" ht="14.6" customHeight="1" thickBot="1" x14ac:dyDescent="0.45">
      <c r="B56" s="117"/>
      <c r="C56" s="118"/>
      <c r="D56" s="260" t="s">
        <v>491</v>
      </c>
      <c r="E56" s="367">
        <f>(V68-V67)</f>
        <v>2.6825000000000543E-2</v>
      </c>
      <c r="F56" s="304" t="s">
        <v>493</v>
      </c>
      <c r="G56" s="260"/>
      <c r="H56" s="118"/>
      <c r="I56" s="118"/>
      <c r="J56" s="118"/>
      <c r="K56" s="368"/>
      <c r="L56" s="369"/>
      <c r="M56" s="280" t="s">
        <v>492</v>
      </c>
      <c r="N56" s="370"/>
      <c r="O56" s="96"/>
      <c r="Q56" s="304" t="s">
        <v>493</v>
      </c>
      <c r="R56" s="363"/>
      <c r="S56" s="363"/>
      <c r="T56" s="363"/>
      <c r="U56" s="363"/>
      <c r="V56" s="363"/>
      <c r="Z56" s="717">
        <f>Inputs!A56</f>
        <v>1.2</v>
      </c>
      <c r="AA56" s="59">
        <f>Inputs!B56</f>
        <v>1.201201201201201</v>
      </c>
      <c r="AB56" s="59">
        <f>Inputs!C56</f>
        <v>4.531990740740742</v>
      </c>
      <c r="AC56" s="44">
        <f>Inputs!D56</f>
        <v>4.7267499999999805</v>
      </c>
      <c r="AD56" s="67">
        <f>IF(Inputs!E56=0,"",Inputs!E56)</f>
        <v>3.6962999999949196E-2</v>
      </c>
      <c r="AE56" s="718">
        <f>Inputs!F56</f>
        <v>1.2</v>
      </c>
      <c r="AF56" s="2">
        <f>IF(SUM(AF$8:AF55)=0,
IF(AND(AA56&gt;=T$64,AA56&lt;T$66),   IF(OR(AD56&lt;AD55,AD56&gt;AD57),AA56,0),0),
IF(AA56&gt;T$66,0,           IF(AF55=0,0,  IF(OR(AD56&lt;AD55,AD56&gt;AD57),AA56,0))))</f>
        <v>0</v>
      </c>
      <c r="AG56" s="102">
        <f t="shared" si="3"/>
        <v>0</v>
      </c>
      <c r="AH56" s="2">
        <f>IF(SUM(AH$8:AH55)=0,
IF(AA56&gt;=T$66,   IF(AD57&lt;0.5,AA56,0),0),
IF(AH55=0,0,  IF(AND(AA56&lt;T$68,AD56&lt;0.5),AA56,0)))</f>
        <v>1.201201201201201</v>
      </c>
      <c r="AI56" s="102">
        <f t="shared" ref="AI56:AI90" si="8">IF(AND(AH55&gt;0,AH56&gt;0),                        (AH56-AH55)*AD56,   0)</f>
        <v>6.1666666666582159E-4</v>
      </c>
      <c r="AJ56" s="25">
        <f t="shared" si="0"/>
        <v>7.8858024691358025E-2</v>
      </c>
      <c r="AL56" s="87">
        <f t="shared" si="7"/>
        <v>0</v>
      </c>
      <c r="AM56" s="63">
        <f t="shared" si="6"/>
        <v>0</v>
      </c>
      <c r="AO56" s="49"/>
      <c r="AP56" s="103"/>
      <c r="AQ56" s="85"/>
      <c r="AR56" s="105"/>
      <c r="AS56" s="106"/>
      <c r="AT56" s="106"/>
      <c r="AV56" s="103"/>
    </row>
    <row r="57" spans="2:48" ht="14.6" customHeight="1" x14ac:dyDescent="0.4">
      <c r="B57" s="72"/>
      <c r="C57" s="73"/>
      <c r="D57" s="125" t="s">
        <v>494</v>
      </c>
      <c r="E57" s="358">
        <f>(V69-V68)/(T69-T68)</f>
        <v>1.509674528571413</v>
      </c>
      <c r="F57" s="371" t="s">
        <v>495</v>
      </c>
      <c r="G57" s="372"/>
      <c r="H57" s="73"/>
      <c r="I57" s="73"/>
      <c r="J57" s="73"/>
      <c r="K57" s="361"/>
      <c r="L57" s="362"/>
      <c r="M57" s="99">
        <v>6.056</v>
      </c>
      <c r="N57" t="s">
        <v>481</v>
      </c>
      <c r="O57" s="84"/>
      <c r="Q57" s="371" t="s">
        <v>495</v>
      </c>
      <c r="R57" s="302"/>
      <c r="S57" s="302"/>
      <c r="T57" s="302"/>
      <c r="U57" s="302"/>
      <c r="V57" s="302"/>
      <c r="Z57" s="717">
        <f>Inputs!A57</f>
        <v>1.21</v>
      </c>
      <c r="AA57" s="59">
        <f>Inputs!B57</f>
        <v>1.2178845512178844</v>
      </c>
      <c r="AB57" s="59">
        <f>Inputs!C57</f>
        <v>4.6108641975308657</v>
      </c>
      <c r="AC57" s="44">
        <f>Inputs!D57</f>
        <v>4.7276749999999801</v>
      </c>
      <c r="AD57" s="67">
        <f>IF(Inputs!E57=0,"",Inputs!E57)</f>
        <v>6.4685250000017569E-2</v>
      </c>
      <c r="AE57" s="718">
        <f>Inputs!F57</f>
        <v>1.21</v>
      </c>
      <c r="AF57" s="2">
        <f>IF(SUM(AF$8:AF56)=0,
IF(AND(AA57&gt;=T$64,AA57&lt;T$66),   IF(OR(AD57&lt;AD56,AD57&gt;AD58),AA57,0),0),
IF(AA57&gt;T$66,0,           IF(AF56=0,0,  IF(OR(AD57&lt;AD56,AD57&gt;AD58),AA57,0))))</f>
        <v>0</v>
      </c>
      <c r="AG57" s="102">
        <f t="shared" si="3"/>
        <v>0</v>
      </c>
      <c r="AH57" s="2">
        <f>IF(SUM(AH$8:AH56)=0,
IF(AA57&gt;=T$66,   IF(AD58&lt;0.5,AA57,0),0),
IF(AH56=0,0,  IF(AND(AA57&lt;T$68,AD57&lt;0.5),AA57,0)))</f>
        <v>1.2178845512178844</v>
      </c>
      <c r="AI57" s="102">
        <f t="shared" si="8"/>
        <v>1.0791666666669641E-3</v>
      </c>
      <c r="AJ57" s="25">
        <f t="shared" si="0"/>
        <v>7.8865740740740736E-2</v>
      </c>
      <c r="AL57" s="87">
        <f t="shared" si="7"/>
        <v>0</v>
      </c>
      <c r="AM57" s="63">
        <f t="shared" si="6"/>
        <v>0</v>
      </c>
      <c r="AO57" s="49"/>
      <c r="AP57" s="103"/>
      <c r="AQ57" s="85"/>
      <c r="AR57" s="105"/>
      <c r="AS57" s="106"/>
      <c r="AT57" s="106"/>
      <c r="AV57" s="103"/>
    </row>
    <row r="58" spans="2:48" ht="14.6" customHeight="1" x14ac:dyDescent="0.4">
      <c r="B58" s="373"/>
      <c r="C58" s="314"/>
      <c r="D58" s="374" t="s">
        <v>496</v>
      </c>
      <c r="E58" s="375">
        <f>V78</f>
        <v>0.89755658821767204</v>
      </c>
      <c r="F58" s="316" t="s">
        <v>497</v>
      </c>
      <c r="G58" s="376"/>
      <c r="H58" s="377"/>
      <c r="I58" s="377"/>
      <c r="J58" s="377"/>
      <c r="K58" s="378"/>
      <c r="L58" s="379"/>
      <c r="M58" s="101">
        <v>6.6390000000000002</v>
      </c>
      <c r="N58" s="1" t="s">
        <v>367</v>
      </c>
      <c r="O58" s="84"/>
      <c r="Q58" s="316" t="s">
        <v>497</v>
      </c>
      <c r="R58" s="302"/>
      <c r="S58" s="302"/>
      <c r="T58" s="302"/>
      <c r="U58" s="302"/>
      <c r="V58" s="302"/>
      <c r="Z58" s="717">
        <f>Inputs!A58</f>
        <v>1.23</v>
      </c>
      <c r="AA58" s="59">
        <f>Inputs!B58</f>
        <v>1.2345679012345678</v>
      </c>
      <c r="AB58" s="59">
        <f>Inputs!C58</f>
        <v>4.689776234567903</v>
      </c>
      <c r="AC58" s="44">
        <f>Inputs!D58</f>
        <v>4.7299874999999796</v>
      </c>
      <c r="AD58" s="67">
        <f>IF(Inputs!E58=0,"",Inputs!E58)</f>
        <v>0.13861124999996918</v>
      </c>
      <c r="AE58" s="718">
        <f>Inputs!F58</f>
        <v>1.23</v>
      </c>
      <c r="AF58" s="2">
        <f>IF(SUM(AF$8:AF57)=0,
IF(AND(AA58&gt;=T$64,AA58&lt;T$66),   IF(OR(AD58&lt;AD57,AD58&gt;AD59),AA58,0),0),
IF(AA58&gt;T$66,0,           IF(AF57=0,0,  IF(OR(AD58&lt;AD57,AD58&gt;AD59),AA58,0))))</f>
        <v>0</v>
      </c>
      <c r="AG58" s="102">
        <f t="shared" si="3"/>
        <v>0</v>
      </c>
      <c r="AH58" s="2">
        <f>IF(SUM(AH$8:AH57)=0,
IF(AA58&gt;=T$66,   IF(AD59&lt;0.5,AA58,0),0),
IF(AH57=0,0,  IF(AND(AA58&lt;T$68,AD58&lt;0.5),AA58,0)))</f>
        <v>1.2345679012345678</v>
      </c>
      <c r="AI58" s="102">
        <f t="shared" si="8"/>
        <v>2.3124999999994955E-3</v>
      </c>
      <c r="AJ58" s="25">
        <f t="shared" si="0"/>
        <v>7.8892746913580225E-2</v>
      </c>
      <c r="AL58" s="87">
        <f t="shared" si="7"/>
        <v>0</v>
      </c>
      <c r="AM58" s="63">
        <f t="shared" si="6"/>
        <v>0</v>
      </c>
      <c r="AO58" s="49"/>
      <c r="AP58" s="103"/>
      <c r="AQ58" s="85"/>
      <c r="AR58" s="105"/>
      <c r="AS58" s="106"/>
      <c r="AT58" s="106"/>
      <c r="AV58" s="103"/>
    </row>
    <row r="59" spans="2:48" ht="14.6" customHeight="1" x14ac:dyDescent="0.4">
      <c r="B59" s="373"/>
      <c r="C59" s="314"/>
      <c r="D59" s="374" t="s">
        <v>498</v>
      </c>
      <c r="E59" s="380">
        <f>(T69-T68)/(T70-T68)</f>
        <v>0.66037735849056789</v>
      </c>
      <c r="F59" s="316" t="s">
        <v>499</v>
      </c>
      <c r="G59" s="381"/>
      <c r="H59" s="377"/>
      <c r="I59" s="377"/>
      <c r="J59" s="376"/>
      <c r="K59" s="382"/>
      <c r="L59" s="383"/>
      <c r="M59" s="307"/>
      <c r="N59" s="384"/>
      <c r="O59" s="84"/>
      <c r="Q59" s="316" t="s">
        <v>499</v>
      </c>
      <c r="R59" s="385"/>
      <c r="S59" s="385"/>
      <c r="T59" s="385"/>
      <c r="U59" s="385"/>
      <c r="V59" s="385"/>
      <c r="Z59" s="717">
        <f>Inputs!A59</f>
        <v>1.25</v>
      </c>
      <c r="AA59" s="59">
        <f>Inputs!B59</f>
        <v>1.2512512512512513</v>
      </c>
      <c r="AB59" s="59">
        <f>Inputs!C59</f>
        <v>4.7687500000000016</v>
      </c>
      <c r="AC59" s="44">
        <f>Inputs!D59</f>
        <v>4.7336874999999798</v>
      </c>
      <c r="AD59" s="67">
        <f>IF(Inputs!E59=0,"",Inputs!E59)</f>
        <v>0.26798175000000435</v>
      </c>
      <c r="AE59" s="718">
        <f>Inputs!F59</f>
        <v>1.25</v>
      </c>
      <c r="AF59" s="2">
        <f>IF(SUM(AF$8:AF58)=0,
IF(AND(AA59&gt;=T$64,AA59&lt;T$66),   IF(OR(AD59&lt;AD58,AD59&gt;AD60),AA59,0),0),
IF(AA59&gt;T$66,0,           IF(AF58=0,0,  IF(OR(AD59&lt;AD58,AD59&gt;AD60),AA59,0))))</f>
        <v>0</v>
      </c>
      <c r="AG59" s="102">
        <f t="shared" si="3"/>
        <v>0</v>
      </c>
      <c r="AH59" s="2">
        <f>IF(SUM(AH$8:AH58)=0,
IF(AA59&gt;=T$66,   IF(AD60&lt;0.5,AA59,0),0),
IF(AH58=0,0,  IF(AND(AA59&lt;T$68,AD59&lt;0.5),AA59,0)))</f>
        <v>1.2512512512512513</v>
      </c>
      <c r="AI59" s="102">
        <f t="shared" si="8"/>
        <v>4.4708333333334238E-3</v>
      </c>
      <c r="AJ59" s="25">
        <f t="shared" si="0"/>
        <v>7.8942901234567889E-2</v>
      </c>
      <c r="AL59" s="87">
        <f t="shared" si="7"/>
        <v>0</v>
      </c>
      <c r="AM59" s="63">
        <f t="shared" si="6"/>
        <v>0</v>
      </c>
      <c r="AO59" s="49"/>
      <c r="AP59" s="103"/>
      <c r="AQ59" s="85"/>
      <c r="AR59" s="105"/>
      <c r="AS59" s="106"/>
      <c r="AT59" s="106"/>
      <c r="AV59" s="103"/>
    </row>
    <row r="60" spans="2:48" ht="14.6" customHeight="1" thickBot="1" x14ac:dyDescent="0.45">
      <c r="B60" s="117"/>
      <c r="C60" s="118"/>
      <c r="D60" s="260" t="s">
        <v>500</v>
      </c>
      <c r="E60" s="386">
        <f>((U70-U68)/(T70-T68))/((U71-U64)/(T71-T64))</f>
        <v>1.1176123097289232</v>
      </c>
      <c r="F60" s="387" t="s">
        <v>501</v>
      </c>
      <c r="G60" s="118"/>
      <c r="H60" s="118"/>
      <c r="I60" s="118"/>
      <c r="J60" s="118"/>
      <c r="K60" s="305"/>
      <c r="L60" s="306"/>
      <c r="M60" s="388"/>
      <c r="N60" s="389"/>
      <c r="O60" s="84"/>
      <c r="Q60" s="387" t="s">
        <v>501</v>
      </c>
      <c r="R60" s="302"/>
      <c r="S60" s="302"/>
      <c r="T60" s="302"/>
      <c r="U60" s="302"/>
      <c r="V60" s="302"/>
      <c r="Z60" s="717">
        <f>Inputs!A60</f>
        <v>1.26</v>
      </c>
      <c r="AA60" s="59">
        <f>Inputs!B60</f>
        <v>1.2679346012679347</v>
      </c>
      <c r="AB60" s="59">
        <f>Inputs!C60</f>
        <v>4.8478472222222235</v>
      </c>
      <c r="AC60" s="44">
        <f>Inputs!D60</f>
        <v>4.7410874999999804</v>
      </c>
      <c r="AD60" s="67">
        <f>IF(Inputs!E60=0,"",Inputs!E60)</f>
        <v>0.47127825000004431</v>
      </c>
      <c r="AE60" s="718">
        <f>Inputs!F60</f>
        <v>1.26</v>
      </c>
      <c r="AF60" s="2">
        <f>IF(SUM(AF$8:AF59)=0,
IF(AND(AA60&gt;=T$64,AA60&lt;T$66),   IF(OR(AD60&lt;AD59,AD60&gt;AD61),AA60,0),0),
IF(AA60&gt;T$66,0,           IF(AF59=0,0,  IF(OR(AD60&lt;AD59,AD60&gt;AD61),AA60,0))))</f>
        <v>0</v>
      </c>
      <c r="AG60" s="102">
        <f t="shared" si="3"/>
        <v>0</v>
      </c>
      <c r="AH60" s="2">
        <f>IF(SUM(AH$8:AH59)=0,
IF(AA60&gt;=T$66,   IF(AD61&lt;0.5,AA60,0),0),
IF(AH59=0,0,  IF(AND(AA60&lt;T$68,AD60&lt;0.5),AA60,0)))</f>
        <v>1.2679346012679347</v>
      </c>
      <c r="AI60" s="102">
        <f t="shared" si="8"/>
        <v>7.8625000000007716E-3</v>
      </c>
      <c r="AJ60" s="25">
        <f t="shared" si="0"/>
        <v>7.9035493827160491E-2</v>
      </c>
      <c r="AL60" s="87">
        <f t="shared" si="7"/>
        <v>0</v>
      </c>
      <c r="AM60" s="63">
        <f t="shared" si="6"/>
        <v>0</v>
      </c>
      <c r="AO60" s="49"/>
      <c r="AP60" s="103"/>
      <c r="AQ60" s="85"/>
      <c r="AR60" s="105"/>
      <c r="AS60" s="106"/>
      <c r="AT60" s="106"/>
      <c r="AV60" s="103"/>
    </row>
    <row r="61" spans="2:48" ht="14.6" customHeight="1" thickBot="1" x14ac:dyDescent="0.45">
      <c r="B61" s="117"/>
      <c r="C61" s="118"/>
      <c r="D61" s="260" t="s">
        <v>502</v>
      </c>
      <c r="E61" s="390">
        <f>(V71-V69)/(T71-T69)</f>
        <v>-4.9365406607141997</v>
      </c>
      <c r="F61" s="391" t="s">
        <v>503</v>
      </c>
      <c r="G61" s="392"/>
      <c r="H61" s="393"/>
      <c r="I61" s="393"/>
      <c r="J61" s="393"/>
      <c r="K61" s="394"/>
      <c r="L61" s="395"/>
      <c r="M61" s="92">
        <f>C39</f>
        <v>2.33</v>
      </c>
      <c r="N61" s="874" t="s">
        <v>377</v>
      </c>
      <c r="O61" s="875"/>
      <c r="Q61" s="391" t="s">
        <v>503</v>
      </c>
      <c r="R61" s="396"/>
      <c r="S61" s="396"/>
      <c r="T61" s="396"/>
      <c r="U61" s="396"/>
      <c r="V61" s="396"/>
      <c r="Z61" s="717">
        <f>Inputs!A61</f>
        <v>1.28</v>
      </c>
      <c r="AA61" s="59">
        <f>Inputs!B61</f>
        <v>1.2846179512846181</v>
      </c>
      <c r="AB61" s="59">
        <f>Inputs!C61</f>
        <v>4.9271527777777795</v>
      </c>
      <c r="AC61" s="44">
        <f>Inputs!D61</f>
        <v>4.753574999999981</v>
      </c>
      <c r="AD61" s="67">
        <f>IF(Inputs!E61=0,"",Inputs!E61)</f>
        <v>0.6930562500000057</v>
      </c>
      <c r="AE61" s="718">
        <f>Inputs!F61</f>
        <v>1.28</v>
      </c>
      <c r="AF61" s="2">
        <f>IF(SUM(AF$8:AF60)=0,
IF(AND(AA61&gt;=T$64,AA61&lt;T$66),   IF(OR(AD61&lt;AD60,AD61&gt;AD62),AA61,0),0),
IF(AA61&gt;T$66,0,           IF(AF60=0,0,  IF(OR(AD61&lt;AD60,AD61&gt;AD62),AA61,0))))</f>
        <v>0</v>
      </c>
      <c r="AG61" s="102">
        <f t="shared" si="3"/>
        <v>0</v>
      </c>
      <c r="AH61" s="2">
        <f>IF(SUM(AH$8:AH60)=0,
IF(AA61&gt;=T$66,   IF(AD62&lt;0.5,AA61,0),0),
IF(AH60=0,0,  IF(AND(AA61&lt;T$68,AD61&lt;0.5),AA61,0)))</f>
        <v>0</v>
      </c>
      <c r="AI61" s="102">
        <f t="shared" si="8"/>
        <v>0</v>
      </c>
      <c r="AJ61" s="25">
        <f t="shared" si="0"/>
        <v>7.9201388888888891E-2</v>
      </c>
      <c r="AL61" s="87">
        <f t="shared" si="7"/>
        <v>0</v>
      </c>
      <c r="AM61" s="63">
        <f t="shared" si="6"/>
        <v>0</v>
      </c>
      <c r="AO61" s="49"/>
      <c r="AP61" s="103"/>
      <c r="AQ61" s="85"/>
      <c r="AR61" s="105"/>
      <c r="AS61" s="106"/>
      <c r="AT61" s="106"/>
      <c r="AV61" s="103"/>
    </row>
    <row r="62" spans="2:48" ht="14.6" customHeight="1" thickTop="1" x14ac:dyDescent="0.4">
      <c r="B62" s="313"/>
      <c r="C62" s="168"/>
      <c r="D62" s="345" t="s">
        <v>504</v>
      </c>
      <c r="E62" s="397">
        <f>AM50</f>
        <v>0.54240240240240145</v>
      </c>
      <c r="F62" s="398" t="s">
        <v>505</v>
      </c>
      <c r="G62" s="399"/>
      <c r="H62" s="168"/>
      <c r="I62" s="168"/>
      <c r="J62" s="168"/>
      <c r="K62" s="400"/>
      <c r="L62" s="401"/>
      <c r="M62" s="402"/>
      <c r="N62" s="403"/>
      <c r="O62" s="96"/>
      <c r="P62" s="59"/>
      <c r="Q62" s="398" t="s">
        <v>505</v>
      </c>
      <c r="R62" s="404" t="s">
        <v>422</v>
      </c>
      <c r="S62" s="405" t="s">
        <v>506</v>
      </c>
      <c r="T62" s="66" t="s">
        <v>13</v>
      </c>
      <c r="U62" s="66" t="s">
        <v>156</v>
      </c>
      <c r="V62" s="406" t="s">
        <v>158</v>
      </c>
      <c r="Z62" s="717">
        <f>Inputs!A62</f>
        <v>1.3</v>
      </c>
      <c r="AA62" s="59">
        <f>Inputs!B62</f>
        <v>1.3013013013013015</v>
      </c>
      <c r="AB62" s="59">
        <f>Inputs!C62</f>
        <v>5.0067052469135822</v>
      </c>
      <c r="AC62" s="44">
        <f>Inputs!D62</f>
        <v>4.7683749999999812</v>
      </c>
      <c r="AD62" s="67">
        <f>IF(Inputs!E62=0,"",Inputs!E62)</f>
        <v>0.80394525000001293</v>
      </c>
      <c r="AE62" s="718">
        <f>Inputs!F62</f>
        <v>1.3</v>
      </c>
      <c r="AF62" s="2">
        <f>IF(SUM(AF$8:AF61)=0,
IF(AND(AA62&gt;=T$64,AA62&lt;T$66),   IF(OR(AD62&lt;AD61,AD62&gt;AD63),AA62,0),0),
IF(AA62&gt;T$66,0,           IF(AF61=0,0,  IF(OR(AD62&lt;AD61,AD62&gt;AD63),AA62,0))))</f>
        <v>0</v>
      </c>
      <c r="AG62" s="102">
        <f t="shared" si="3"/>
        <v>0</v>
      </c>
      <c r="AH62" s="2">
        <f>IF(SUM(AH$8:AH61)=0,
IF(AA62&gt;=T$66,   IF(AD63&lt;0.5,AA62,0),0),
IF(AH61=0,0,  IF(AND(AA62&lt;T$68,AD62&lt;0.5),AA62,0)))</f>
        <v>0</v>
      </c>
      <c r="AI62" s="102">
        <f t="shared" si="8"/>
        <v>0</v>
      </c>
      <c r="AJ62" s="25">
        <f t="shared" si="0"/>
        <v>7.942901234567902E-2</v>
      </c>
      <c r="AL62" s="87">
        <f t="shared" si="7"/>
        <v>0</v>
      </c>
      <c r="AM62" s="63">
        <f t="shared" si="6"/>
        <v>0</v>
      </c>
      <c r="AO62" s="49"/>
      <c r="AP62" s="103"/>
      <c r="AQ62" s="85"/>
      <c r="AR62" s="105"/>
      <c r="AS62" s="106"/>
      <c r="AT62" s="106"/>
      <c r="AV62" s="103"/>
    </row>
    <row r="63" spans="2:48" ht="14.6" customHeight="1" thickBot="1" x14ac:dyDescent="0.45">
      <c r="B63" s="407"/>
      <c r="C63" s="408"/>
      <c r="D63" s="409" t="s">
        <v>507</v>
      </c>
      <c r="E63" s="410">
        <f>AM50/(T71-T64)</f>
        <v>0.3096342857142852</v>
      </c>
      <c r="F63" s="411" t="s">
        <v>508</v>
      </c>
      <c r="G63" s="411"/>
      <c r="H63" s="412"/>
      <c r="I63" s="412"/>
      <c r="J63" s="412"/>
      <c r="K63" s="413"/>
      <c r="L63" s="414"/>
      <c r="M63" s="415"/>
      <c r="N63" s="416"/>
      <c r="O63" s="417"/>
      <c r="Q63" s="411" t="s">
        <v>508</v>
      </c>
      <c r="R63" s="418" t="s">
        <v>2</v>
      </c>
      <c r="S63" s="59">
        <f>C32</f>
        <v>0.38</v>
      </c>
      <c r="T63" s="87">
        <f>VLOOKUP(S63,Z$2:AC$397,2,FALSE)</f>
        <v>0.38371705038371723</v>
      </c>
      <c r="U63" s="87">
        <f>VLOOKUP(S63,Z$2:AC$397,3,FALSE)</f>
        <v>1.2873302469135801</v>
      </c>
      <c r="V63" s="419">
        <f>VLOOKUP(S63,Z$2:AC$397,4,FALSE)</f>
        <v>4.4298249999999966</v>
      </c>
      <c r="Z63" s="717">
        <f>Inputs!A63</f>
        <v>1.31</v>
      </c>
      <c r="AA63" s="59">
        <f>Inputs!B63</f>
        <v>1.3179846513179849</v>
      </c>
      <c r="AB63" s="59">
        <f>Inputs!C63</f>
        <v>5.0864737654321006</v>
      </c>
      <c r="AC63" s="44">
        <f>Inputs!D63</f>
        <v>4.7813249999999821</v>
      </c>
      <c r="AD63" s="67">
        <f>IF(Inputs!E63=0,"",Inputs!E63)</f>
        <v>0.77622300000005107</v>
      </c>
      <c r="AE63" s="718">
        <f>Inputs!F63</f>
        <v>1.31</v>
      </c>
      <c r="AF63" s="2">
        <f>IF(SUM(AF$8:AF62)=0,
IF(AND(AA63&gt;=T$64,AA63&lt;T$66),   IF(OR(AD63&lt;AD62,AD63&gt;AD64),AA63,0),0),
IF(AA63&gt;T$66,0,           IF(AF62=0,0,  IF(OR(AD63&lt;AD62,AD63&gt;AD64),AA63,0))))</f>
        <v>0</v>
      </c>
      <c r="AG63" s="102">
        <f t="shared" si="3"/>
        <v>0</v>
      </c>
      <c r="AH63" s="2">
        <f>IF(SUM(AH$8:AH62)=0,
IF(AA63&gt;=T$66,   IF(AD64&lt;0.5,AA63,0),0),
IF(AH62=0,0,  IF(AND(AA63&lt;T$68,AD63&lt;0.5),AA63,0)))</f>
        <v>0</v>
      </c>
      <c r="AI63" s="102">
        <f t="shared" si="8"/>
        <v>0</v>
      </c>
      <c r="AJ63" s="25">
        <f t="shared" si="0"/>
        <v>7.9660493827160506E-2</v>
      </c>
      <c r="AL63" s="87">
        <f t="shared" si="7"/>
        <v>0</v>
      </c>
      <c r="AM63" s="63">
        <f t="shared" si="6"/>
        <v>0</v>
      </c>
      <c r="AO63" s="49"/>
      <c r="AP63" s="103"/>
      <c r="AQ63" s="85"/>
      <c r="AR63" s="105"/>
      <c r="AS63" s="106"/>
      <c r="AT63" s="106"/>
      <c r="AV63" s="103"/>
    </row>
    <row r="64" spans="2:48" ht="15" thickTop="1" x14ac:dyDescent="0.4">
      <c r="B64"/>
      <c r="R64" s="420" t="s">
        <v>368</v>
      </c>
      <c r="S64" s="59">
        <f>C33</f>
        <v>0.57999999999999996</v>
      </c>
      <c r="T64" s="87">
        <f>VLOOKUP(S64,Z$2:AC$397,2,FALSE)</f>
        <v>0.5839172505839173</v>
      </c>
      <c r="U64" s="87">
        <f>VLOOKUP(S64,Z$2:AC$397,3,FALSE)</f>
        <v>2.0182407407407408</v>
      </c>
      <c r="V64" s="419">
        <f>VLOOKUP(S64,Z$2:AC$397,4,FALSE)</f>
        <v>3.2652500000000075</v>
      </c>
      <c r="Z64" s="717">
        <f>Inputs!A64</f>
        <v>1.33</v>
      </c>
      <c r="AA64" s="59">
        <f>Inputs!B64</f>
        <v>1.3346680013346683</v>
      </c>
      <c r="AB64" s="59">
        <f>Inputs!C64</f>
        <v>5.1664274691358045</v>
      </c>
      <c r="AC64" s="44">
        <f>Inputs!D64</f>
        <v>4.7924249999999828</v>
      </c>
      <c r="AD64" s="67">
        <f>IF(Inputs!E64=0,"",Inputs!E64)</f>
        <v>0.73001925000000811</v>
      </c>
      <c r="AE64" s="718">
        <f>Inputs!F64</f>
        <v>1.33</v>
      </c>
      <c r="AF64" s="2">
        <f>IF(SUM(AF$8:AF63)=0,
IF(AND(AA64&gt;=T$64,AA64&lt;T$66),   IF(OR(AD64&lt;AD63,AD64&gt;AD65),AA64,0),0),
IF(AA64&gt;T$66,0,           IF(AF63=0,0,  IF(OR(AD64&lt;AD63,AD64&gt;AD65),AA64,0))))</f>
        <v>0</v>
      </c>
      <c r="AG64" s="102">
        <f t="shared" si="3"/>
        <v>0</v>
      </c>
      <c r="AH64" s="2">
        <f>IF(SUM(AH$8:AH63)=0,
IF(AA64&gt;=T$66,   IF(AD65&lt;0.5,AA64,0),0),
IF(AH63=0,0,  IF(AND(AA64&lt;T$68,AD64&lt;0.5),AA64,0)))</f>
        <v>0</v>
      </c>
      <c r="AI64" s="102">
        <f t="shared" si="8"/>
        <v>0</v>
      </c>
      <c r="AJ64" s="25">
        <f t="shared" si="0"/>
        <v>7.9861111111111147E-2</v>
      </c>
      <c r="AL64" s="87">
        <f t="shared" si="7"/>
        <v>0</v>
      </c>
      <c r="AM64" s="63">
        <f t="shared" si="6"/>
        <v>0</v>
      </c>
      <c r="AO64" s="49"/>
      <c r="AP64" s="103"/>
      <c r="AQ64" s="85"/>
      <c r="AR64" s="105"/>
      <c r="AS64" s="106"/>
      <c r="AT64" s="106"/>
      <c r="AV64" s="103"/>
    </row>
    <row r="65" spans="1:48" ht="15.9" customHeight="1" x14ac:dyDescent="0.4">
      <c r="B65" s="725"/>
      <c r="C65" s="725"/>
      <c r="D65" s="725"/>
      <c r="E65" s="725"/>
      <c r="F65" s="725"/>
      <c r="G65" s="725"/>
      <c r="H65" s="725"/>
      <c r="I65" s="725"/>
      <c r="J65" s="725"/>
      <c r="K65" s="725"/>
      <c r="L65" s="725"/>
      <c r="M65" s="725"/>
      <c r="N65" s="725"/>
      <c r="R65" s="421" t="s">
        <v>509</v>
      </c>
      <c r="S65" s="69">
        <f>VLOOKUP(V65,AC$2:AE$50,3,FALSE)</f>
        <v>0.56000000000000005</v>
      </c>
      <c r="T65" s="422">
        <f>VLOOKUP(S65,Z$2:AC$50,2,FALSE)</f>
        <v>0.567233900567234</v>
      </c>
      <c r="U65" s="422">
        <f>VLOOKUP(S65,Z$2:AC$50,3,FALSE)</f>
        <v>1.9637654320987656</v>
      </c>
      <c r="V65" s="423">
        <f>MIN(AC2:AC50)</f>
        <v>3.2564625000000071</v>
      </c>
      <c r="Z65" s="717">
        <f>Inputs!A65</f>
        <v>1.35</v>
      </c>
      <c r="AA65" s="59">
        <f>Inputs!B65</f>
        <v>1.3513513513513518</v>
      </c>
      <c r="AB65" s="59">
        <f>Inputs!C65</f>
        <v>5.2465895061728416</v>
      </c>
      <c r="AC65" s="44">
        <f>Inputs!D65</f>
        <v>4.8049124999999826</v>
      </c>
      <c r="AD65" s="67">
        <f>IF(Inputs!E65=0,"",Inputs!E65)</f>
        <v>0.75774150000002327</v>
      </c>
      <c r="AE65" s="718">
        <f>Inputs!F65</f>
        <v>1.35</v>
      </c>
      <c r="AF65" s="2">
        <f>IF(SUM(AF$8:AF64)=0,
IF(AND(AA65&gt;=T$64,AA65&lt;T$66),   IF(OR(AD65&lt;AD64,AD65&gt;AD66),AA65,0),0),
IF(AA65&gt;T$66,0,           IF(AF64=0,0,  IF(OR(AD65&lt;AD64,AD65&gt;AD66),AA65,0))))</f>
        <v>0</v>
      </c>
      <c r="AG65" s="102">
        <f t="shared" si="3"/>
        <v>0</v>
      </c>
      <c r="AH65" s="2">
        <f>IF(SUM(AH$8:AH64)=0,
IF(AA65&gt;=T$66,   IF(AD66&lt;0.5,AA65,0),0),
IF(AH64=0,0,  IF(AND(AA65&lt;T$68,AD65&lt;0.5),AA65,0)))</f>
        <v>0</v>
      </c>
      <c r="AI65" s="102">
        <f t="shared" si="8"/>
        <v>0</v>
      </c>
      <c r="AJ65" s="25">
        <f t="shared" si="0"/>
        <v>8.0057870370370418E-2</v>
      </c>
      <c r="AL65" s="87">
        <f t="shared" si="7"/>
        <v>0</v>
      </c>
      <c r="AM65" s="63">
        <f t="shared" si="6"/>
        <v>0</v>
      </c>
      <c r="AO65" s="49"/>
      <c r="AP65" s="103"/>
      <c r="AQ65" s="85"/>
      <c r="AR65" s="105"/>
      <c r="AS65" s="106"/>
      <c r="AT65" s="106"/>
      <c r="AV65" s="103"/>
    </row>
    <row r="66" spans="1:48" ht="15.9" x14ac:dyDescent="0.45">
      <c r="B66" s="37"/>
      <c r="C66" s="726"/>
      <c r="F66" s="37"/>
      <c r="G66" s="675"/>
      <c r="K66" s="37"/>
      <c r="L66" s="129"/>
      <c r="R66" s="418" t="s">
        <v>157</v>
      </c>
      <c r="S66" s="59">
        <f>C34</f>
        <v>0.93</v>
      </c>
      <c r="T66" s="87">
        <f t="shared" ref="T66:T72" si="9">VLOOKUP(S66,Z$2:AC$397,2,FALSE)</f>
        <v>0.93426760093426675</v>
      </c>
      <c r="U66" s="87">
        <f t="shared" ref="U66:U72" si="10">VLOOKUP(S66,Z$2:AC$397,3,FALSE)</f>
        <v>3.3146296296296298</v>
      </c>
      <c r="V66" s="419">
        <f>VLOOKUP(S66,Z$2:AC$397,4,FALSE)</f>
        <v>4.1467750000000088</v>
      </c>
      <c r="Z66" s="717">
        <f>Inputs!A66</f>
        <v>1.36</v>
      </c>
      <c r="AA66" s="59">
        <f>Inputs!B66</f>
        <v>1.3680347013680352</v>
      </c>
      <c r="AB66" s="59">
        <f>Inputs!C66</f>
        <v>5.3269907407407429</v>
      </c>
      <c r="AC66" s="44">
        <f>Inputs!D66</f>
        <v>4.8192499999999816</v>
      </c>
      <c r="AD66" s="67">
        <f>IF(Inputs!E66=0,"",Inputs!E66)</f>
        <v>0.81318599999994701</v>
      </c>
      <c r="AE66" s="718">
        <f>Inputs!F66</f>
        <v>1.36</v>
      </c>
      <c r="AF66" s="2">
        <f>IF(SUM(AF$8:AF65)=0,
IF(AND(AA66&gt;=T$64,AA66&lt;T$66),   IF(OR(AD66&lt;AD65,AD66&gt;AD67),AA66,0),0),
IF(AA66&gt;T$66,0,           IF(AF65=0,0,  IF(OR(AD66&lt;AD65,AD66&gt;AD67),AA66,0))))</f>
        <v>0</v>
      </c>
      <c r="AG66" s="102">
        <f t="shared" si="3"/>
        <v>0</v>
      </c>
      <c r="AH66" s="2">
        <f>IF(SUM(AH$8:AH65)=0,
IF(AA66&gt;=T$66,   IF(AD67&lt;0.5,AA66,0),0),
IF(AH65=0,0,  IF(AND(AA66&lt;T$68,AD66&lt;0.5),AA66,0)))</f>
        <v>0</v>
      </c>
      <c r="AI66" s="102">
        <f t="shared" si="8"/>
        <v>0</v>
      </c>
      <c r="AJ66" s="25">
        <f t="shared" si="0"/>
        <v>8.0281635802469178E-2</v>
      </c>
      <c r="AL66" s="87">
        <f t="shared" si="7"/>
        <v>0</v>
      </c>
      <c r="AM66" s="63">
        <f t="shared" si="6"/>
        <v>0</v>
      </c>
      <c r="AO66" s="49"/>
      <c r="AP66" s="103"/>
      <c r="AQ66" s="85"/>
      <c r="AR66" s="105"/>
      <c r="AS66" s="106"/>
      <c r="AT66" s="106"/>
      <c r="AV66" s="103"/>
    </row>
    <row r="67" spans="1:48" ht="14.6" customHeight="1" x14ac:dyDescent="0.45">
      <c r="B67" s="37"/>
      <c r="C67" s="727"/>
      <c r="D67" s="37"/>
      <c r="E67" s="727"/>
      <c r="G67" s="37"/>
      <c r="H67" s="728"/>
      <c r="I67" s="729"/>
      <c r="K67" s="37"/>
      <c r="L67" s="130"/>
      <c r="P67" s="426"/>
      <c r="Q67" t="s">
        <v>422</v>
      </c>
      <c r="R67" s="420" t="s">
        <v>373</v>
      </c>
      <c r="S67" s="59">
        <f>C35</f>
        <v>1.18</v>
      </c>
      <c r="T67" s="87">
        <f t="shared" si="9"/>
        <v>1.1845178511845176</v>
      </c>
      <c r="U67" s="87">
        <f t="shared" si="10"/>
        <v>4.4531327160493843</v>
      </c>
      <c r="V67" s="419">
        <f>VLOOKUP(S67,Z$2:AC$397,4,FALSE)</f>
        <v>4.7267499999999805</v>
      </c>
      <c r="Z67" s="717">
        <f>Inputs!A67</f>
        <v>1.38</v>
      </c>
      <c r="AA67" s="59">
        <f>Inputs!B67</f>
        <v>1.3847180513847186</v>
      </c>
      <c r="AB67" s="59">
        <f>Inputs!C67</f>
        <v>5.4076234567901258</v>
      </c>
      <c r="AC67" s="44">
        <f>Inputs!D67</f>
        <v>4.8331249999999804</v>
      </c>
      <c r="AD67" s="67">
        <f>IF(Inputs!E67=0,"",Inputs!E67)</f>
        <v>0.83166749999992162</v>
      </c>
      <c r="AE67" s="718">
        <f>Inputs!F67</f>
        <v>1.38</v>
      </c>
      <c r="AF67" s="2">
        <f>IF(SUM(AF$8:AF66)=0,
IF(AND(AA67&gt;=T$64,AA67&lt;T$66),   IF(OR(AD67&lt;AD66,AD67&gt;AD68),AA67,0),0),
IF(AA67&gt;T$66,0,           IF(AF66=0,0,  IF(OR(AD67&lt;AD66,AD67&gt;AD68),AA67,0))))</f>
        <v>0</v>
      </c>
      <c r="AG67" s="102">
        <f t="shared" si="3"/>
        <v>0</v>
      </c>
      <c r="AH67" s="2">
        <f>IF(SUM(AH$8:AH66)=0,
IF(AA67&gt;=T$66,   IF(AD68&lt;0.5,AA67,0),0),
IF(AH66=0,0,  IF(AND(AA67&lt;T$68,AD67&lt;0.5),AA67,0)))</f>
        <v>0</v>
      </c>
      <c r="AI67" s="102">
        <f t="shared" si="8"/>
        <v>0</v>
      </c>
      <c r="AJ67" s="25">
        <f t="shared" ref="AJ67:AJ108" si="11">(AA67-AA66)*((AC66+AC67)/2)</f>
        <v>8.0516975308641991E-2</v>
      </c>
      <c r="AL67" s="87">
        <f t="shared" si="7"/>
        <v>0</v>
      </c>
      <c r="AM67" s="63">
        <f t="shared" si="6"/>
        <v>0</v>
      </c>
      <c r="AO67" s="49"/>
      <c r="AP67" s="103"/>
      <c r="AQ67" s="85"/>
      <c r="AR67" s="105"/>
      <c r="AS67" s="106"/>
      <c r="AT67" s="106"/>
      <c r="AV67" s="103"/>
    </row>
    <row r="68" spans="1:48" ht="15.9" x14ac:dyDescent="0.45">
      <c r="B68" s="730"/>
      <c r="C68" s="37"/>
      <c r="D68" s="1"/>
      <c r="L68" s="100"/>
      <c r="M68" s="870"/>
      <c r="N68" s="871"/>
      <c r="P68" s="238"/>
      <c r="Q68" t="s">
        <v>422</v>
      </c>
      <c r="R68" s="76" t="s">
        <v>159</v>
      </c>
      <c r="S68" s="59">
        <f>C36</f>
        <v>1.28</v>
      </c>
      <c r="T68" s="87">
        <f t="shared" si="9"/>
        <v>1.2846179512846181</v>
      </c>
      <c r="U68" s="87">
        <f t="shared" si="10"/>
        <v>4.9271527777777795</v>
      </c>
      <c r="V68" s="419">
        <f>VLOOKUP(S68,Z$2:AC$397,4,FALSE)</f>
        <v>4.753574999999981</v>
      </c>
      <c r="Z68" s="717">
        <f>Inputs!A68</f>
        <v>1.4</v>
      </c>
      <c r="AA68" s="59">
        <f>Inputs!B68</f>
        <v>1.401401401401402</v>
      </c>
      <c r="AB68" s="59">
        <f>Inputs!C68</f>
        <v>5.488479938271607</v>
      </c>
      <c r="AC68" s="44">
        <f>Inputs!D68</f>
        <v>4.8465374999999788</v>
      </c>
      <c r="AD68" s="67">
        <f>IF(Inputs!E68=0,"",Inputs!E68)</f>
        <v>0.86863049999997732</v>
      </c>
      <c r="AE68" s="718">
        <f>Inputs!F68</f>
        <v>1.4</v>
      </c>
      <c r="AF68" s="2">
        <f>IF(SUM(AF$8:AF67)=0,
IF(AND(AA68&gt;=T$64,AA68&lt;T$66),   IF(OR(AD68&lt;AD67,AD68&gt;AD69),AA68,0),0),
IF(AA68&gt;T$66,0,           IF(AF67=0,0,  IF(OR(AD68&lt;AD67,AD68&gt;AD69),AA68,0))))</f>
        <v>0</v>
      </c>
      <c r="AG68" s="102">
        <f t="shared" si="3"/>
        <v>0</v>
      </c>
      <c r="AH68" s="2">
        <f>IF(SUM(AH$8:AH67)=0,
IF(AA68&gt;=T$66,   IF(AD69&lt;0.5,AA68,0),0),
IF(AH67=0,0,  IF(AND(AA68&lt;T$68,AD68&lt;0.5),AA68,0)))</f>
        <v>0</v>
      </c>
      <c r="AI68" s="102">
        <f t="shared" si="8"/>
        <v>0</v>
      </c>
      <c r="AJ68" s="25">
        <f t="shared" si="11"/>
        <v>8.0744598765432093E-2</v>
      </c>
      <c r="AL68" s="87">
        <f t="shared" si="7"/>
        <v>0</v>
      </c>
      <c r="AM68" s="63">
        <f t="shared" si="6"/>
        <v>0</v>
      </c>
      <c r="AO68" s="49"/>
      <c r="AP68" s="103"/>
      <c r="AQ68" s="85"/>
      <c r="AR68" s="105"/>
      <c r="AS68" s="106"/>
      <c r="AT68" s="106"/>
      <c r="AV68" s="103"/>
    </row>
    <row r="69" spans="1:48" ht="15.9" x14ac:dyDescent="0.45">
      <c r="C69" s="57"/>
      <c r="D69" s="240"/>
      <c r="E69" s="427"/>
      <c r="J69" s="37"/>
      <c r="K69" s="42"/>
      <c r="L69" s="731"/>
      <c r="M69" s="65"/>
      <c r="N69" s="732"/>
      <c r="P69" s="427"/>
      <c r="Q69" t="s">
        <v>422</v>
      </c>
      <c r="R69" s="421" t="s">
        <v>161</v>
      </c>
      <c r="S69" s="69">
        <f>VLOOKUP(V69,AC$2:AE$397,3,FALSE)</f>
        <v>1.86</v>
      </c>
      <c r="T69" s="422">
        <f t="shared" si="9"/>
        <v>1.8685352018685377</v>
      </c>
      <c r="U69" s="422">
        <f t="shared" si="10"/>
        <v>7.93385030864198</v>
      </c>
      <c r="V69" s="423">
        <f>MAX(AC2:AC200)</f>
        <v>5.6350999999999756</v>
      </c>
      <c r="W69" s="95"/>
      <c r="X69" s="95"/>
      <c r="Z69" s="717">
        <f>Inputs!A69</f>
        <v>1.41</v>
      </c>
      <c r="AA69" s="59">
        <f>Inputs!B69</f>
        <v>1.4180847514180854</v>
      </c>
      <c r="AB69" s="59">
        <f>Inputs!C69</f>
        <v>5.5696064814814834</v>
      </c>
      <c r="AC69" s="44">
        <f>Inputs!D69</f>
        <v>4.8627249999999789</v>
      </c>
      <c r="AD69" s="67">
        <f>IF(Inputs!E69=0,"",Inputs!E69)</f>
        <v>0.99800099999990599</v>
      </c>
      <c r="AE69" s="718">
        <f>Inputs!F69</f>
        <v>1.41</v>
      </c>
      <c r="AF69" s="2">
        <f>IF(SUM(AF$8:AF68)=0,
IF(AND(AA69&gt;=T$64,AA69&lt;T$66),   IF(OR(AD69&lt;AD68,AD69&gt;AD70),AA69,0),0),
IF(AA69&gt;T$66,0,           IF(AF68=0,0,  IF(OR(AD69&lt;AD68,AD69&gt;AD70),AA69,0))))</f>
        <v>0</v>
      </c>
      <c r="AG69" s="102">
        <f t="shared" si="3"/>
        <v>0</v>
      </c>
      <c r="AH69" s="2">
        <f>IF(SUM(AH$8:AH68)=0,
IF(AA69&gt;=T$66,   IF(AD70&lt;0.5,AA69,0),0),
IF(AH68=0,0,  IF(AND(AA69&lt;T$68,AD69&lt;0.5),AA69,0)))</f>
        <v>0</v>
      </c>
      <c r="AI69" s="102">
        <f t="shared" si="8"/>
        <v>0</v>
      </c>
      <c r="AJ69" s="25">
        <f t="shared" si="11"/>
        <v>8.0991512345679001E-2</v>
      </c>
      <c r="AL69" s="87">
        <f t="shared" si="7"/>
        <v>0</v>
      </c>
      <c r="AM69" s="63">
        <f t="shared" si="6"/>
        <v>0</v>
      </c>
      <c r="AO69" s="49"/>
      <c r="AP69" s="103"/>
      <c r="AQ69" s="85"/>
      <c r="AR69" s="105"/>
      <c r="AS69" s="106"/>
      <c r="AT69" s="106"/>
      <c r="AV69" s="103"/>
    </row>
    <row r="70" spans="1:48" ht="15.9" x14ac:dyDescent="0.45">
      <c r="B70" s="459"/>
      <c r="C70" s="57"/>
      <c r="D70" s="231"/>
      <c r="E70" s="238"/>
      <c r="F70" s="38"/>
      <c r="G70" s="37"/>
      <c r="H70" s="733"/>
      <c r="L70" s="37"/>
      <c r="N70" s="734"/>
      <c r="P70" s="238"/>
      <c r="Q70" t="s">
        <v>422</v>
      </c>
      <c r="R70" s="76" t="s">
        <v>160</v>
      </c>
      <c r="S70" s="59">
        <f>C38</f>
        <v>2.16</v>
      </c>
      <c r="T70" s="87">
        <f t="shared" si="9"/>
        <v>2.1688355021688368</v>
      </c>
      <c r="U70" s="87">
        <f t="shared" si="10"/>
        <v>9.4694984567901326</v>
      </c>
      <c r="V70" s="419">
        <f>VLOOKUP(S70,Z$2:AC$397,4,FALSE)</f>
        <v>4.2351125000000396</v>
      </c>
      <c r="Z70" s="717">
        <f>Inputs!A70</f>
        <v>1.43</v>
      </c>
      <c r="AA70" s="59">
        <f>Inputs!B70</f>
        <v>1.4347681014347688</v>
      </c>
      <c r="AB70" s="59">
        <f>Inputs!C70</f>
        <v>5.6510725308641998</v>
      </c>
      <c r="AC70" s="44">
        <f>Inputs!D70</f>
        <v>4.8830749999999776</v>
      </c>
      <c r="AD70" s="67">
        <f>IF(Inputs!E70=0,"",Inputs!E70)</f>
        <v>1.1828159999999714</v>
      </c>
      <c r="AE70" s="718">
        <f>Inputs!F70</f>
        <v>1.43</v>
      </c>
      <c r="AF70" s="2">
        <f>IF(SUM(AF$8:AF69)=0,
IF(AND(AA70&gt;=T$64,AA70&lt;T$66),   IF(OR(AD70&lt;AD69,AD70&gt;AD71),AA70,0),0),
IF(AA70&gt;T$66,0,           IF(AF69=0,0,  IF(OR(AD70&lt;AD69,AD70&gt;AD71),AA70,0))))</f>
        <v>0</v>
      </c>
      <c r="AG70" s="102">
        <f t="shared" si="3"/>
        <v>0</v>
      </c>
      <c r="AH70" s="2">
        <f>IF(SUM(AH$8:AH69)=0,
IF(AA70&gt;=T$66,   IF(AD71&lt;0.5,AA70,0),0),
IF(AH69=0,0,  IF(AND(AA70&lt;T$68,AD70&lt;0.5),AA70,0)))</f>
        <v>0</v>
      </c>
      <c r="AI70" s="102">
        <f t="shared" si="8"/>
        <v>0</v>
      </c>
      <c r="AJ70" s="25">
        <f t="shared" si="11"/>
        <v>8.1296296296296269E-2</v>
      </c>
      <c r="AL70" s="87">
        <f t="shared" si="7"/>
        <v>0</v>
      </c>
      <c r="AM70" s="63">
        <f t="shared" si="6"/>
        <v>0</v>
      </c>
      <c r="AO70" s="49"/>
      <c r="AP70" s="103"/>
      <c r="AQ70" s="85"/>
      <c r="AR70" s="105"/>
      <c r="AS70" s="106"/>
      <c r="AT70" s="106"/>
      <c r="AV70" s="103"/>
    </row>
    <row r="71" spans="1:48" ht="16.3" thickBot="1" x14ac:dyDescent="0.5">
      <c r="B71" s="459"/>
      <c r="C71" s="57"/>
      <c r="D71" s="240"/>
      <c r="E71" s="238"/>
      <c r="I71" s="735"/>
      <c r="N71" s="732"/>
      <c r="P71" s="238"/>
      <c r="Q71" t="s">
        <v>422</v>
      </c>
      <c r="R71" s="420" t="s">
        <v>382</v>
      </c>
      <c r="S71" s="59">
        <f>C39</f>
        <v>2.33</v>
      </c>
      <c r="T71" s="87">
        <f t="shared" si="9"/>
        <v>2.3356690023356688</v>
      </c>
      <c r="U71" s="87">
        <f t="shared" si="10"/>
        <v>10.070216049382726</v>
      </c>
      <c r="V71" s="419">
        <f>VLOOKUP(S71,Z$2:AC$397,4,FALSE)</f>
        <v>3.3290750000000293</v>
      </c>
      <c r="Y71" s="95"/>
      <c r="Z71" s="717">
        <f>Inputs!A71</f>
        <v>1.45</v>
      </c>
      <c r="AA71" s="59">
        <f>Inputs!B71</f>
        <v>1.4514514514514523</v>
      </c>
      <c r="AB71" s="59">
        <f>Inputs!C71</f>
        <v>5.7329166666666689</v>
      </c>
      <c r="AC71" s="44">
        <f>Inputs!D71</f>
        <v>4.9057374999999785</v>
      </c>
      <c r="AD71" s="67">
        <f>IF(Inputs!E71=0,"",Inputs!E71)</f>
        <v>1.2937049999999255</v>
      </c>
      <c r="AE71" s="718">
        <f>Inputs!F71</f>
        <v>1.45</v>
      </c>
      <c r="AF71" s="2">
        <f>IF(SUM(AF$8:AF70)=0,
IF(AND(AA71&gt;=T$64,AA71&lt;T$66),   IF(OR(AD71&lt;AD70,AD71&gt;AD72),AA71,0),0),
IF(AA71&gt;T$66,0,           IF(AF70=0,0,  IF(OR(AD71&lt;AD70,AD71&gt;AD72),AA71,0))))</f>
        <v>0</v>
      </c>
      <c r="AG71" s="102">
        <f t="shared" si="3"/>
        <v>0</v>
      </c>
      <c r="AH71" s="2">
        <f>IF(SUM(AH$8:AH70)=0,
IF(AA71&gt;=T$66,   IF(AD72&lt;0.5,AA71,0),0),
IF(AH70=0,0,  IF(AND(AA71&lt;T$68,AD71&lt;0.5),AA71,0)))</f>
        <v>0</v>
      </c>
      <c r="AI71" s="102">
        <f t="shared" si="8"/>
        <v>0</v>
      </c>
      <c r="AJ71" s="25">
        <f t="shared" si="11"/>
        <v>8.1655092592592557E-2</v>
      </c>
      <c r="AL71" s="87">
        <f t="shared" si="7"/>
        <v>0</v>
      </c>
      <c r="AM71" s="63">
        <f t="shared" si="6"/>
        <v>0</v>
      </c>
      <c r="AO71" s="49"/>
      <c r="AP71" s="103"/>
      <c r="AQ71" s="85"/>
      <c r="AR71" s="105"/>
      <c r="AS71" s="106"/>
      <c r="AT71" s="106"/>
      <c r="AV71" s="103"/>
    </row>
    <row r="72" spans="1:48" ht="16.75" thickTop="1" thickBot="1" x14ac:dyDescent="0.5">
      <c r="B72" s="459"/>
      <c r="C72" s="57"/>
      <c r="D72" s="720"/>
      <c r="E72" s="238"/>
      <c r="I72" s="682"/>
      <c r="N72" s="736"/>
      <c r="P72" s="238"/>
      <c r="Q72" t="s">
        <v>422</v>
      </c>
      <c r="R72" s="428" t="s">
        <v>511</v>
      </c>
      <c r="S72" s="715">
        <f>VLOOKUP(V72,AC$50:AE$200,3,FALSE)</f>
        <v>2.38</v>
      </c>
      <c r="T72" s="429">
        <f t="shared" si="9"/>
        <v>2.3857190523857184</v>
      </c>
      <c r="U72" s="429">
        <f t="shared" si="10"/>
        <v>10.236057098765441</v>
      </c>
      <c r="V72" s="429">
        <f>MIN(AC50:AC200)</f>
        <v>3.3101125000000287</v>
      </c>
      <c r="W72" s="430">
        <f>((T69-T65)/(T72-T65))*(V72-V65)+V65</f>
        <v>3.2948542431192887</v>
      </c>
      <c r="X72" s="95"/>
      <c r="Y72" s="95"/>
      <c r="Z72" s="717">
        <f>Inputs!A72</f>
        <v>1.46</v>
      </c>
      <c r="AA72" s="59">
        <f>Inputs!B72</f>
        <v>1.4681348014681357</v>
      </c>
      <c r="AB72" s="59">
        <f>Inputs!C72</f>
        <v>5.8151234567901255</v>
      </c>
      <c r="AC72" s="44">
        <f>Inputs!D72</f>
        <v>4.9274749999999772</v>
      </c>
      <c r="AD72" s="67">
        <f>IF(Inputs!E72=0,"",Inputs!E72)</f>
        <v>1.2567420000000826</v>
      </c>
      <c r="AE72" s="718">
        <f>Inputs!F72</f>
        <v>1.46</v>
      </c>
      <c r="AF72" s="2">
        <f>IF(SUM(AF$8:AF71)=0,
IF(AND(AA72&gt;=T$64,AA72&lt;T$66),   IF(OR(AD72&lt;AD71,AD72&gt;AD73),AA72,0),0),
IF(AA72&gt;T$66,0,           IF(AF71=0,0,  IF(OR(AD72&lt;AD71,AD72&gt;AD73),AA72,0))))</f>
        <v>0</v>
      </c>
      <c r="AG72" s="102">
        <f t="shared" si="3"/>
        <v>0</v>
      </c>
      <c r="AH72" s="2">
        <f>IF(SUM(AH$8:AH71)=0,
IF(AA72&gt;=T$66,   IF(AD73&lt;0.5,AA72,0),0),
IF(AH71=0,0,  IF(AND(AA72&lt;T$68,AD72&lt;0.5),AA72,0)))</f>
        <v>0</v>
      </c>
      <c r="AI72" s="102">
        <f t="shared" si="8"/>
        <v>0</v>
      </c>
      <c r="AJ72" s="25">
        <f t="shared" si="11"/>
        <v>8.2025462962962925E-2</v>
      </c>
      <c r="AL72" s="87">
        <f t="shared" si="7"/>
        <v>0</v>
      </c>
      <c r="AM72" s="63">
        <f t="shared" si="6"/>
        <v>0</v>
      </c>
      <c r="AO72" s="49"/>
      <c r="AP72" s="103"/>
      <c r="AQ72" s="85"/>
      <c r="AR72" s="105"/>
      <c r="AS72" s="106"/>
      <c r="AT72" s="106"/>
      <c r="AV72" s="103"/>
    </row>
    <row r="73" spans="1:48" ht="14.4" customHeight="1" thickTop="1" x14ac:dyDescent="0.45">
      <c r="A73"/>
      <c r="B73" s="459"/>
      <c r="C73" s="57"/>
      <c r="D73" s="249"/>
      <c r="E73" s="238"/>
      <c r="I73" s="721"/>
      <c r="N73" s="737"/>
      <c r="P73" s="238"/>
      <c r="Q73" s="431"/>
      <c r="R73" s="432" t="s">
        <v>512</v>
      </c>
      <c r="S73" s="433" t="s">
        <v>513</v>
      </c>
      <c r="T73" s="434" t="s">
        <v>514</v>
      </c>
      <c r="U73" s="434" t="s">
        <v>515</v>
      </c>
      <c r="V73" s="435" t="s">
        <v>516</v>
      </c>
      <c r="X73" s="95"/>
      <c r="Y73" s="95"/>
      <c r="Z73" s="717">
        <f>Inputs!A73</f>
        <v>1.48</v>
      </c>
      <c r="AA73" s="59">
        <f>Inputs!B73</f>
        <v>1.4848181514848191</v>
      </c>
      <c r="AB73" s="59">
        <f>Inputs!C73</f>
        <v>5.8976388888888911</v>
      </c>
      <c r="AC73" s="44">
        <f>Inputs!D73</f>
        <v>4.9459749999999785</v>
      </c>
      <c r="AD73" s="67">
        <f>IF(Inputs!E73=0,"",Inputs!E73)</f>
        <v>1.099649249999926</v>
      </c>
      <c r="AE73" s="718">
        <f>Inputs!F73</f>
        <v>1.48</v>
      </c>
      <c r="AF73" s="2">
        <f>IF(SUM(AF$8:AF72)=0,
IF(AND(AA73&gt;=T$64,AA73&lt;T$66),   IF(OR(AD73&lt;AD72,AD73&gt;AD74),AA73,0),0),
IF(AA73&gt;T$66,0,           IF(AF72=0,0,  IF(OR(AD73&lt;AD72,AD73&gt;AD74),AA73,0))))</f>
        <v>0</v>
      </c>
      <c r="AG73" s="102">
        <f t="shared" si="3"/>
        <v>0</v>
      </c>
      <c r="AH73" s="2">
        <f>IF(SUM(AH$8:AH72)=0,
IF(AA73&gt;=T$66,   IF(AD74&lt;0.5,AA73,0),0),
IF(AH72=0,0,  IF(AND(AA73&lt;T$68,AD73&lt;0.5),AA73,0)))</f>
        <v>0</v>
      </c>
      <c r="AI73" s="102">
        <f t="shared" si="8"/>
        <v>0</v>
      </c>
      <c r="AJ73" s="25">
        <f t="shared" si="11"/>
        <v>8.2361111111111079E-2</v>
      </c>
      <c r="AL73" s="87">
        <f t="shared" si="7"/>
        <v>0</v>
      </c>
      <c r="AM73" s="63">
        <f t="shared" si="6"/>
        <v>0</v>
      </c>
      <c r="AO73" s="49"/>
      <c r="AP73" s="103"/>
      <c r="AQ73" s="85"/>
      <c r="AR73" s="105"/>
      <c r="AS73" s="106"/>
      <c r="AT73" s="106"/>
      <c r="AV73" s="103"/>
    </row>
    <row r="74" spans="1:48" ht="15.9" x14ac:dyDescent="0.45">
      <c r="B74" s="459"/>
      <c r="C74" s="57"/>
      <c r="D74" s="240"/>
      <c r="E74" s="238"/>
      <c r="I74" s="41"/>
      <c r="N74" s="732"/>
      <c r="P74" s="436"/>
      <c r="Q74" s="420"/>
      <c r="R74" s="437" t="s">
        <v>517</v>
      </c>
      <c r="S74" s="21">
        <f>U67-U64</f>
        <v>2.4348919753086435</v>
      </c>
      <c r="T74" s="21">
        <f>S74-(V64*(T67-T64))</f>
        <v>0.47378086419752896</v>
      </c>
      <c r="U74" s="21">
        <f>((V67-V64)*(T67-T64))/2</f>
        <v>0.4388888888888805</v>
      </c>
      <c r="V74" s="438">
        <f>T74/U74</f>
        <v>1.0795007032348967</v>
      </c>
      <c r="W74" t="s">
        <v>755</v>
      </c>
      <c r="X74" s="768">
        <f xml:space="preserve"> ( (U67-U64) - V64*(T67-T64)) /((V67-V64)*(T67-T64)/2)</f>
        <v>1.0795007032348967</v>
      </c>
      <c r="Y74" s="626"/>
      <c r="Z74" s="717">
        <f>Inputs!A74</f>
        <v>1.5</v>
      </c>
      <c r="AA74" s="59">
        <f>Inputs!B74</f>
        <v>1.5015015015015025</v>
      </c>
      <c r="AB74" s="59">
        <f>Inputs!C74</f>
        <v>5.9804012345679034</v>
      </c>
      <c r="AC74" s="44">
        <f>Inputs!D74</f>
        <v>4.9607749999999777</v>
      </c>
      <c r="AD74" s="67">
        <f>IF(Inputs!E74=0,"",Inputs!E74)</f>
        <v>0.92407500000000764</v>
      </c>
      <c r="AE74" s="718">
        <f>Inputs!F74</f>
        <v>1.5</v>
      </c>
      <c r="AF74" s="2">
        <f>IF(SUM(AF$8:AF73)=0,
IF(AND(AA74&gt;=T$64,AA74&lt;T$66),   IF(OR(AD74&lt;AD73,AD74&gt;AD75),AA74,0),0),
IF(AA74&gt;T$66,0,           IF(AF73=0,0,  IF(OR(AD74&lt;AD73,AD74&gt;AD75),AA74,0))))</f>
        <v>0</v>
      </c>
      <c r="AG74" s="102">
        <f t="shared" si="3"/>
        <v>0</v>
      </c>
      <c r="AH74" s="2">
        <f>IF(SUM(AH$8:AH73)=0,
IF(AA74&gt;=T$66,   IF(AD75&lt;0.5,AA74,0),0),
IF(AH73=0,0,  IF(AND(AA74&lt;T$68,AD74&lt;0.5),AA74,0)))</f>
        <v>0</v>
      </c>
      <c r="AI74" s="102">
        <f t="shared" si="8"/>
        <v>0</v>
      </c>
      <c r="AJ74" s="25">
        <f t="shared" si="11"/>
        <v>8.2638888888888859E-2</v>
      </c>
      <c r="AL74" s="87">
        <f t="shared" si="7"/>
        <v>0</v>
      </c>
      <c r="AM74" s="63">
        <f t="shared" si="6"/>
        <v>0</v>
      </c>
      <c r="AO74" s="49"/>
      <c r="AP74" s="103"/>
      <c r="AQ74" s="85"/>
      <c r="AR74" s="105"/>
      <c r="AS74" s="106"/>
      <c r="AT74" s="106"/>
      <c r="AV74" s="103"/>
    </row>
    <row r="75" spans="1:48" ht="15.45" x14ac:dyDescent="0.4">
      <c r="B75" s="459"/>
      <c r="C75" s="57"/>
      <c r="D75" s="738"/>
      <c r="E75" s="722"/>
      <c r="F75" s="302"/>
      <c r="I75" s="59"/>
      <c r="N75" s="739"/>
      <c r="P75" s="302"/>
      <c r="Q75" s="420"/>
      <c r="R75" s="22" t="s">
        <v>518</v>
      </c>
      <c r="S75" s="87">
        <f>U66-U64</f>
        <v>1.296388888888889</v>
      </c>
      <c r="V75" s="439"/>
      <c r="X75"/>
      <c r="Y75" s="95"/>
      <c r="Z75" s="717">
        <f>Inputs!A75</f>
        <v>1.51</v>
      </c>
      <c r="AA75" s="59">
        <f>Inputs!B75</f>
        <v>1.5181848515181859</v>
      </c>
      <c r="AB75" s="59">
        <f>Inputs!C75</f>
        <v>6.0633796296296314</v>
      </c>
      <c r="AC75" s="44">
        <f>Inputs!D75</f>
        <v>4.9737249999999777</v>
      </c>
      <c r="AD75" s="67">
        <f>IF(Inputs!E75=0,"",Inputs!E75)</f>
        <v>0.85014900000000271</v>
      </c>
      <c r="AE75" s="718">
        <f>Inputs!F75</f>
        <v>1.51</v>
      </c>
      <c r="AF75" s="2">
        <f>IF(SUM(AF$8:AF74)=0,
IF(AND(AA75&gt;=T$64,AA75&lt;T$66),   IF(OR(AD75&lt;AD74,AD75&gt;AD76),AA75,0),0),
IF(AA75&gt;T$66,0,           IF(AF74=0,0,  IF(OR(AD75&lt;AD74,AD75&gt;AD76),AA75,0))))</f>
        <v>0</v>
      </c>
      <c r="AG75" s="102">
        <f t="shared" si="3"/>
        <v>0</v>
      </c>
      <c r="AH75" s="2">
        <f>IF(SUM(AH$8:AH74)=0,
IF(AA75&gt;=T$66,   IF(AD76&lt;0.5,AA75,0),0),
IF(AH74=0,0,  IF(AND(AA75&lt;T$68,AD75&lt;0.5),AA75,0)))</f>
        <v>0</v>
      </c>
      <c r="AI75" s="102">
        <f t="shared" si="8"/>
        <v>0</v>
      </c>
      <c r="AJ75" s="25">
        <f t="shared" si="11"/>
        <v>8.287037037037033E-2</v>
      </c>
      <c r="AL75" s="87">
        <f t="shared" si="7"/>
        <v>0</v>
      </c>
      <c r="AM75" s="63">
        <f t="shared" si="6"/>
        <v>0</v>
      </c>
      <c r="AO75" s="49"/>
      <c r="AP75" s="103"/>
      <c r="AQ75" s="85"/>
      <c r="AR75" s="105"/>
      <c r="AS75" s="106"/>
      <c r="AT75" s="106"/>
      <c r="AV75" s="103"/>
    </row>
    <row r="76" spans="1:48" ht="14.6" customHeight="1" thickBot="1" x14ac:dyDescent="0.45">
      <c r="C76" s="57"/>
      <c r="D76" s="738"/>
      <c r="E76" s="722"/>
      <c r="F76" s="302"/>
      <c r="I76" s="723"/>
      <c r="J76" s="723"/>
      <c r="K76" s="723"/>
      <c r="L76" s="723"/>
      <c r="M76" s="723"/>
      <c r="N76" s="723"/>
      <c r="P76" s="440"/>
      <c r="Q76" s="420"/>
      <c r="R76" s="22" t="s">
        <v>519</v>
      </c>
      <c r="S76" s="87">
        <f>U67-U66</f>
        <v>1.1385030864197545</v>
      </c>
      <c r="T76" s="21"/>
      <c r="U76" s="21"/>
      <c r="V76" s="438"/>
      <c r="Y76" s="627"/>
      <c r="Z76" s="717">
        <f>Inputs!A76</f>
        <v>1.53</v>
      </c>
      <c r="AA76" s="59">
        <f>Inputs!B76</f>
        <v>1.5348682015348694</v>
      </c>
      <c r="AB76" s="59">
        <f>Inputs!C76</f>
        <v>6.146604938271607</v>
      </c>
      <c r="AC76" s="44">
        <f>Inputs!D76</f>
        <v>4.9885249999999779</v>
      </c>
      <c r="AD76" s="67">
        <f>IF(Inputs!E76=0,"",Inputs!E76)</f>
        <v>0.93331574999999489</v>
      </c>
      <c r="AE76" s="718">
        <f>Inputs!F76</f>
        <v>1.53</v>
      </c>
      <c r="AF76" s="2">
        <f>IF(SUM(AF$8:AF75)=0,
IF(AND(AA76&gt;=T$64,AA76&lt;T$66),   IF(OR(AD76&lt;AD75,AD76&gt;AD77),AA76,0),0),
IF(AA76&gt;T$66,0,           IF(AF75=0,0,  IF(OR(AD76&lt;AD75,AD76&gt;AD77),AA76,0))))</f>
        <v>0</v>
      </c>
      <c r="AG76" s="102">
        <f t="shared" si="3"/>
        <v>0</v>
      </c>
      <c r="AH76" s="2">
        <f>IF(SUM(AH$8:AH75)=0,
IF(AA76&gt;=T$66,   IF(AD77&lt;0.5,AA76,0),0),
IF(AH75=0,0,  IF(AND(AA76&lt;T$68,AD76&lt;0.5),AA76,0)))</f>
        <v>0</v>
      </c>
      <c r="AI76" s="102">
        <f t="shared" si="8"/>
        <v>0</v>
      </c>
      <c r="AJ76" s="25">
        <f t="shared" si="11"/>
        <v>8.3101851851851816E-2</v>
      </c>
      <c r="AL76" s="87">
        <f t="shared" si="7"/>
        <v>0</v>
      </c>
      <c r="AM76" s="63">
        <f t="shared" si="6"/>
        <v>0</v>
      </c>
      <c r="AO76" s="49"/>
      <c r="AP76" s="103"/>
      <c r="AQ76" s="85"/>
      <c r="AR76" s="105"/>
      <c r="AS76" s="106"/>
      <c r="AT76" s="106"/>
      <c r="AV76" s="103"/>
    </row>
    <row r="77" spans="1:48" ht="14.6" customHeight="1" x14ac:dyDescent="0.4">
      <c r="C77" s="57"/>
      <c r="D77" s="740"/>
      <c r="E77" s="741"/>
      <c r="Q77" s="76"/>
      <c r="R77" s="22" t="s">
        <v>520</v>
      </c>
      <c r="S77" s="87">
        <f>U69-U67</f>
        <v>3.4807175925925957</v>
      </c>
      <c r="T77" s="21">
        <f>S77-(V67*(T69-T67))</f>
        <v>0.24753858024691677</v>
      </c>
      <c r="U77" s="21">
        <f>((V69-V67)*(T69-T67))/2</f>
        <v>0.31066358024691315</v>
      </c>
      <c r="V77" s="438">
        <f>T77/U77</f>
        <v>0.79680592121604632</v>
      </c>
      <c r="W77"/>
      <c r="Z77" s="717">
        <f>Inputs!A77</f>
        <v>1.55</v>
      </c>
      <c r="AA77" s="59">
        <f>Inputs!B77</f>
        <v>1.5515515515515528</v>
      </c>
      <c r="AB77" s="59">
        <f>Inputs!C77</f>
        <v>6.2301466049382741</v>
      </c>
      <c r="AC77" s="44">
        <f>Inputs!D77</f>
        <v>5.0074874999999786</v>
      </c>
      <c r="AD77" s="67">
        <f>IF(Inputs!E77=0,"",Inputs!E77)</f>
        <v>1.16433450000005</v>
      </c>
      <c r="AE77" s="718">
        <f>Inputs!F77</f>
        <v>1.55</v>
      </c>
      <c r="AF77" s="2">
        <f>IF(SUM(AF$8:AF76)=0,
IF(AND(AA77&gt;=T$64,AA77&lt;T$66),   IF(OR(AD77&lt;AD76,AD77&gt;AD78),AA77,0),0),
IF(AA77&gt;T$66,0,           IF(AF76=0,0,  IF(OR(AD77&lt;AD76,AD77&gt;AD78),AA77,0))))</f>
        <v>0</v>
      </c>
      <c r="AG77" s="102">
        <f t="shared" si="3"/>
        <v>0</v>
      </c>
      <c r="AH77" s="2">
        <f>IF(SUM(AH$8:AH76)=0,
IF(AA77&gt;=T$66,   IF(AD78&lt;0.5,AA77,0),0),
IF(AH76=0,0,  IF(AND(AA77&lt;T$68,AD77&lt;0.5),AA77,0)))</f>
        <v>0</v>
      </c>
      <c r="AI77" s="102">
        <f t="shared" si="8"/>
        <v>0</v>
      </c>
      <c r="AJ77" s="25">
        <f t="shared" si="11"/>
        <v>8.3383487654320965E-2</v>
      </c>
      <c r="AL77" s="87">
        <f t="shared" si="7"/>
        <v>0</v>
      </c>
      <c r="AM77" s="63">
        <f t="shared" si="6"/>
        <v>0</v>
      </c>
      <c r="AO77" s="49"/>
      <c r="AP77" s="103"/>
      <c r="AQ77" s="85"/>
      <c r="AR77" s="105"/>
      <c r="AS77" s="106"/>
      <c r="AT77" s="106"/>
      <c r="AV77" s="103"/>
    </row>
    <row r="78" spans="1:48" ht="14.6" customHeight="1" x14ac:dyDescent="0.45">
      <c r="B78" s="726"/>
      <c r="C78" s="65"/>
      <c r="D78" s="65"/>
      <c r="E78" s="742"/>
      <c r="F78" s="743"/>
      <c r="G78" s="441"/>
      <c r="H78" s="742"/>
      <c r="I78" s="743"/>
      <c r="J78" s="441"/>
      <c r="K78" s="441"/>
      <c r="L78" s="742"/>
      <c r="M78" s="743"/>
      <c r="Q78" s="76"/>
      <c r="R78" s="22" t="s">
        <v>521</v>
      </c>
      <c r="S78" s="87">
        <f>U69-U68</f>
        <v>3.0066975308642006</v>
      </c>
      <c r="T78" s="21">
        <f>S78-(V68*(T69-T68))</f>
        <v>0.23100308641975609</v>
      </c>
      <c r="U78" s="21">
        <f>((V69-V68)*(T69-T68))/2</f>
        <v>0.25736882716049331</v>
      </c>
      <c r="V78" s="438">
        <f>T78/U78</f>
        <v>0.89755658821767204</v>
      </c>
      <c r="W78"/>
      <c r="Z78" s="717">
        <f>Inputs!A78</f>
        <v>1.56</v>
      </c>
      <c r="AA78" s="59">
        <f>Inputs!B78</f>
        <v>1.5682349015682362</v>
      </c>
      <c r="AB78" s="59">
        <f>Inputs!C78</f>
        <v>6.3140972222222249</v>
      </c>
      <c r="AC78" s="44">
        <f>Inputs!D78</f>
        <v>5.0319999999999796</v>
      </c>
      <c r="AD78" s="67">
        <f>IF(Inputs!E78=0,"",Inputs!E78)</f>
        <v>1.5247237500000339</v>
      </c>
      <c r="AE78" s="718">
        <f>Inputs!F78</f>
        <v>1.56</v>
      </c>
      <c r="AF78" s="2">
        <f>IF(SUM(AF$8:AF77)=0,
IF(AND(AA78&gt;=T$64,AA78&lt;T$66),   IF(OR(AD78&lt;AD77,AD78&gt;AD79),AA78,0),0),
IF(AA78&gt;T$66,0,           IF(AF77=0,0,  IF(OR(AD78&lt;AD77,AD78&gt;AD79),AA78,0))))</f>
        <v>0</v>
      </c>
      <c r="AG78" s="102">
        <f t="shared" si="3"/>
        <v>0</v>
      </c>
      <c r="AH78" s="2">
        <f>IF(SUM(AH$8:AH77)=0,
IF(AA78&gt;=T$66,   IF(AD79&lt;0.5,AA78,0),0),
IF(AH77=0,0,  IF(AND(AA78&lt;T$68,AD78&lt;0.5),AA78,0)))</f>
        <v>0</v>
      </c>
      <c r="AI78" s="102">
        <f t="shared" si="8"/>
        <v>0</v>
      </c>
      <c r="AJ78" s="25">
        <f t="shared" si="11"/>
        <v>8.3746141975308622E-2</v>
      </c>
      <c r="AL78" s="87">
        <f t="shared" si="7"/>
        <v>0</v>
      </c>
      <c r="AM78" s="63">
        <f t="shared" si="6"/>
        <v>0</v>
      </c>
      <c r="AO78" s="49"/>
      <c r="AP78" s="103"/>
      <c r="AQ78" s="85"/>
      <c r="AR78" s="105"/>
      <c r="AS78" s="106"/>
      <c r="AT78" s="106"/>
      <c r="AV78" s="103"/>
    </row>
    <row r="79" spans="1:48" ht="14.6" customHeight="1" x14ac:dyDescent="0.4">
      <c r="B79" s="22"/>
      <c r="C79" s="742"/>
      <c r="D79" s="743"/>
      <c r="E79" s="441"/>
      <c r="F79" s="441"/>
      <c r="G79" s="742"/>
      <c r="H79" s="743"/>
      <c r="I79" s="441"/>
      <c r="J79" s="441"/>
      <c r="K79" s="742"/>
      <c r="L79" s="743"/>
      <c r="Q79" s="76"/>
      <c r="R79" s="22" t="s">
        <v>522</v>
      </c>
      <c r="S79" s="21">
        <f>U70-U69</f>
        <v>1.5356481481481525</v>
      </c>
      <c r="T79" s="21">
        <f>S79-(V70*(T70-T69))</f>
        <v>0.26384259259259024</v>
      </c>
      <c r="U79" s="21">
        <f>((V69-V70)*(T70-T69))/2</f>
        <v>0.21020833333332287</v>
      </c>
      <c r="V79" s="438">
        <f>T79/U79</f>
        <v>1.2551481114415226</v>
      </c>
      <c r="Z79" s="717">
        <f>Inputs!A79</f>
        <v>1.58</v>
      </c>
      <c r="AA79" s="59">
        <f>Inputs!B79</f>
        <v>1.5849182515849196</v>
      </c>
      <c r="AB79" s="59">
        <f>Inputs!C79</f>
        <v>6.3985956790123488</v>
      </c>
      <c r="AC79" s="44">
        <f>Inputs!D79</f>
        <v>5.0648374999999799</v>
      </c>
      <c r="AD79" s="67">
        <f>IF(Inputs!E79=0,"",Inputs!E79)</f>
        <v>1.9960020000000249</v>
      </c>
      <c r="AE79" s="718">
        <f>Inputs!F79</f>
        <v>1.58</v>
      </c>
      <c r="AF79" s="2">
        <f>IF(SUM(AF$8:AF78)=0,
IF(AND(AA79&gt;=T$64,AA79&lt;T$66),   IF(OR(AD79&lt;AD78,AD79&gt;AD80),AA79,0),0),
IF(AA79&gt;T$66,0,           IF(AF78=0,0,  IF(OR(AD79&lt;AD78,AD79&gt;AD80),AA79,0))))</f>
        <v>0</v>
      </c>
      <c r="AG79" s="102">
        <f t="shared" si="3"/>
        <v>0</v>
      </c>
      <c r="AH79" s="2">
        <f>IF(SUM(AH$8:AH78)=0,
IF(AA79&gt;=T$66,   IF(AD80&lt;0.5,AA79,0),0),
IF(AH78=0,0,  IF(AND(AA79&lt;T$68,AD79&lt;0.5),AA79,0)))</f>
        <v>0</v>
      </c>
      <c r="AI79" s="102">
        <f t="shared" si="8"/>
        <v>0</v>
      </c>
      <c r="AJ79" s="25">
        <f t="shared" si="11"/>
        <v>8.4224537037037056E-2</v>
      </c>
      <c r="AL79" s="87">
        <f t="shared" si="7"/>
        <v>0</v>
      </c>
      <c r="AM79" s="63">
        <f t="shared" si="6"/>
        <v>0</v>
      </c>
      <c r="AO79" s="49"/>
      <c r="AP79" s="103"/>
      <c r="AQ79" s="85"/>
      <c r="AR79" s="105"/>
      <c r="AS79" s="106"/>
      <c r="AT79" s="106"/>
      <c r="AV79" s="103"/>
    </row>
    <row r="80" spans="1:48" ht="14.6" customHeight="1" x14ac:dyDescent="0.45">
      <c r="B80" s="726"/>
      <c r="C80" s="65"/>
      <c r="D80" s="652"/>
      <c r="E80" s="652"/>
      <c r="F80" s="653"/>
      <c r="G80" s="1"/>
      <c r="Q80" s="76"/>
      <c r="R80" s="22" t="s">
        <v>523</v>
      </c>
      <c r="S80" s="87">
        <f>U71-U69</f>
        <v>2.1363657407407457</v>
      </c>
      <c r="T80" s="87">
        <f>S80-(V71*(T71-T69))</f>
        <v>0.58124228395061772</v>
      </c>
      <c r="U80" s="87">
        <f>((V69-V71)*(T71-T69))/2</f>
        <v>0.53861111111109539</v>
      </c>
      <c r="V80" s="438">
        <f>T80/U80</f>
        <v>1.0791501919661088</v>
      </c>
      <c r="Z80" s="717">
        <f>Inputs!A80</f>
        <v>1.6</v>
      </c>
      <c r="AA80" s="59">
        <f>Inputs!B80</f>
        <v>1.601601601601603</v>
      </c>
      <c r="AB80" s="59">
        <f>Inputs!C80</f>
        <v>6.4838040123456819</v>
      </c>
      <c r="AC80" s="44">
        <f>Inputs!D80</f>
        <v>5.1073874999999802</v>
      </c>
      <c r="AD80" s="67">
        <f>IF(Inputs!E80=0,"",Inputs!E80)</f>
        <v>2.4672802500000159</v>
      </c>
      <c r="AE80" s="718">
        <f>Inputs!F80</f>
        <v>1.6</v>
      </c>
      <c r="AF80" s="2">
        <f>IF(SUM(AF$8:AF79)=0,
IF(AND(AA80&gt;=T$64,AA80&lt;T$66),   IF(OR(AD80&lt;AD79,AD80&gt;AD81),AA80,0),0),
IF(AA80&gt;T$66,0,           IF(AF79=0,0,  IF(OR(AD80&lt;AD79,AD80&gt;AD81),AA80,0))))</f>
        <v>0</v>
      </c>
      <c r="AG80" s="102">
        <f t="shared" si="3"/>
        <v>0</v>
      </c>
      <c r="AH80" s="2">
        <f>IF(SUM(AH$8:AH79)=0,
IF(AA80&gt;=T$66,   IF(AD81&lt;0.5,AA80,0),0),
IF(AH79=0,0,  IF(AND(AA80&lt;T$68,AD80&lt;0.5),AA80,0)))</f>
        <v>0</v>
      </c>
      <c r="AI80" s="102">
        <f t="shared" si="8"/>
        <v>0</v>
      </c>
      <c r="AJ80" s="25">
        <f t="shared" si="11"/>
        <v>8.4853395061728412E-2</v>
      </c>
      <c r="AL80" s="87">
        <f t="shared" si="7"/>
        <v>0</v>
      </c>
      <c r="AM80" s="63">
        <f t="shared" si="6"/>
        <v>0</v>
      </c>
      <c r="AO80" s="49"/>
      <c r="AP80" s="103"/>
      <c r="AQ80" s="85"/>
      <c r="AR80" s="105"/>
      <c r="AS80" s="106"/>
      <c r="AT80" s="106"/>
      <c r="AV80" s="103"/>
    </row>
    <row r="81" spans="2:48" ht="14.6" customHeight="1" x14ac:dyDescent="0.4">
      <c r="B81" s="744"/>
      <c r="C81" s="441"/>
      <c r="D81" s="441"/>
      <c r="E81" s="742"/>
      <c r="F81" s="646"/>
      <c r="G81" s="644"/>
      <c r="H81" s="647"/>
      <c r="Q81" s="76"/>
      <c r="R81" s="22" t="s">
        <v>524</v>
      </c>
      <c r="S81" s="87">
        <f>U71-U67</f>
        <v>5.6170833333333414</v>
      </c>
      <c r="T81" s="21">
        <f>S81-(V71*(T71-T69))</f>
        <v>4.061959876543213</v>
      </c>
      <c r="U81" s="443">
        <f>((V69-V71)*(T71-T69))/2</f>
        <v>0.53861111111109539</v>
      </c>
      <c r="V81" s="438">
        <f>T81/U81</f>
        <v>7.541544897140791</v>
      </c>
      <c r="Z81" s="717">
        <f>Inputs!A81</f>
        <v>1.61</v>
      </c>
      <c r="AA81" s="59">
        <f>Inputs!B81</f>
        <v>1.6182849516182864</v>
      </c>
      <c r="AB81" s="59">
        <f>Inputs!C81</f>
        <v>6.5698148148148174</v>
      </c>
      <c r="AC81" s="44">
        <f>Inputs!D81</f>
        <v>5.1554874999999809</v>
      </c>
      <c r="AD81" s="67">
        <f>IF(Inputs!E81=0,"",Inputs!E81)</f>
        <v>2.7352619999999672</v>
      </c>
      <c r="AE81" s="718">
        <f>Inputs!F81</f>
        <v>1.61</v>
      </c>
      <c r="AF81" s="2">
        <f>IF(SUM(AF$8:AF80)=0,
IF(AND(AA81&gt;=T$64,AA81&lt;T$66),   IF(OR(AD81&lt;AD80,AD81&gt;AD82),AA81,0),0),
IF(AA81&gt;T$66,0,           IF(AF80=0,0,  IF(OR(AD81&lt;AD80,AD81&gt;AD82),AA81,0))))</f>
        <v>0</v>
      </c>
      <c r="AG81" s="102">
        <f t="shared" si="3"/>
        <v>0</v>
      </c>
      <c r="AH81" s="2">
        <f>IF(SUM(AH$8:AH80)=0,
IF(AA81&gt;=T$66,   IF(AD82&lt;0.5,AA81,0),0),
IF(AH80=0,0,  IF(AND(AA81&lt;T$68,AD81&lt;0.5),AA81,0)))</f>
        <v>0</v>
      </c>
      <c r="AI81" s="102">
        <f t="shared" si="8"/>
        <v>0</v>
      </c>
      <c r="AJ81" s="25">
        <f t="shared" si="11"/>
        <v>8.5609567901234598E-2</v>
      </c>
      <c r="AL81" s="87">
        <f t="shared" si="7"/>
        <v>0</v>
      </c>
      <c r="AM81" s="63">
        <f t="shared" si="6"/>
        <v>0</v>
      </c>
      <c r="AO81" s="49"/>
      <c r="AP81" s="103"/>
      <c r="AQ81" s="85"/>
      <c r="AR81" s="105"/>
      <c r="AS81" s="106"/>
      <c r="AT81" s="106"/>
      <c r="AV81" s="103"/>
    </row>
    <row r="82" spans="2:48" ht="14.6" customHeight="1" x14ac:dyDescent="0.4">
      <c r="B82" s="441"/>
      <c r="C82" s="441"/>
      <c r="D82" s="441"/>
      <c r="E82" s="742"/>
      <c r="F82" s="308"/>
      <c r="G82" s="644"/>
      <c r="H82" s="650"/>
      <c r="Q82" s="76"/>
      <c r="R82" s="22" t="s">
        <v>525</v>
      </c>
      <c r="S82" s="87">
        <f>U71-U64</f>
        <v>8.0519753086419854</v>
      </c>
      <c r="V82" s="439"/>
      <c r="Z82" s="717">
        <f>Inputs!A82</f>
        <v>1.63</v>
      </c>
      <c r="AA82" s="59">
        <f>Inputs!B82</f>
        <v>1.6349683016349699</v>
      </c>
      <c r="AB82" s="59">
        <f>Inputs!C82</f>
        <v>6.6565972222222252</v>
      </c>
      <c r="AC82" s="44">
        <f>Inputs!D82</f>
        <v>5.2017374999999797</v>
      </c>
      <c r="AD82" s="67">
        <f>IF(Inputs!E82=0,"",Inputs!E82)</f>
        <v>2.6982990000000178</v>
      </c>
      <c r="AE82" s="718">
        <f>Inputs!F82</f>
        <v>1.63</v>
      </c>
      <c r="AF82" s="2">
        <f>IF(SUM(AF$8:AF81)=0,
IF(AND(AA82&gt;=T$64,AA82&lt;T$66),   IF(OR(AD82&lt;AD81,AD82&gt;AD83),AA82,0),0),
IF(AA82&gt;T$66,0,           IF(AF81=0,0,  IF(OR(AD82&lt;AD81,AD82&gt;AD83),AA82,0))))</f>
        <v>0</v>
      </c>
      <c r="AG82" s="102">
        <f t="shared" si="3"/>
        <v>0</v>
      </c>
      <c r="AH82" s="2">
        <f>IF(SUM(AH$8:AH81)=0,
IF(AA82&gt;=T$66,   IF(AD83&lt;0.5,AA82,0),0),
IF(AH81=0,0,  IF(AND(AA82&lt;T$68,AD82&lt;0.5),AA82,0)))</f>
        <v>0</v>
      </c>
      <c r="AI82" s="102">
        <f t="shared" si="8"/>
        <v>0</v>
      </c>
      <c r="AJ82" s="25">
        <f t="shared" si="11"/>
        <v>8.6396604938271629E-2</v>
      </c>
      <c r="AL82" s="87">
        <f t="shared" si="7"/>
        <v>0</v>
      </c>
      <c r="AM82" s="63">
        <f t="shared" si="6"/>
        <v>0</v>
      </c>
      <c r="AO82" s="49"/>
      <c r="AP82" s="103"/>
      <c r="AQ82" s="85"/>
      <c r="AR82" s="105"/>
      <c r="AS82" s="106"/>
      <c r="AT82" s="106"/>
      <c r="AV82" s="103"/>
    </row>
    <row r="83" spans="2:48" ht="14.6" customHeight="1" thickBot="1" x14ac:dyDescent="0.45">
      <c r="B83" s="441"/>
      <c r="C83" s="441"/>
      <c r="D83" s="441"/>
      <c r="E83" s="744"/>
      <c r="F83" s="308"/>
      <c r="G83" s="644"/>
      <c r="H83" s="650"/>
      <c r="Q83" s="89"/>
      <c r="R83" s="446" t="s">
        <v>526</v>
      </c>
      <c r="S83" s="447">
        <f>U70-U68</f>
        <v>4.5423456790123531</v>
      </c>
      <c r="T83" s="447">
        <f>S83-(V68*(T70-T68))</f>
        <v>0.33915123456791996</v>
      </c>
      <c r="U83" s="447">
        <f>((V68-V70)*(T70-T68))/2</f>
        <v>0.22921682098762872</v>
      </c>
      <c r="V83" s="448">
        <f>T83/U83</f>
        <v>1.4796088398164489</v>
      </c>
      <c r="Z83" s="717">
        <f>Inputs!A83</f>
        <v>1.65</v>
      </c>
      <c r="AA83" s="59">
        <f>Inputs!B83</f>
        <v>1.6516516516516533</v>
      </c>
      <c r="AB83" s="59">
        <f>Inputs!C83</f>
        <v>6.7440586419753119</v>
      </c>
      <c r="AC83" s="44">
        <f>Inputs!D83</f>
        <v>5.2424374999999799</v>
      </c>
      <c r="AD83" s="67">
        <f>IF(Inputs!E83=0,"",Inputs!E83)</f>
        <v>2.4857617499998841</v>
      </c>
      <c r="AE83" s="718">
        <f>Inputs!F83</f>
        <v>1.65</v>
      </c>
      <c r="AF83" s="2">
        <f>IF(SUM(AF$8:AF82)=0,
IF(AND(AA83&gt;=T$64,AA83&lt;T$66),   IF(OR(AD83&lt;AD82,AD83&gt;AD84),AA83,0),0),
IF(AA83&gt;T$66,0,           IF(AF82=0,0,  IF(OR(AD83&lt;AD82,AD83&gt;AD84),AA83,0))))</f>
        <v>0</v>
      </c>
      <c r="AG83" s="102">
        <f t="shared" si="3"/>
        <v>0</v>
      </c>
      <c r="AH83" s="2">
        <f>IF(SUM(AH$8:AH82)=0,
IF(AA83&gt;=T$66,   IF(AD84&lt;0.5,AA83,0),0),
IF(AH82=0,0,  IF(AND(AA83&lt;T$68,AD83&lt;0.5),AA83,0)))</f>
        <v>0</v>
      </c>
      <c r="AI83" s="102">
        <f t="shared" si="8"/>
        <v>0</v>
      </c>
      <c r="AJ83" s="25">
        <f t="shared" si="11"/>
        <v>8.7121913580246929E-2</v>
      </c>
      <c r="AL83" s="87">
        <f t="shared" si="7"/>
        <v>0</v>
      </c>
      <c r="AM83" s="63">
        <f t="shared" si="6"/>
        <v>0</v>
      </c>
      <c r="AO83" s="49"/>
      <c r="AP83" s="103"/>
      <c r="AQ83" s="85"/>
      <c r="AR83" s="105"/>
      <c r="AS83" s="106"/>
      <c r="AT83" s="106"/>
      <c r="AV83" s="103"/>
    </row>
    <row r="84" spans="2:48" ht="14.6" customHeight="1" thickTop="1" x14ac:dyDescent="0.4">
      <c r="B84" s="744"/>
      <c r="C84" s="441"/>
      <c r="D84" s="441"/>
      <c r="E84" s="744"/>
      <c r="F84" s="646"/>
      <c r="G84" s="644"/>
      <c r="H84" s="650"/>
      <c r="K84"/>
      <c r="Z84" s="717">
        <f>Inputs!A84</f>
        <v>1.66</v>
      </c>
      <c r="AA84" s="59">
        <f>Inputs!B84</f>
        <v>1.6683350016683367</v>
      </c>
      <c r="AB84" s="59">
        <f>Inputs!C84</f>
        <v>6.8321450617283981</v>
      </c>
      <c r="AC84" s="44">
        <f>Inputs!D84</f>
        <v>5.2798999999999774</v>
      </c>
      <c r="AD84" s="67">
        <f>IF(Inputs!E84=0,"",Inputs!E84)</f>
        <v>2.2917059999999378</v>
      </c>
      <c r="AE84" s="718">
        <f>Inputs!F84</f>
        <v>1.66</v>
      </c>
      <c r="AF84" s="2">
        <f>IF(SUM(AF$8:AF83)=0,
IF(AND(AA84&gt;=T$64,AA84&lt;T$66),   IF(OR(AD84&lt;AD83,AD84&gt;AD85),AA84,0),0),
IF(AA84&gt;T$66,0,           IF(AF83=0,0,  IF(OR(AD84&lt;AD83,AD84&gt;AD85),AA84,0))))</f>
        <v>0</v>
      </c>
      <c r="AG84" s="102">
        <f t="shared" si="3"/>
        <v>0</v>
      </c>
      <c r="AH84" s="2">
        <f>IF(SUM(AH$8:AH83)=0,
IF(AA84&gt;=T$66,   IF(AD85&lt;0.5,AA84,0),0),
IF(AH83=0,0,  IF(AND(AA84&lt;T$68,AD84&lt;0.5),AA84,0)))</f>
        <v>0</v>
      </c>
      <c r="AI84" s="102">
        <f t="shared" si="8"/>
        <v>0</v>
      </c>
      <c r="AJ84" s="25">
        <f t="shared" si="11"/>
        <v>8.7773919753086418E-2</v>
      </c>
      <c r="AL84" s="87">
        <f t="shared" si="7"/>
        <v>0</v>
      </c>
      <c r="AM84" s="63">
        <f t="shared" si="6"/>
        <v>0</v>
      </c>
      <c r="AO84" s="49"/>
      <c r="AP84" s="103"/>
      <c r="AQ84" s="85"/>
      <c r="AR84" s="105"/>
      <c r="AS84" s="106"/>
      <c r="AT84" s="106"/>
      <c r="AV84" s="103"/>
    </row>
    <row r="85" spans="2:48" ht="14.6" customHeight="1" x14ac:dyDescent="0.4">
      <c r="B85" s="441"/>
      <c r="C85" s="441"/>
      <c r="D85" s="441"/>
      <c r="E85" s="744"/>
      <c r="F85" s="646"/>
      <c r="G85" s="644"/>
      <c r="H85" s="650"/>
      <c r="Z85" s="717">
        <f>Inputs!A85</f>
        <v>1.68</v>
      </c>
      <c r="AA85" s="59">
        <f>Inputs!B85</f>
        <v>1.6850183516850201</v>
      </c>
      <c r="AB85" s="59">
        <f>Inputs!C85</f>
        <v>6.9208410493827195</v>
      </c>
      <c r="AC85" s="44">
        <f>Inputs!D85</f>
        <v>5.3164374999999771</v>
      </c>
      <c r="AD85" s="67">
        <f>IF(Inputs!E85=0,"",Inputs!E85)</f>
        <v>2.1992984999999585</v>
      </c>
      <c r="AE85" s="718">
        <f>Inputs!F85</f>
        <v>1.68</v>
      </c>
      <c r="AF85" s="2">
        <f>IF(SUM(AF$8:AF84)=0,
IF(AND(AA85&gt;=T$64,AA85&lt;T$66),   IF(OR(AD85&lt;AD84,AD85&gt;AD86),AA85,0),0),
IF(AA85&gt;T$66,0,           IF(AF84=0,0,  IF(OR(AD85&lt;AD84,AD85&gt;AD86),AA85,0))))</f>
        <v>0</v>
      </c>
      <c r="AG85" s="102">
        <f t="shared" si="3"/>
        <v>0</v>
      </c>
      <c r="AH85" s="2">
        <f>IF(SUM(AH$8:AH84)=0,
IF(AA85&gt;=T$66,   IF(AD86&lt;0.5,AA85,0),0),
IF(AH84=0,0,  IF(AND(AA85&lt;T$68,AD85&lt;0.5),AA85,0)))</f>
        <v>0</v>
      </c>
      <c r="AI85" s="102">
        <f t="shared" si="8"/>
        <v>0</v>
      </c>
      <c r="AJ85" s="25">
        <f t="shared" si="11"/>
        <v>8.839120370370368E-2</v>
      </c>
      <c r="AL85" s="87">
        <f t="shared" si="7"/>
        <v>0</v>
      </c>
      <c r="AM85" s="63">
        <f t="shared" si="6"/>
        <v>0</v>
      </c>
      <c r="AO85" s="49"/>
      <c r="AP85" s="103"/>
      <c r="AQ85" s="85"/>
      <c r="AR85" s="105"/>
      <c r="AS85" s="106"/>
      <c r="AT85" s="106"/>
      <c r="AV85" s="103"/>
    </row>
    <row r="86" spans="2:48" ht="14.6" customHeight="1" x14ac:dyDescent="0.45">
      <c r="B86" s="726"/>
      <c r="C86" s="65"/>
      <c r="D86" s="65"/>
      <c r="E86" s="653"/>
      <c r="F86" s="1"/>
      <c r="Z86" s="717">
        <f>Inputs!A86</f>
        <v>1.7</v>
      </c>
      <c r="AA86" s="59">
        <f>Inputs!B86</f>
        <v>1.7017017017017035</v>
      </c>
      <c r="AB86" s="59">
        <f>Inputs!C86</f>
        <v>7.0101388888888927</v>
      </c>
      <c r="AC86" s="44">
        <f>Inputs!D86</f>
        <v>5.3525124999999774</v>
      </c>
      <c r="AD86" s="67">
        <f>IF(Inputs!E86=0,"",Inputs!E86)</f>
        <v>2.1715762499999967</v>
      </c>
      <c r="AE86" s="718">
        <f>Inputs!F86</f>
        <v>1.7</v>
      </c>
      <c r="AF86" s="2">
        <f>IF(SUM(AF$8:AF85)=0,
IF(AND(AA86&gt;=T$64,AA86&lt;T$66),   IF(OR(AD86&lt;AD85,AD86&gt;AD87),AA86,0),0),
IF(AA86&gt;T$66,0,           IF(AF85=0,0,  IF(OR(AD86&lt;AD85,AD86&gt;AD87),AA86,0))))</f>
        <v>0</v>
      </c>
      <c r="AG86" s="102">
        <f t="shared" si="3"/>
        <v>0</v>
      </c>
      <c r="AH86" s="2">
        <f>IF(SUM(AH$8:AH85)=0,
IF(AA86&gt;=T$66,   IF(AD87&lt;0.5,AA86,0),0),
IF(AH85=0,0,  IF(AND(AA86&lt;T$68,AD86&lt;0.5),AA86,0)))</f>
        <v>0</v>
      </c>
      <c r="AI86" s="102">
        <f t="shared" si="8"/>
        <v>0</v>
      </c>
      <c r="AJ86" s="25">
        <f t="shared" si="11"/>
        <v>8.8996913580246903E-2</v>
      </c>
      <c r="AL86" s="87">
        <f t="shared" si="7"/>
        <v>0</v>
      </c>
      <c r="AM86" s="63">
        <f t="shared" si="6"/>
        <v>0</v>
      </c>
      <c r="AO86" s="49"/>
      <c r="AP86" s="103"/>
      <c r="AQ86" s="85"/>
      <c r="AR86" s="105"/>
      <c r="AS86" s="106"/>
      <c r="AT86" s="106"/>
      <c r="AV86" s="103"/>
    </row>
    <row r="87" spans="2:48" ht="14.6" customHeight="1" x14ac:dyDescent="0.4">
      <c r="D87" s="22"/>
      <c r="E87" s="745"/>
      <c r="F87" s="664"/>
      <c r="G87" s="647"/>
      <c r="H87" s="746"/>
      <c r="I87" s="746"/>
      <c r="Z87" s="717">
        <f>Inputs!A87</f>
        <v>1.71</v>
      </c>
      <c r="AA87" s="59">
        <f>Inputs!B87</f>
        <v>1.718385051718387</v>
      </c>
      <c r="AB87" s="59">
        <f>Inputs!C87</f>
        <v>7.1000385802469177</v>
      </c>
      <c r="AC87" s="44">
        <f>Inputs!D87</f>
        <v>5.3885874999999759</v>
      </c>
      <c r="AD87" s="67">
        <f>IF(Inputs!E87=0,"",Inputs!E87)</f>
        <v>2.1808169999999838</v>
      </c>
      <c r="AE87" s="718">
        <f>Inputs!F87</f>
        <v>1.71</v>
      </c>
      <c r="AF87" s="2">
        <f>IF(SUM(AF$8:AF86)=0,
IF(AND(AA87&gt;=T$64,AA87&lt;T$66),   IF(OR(AD87&lt;AD86,AD87&gt;AD88),AA87,0),0),
IF(AA87&gt;T$66,0,           IF(AF86=0,0,  IF(OR(AD87&lt;AD86,AD87&gt;AD88),AA87,0))))</f>
        <v>0</v>
      </c>
      <c r="AG87" s="102">
        <f t="shared" si="3"/>
        <v>0</v>
      </c>
      <c r="AH87" s="2">
        <f>IF(SUM(AH$8:AH86)=0,
IF(AA87&gt;=T$66,   IF(AD88&lt;0.5,AA87,0),0),
IF(AH86=0,0,  IF(AND(AA87&lt;T$68,AD87&lt;0.5),AA87,0)))</f>
        <v>0</v>
      </c>
      <c r="AI87" s="102">
        <f t="shared" si="8"/>
        <v>0</v>
      </c>
      <c r="AJ87" s="25">
        <f t="shared" si="11"/>
        <v>8.9598765432098743E-2</v>
      </c>
      <c r="AL87" s="87">
        <f t="shared" si="7"/>
        <v>0</v>
      </c>
      <c r="AM87" s="63">
        <f t="shared" si="6"/>
        <v>0</v>
      </c>
      <c r="AO87" s="49"/>
      <c r="AP87" s="103"/>
      <c r="AQ87" s="85"/>
      <c r="AR87" s="105"/>
      <c r="AS87" s="106"/>
      <c r="AT87" s="106"/>
      <c r="AV87" s="103"/>
    </row>
    <row r="88" spans="2:48" ht="14.6" customHeight="1" x14ac:dyDescent="0.4">
      <c r="D88" s="22"/>
      <c r="E88" s="745"/>
      <c r="F88" s="644"/>
      <c r="G88" s="647"/>
      <c r="Z88" s="717">
        <f>Inputs!A88</f>
        <v>1.73</v>
      </c>
      <c r="AA88" s="59">
        <f>Inputs!B88</f>
        <v>1.7350684017350704</v>
      </c>
      <c r="AB88" s="59">
        <f>Inputs!C88</f>
        <v>7.1905555555555596</v>
      </c>
      <c r="AC88" s="44">
        <f>Inputs!D88</f>
        <v>5.4255874999999776</v>
      </c>
      <c r="AD88" s="67">
        <f>IF(Inputs!E88=0,"",Inputs!E88)</f>
        <v>2.2362614999999608</v>
      </c>
      <c r="AE88" s="718">
        <f>Inputs!F88</f>
        <v>1.73</v>
      </c>
      <c r="AF88" s="2">
        <f>IF(SUM(AF$8:AF87)=0,
IF(AND(AA88&gt;=T$64,AA88&lt;T$66),   IF(OR(AD88&lt;AD87,AD88&gt;AD89),AA88,0),0),
IF(AA88&gt;T$66,0,           IF(AF87=0,0,  IF(OR(AD88&lt;AD87,AD88&gt;AD89),AA88,0))))</f>
        <v>0</v>
      </c>
      <c r="AG88" s="102">
        <f t="shared" si="3"/>
        <v>0</v>
      </c>
      <c r="AH88" s="2">
        <f>IF(SUM(AH$8:AH87)=0,
IF(AA88&gt;=T$66,   IF(AD89&lt;0.5,AA88,0),0),
IF(AH87=0,0,  IF(AND(AA88&lt;T$68,AD88&lt;0.5),AA88,0)))</f>
        <v>0</v>
      </c>
      <c r="AI88" s="102">
        <f t="shared" si="8"/>
        <v>0</v>
      </c>
      <c r="AJ88" s="25">
        <f t="shared" si="11"/>
        <v>9.0208333333333307E-2</v>
      </c>
      <c r="AL88" s="87">
        <f t="shared" si="7"/>
        <v>0</v>
      </c>
      <c r="AM88" s="63">
        <f t="shared" si="6"/>
        <v>0</v>
      </c>
      <c r="AO88" s="49"/>
      <c r="AP88" s="103"/>
      <c r="AQ88" s="85"/>
      <c r="AR88" s="105"/>
      <c r="AS88" s="106"/>
      <c r="AT88" s="106"/>
      <c r="AV88" s="103"/>
    </row>
    <row r="89" spans="2:48" ht="14.6" customHeight="1" x14ac:dyDescent="0.4">
      <c r="D89" s="22"/>
      <c r="E89" s="745"/>
      <c r="F89" s="644"/>
      <c r="G89" s="647"/>
      <c r="Z89" s="717">
        <f>Inputs!A89</f>
        <v>1.75</v>
      </c>
      <c r="AA89" s="59">
        <f>Inputs!B89</f>
        <v>1.7517517517517538</v>
      </c>
      <c r="AB89" s="59">
        <f>Inputs!C89</f>
        <v>7.2817206790123494</v>
      </c>
      <c r="AC89" s="44">
        <f>Inputs!D89</f>
        <v>5.4644374999999785</v>
      </c>
      <c r="AD89" s="67">
        <f>IF(Inputs!E89=0,"",Inputs!E89)</f>
        <v>2.3009467500000849</v>
      </c>
      <c r="AE89" s="718">
        <f>Inputs!F89</f>
        <v>1.75</v>
      </c>
      <c r="AF89" s="2">
        <f>IF(SUM(AF$8:AF88)=0,
IF(AND(AA89&gt;=T$64,AA89&lt;T$66),   IF(OR(AD89&lt;AD88,AD89&gt;AD90),AA89,0),0),
IF(AA89&gt;T$66,0,           IF(AF88=0,0,  IF(OR(AD89&lt;AD88,AD89&gt;AD90),AA89,0))))</f>
        <v>0</v>
      </c>
      <c r="AG89" s="102">
        <f t="shared" si="3"/>
        <v>0</v>
      </c>
      <c r="AH89" s="2">
        <f>IF(SUM(AH$8:AH88)=0,
IF(AA89&gt;=T$66,   IF(AD90&lt;0.5,AA89,0),0),
IF(AH88=0,0,  IF(AND(AA89&lt;T$68,AD89&lt;0.5),AA89,0)))</f>
        <v>0</v>
      </c>
      <c r="AI89" s="102">
        <f t="shared" si="8"/>
        <v>0</v>
      </c>
      <c r="AJ89" s="25">
        <f t="shared" si="11"/>
        <v>9.0841049382716046E-2</v>
      </c>
      <c r="AL89" s="87">
        <f t="shared" si="7"/>
        <v>0</v>
      </c>
      <c r="AM89" s="63">
        <f t="shared" si="6"/>
        <v>0</v>
      </c>
      <c r="AO89" s="49"/>
      <c r="AP89" s="103"/>
      <c r="AQ89" s="85"/>
      <c r="AR89" s="105"/>
      <c r="AS89" s="106"/>
      <c r="AT89" s="106"/>
      <c r="AV89" s="103"/>
    </row>
    <row r="90" spans="2:48" ht="14.6" customHeight="1" x14ac:dyDescent="0.4">
      <c r="C90" s="650"/>
      <c r="D90" s="22"/>
      <c r="E90" s="745"/>
      <c r="F90" s="644"/>
      <c r="G90" s="647"/>
      <c r="R90" s="77"/>
      <c r="S90" s="77"/>
      <c r="T90" s="77"/>
      <c r="Z90" s="717">
        <f>Inputs!A90</f>
        <v>1.76</v>
      </c>
      <c r="AA90" s="59">
        <f>Inputs!B90</f>
        <v>1.7684351017684372</v>
      </c>
      <c r="AB90" s="59">
        <f>Inputs!C90</f>
        <v>7.3735416666666707</v>
      </c>
      <c r="AC90" s="44">
        <f>Inputs!D90</f>
        <v>5.5037499999999797</v>
      </c>
      <c r="AD90" s="67">
        <f>IF(Inputs!E90=0,"",Inputs!E90)</f>
        <v>2.3009467500000316</v>
      </c>
      <c r="AE90" s="718">
        <f>Inputs!F90</f>
        <v>1.76</v>
      </c>
      <c r="AF90" s="2">
        <f>IF(SUM(AF$8:AF89)=0,
IF(AND(AA90&gt;=T$64,AA90&lt;T$66),   IF(OR(AD90&lt;AD89,AD90&gt;AD91),AA90,0),0),
IF(AA90&gt;T$66,0,           IF(AF89=0,0,  IF(OR(AD90&lt;AD89,AD90&gt;AD91),AA90,0))))</f>
        <v>0</v>
      </c>
      <c r="AG90" s="102">
        <f t="shared" ref="AG90" si="12">IF(AND(AF89&gt;0,AF90&gt;0),                        (AF90-AF89)*(AD90-AF$6),0)</f>
        <v>0</v>
      </c>
      <c r="AH90" s="2">
        <f>IF(SUM(AH$8:AH89)=0,
IF(AA90&gt;=T$66,   IF(AD91&lt;0.5,AA90,0),0),
IF(AH89=0,0,  IF(AND(AA90&lt;T$68,AD90&lt;0.5),AA90,0)))</f>
        <v>0</v>
      </c>
      <c r="AI90" s="102">
        <f t="shared" si="8"/>
        <v>0</v>
      </c>
      <c r="AJ90" s="25">
        <f t="shared" si="11"/>
        <v>9.1493055555555577E-2</v>
      </c>
      <c r="AL90" s="87">
        <f t="shared" si="7"/>
        <v>0</v>
      </c>
      <c r="AM90" s="63">
        <f t="shared" si="6"/>
        <v>0</v>
      </c>
      <c r="AO90" s="49"/>
      <c r="AP90" s="103"/>
      <c r="AQ90" s="85"/>
      <c r="AR90" s="105"/>
      <c r="AS90" s="106"/>
      <c r="AT90" s="106"/>
      <c r="AV90" s="103"/>
    </row>
    <row r="91" spans="2:48" ht="14.6" customHeight="1" x14ac:dyDescent="0.4">
      <c r="D91" s="22"/>
      <c r="E91" s="745"/>
      <c r="F91" s="664"/>
      <c r="G91" s="647"/>
      <c r="R91" s="77"/>
      <c r="S91" s="77"/>
      <c r="T91" s="77"/>
      <c r="Z91" s="717">
        <f>Inputs!A91</f>
        <v>1.78</v>
      </c>
      <c r="AA91" s="59">
        <f>Inputs!B91</f>
        <v>1.7851184517851206</v>
      </c>
      <c r="AB91" s="59">
        <f>Inputs!C91</f>
        <v>7.4659799382716088</v>
      </c>
      <c r="AC91" s="44">
        <f>Inputs!D91</f>
        <v>5.5407499999999805</v>
      </c>
      <c r="AD91" s="67">
        <f>IF(Inputs!E91=0,"",Inputs!E91)</f>
        <v>2.1438540000000348</v>
      </c>
      <c r="AE91" s="718">
        <f>Inputs!F91</f>
        <v>1.78</v>
      </c>
      <c r="AH91" s="2" t="str">
        <f t="shared" ref="AH91:AH104" si="13">IF(AND(AA91&gt;T$66,AA91&lt;=T$67),
IF(AD92&lt;0.05,AA91,""),"")</f>
        <v/>
      </c>
      <c r="AJ91" s="25">
        <f t="shared" si="11"/>
        <v>9.2129629629629672E-2</v>
      </c>
      <c r="AL91" s="87">
        <f t="shared" si="7"/>
        <v>0</v>
      </c>
      <c r="AM91" s="63">
        <f t="shared" si="6"/>
        <v>0</v>
      </c>
      <c r="AO91" s="49"/>
      <c r="AP91" s="103"/>
      <c r="AQ91" s="85"/>
      <c r="AR91" s="105"/>
      <c r="AS91" s="106"/>
      <c r="AT91" s="106"/>
      <c r="AV91" s="103"/>
    </row>
    <row r="92" spans="2:48" ht="15.65" customHeight="1" x14ac:dyDescent="0.4">
      <c r="D92" s="22"/>
      <c r="E92" s="745"/>
      <c r="F92" s="664"/>
      <c r="G92" s="647"/>
      <c r="R92" s="77"/>
      <c r="S92" s="77"/>
      <c r="T92" s="77"/>
      <c r="Z92" s="717">
        <f>Inputs!A92</f>
        <v>1.8</v>
      </c>
      <c r="AA92" s="59">
        <f>Inputs!B92</f>
        <v>1.801801801801804</v>
      </c>
      <c r="AB92" s="59">
        <f>Inputs!C92</f>
        <v>7.5589351851851889</v>
      </c>
      <c r="AC92" s="44">
        <f>Inputs!D92</f>
        <v>5.5717374999999798</v>
      </c>
      <c r="AD92" s="67">
        <f>IF(Inputs!E92=0,"",Inputs!E92)</f>
        <v>1.8296684999999873</v>
      </c>
      <c r="AE92" s="718">
        <f>Inputs!F92</f>
        <v>1.8</v>
      </c>
      <c r="AH92" s="2" t="str">
        <f t="shared" si="13"/>
        <v/>
      </c>
      <c r="AJ92" s="25">
        <f t="shared" si="11"/>
        <v>9.2696759259259312E-2</v>
      </c>
      <c r="AL92" s="87">
        <f t="shared" si="7"/>
        <v>0</v>
      </c>
      <c r="AM92" s="63">
        <f t="shared" si="6"/>
        <v>0</v>
      </c>
      <c r="AO92" s="49"/>
      <c r="AP92" s="103"/>
      <c r="AQ92" s="85"/>
      <c r="AR92" s="105"/>
      <c r="AS92" s="106"/>
      <c r="AT92" s="106"/>
      <c r="AV92" s="103"/>
    </row>
    <row r="93" spans="2:48" ht="15.65" customHeight="1" x14ac:dyDescent="0.45">
      <c r="B93" s="726"/>
      <c r="C93" s="726"/>
      <c r="D93" s="747"/>
      <c r="E93" s="653"/>
      <c r="F93" s="1"/>
      <c r="Z93" s="717">
        <f>Inputs!A93</f>
        <v>1.81</v>
      </c>
      <c r="AA93" s="59">
        <f>Inputs!B93</f>
        <v>1.8184851518184875</v>
      </c>
      <c r="AB93" s="59">
        <f>Inputs!C93</f>
        <v>7.6522839506172877</v>
      </c>
      <c r="AC93" s="44">
        <f>Inputs!D93</f>
        <v>5.5953249999999786</v>
      </c>
      <c r="AD93" s="67">
        <f>IF(Inputs!E93=0,"",Inputs!E93)</f>
        <v>1.4600384999999099</v>
      </c>
      <c r="AE93" s="718">
        <f>Inputs!F93</f>
        <v>1.81</v>
      </c>
      <c r="AH93" s="2" t="str">
        <f t="shared" si="13"/>
        <v/>
      </c>
      <c r="AJ93" s="25">
        <f t="shared" si="11"/>
        <v>9.315200617283953E-2</v>
      </c>
      <c r="AL93" s="87">
        <f t="shared" si="7"/>
        <v>0</v>
      </c>
      <c r="AM93" s="63">
        <f t="shared" si="6"/>
        <v>0</v>
      </c>
      <c r="AO93" s="49"/>
      <c r="AP93" s="103"/>
      <c r="AQ93" s="85"/>
      <c r="AR93" s="105"/>
      <c r="AS93" s="106"/>
      <c r="AT93" s="106"/>
      <c r="AV93" s="103"/>
    </row>
    <row r="94" spans="2:48" x14ac:dyDescent="0.4">
      <c r="D94" s="22"/>
      <c r="E94" s="646"/>
      <c r="F94" s="644"/>
      <c r="G94" s="647"/>
      <c r="Z94" s="717">
        <f>Inputs!A94</f>
        <v>1.83</v>
      </c>
      <c r="AA94" s="59">
        <f>Inputs!B94</f>
        <v>1.8351685018351709</v>
      </c>
      <c r="AB94" s="59">
        <f>Inputs!C94</f>
        <v>7.7459413580246954</v>
      </c>
      <c r="AC94" s="44">
        <f>Inputs!D94</f>
        <v>5.6138249999999772</v>
      </c>
      <c r="AD94" s="67">
        <f>IF(Inputs!E94=0,"",Inputs!E94)</f>
        <v>1.1273714999999411</v>
      </c>
      <c r="AE94" s="718">
        <f>Inputs!F94</f>
        <v>1.83</v>
      </c>
      <c r="AH94" s="2" t="str">
        <f t="shared" si="13"/>
        <v/>
      </c>
      <c r="AJ94" s="25">
        <f t="shared" si="11"/>
        <v>9.3503086419753093E-2</v>
      </c>
      <c r="AL94" s="87">
        <f t="shared" si="7"/>
        <v>0</v>
      </c>
      <c r="AM94" s="63">
        <f t="shared" si="6"/>
        <v>0</v>
      </c>
      <c r="AO94" s="49"/>
      <c r="AP94" s="103"/>
      <c r="AQ94" s="85"/>
      <c r="AR94" s="105"/>
      <c r="AS94" s="106"/>
      <c r="AT94" s="106"/>
      <c r="AV94" s="103"/>
    </row>
    <row r="95" spans="2:48" x14ac:dyDescent="0.4">
      <c r="D95" s="22"/>
      <c r="E95" s="646"/>
      <c r="F95" s="644"/>
      <c r="G95" s="647"/>
      <c r="Z95" s="717">
        <f>Inputs!A95</f>
        <v>1.85</v>
      </c>
      <c r="AA95" s="59">
        <f>Inputs!B95</f>
        <v>1.8518518518518543</v>
      </c>
      <c r="AB95" s="59">
        <f>Inputs!C95</f>
        <v>7.8398379629629673</v>
      </c>
      <c r="AC95" s="44">
        <f>Inputs!D95</f>
        <v>5.6281624999999762</v>
      </c>
      <c r="AD95" s="67">
        <f>IF(Inputs!E95=0,"",Inputs!E95)</f>
        <v>0.7947044999999725</v>
      </c>
      <c r="AE95" s="718">
        <f>Inputs!F95</f>
        <v>1.85</v>
      </c>
      <c r="AH95" s="2" t="str">
        <f t="shared" si="13"/>
        <v/>
      </c>
      <c r="AJ95" s="25">
        <f t="shared" si="11"/>
        <v>9.3777006172839503E-2</v>
      </c>
      <c r="AL95" s="87">
        <f t="shared" si="7"/>
        <v>0</v>
      </c>
      <c r="AM95" s="63">
        <f t="shared" si="6"/>
        <v>0</v>
      </c>
      <c r="AO95" s="49"/>
      <c r="AP95" s="103"/>
      <c r="AQ95" s="85"/>
      <c r="AR95" s="105"/>
      <c r="AS95" s="106"/>
      <c r="AT95" s="106"/>
      <c r="AV95" s="103"/>
    </row>
    <row r="96" spans="2:48" x14ac:dyDescent="0.4">
      <c r="D96" s="57"/>
      <c r="E96" s="646"/>
      <c r="F96" s="644"/>
      <c r="G96" s="647"/>
      <c r="Y96" s="329" t="s">
        <v>758</v>
      </c>
      <c r="Z96" s="717">
        <f>Inputs!A96</f>
        <v>1.86</v>
      </c>
      <c r="AA96" s="59">
        <f>Inputs!B96</f>
        <v>1.8685352018685377</v>
      </c>
      <c r="AB96" s="59">
        <f>Inputs!C96</f>
        <v>7.93385030864198</v>
      </c>
      <c r="AC96" s="44">
        <f>Inputs!D96</f>
        <v>5.6350999999999756</v>
      </c>
      <c r="AD96" s="67">
        <f>IF(Inputs!E96=0,"",Inputs!E96)</f>
        <v>0.33266699999996868</v>
      </c>
      <c r="AE96" s="718">
        <f>Inputs!F96</f>
        <v>1.86</v>
      </c>
      <c r="AH96" s="2" t="str">
        <f t="shared" si="13"/>
        <v/>
      </c>
      <c r="AJ96" s="25">
        <f t="shared" si="11"/>
        <v>9.3954475308641955E-2</v>
      </c>
      <c r="AL96" s="87">
        <f t="shared" si="7"/>
        <v>0</v>
      </c>
      <c r="AM96" s="63">
        <f t="shared" si="6"/>
        <v>0</v>
      </c>
      <c r="AO96" s="49"/>
      <c r="AP96" s="103"/>
      <c r="AQ96" s="85"/>
      <c r="AR96" s="105"/>
      <c r="AS96" s="106"/>
      <c r="AT96" s="106"/>
      <c r="AV96" s="103"/>
    </row>
    <row r="97" spans="2:48" ht="14.6" customHeight="1" x14ac:dyDescent="0.4">
      <c r="D97" s="57"/>
      <c r="E97" s="646"/>
      <c r="F97" s="644"/>
      <c r="G97" s="647"/>
      <c r="H97" s="82"/>
      <c r="I97" s="82"/>
      <c r="Z97" s="717">
        <f>Inputs!A97</f>
        <v>1.88</v>
      </c>
      <c r="AA97" s="59">
        <f>Inputs!B97</f>
        <v>1.8852185518852211</v>
      </c>
      <c r="AB97" s="59">
        <f>Inputs!C97</f>
        <v>8.0277854938271656</v>
      </c>
      <c r="AC97" s="44">
        <f>Inputs!D97</f>
        <v>5.6304749999999766</v>
      </c>
      <c r="AD97" s="67">
        <f>IF(Inputs!E97=0,"",Inputs!E97)</f>
        <v>-0.26798174999995111</v>
      </c>
      <c r="AE97" s="718">
        <f>Inputs!F97</f>
        <v>1.88</v>
      </c>
      <c r="AH97" s="2" t="str">
        <f t="shared" si="13"/>
        <v/>
      </c>
      <c r="AJ97" s="25">
        <f t="shared" si="11"/>
        <v>9.3973765432098746E-2</v>
      </c>
      <c r="AL97" s="87">
        <f t="shared" si="7"/>
        <v>0</v>
      </c>
      <c r="AM97" s="63">
        <f t="shared" si="6"/>
        <v>0</v>
      </c>
      <c r="AO97" s="49"/>
      <c r="AP97" s="103"/>
      <c r="AQ97" s="85"/>
      <c r="AR97" s="105"/>
      <c r="AS97" s="106"/>
      <c r="AT97" s="106"/>
      <c r="AV97" s="103"/>
    </row>
    <row r="98" spans="2:48" ht="14.6" customHeight="1" x14ac:dyDescent="0.4">
      <c r="D98" s="57"/>
      <c r="E98" s="646"/>
      <c r="F98" s="644"/>
      <c r="G98" s="647"/>
      <c r="Z98" s="717">
        <f>Inputs!A98</f>
        <v>1.9</v>
      </c>
      <c r="AA98" s="59">
        <f>Inputs!B98</f>
        <v>1.9019019019019046</v>
      </c>
      <c r="AB98" s="59">
        <f>Inputs!C98</f>
        <v>8.1214583333333383</v>
      </c>
      <c r="AC98" s="44">
        <f>Inputs!D98</f>
        <v>5.6147499999999795</v>
      </c>
      <c r="AD98" s="67">
        <f>IF(Inputs!E98=0,"",Inputs!E98)</f>
        <v>-0.88711199999984547</v>
      </c>
      <c r="AE98" s="718">
        <f>Inputs!F98</f>
        <v>1.9</v>
      </c>
      <c r="AH98" s="2" t="str">
        <f t="shared" si="13"/>
        <v/>
      </c>
      <c r="AJ98" s="25">
        <f t="shared" si="11"/>
        <v>9.3804012345679019E-2</v>
      </c>
      <c r="AL98" s="87">
        <f t="shared" si="7"/>
        <v>0</v>
      </c>
      <c r="AM98" s="63">
        <f t="shared" si="6"/>
        <v>0</v>
      </c>
      <c r="AO98" s="49"/>
      <c r="AP98" s="103"/>
      <c r="AQ98" s="85"/>
      <c r="AR98" s="105"/>
      <c r="AS98" s="106"/>
      <c r="AT98" s="106"/>
      <c r="AV98" s="103"/>
    </row>
    <row r="99" spans="2:48" ht="14.6" customHeight="1" x14ac:dyDescent="0.4">
      <c r="B99" s="748"/>
      <c r="C99" s="748"/>
      <c r="D99" s="748"/>
      <c r="E99" s="749"/>
      <c r="F99" s="750"/>
      <c r="G99" s="742"/>
      <c r="H99" s="751"/>
      <c r="I99" s="441"/>
      <c r="J99" s="441"/>
      <c r="K99" s="752"/>
      <c r="L99" s="742"/>
      <c r="M99" s="751"/>
      <c r="N99" s="752"/>
      <c r="Z99" s="717">
        <f>Inputs!A99</f>
        <v>1.91</v>
      </c>
      <c r="AA99" s="59">
        <f>Inputs!B99</f>
        <v>1.918585251918588</v>
      </c>
      <c r="AB99" s="59">
        <f>Inputs!C99</f>
        <v>8.2147299382716099</v>
      </c>
      <c r="AC99" s="44">
        <f>Inputs!D99</f>
        <v>5.590699999999984</v>
      </c>
      <c r="AD99" s="67">
        <f>IF(Inputs!E99=0,"",Inputs!E99)</f>
        <v>-1.4507977499997629</v>
      </c>
      <c r="AE99" s="718">
        <f>Inputs!F99</f>
        <v>1.91</v>
      </c>
      <c r="AH99" s="2" t="str">
        <f t="shared" si="13"/>
        <v/>
      </c>
      <c r="AJ99" s="25">
        <f t="shared" si="11"/>
        <v>9.3472222222222304E-2</v>
      </c>
      <c r="AL99" s="87">
        <f t="shared" si="7"/>
        <v>1.918585251918588</v>
      </c>
      <c r="AM99" s="63">
        <f t="shared" si="6"/>
        <v>0</v>
      </c>
      <c r="AO99" s="49"/>
      <c r="AP99" s="103"/>
      <c r="AQ99" s="85"/>
      <c r="AR99" s="105"/>
      <c r="AS99" s="106"/>
      <c r="AT99" s="106"/>
      <c r="AV99" s="103"/>
    </row>
    <row r="100" spans="2:48" ht="14.6" customHeight="1" x14ac:dyDescent="0.4">
      <c r="B100" s="441"/>
      <c r="C100" s="742"/>
      <c r="D100" s="751"/>
      <c r="E100" s="441"/>
      <c r="F100" s="742"/>
      <c r="G100" s="658"/>
      <c r="H100" s="441"/>
      <c r="I100" s="742"/>
      <c r="J100" s="751"/>
      <c r="K100" s="441"/>
      <c r="L100" s="742"/>
      <c r="M100" s="751"/>
      <c r="N100" s="752"/>
      <c r="Z100" s="717">
        <f>Inputs!A100</f>
        <v>1.93</v>
      </c>
      <c r="AA100" s="59">
        <f>Inputs!B100</f>
        <v>1.9352686019352714</v>
      </c>
      <c r="AB100" s="59">
        <f>Inputs!C100</f>
        <v>8.3074537037037093</v>
      </c>
      <c r="AC100" s="44">
        <f>Inputs!D100</f>
        <v>5.5578624999999882</v>
      </c>
      <c r="AD100" s="67">
        <f>IF(Inputs!E100=0,"",Inputs!E100)</f>
        <v>-2.0144834999996801</v>
      </c>
      <c r="AE100" s="718">
        <f>Inputs!F100</f>
        <v>1.93</v>
      </c>
      <c r="AH100" s="2" t="str">
        <f t="shared" si="13"/>
        <v/>
      </c>
      <c r="AJ100" s="25">
        <f t="shared" si="11"/>
        <v>9.2997685185185336E-2</v>
      </c>
      <c r="AL100" s="87">
        <f t="shared" si="7"/>
        <v>1.9352686019352714</v>
      </c>
      <c r="AM100" s="63">
        <f t="shared" si="6"/>
        <v>0</v>
      </c>
      <c r="AO100" s="49"/>
      <c r="AP100" s="103"/>
      <c r="AQ100" s="85"/>
      <c r="AR100" s="105"/>
      <c r="AS100" s="106"/>
      <c r="AT100" s="106"/>
      <c r="AV100" s="103"/>
    </row>
    <row r="101" spans="2:48" ht="14.6" customHeight="1" x14ac:dyDescent="0.4">
      <c r="B101" s="441"/>
      <c r="C101" s="742"/>
      <c r="D101" s="751"/>
      <c r="E101" s="441"/>
      <c r="F101" s="742"/>
      <c r="G101" s="658"/>
      <c r="H101" s="441"/>
      <c r="I101" s="742"/>
      <c r="J101" s="751"/>
      <c r="K101" s="441"/>
      <c r="L101" s="742"/>
      <c r="M101" s="751"/>
      <c r="N101" s="752"/>
      <c r="Z101" s="717">
        <f>Inputs!A101</f>
        <v>1.95</v>
      </c>
      <c r="AA101" s="59">
        <f>Inputs!B101</f>
        <v>1.9519519519519548</v>
      </c>
      <c r="AB101" s="59">
        <f>Inputs!C101</f>
        <v>8.39944444444445</v>
      </c>
      <c r="AC101" s="44">
        <f>Inputs!D101</f>
        <v>5.5139249999999933</v>
      </c>
      <c r="AD101" s="67">
        <f>IF(Inputs!E101=0,"",Inputs!E101)</f>
        <v>-2.6151322499997063</v>
      </c>
      <c r="AE101" s="718">
        <f>Inputs!F101</f>
        <v>1.95</v>
      </c>
      <c r="AH101" s="2" t="str">
        <f t="shared" si="13"/>
        <v/>
      </c>
      <c r="AJ101" s="25">
        <f t="shared" si="11"/>
        <v>9.2357253086419969E-2</v>
      </c>
      <c r="AL101" s="87">
        <f t="shared" si="7"/>
        <v>1.9519519519519548</v>
      </c>
      <c r="AM101" s="63">
        <f t="shared" si="6"/>
        <v>0</v>
      </c>
      <c r="AO101" s="49"/>
      <c r="AP101" s="103"/>
      <c r="AQ101" s="85"/>
      <c r="AR101" s="105"/>
      <c r="AS101" s="106"/>
      <c r="AT101" s="106"/>
      <c r="AV101" s="103"/>
    </row>
    <row r="102" spans="2:48" ht="14.6" customHeight="1" x14ac:dyDescent="0.4">
      <c r="D102" s="1"/>
      <c r="E102" s="1"/>
      <c r="F102" s="1"/>
      <c r="G102" s="655"/>
      <c r="I102" s="655"/>
      <c r="L102" s="655"/>
      <c r="M102" s="655"/>
      <c r="N102" s="655"/>
      <c r="Z102" s="717">
        <f>Inputs!A102</f>
        <v>1.96</v>
      </c>
      <c r="AA102" s="59">
        <f>Inputs!B102</f>
        <v>1.9686353019686382</v>
      </c>
      <c r="AB102" s="59">
        <f>Inputs!C102</f>
        <v>8.4905324074074127</v>
      </c>
      <c r="AC102" s="44">
        <f>Inputs!D102</f>
        <v>5.4598124999999991</v>
      </c>
      <c r="AD102" s="67">
        <f>IF(Inputs!E102=0,"",Inputs!E102)</f>
        <v>-3.1603364999996488</v>
      </c>
      <c r="AE102" s="718">
        <f>Inputs!F102</f>
        <v>1.96</v>
      </c>
      <c r="AH102" s="2" t="str">
        <f t="shared" si="13"/>
        <v/>
      </c>
      <c r="AJ102" s="25">
        <f t="shared" si="11"/>
        <v>9.1539351851852149E-2</v>
      </c>
      <c r="AL102" s="87">
        <f t="shared" si="7"/>
        <v>1.9686353019686382</v>
      </c>
      <c r="AM102" s="63">
        <f t="shared" si="6"/>
        <v>0</v>
      </c>
      <c r="AO102" s="49"/>
      <c r="AP102" s="103"/>
      <c r="AQ102" s="85"/>
      <c r="AR102" s="105"/>
      <c r="AS102" s="106"/>
      <c r="AT102" s="106"/>
      <c r="AV102" s="103"/>
    </row>
    <row r="103" spans="2:48" ht="14.6" customHeight="1" x14ac:dyDescent="0.4">
      <c r="C103" s="57"/>
      <c r="D103" s="753"/>
      <c r="E103" s="664"/>
      <c r="F103" s="647"/>
      <c r="H103" s="648"/>
      <c r="I103" s="655"/>
      <c r="L103" s="655"/>
      <c r="M103" s="655"/>
      <c r="N103" s="655"/>
      <c r="Z103" s="717">
        <f>Inputs!A103</f>
        <v>1.98</v>
      </c>
      <c r="AA103" s="59">
        <f>Inputs!B103</f>
        <v>1.9853186519853216</v>
      </c>
      <c r="AB103" s="59">
        <f>Inputs!C103</f>
        <v>8.5806172839506232</v>
      </c>
      <c r="AC103" s="44">
        <f>Inputs!D103</f>
        <v>5.399687500000006</v>
      </c>
      <c r="AD103" s="67">
        <f>IF(Inputs!E103=0,"",Inputs!E103)</f>
        <v>-3.5669294999995693</v>
      </c>
      <c r="AE103" s="718">
        <f>Inputs!F103</f>
        <v>1.98</v>
      </c>
      <c r="AH103" s="2" t="str">
        <f t="shared" si="13"/>
        <v/>
      </c>
      <c r="AJ103" s="25">
        <f t="shared" si="11"/>
        <v>9.058641975308683E-2</v>
      </c>
      <c r="AL103" s="87">
        <f t="shared" si="7"/>
        <v>1.9853186519853216</v>
      </c>
      <c r="AM103" s="63">
        <f t="shared" si="6"/>
        <v>0</v>
      </c>
      <c r="AO103" s="49"/>
      <c r="AP103" s="103"/>
      <c r="AQ103" s="85"/>
      <c r="AR103" s="105"/>
      <c r="AS103" s="106"/>
      <c r="AT103" s="106"/>
      <c r="AV103" s="103"/>
    </row>
    <row r="104" spans="2:48" ht="14.6" customHeight="1" x14ac:dyDescent="0.4">
      <c r="C104" s="57"/>
      <c r="D104" s="753"/>
      <c r="E104" s="666"/>
      <c r="F104" s="647"/>
      <c r="H104" s="724"/>
      <c r="K104" s="655"/>
      <c r="L104" s="655"/>
      <c r="M104" s="655"/>
      <c r="N104" s="655"/>
      <c r="Z104" s="717">
        <f>Inputs!A104</f>
        <v>2</v>
      </c>
      <c r="AA104" s="59">
        <f>Inputs!B104</f>
        <v>2.0020020020020048</v>
      </c>
      <c r="AB104" s="59">
        <f>Inputs!C104</f>
        <v>8.6696296296296342</v>
      </c>
      <c r="AC104" s="44">
        <f>Inputs!D104</f>
        <v>5.3354000000000141</v>
      </c>
      <c r="AD104" s="67">
        <f>IF(Inputs!E104=0,"",Inputs!E104)</f>
        <v>-3.9088372499995239</v>
      </c>
      <c r="AE104" s="718">
        <f>Inputs!F104</f>
        <v>2</v>
      </c>
      <c r="AH104" s="2" t="str">
        <f t="shared" si="13"/>
        <v/>
      </c>
      <c r="AJ104" s="25">
        <f t="shared" si="11"/>
        <v>8.9548611111110454E-2</v>
      </c>
      <c r="AL104" s="87">
        <f t="shared" si="7"/>
        <v>2.0020020020020048</v>
      </c>
      <c r="AM104" s="63">
        <f t="shared" si="6"/>
        <v>0</v>
      </c>
      <c r="AO104" s="49"/>
      <c r="AP104" s="103"/>
      <c r="AQ104" s="85"/>
      <c r="AR104" s="105"/>
      <c r="AS104" s="106"/>
      <c r="AT104" s="106"/>
      <c r="AV104" s="103"/>
    </row>
    <row r="105" spans="2:48" ht="14.6" customHeight="1" x14ac:dyDescent="0.4">
      <c r="C105" s="57"/>
      <c r="D105" s="753"/>
      <c r="E105" s="664"/>
      <c r="F105" s="647"/>
      <c r="G105" s="644"/>
      <c r="H105" s="644"/>
      <c r="I105" s="655"/>
      <c r="J105" s="655"/>
      <c r="K105" s="655"/>
      <c r="L105" s="655"/>
      <c r="M105" s="655"/>
      <c r="N105" s="655"/>
      <c r="Z105" s="717">
        <f>Inputs!A105</f>
        <v>2.0099999999999998</v>
      </c>
      <c r="AA105" s="59">
        <f>Inputs!B105</f>
        <v>2.018685352018688</v>
      </c>
      <c r="AB105" s="59">
        <f>Inputs!C105</f>
        <v>8.7574537037037086</v>
      </c>
      <c r="AC105" s="44">
        <f>Inputs!D105</f>
        <v>5.264175000000022</v>
      </c>
      <c r="AD105" s="67">
        <f>IF(Inputs!E105=0,"",Inputs!E105)</f>
        <v>-4.3339117499995314</v>
      </c>
      <c r="AE105" s="718">
        <f>Inputs!F105</f>
        <v>2.0099999999999998</v>
      </c>
      <c r="AJ105" s="25">
        <f t="shared" si="11"/>
        <v>8.8418209876542697E-2</v>
      </c>
      <c r="AL105" s="87">
        <f t="shared" si="7"/>
        <v>2.018685352018688</v>
      </c>
      <c r="AM105" s="63">
        <f t="shared" si="6"/>
        <v>0</v>
      </c>
      <c r="AO105" s="49"/>
      <c r="AP105" s="103"/>
      <c r="AQ105" s="85"/>
      <c r="AR105" s="105"/>
      <c r="AS105" s="106"/>
      <c r="AT105" s="106"/>
      <c r="AV105" s="103"/>
    </row>
    <row r="106" spans="2:48" ht="15.9" x14ac:dyDescent="0.45">
      <c r="B106" s="726"/>
      <c r="E106" s="754"/>
      <c r="F106" s="868"/>
      <c r="G106" s="868"/>
      <c r="H106" s="868"/>
      <c r="I106" s="868"/>
      <c r="J106" s="868"/>
      <c r="K106" s="655"/>
      <c r="L106" s="655"/>
      <c r="M106" s="655"/>
      <c r="N106" s="655"/>
      <c r="Y106" s="329" t="s">
        <v>758</v>
      </c>
      <c r="Z106" s="717">
        <f>Inputs!A106</f>
        <v>2.0299999999999998</v>
      </c>
      <c r="AA106" s="59">
        <f>Inputs!B106</f>
        <v>2.0353687020353712</v>
      </c>
      <c r="AB106" s="59">
        <f>Inputs!C106</f>
        <v>8.8439197530864249</v>
      </c>
      <c r="AC106" s="44">
        <f>Inputs!D106</f>
        <v>5.1827750000000306</v>
      </c>
      <c r="AD106" s="67">
        <f>IF(Inputs!E106=0,"",Inputs!E106)</f>
        <v>-4.879115999999641</v>
      </c>
      <c r="AE106" s="718">
        <f>Inputs!F106</f>
        <v>2.0299999999999998</v>
      </c>
      <c r="AJ106" s="25">
        <f t="shared" si="11"/>
        <v>8.7145061728394702E-2</v>
      </c>
      <c r="AL106" s="87">
        <f t="shared" si="7"/>
        <v>2.0353687020353712</v>
      </c>
      <c r="AM106" s="63">
        <f t="shared" si="6"/>
        <v>0</v>
      </c>
      <c r="AO106" s="49"/>
      <c r="AP106" s="103"/>
      <c r="AQ106" s="85"/>
      <c r="AR106" s="105"/>
      <c r="AS106" s="106"/>
      <c r="AT106" s="106"/>
      <c r="AV106" s="103"/>
    </row>
    <row r="107" spans="2:48" x14ac:dyDescent="0.4">
      <c r="E107" s="57"/>
      <c r="F107" s="308"/>
      <c r="H107" s="644"/>
      <c r="K107" s="57"/>
      <c r="L107" s="308"/>
      <c r="M107" s="755"/>
      <c r="N107" s="655"/>
      <c r="Z107" s="717">
        <f>Inputs!A107</f>
        <v>2.0499999999999998</v>
      </c>
      <c r="AA107" s="59">
        <f>Inputs!B107</f>
        <v>2.0520520520520544</v>
      </c>
      <c r="AB107" s="59">
        <f>Inputs!C107</f>
        <v>8.9288580246913636</v>
      </c>
      <c r="AC107" s="44">
        <f>Inputs!D107</f>
        <v>5.091200000000037</v>
      </c>
      <c r="AD107" s="67">
        <f>IF(Inputs!E107=0,"",Inputs!E107)</f>
        <v>-5.4520424999996591</v>
      </c>
      <c r="AE107" s="718">
        <f>Inputs!F107</f>
        <v>2.0499999999999998</v>
      </c>
      <c r="AJ107" s="25">
        <f t="shared" si="11"/>
        <v>8.5702160493826937E-2</v>
      </c>
      <c r="AL107" s="87">
        <f t="shared" si="7"/>
        <v>2.0520520520520544</v>
      </c>
      <c r="AM107" s="63">
        <f t="shared" si="6"/>
        <v>0</v>
      </c>
      <c r="AO107" s="49"/>
      <c r="AP107" s="103"/>
      <c r="AQ107" s="85"/>
      <c r="AR107" s="105"/>
      <c r="AS107" s="106"/>
      <c r="AT107" s="106"/>
      <c r="AV107" s="103"/>
    </row>
    <row r="108" spans="2:48" x14ac:dyDescent="0.4">
      <c r="B108"/>
      <c r="E108" s="57"/>
      <c r="F108" s="646"/>
      <c r="G108"/>
      <c r="H108" s="644"/>
      <c r="K108" s="57"/>
      <c r="L108" s="646"/>
      <c r="M108" s="755"/>
      <c r="N108" s="655"/>
      <c r="Z108" s="717">
        <f>Inputs!A108</f>
        <v>2.06</v>
      </c>
      <c r="AA108" s="59">
        <f>Inputs!B108</f>
        <v>2.0687354020687376</v>
      </c>
      <c r="AB108" s="59">
        <f>Inputs!C108</f>
        <v>9.0121296296296354</v>
      </c>
      <c r="AC108" s="44">
        <f>Inputs!D108</f>
        <v>4.9913000000000425</v>
      </c>
      <c r="AD108" s="67">
        <f>IF(Inputs!E108=0,"",Inputs!E108)</f>
        <v>-5.978765249999741</v>
      </c>
      <c r="AE108" s="718">
        <f>Inputs!F108</f>
        <v>2.06</v>
      </c>
      <c r="AJ108" s="25">
        <f t="shared" si="11"/>
        <v>8.4104938271604826E-2</v>
      </c>
      <c r="AL108" s="87">
        <f t="shared" si="7"/>
        <v>2.0687354020687376</v>
      </c>
      <c r="AM108" s="63">
        <f t="shared" si="6"/>
        <v>0</v>
      </c>
      <c r="AO108" s="49"/>
      <c r="AP108" s="103"/>
      <c r="AQ108" s="85"/>
      <c r="AR108" s="105"/>
      <c r="AS108" s="106"/>
      <c r="AT108" s="106"/>
      <c r="AV108" s="103"/>
    </row>
    <row r="109" spans="2:48" ht="15.45" x14ac:dyDescent="0.4">
      <c r="B109" s="459"/>
      <c r="E109" s="57"/>
      <c r="F109" s="308"/>
      <c r="G109"/>
      <c r="H109" s="644"/>
      <c r="K109" s="57"/>
      <c r="L109" s="646"/>
      <c r="M109" s="755"/>
      <c r="N109" s="655"/>
      <c r="Z109" s="717">
        <f>Inputs!A109</f>
        <v>2.08</v>
      </c>
      <c r="AA109" s="59">
        <f>Inputs!B109</f>
        <v>2.0854187520854208</v>
      </c>
      <c r="AB109" s="59">
        <f>Inputs!C109</f>
        <v>9.0936033950617343</v>
      </c>
      <c r="AC109" s="44">
        <f>Inputs!D109</f>
        <v>4.8835375000000454</v>
      </c>
      <c r="AD109" s="67">
        <f>IF(Inputs!E109=0,"",Inputs!E109)</f>
        <v>-6.4777657499999135</v>
      </c>
      <c r="AE109" s="718">
        <f>Inputs!F109</f>
        <v>2.08</v>
      </c>
      <c r="AJ109" s="25"/>
      <c r="AL109" s="87">
        <f t="shared" si="7"/>
        <v>2.0854187520854208</v>
      </c>
      <c r="AM109" s="63">
        <f t="shared" si="6"/>
        <v>0</v>
      </c>
      <c r="AO109" s="49"/>
      <c r="AP109" s="103"/>
      <c r="AQ109" s="85"/>
      <c r="AR109" s="105"/>
      <c r="AS109" s="106"/>
      <c r="AT109" s="106"/>
      <c r="AV109" s="103"/>
    </row>
    <row r="110" spans="2:48" x14ac:dyDescent="0.4">
      <c r="E110" s="57"/>
      <c r="F110" s="646"/>
      <c r="G110"/>
      <c r="H110" s="644"/>
      <c r="K110" s="57"/>
      <c r="L110" s="646"/>
      <c r="M110" s="755"/>
      <c r="N110" s="655"/>
      <c r="Z110" s="717">
        <f>Inputs!A110</f>
        <v>2.1</v>
      </c>
      <c r="AA110" s="59">
        <f>Inputs!B110</f>
        <v>2.102102102102104</v>
      </c>
      <c r="AB110" s="59">
        <f>Inputs!C110</f>
        <v>9.1731327160493894</v>
      </c>
      <c r="AC110" s="44">
        <f>Inputs!D110</f>
        <v>4.7669875000000461</v>
      </c>
      <c r="AD110" s="67">
        <f>IF(Inputs!E110=0,"",Inputs!E110)</f>
        <v>-6.9767662499999794</v>
      </c>
      <c r="AE110" s="718">
        <f>Inputs!F110</f>
        <v>2.1</v>
      </c>
      <c r="AJ110" s="25"/>
      <c r="AL110" s="87">
        <f t="shared" si="7"/>
        <v>2.102102102102104</v>
      </c>
      <c r="AM110" s="63">
        <f t="shared" si="6"/>
        <v>0</v>
      </c>
      <c r="AO110" s="49"/>
      <c r="AP110" s="103"/>
      <c r="AQ110" s="85"/>
      <c r="AR110" s="105"/>
      <c r="AS110" s="106"/>
      <c r="AT110" s="106"/>
      <c r="AV110" s="103"/>
    </row>
    <row r="111" spans="2:48" ht="15.65" customHeight="1" x14ac:dyDescent="0.4">
      <c r="B111" s="22"/>
      <c r="E111" s="57"/>
      <c r="F111" s="646"/>
      <c r="G111"/>
      <c r="H111" s="644"/>
      <c r="K111" s="57"/>
      <c r="L111" s="308"/>
      <c r="M111" s="755"/>
      <c r="N111" s="655"/>
      <c r="Z111" s="717">
        <f>Inputs!A111</f>
        <v>2.11</v>
      </c>
      <c r="AA111" s="59">
        <f>Inputs!B111</f>
        <v>2.1187854521187872</v>
      </c>
      <c r="AB111" s="59">
        <f>Inputs!C111</f>
        <v>9.2505787037037113</v>
      </c>
      <c r="AC111" s="44">
        <f>Inputs!D111</f>
        <v>4.6421125000000458</v>
      </c>
      <c r="AD111" s="67">
        <f>IF(Inputs!E111=0,"",Inputs!E111)</f>
        <v>-7.4388037500000426</v>
      </c>
      <c r="AE111" s="718">
        <f>Inputs!F111</f>
        <v>2.11</v>
      </c>
      <c r="AJ111" s="25"/>
      <c r="AL111" s="87">
        <f t="shared" si="7"/>
        <v>2.1187854521187872</v>
      </c>
      <c r="AM111" s="63">
        <f t="shared" si="6"/>
        <v>0</v>
      </c>
      <c r="AO111" s="49"/>
      <c r="AP111" s="103"/>
      <c r="AQ111" s="85"/>
      <c r="AR111" s="105"/>
      <c r="AS111" s="106"/>
      <c r="AT111" s="106"/>
      <c r="AV111" s="103"/>
    </row>
    <row r="112" spans="2:48" ht="16.100000000000001" customHeight="1" x14ac:dyDescent="0.4">
      <c r="B112" s="22"/>
      <c r="E112" s="57"/>
      <c r="F112" s="646"/>
      <c r="G112"/>
      <c r="H112" s="644"/>
      <c r="K112" s="57"/>
      <c r="L112" s="308"/>
      <c r="M112" s="755"/>
      <c r="N112" s="655"/>
      <c r="Z112" s="717">
        <f>Inputs!A112</f>
        <v>2.13</v>
      </c>
      <c r="AA112" s="59">
        <f>Inputs!B112</f>
        <v>2.1354688021354704</v>
      </c>
      <c r="AB112" s="59">
        <f>Inputs!C112</f>
        <v>9.3258410493827242</v>
      </c>
      <c r="AC112" s="44">
        <f>Inputs!D112</f>
        <v>4.5112250000000449</v>
      </c>
      <c r="AD112" s="67">
        <f>IF(Inputs!E112=0,"",Inputs!E112)</f>
        <v>-7.8176745000001659</v>
      </c>
      <c r="AE112" s="718">
        <f>Inputs!F112</f>
        <v>2.13</v>
      </c>
      <c r="AJ112" s="25"/>
      <c r="AL112" s="87">
        <f t="shared" si="7"/>
        <v>2.1354688021354704</v>
      </c>
      <c r="AM112" s="63">
        <f t="shared" si="6"/>
        <v>0</v>
      </c>
      <c r="AO112" s="49"/>
      <c r="AP112" s="103"/>
      <c r="AQ112" s="85"/>
      <c r="AR112" s="105"/>
      <c r="AS112" s="106"/>
      <c r="AT112" s="106"/>
      <c r="AV112" s="103"/>
    </row>
    <row r="113" spans="1:48" ht="14.6" customHeight="1" x14ac:dyDescent="0.4">
      <c r="B113" s="22"/>
      <c r="E113" s="57"/>
      <c r="F113" s="646"/>
      <c r="G113"/>
      <c r="H113" s="644"/>
      <c r="K113" s="57"/>
      <c r="L113" s="308"/>
      <c r="M113" s="755"/>
      <c r="N113" s="655"/>
      <c r="Z113" s="717">
        <f>Inputs!A113</f>
        <v>2.15</v>
      </c>
      <c r="AA113" s="59">
        <f>Inputs!B113</f>
        <v>2.1521521521521536</v>
      </c>
      <c r="AB113" s="59">
        <f>Inputs!C113</f>
        <v>9.3988425925926009</v>
      </c>
      <c r="AC113" s="44">
        <f>Inputs!D113</f>
        <v>4.3757125000000423</v>
      </c>
      <c r="AD113" s="67">
        <f>IF(Inputs!E113=0,"",Inputs!E113)</f>
        <v>-8.1318600000002181</v>
      </c>
      <c r="AE113" s="718">
        <f>Inputs!F113</f>
        <v>2.15</v>
      </c>
      <c r="AJ113" s="25"/>
      <c r="AL113" s="87">
        <f t="shared" si="7"/>
        <v>2.1521521521521536</v>
      </c>
      <c r="AM113" s="63">
        <f t="shared" si="6"/>
        <v>0</v>
      </c>
      <c r="AO113" s="49"/>
      <c r="AP113" s="103"/>
      <c r="AQ113" s="85"/>
      <c r="AR113" s="105"/>
      <c r="AS113" s="106"/>
      <c r="AT113" s="106"/>
      <c r="AV113" s="103"/>
    </row>
    <row r="114" spans="1:48" ht="15.65" customHeight="1" x14ac:dyDescent="0.4">
      <c r="B114" s="22"/>
      <c r="E114" s="57"/>
      <c r="F114" s="646"/>
      <c r="G114"/>
      <c r="H114" s="644"/>
      <c r="K114" s="57"/>
      <c r="L114" s="756"/>
      <c r="M114" s="755"/>
      <c r="N114" s="655"/>
      <c r="Z114" s="717">
        <f>Inputs!A114</f>
        <v>2.16</v>
      </c>
      <c r="AA114" s="59">
        <f>Inputs!B114</f>
        <v>2.1688355021688368</v>
      </c>
      <c r="AB114" s="59">
        <f>Inputs!C114</f>
        <v>9.4694984567901326</v>
      </c>
      <c r="AC114" s="44">
        <f>Inputs!D114</f>
        <v>4.2351125000000396</v>
      </c>
      <c r="AD114" s="67">
        <f>IF(Inputs!E114=0,"",Inputs!E114)</f>
        <v>-8.4275640000002419</v>
      </c>
      <c r="AE114" s="718">
        <f>Inputs!F114</f>
        <v>2.16</v>
      </c>
      <c r="AJ114" s="25"/>
      <c r="AL114" s="87">
        <f t="shared" si="7"/>
        <v>2.1688355021688368</v>
      </c>
      <c r="AM114" s="63">
        <f t="shared" si="6"/>
        <v>0</v>
      </c>
      <c r="AO114" s="49"/>
      <c r="AP114" s="103"/>
      <c r="AQ114" s="85"/>
      <c r="AR114" s="105"/>
      <c r="AS114" s="106"/>
      <c r="AT114" s="106"/>
      <c r="AV114" s="103"/>
    </row>
    <row r="115" spans="1:48" ht="15.65" customHeight="1" x14ac:dyDescent="0.4">
      <c r="B115" s="22"/>
      <c r="E115" s="57"/>
      <c r="F115" s="646"/>
      <c r="G115"/>
      <c r="H115" s="644"/>
      <c r="K115" s="757"/>
      <c r="L115" s="758"/>
      <c r="M115" s="755"/>
      <c r="N115" s="655"/>
      <c r="Z115" s="717">
        <f>Inputs!A115</f>
        <v>2.1800000000000002</v>
      </c>
      <c r="AA115" s="59">
        <f>Inputs!B115</f>
        <v>2.18551885218552</v>
      </c>
      <c r="AB115" s="59">
        <f>Inputs!C115</f>
        <v>9.5377237654321085</v>
      </c>
      <c r="AC115" s="44">
        <f>Inputs!D115</f>
        <v>4.0894250000000367</v>
      </c>
      <c r="AD115" s="67">
        <f>IF(Inputs!E115=0,"",Inputs!E115)</f>
        <v>-8.6585827500001926</v>
      </c>
      <c r="AE115" s="718">
        <f>Inputs!F115</f>
        <v>2.1800000000000002</v>
      </c>
      <c r="AJ115" s="25"/>
      <c r="AL115" s="87">
        <f t="shared" si="7"/>
        <v>2.18551885218552</v>
      </c>
      <c r="AM115" s="63">
        <f t="shared" ref="AM115:AM178" si="14">IF(AND(AL115&gt;0,AD115&gt;0),AA115,0)</f>
        <v>0</v>
      </c>
      <c r="AO115" s="49"/>
      <c r="AP115" s="103"/>
      <c r="AQ115" s="85"/>
      <c r="AR115" s="105"/>
      <c r="AS115" s="106"/>
      <c r="AT115" s="106"/>
      <c r="AV115" s="103"/>
    </row>
    <row r="116" spans="1:48" ht="15.65" customHeight="1" x14ac:dyDescent="0.45">
      <c r="B116" s="759"/>
      <c r="H116" s="644"/>
      <c r="I116" s="237"/>
      <c r="J116" s="655"/>
      <c r="K116" s="655"/>
      <c r="L116" s="655"/>
      <c r="M116" s="655"/>
      <c r="N116" s="655"/>
      <c r="Z116" s="717">
        <f>Inputs!A116</f>
        <v>2.2000000000000002</v>
      </c>
      <c r="AA116" s="59">
        <f>Inputs!B116</f>
        <v>2.2022022022022032</v>
      </c>
      <c r="AB116" s="59">
        <f>Inputs!C116</f>
        <v>9.6034953703703803</v>
      </c>
      <c r="AC116" s="44">
        <f>Inputs!D116</f>
        <v>3.9423500000000349</v>
      </c>
      <c r="AD116" s="67">
        <f>IF(Inputs!E116=0,"",Inputs!E116)</f>
        <v>-8.6770642500002477</v>
      </c>
      <c r="AE116" s="718">
        <f>Inputs!F116</f>
        <v>2.2000000000000002</v>
      </c>
      <c r="AJ116" s="25"/>
      <c r="AL116" s="87">
        <f t="shared" ref="AL116:AL179" si="15">IF(AA116&gt;(AL$49+0.05),AA116, )</f>
        <v>2.2022022022022032</v>
      </c>
      <c r="AM116" s="63">
        <f t="shared" si="14"/>
        <v>0</v>
      </c>
      <c r="AO116" s="49"/>
      <c r="AP116" s="103"/>
      <c r="AQ116" s="85"/>
      <c r="AR116" s="105"/>
      <c r="AS116" s="106"/>
      <c r="AT116" s="106"/>
      <c r="AV116" s="103"/>
    </row>
    <row r="117" spans="1:48" ht="15.65" customHeight="1" x14ac:dyDescent="0.4">
      <c r="B117" s="832"/>
      <c r="C117" s="832"/>
      <c r="D117" s="832"/>
      <c r="E117" s="832"/>
      <c r="F117" s="832"/>
      <c r="G117" s="832"/>
      <c r="H117" s="832"/>
      <c r="I117" s="832"/>
      <c r="J117" s="832"/>
      <c r="K117" s="832"/>
      <c r="L117" s="832"/>
      <c r="M117" s="832"/>
      <c r="N117" s="832"/>
      <c r="Y117" s="329" t="s">
        <v>758</v>
      </c>
      <c r="Z117" s="717">
        <f>Inputs!A117</f>
        <v>2.21</v>
      </c>
      <c r="AA117" s="59">
        <f>Inputs!B117</f>
        <v>2.2188855522188864</v>
      </c>
      <c r="AB117" s="59">
        <f>Inputs!C117</f>
        <v>9.6669058641975401</v>
      </c>
      <c r="AC117" s="44">
        <f>Inputs!D117</f>
        <v>3.8008250000000334</v>
      </c>
      <c r="AD117" s="67">
        <f>IF(Inputs!E117=0,"",Inputs!E117)</f>
        <v>-8.3351565000001546</v>
      </c>
      <c r="AE117" s="718">
        <f>Inputs!F117</f>
        <v>2.21</v>
      </c>
      <c r="AJ117" s="25"/>
      <c r="AL117" s="87">
        <f t="shared" si="15"/>
        <v>2.2188855522188864</v>
      </c>
      <c r="AM117" s="63">
        <f t="shared" si="14"/>
        <v>0</v>
      </c>
      <c r="AO117" s="49"/>
      <c r="AP117" s="103"/>
      <c r="AQ117" s="85"/>
      <c r="AR117" s="105"/>
      <c r="AS117" s="106"/>
      <c r="AT117" s="106"/>
      <c r="AV117" s="103"/>
    </row>
    <row r="118" spans="1:48" ht="15.65" customHeight="1" x14ac:dyDescent="0.4">
      <c r="B118" s="832"/>
      <c r="C118" s="832"/>
      <c r="D118" s="832"/>
      <c r="E118" s="832"/>
      <c r="F118" s="832"/>
      <c r="G118" s="832"/>
      <c r="H118" s="832"/>
      <c r="I118" s="832"/>
      <c r="J118" s="832"/>
      <c r="K118" s="832"/>
      <c r="L118" s="832"/>
      <c r="M118" s="832"/>
      <c r="N118" s="832"/>
      <c r="Z118" s="717">
        <f>Inputs!A118</f>
        <v>2.23</v>
      </c>
      <c r="AA118" s="59">
        <f>Inputs!B118</f>
        <v>2.2355689022355696</v>
      </c>
      <c r="AB118" s="59">
        <f>Inputs!C118</f>
        <v>9.7281712962963063</v>
      </c>
      <c r="AC118" s="44">
        <f>Inputs!D118</f>
        <v>3.6722500000000324</v>
      </c>
      <c r="AD118" s="67">
        <f>IF(Inputs!E118=0,"",Inputs!E118)</f>
        <v>-7.5774150000001201</v>
      </c>
      <c r="AE118" s="718">
        <f>Inputs!F118</f>
        <v>2.23</v>
      </c>
      <c r="AJ118" s="25"/>
      <c r="AL118" s="87">
        <f t="shared" si="15"/>
        <v>2.2355689022355696</v>
      </c>
      <c r="AM118" s="63">
        <f t="shared" si="14"/>
        <v>0</v>
      </c>
      <c r="AO118" s="49"/>
      <c r="AP118" s="103"/>
      <c r="AQ118" s="85"/>
      <c r="AR118" s="105"/>
      <c r="AS118" s="106"/>
      <c r="AT118" s="106"/>
      <c r="AV118" s="103"/>
    </row>
    <row r="119" spans="1:48" ht="15.65" customHeight="1" x14ac:dyDescent="0.4">
      <c r="B119" s="832"/>
      <c r="C119" s="832"/>
      <c r="D119" s="832"/>
      <c r="E119" s="832"/>
      <c r="F119" s="832"/>
      <c r="G119" s="832"/>
      <c r="H119" s="832"/>
      <c r="I119" s="832"/>
      <c r="J119" s="832"/>
      <c r="K119" s="832"/>
      <c r="L119" s="832"/>
      <c r="M119" s="832"/>
      <c r="N119" s="832"/>
      <c r="Z119" s="717">
        <f>Inputs!A119</f>
        <v>2.25</v>
      </c>
      <c r="AA119" s="59">
        <f>Inputs!B119</f>
        <v>2.2522522522522528</v>
      </c>
      <c r="AB119" s="59">
        <f>Inputs!C119</f>
        <v>9.7876157407407511</v>
      </c>
      <c r="AC119" s="44">
        <f>Inputs!D119</f>
        <v>3.5631000000000324</v>
      </c>
      <c r="AD119" s="67">
        <f>IF(Inputs!E119=0,"",Inputs!E119)</f>
        <v>-6.4685250000000591</v>
      </c>
      <c r="AE119" s="718">
        <f>Inputs!F119</f>
        <v>2.25</v>
      </c>
      <c r="AJ119" s="25"/>
      <c r="AL119" s="87">
        <f t="shared" si="15"/>
        <v>2.2522522522522528</v>
      </c>
      <c r="AM119" s="63">
        <f t="shared" si="14"/>
        <v>0</v>
      </c>
      <c r="AO119" s="49"/>
      <c r="AP119" s="103"/>
      <c r="AQ119" s="85"/>
      <c r="AR119" s="105"/>
      <c r="AS119" s="106"/>
      <c r="AT119" s="106"/>
      <c r="AV119" s="103"/>
    </row>
    <row r="120" spans="1:48" ht="15.65" customHeight="1" x14ac:dyDescent="0.4">
      <c r="B120" s="832"/>
      <c r="C120" s="832"/>
      <c r="D120" s="832"/>
      <c r="E120" s="832"/>
      <c r="F120" s="832"/>
      <c r="G120" s="832"/>
      <c r="H120" s="832"/>
      <c r="I120" s="832"/>
      <c r="J120" s="832"/>
      <c r="K120" s="832"/>
      <c r="L120" s="832"/>
      <c r="M120" s="832"/>
      <c r="N120" s="832"/>
      <c r="Z120" s="717">
        <f>Inputs!A120</f>
        <v>2.2599999999999998</v>
      </c>
      <c r="AA120" s="59">
        <f>Inputs!B120</f>
        <v>2.268935602268936</v>
      </c>
      <c r="AB120" s="59">
        <f>Inputs!C120</f>
        <v>9.8456250000000107</v>
      </c>
      <c r="AC120" s="44">
        <f>Inputs!D120</f>
        <v>3.4770750000000326</v>
      </c>
      <c r="AD120" s="67">
        <f>IF(Inputs!E120=0,"",Inputs!E120)</f>
        <v>-5.1470977500000483</v>
      </c>
      <c r="AE120" s="718">
        <f>Inputs!F120</f>
        <v>2.2599999999999998</v>
      </c>
      <c r="AJ120" s="25"/>
      <c r="AL120" s="87">
        <f t="shared" si="15"/>
        <v>2.268935602268936</v>
      </c>
      <c r="AM120" s="63">
        <f t="shared" si="14"/>
        <v>0</v>
      </c>
      <c r="AO120" s="49"/>
      <c r="AP120" s="103"/>
      <c r="AQ120" s="85"/>
      <c r="AR120" s="105"/>
      <c r="AS120" s="106"/>
      <c r="AT120" s="106"/>
      <c r="AV120" s="103"/>
    </row>
    <row r="121" spans="1:48" x14ac:dyDescent="0.4">
      <c r="B121" s="832"/>
      <c r="C121" s="832"/>
      <c r="D121" s="832"/>
      <c r="E121" s="832"/>
      <c r="F121" s="832"/>
      <c r="G121" s="832"/>
      <c r="H121" s="832"/>
      <c r="I121" s="832"/>
      <c r="J121" s="832"/>
      <c r="K121" s="832"/>
      <c r="L121" s="832"/>
      <c r="M121" s="832"/>
      <c r="N121" s="832"/>
      <c r="Z121" s="717">
        <f>Inputs!A121</f>
        <v>2.2799999999999998</v>
      </c>
      <c r="AA121" s="59">
        <f>Inputs!B121</f>
        <v>2.2856189522856192</v>
      </c>
      <c r="AB121" s="59">
        <f>Inputs!C121</f>
        <v>9.9025925925926028</v>
      </c>
      <c r="AC121" s="44">
        <f>Inputs!D121</f>
        <v>3.414637500000032</v>
      </c>
      <c r="AD121" s="67">
        <f>IF(Inputs!E121=0,"",Inputs!E121)</f>
        <v>-3.8071890000000352</v>
      </c>
      <c r="AE121" s="718">
        <f>Inputs!F121</f>
        <v>2.2799999999999998</v>
      </c>
      <c r="AJ121" s="25"/>
      <c r="AL121" s="87">
        <f t="shared" si="15"/>
        <v>2.2856189522856192</v>
      </c>
      <c r="AM121" s="63">
        <f t="shared" si="14"/>
        <v>0</v>
      </c>
      <c r="AO121" s="49"/>
      <c r="AP121" s="103"/>
      <c r="AQ121" s="85"/>
      <c r="AR121" s="105"/>
      <c r="AS121" s="106"/>
      <c r="AT121" s="106"/>
      <c r="AV121" s="103"/>
    </row>
    <row r="122" spans="1:48" x14ac:dyDescent="0.4">
      <c r="A122"/>
      <c r="B122" s="832"/>
      <c r="C122" s="832"/>
      <c r="D122" s="832"/>
      <c r="E122" s="832"/>
      <c r="F122" s="832"/>
      <c r="G122" s="832"/>
      <c r="H122" s="832"/>
      <c r="I122" s="832"/>
      <c r="J122" s="832"/>
      <c r="K122" s="832"/>
      <c r="L122" s="832"/>
      <c r="M122" s="832"/>
      <c r="N122" s="832"/>
      <c r="Z122" s="717">
        <f>Inputs!A122</f>
        <v>2.2999999999999998</v>
      </c>
      <c r="AA122" s="59">
        <f>Inputs!B122</f>
        <v>2.3023023023023024</v>
      </c>
      <c r="AB122" s="59">
        <f>Inputs!C122</f>
        <v>9.9588580246913683</v>
      </c>
      <c r="AC122" s="44">
        <f>Inputs!D122</f>
        <v>3.3725500000000319</v>
      </c>
      <c r="AD122" s="67">
        <f>IF(Inputs!E122=0,"",Inputs!E122)</f>
        <v>-2.6243730000001011</v>
      </c>
      <c r="AE122" s="718">
        <f>Inputs!F122</f>
        <v>2.2999999999999998</v>
      </c>
      <c r="AJ122" s="25"/>
      <c r="AL122" s="87">
        <f t="shared" si="15"/>
        <v>2.3023023023023024</v>
      </c>
      <c r="AM122" s="63">
        <f t="shared" si="14"/>
        <v>0</v>
      </c>
      <c r="AO122" s="49"/>
      <c r="AP122" s="103"/>
      <c r="AQ122" s="85"/>
      <c r="AR122" s="105"/>
      <c r="AS122" s="106"/>
      <c r="AT122" s="106"/>
      <c r="AV122" s="103"/>
    </row>
    <row r="123" spans="1:48" ht="14.6" customHeight="1" x14ac:dyDescent="0.4">
      <c r="A123"/>
      <c r="B123" s="832"/>
      <c r="C123" s="832"/>
      <c r="D123" s="832"/>
      <c r="E123" s="832"/>
      <c r="F123" s="832"/>
      <c r="G123" s="832"/>
      <c r="H123" s="832"/>
      <c r="I123" s="832"/>
      <c r="J123" s="832"/>
      <c r="K123" s="832"/>
      <c r="L123" s="832"/>
      <c r="M123" s="832"/>
      <c r="N123" s="832"/>
      <c r="Z123" s="717">
        <f>Inputs!A123</f>
        <v>2.31</v>
      </c>
      <c r="AA123" s="59">
        <f>Inputs!B123</f>
        <v>2.3189856523189856</v>
      </c>
      <c r="AB123" s="59">
        <f>Inputs!C123</f>
        <v>10.014675925925935</v>
      </c>
      <c r="AC123" s="44">
        <f>Inputs!D123</f>
        <v>3.34572500000003</v>
      </c>
      <c r="AD123" s="67">
        <f>IF(Inputs!E123=0,"",Inputs!E123)</f>
        <v>-1.7095387500000421</v>
      </c>
      <c r="AE123" s="718">
        <f>Inputs!F123</f>
        <v>2.31</v>
      </c>
      <c r="AJ123" s="25"/>
      <c r="AL123" s="87">
        <f t="shared" si="15"/>
        <v>2.3189856523189856</v>
      </c>
      <c r="AM123" s="63">
        <f t="shared" si="14"/>
        <v>0</v>
      </c>
      <c r="AO123" s="49"/>
      <c r="AP123" s="103"/>
      <c r="AQ123" s="85"/>
      <c r="AR123" s="105"/>
      <c r="AS123" s="106"/>
      <c r="AT123" s="106"/>
      <c r="AV123" s="103"/>
    </row>
    <row r="124" spans="1:48" x14ac:dyDescent="0.4">
      <c r="B124" s="832"/>
      <c r="C124" s="832"/>
      <c r="D124" s="832"/>
      <c r="E124" s="832"/>
      <c r="F124" s="832"/>
      <c r="G124" s="832"/>
      <c r="H124" s="832"/>
      <c r="I124" s="832"/>
      <c r="J124" s="832"/>
      <c r="K124" s="832"/>
      <c r="L124" s="832"/>
      <c r="M124" s="832"/>
      <c r="N124" s="832"/>
      <c r="Z124" s="717">
        <f>Inputs!A124</f>
        <v>2.33</v>
      </c>
      <c r="AA124" s="59">
        <f>Inputs!B124</f>
        <v>2.3356690023356688</v>
      </c>
      <c r="AB124" s="59">
        <f>Inputs!C124</f>
        <v>10.070216049382726</v>
      </c>
      <c r="AC124" s="44">
        <f>Inputs!D124</f>
        <v>3.3290750000000293</v>
      </c>
      <c r="AD124" s="67">
        <f>IF(Inputs!E124=0,"",Inputs!E124)</f>
        <v>-1.0811677500000989</v>
      </c>
      <c r="AE124" s="718">
        <f>Inputs!F124</f>
        <v>2.33</v>
      </c>
      <c r="AJ124" s="25"/>
      <c r="AL124" s="87">
        <f t="shared" si="15"/>
        <v>2.3356690023356688</v>
      </c>
      <c r="AM124" s="63">
        <f t="shared" si="14"/>
        <v>0</v>
      </c>
      <c r="AO124" s="49"/>
      <c r="AQ124" s="87"/>
      <c r="AR124" s="105"/>
      <c r="AS124" s="106"/>
      <c r="AT124" s="106"/>
      <c r="AV124" s="103"/>
    </row>
    <row r="125" spans="1:48" x14ac:dyDescent="0.4">
      <c r="Z125" s="717">
        <f>Inputs!A125</f>
        <v>2.35</v>
      </c>
      <c r="AA125" s="59">
        <f>Inputs!B125</f>
        <v>2.352352352352352</v>
      </c>
      <c r="AB125" s="59">
        <f>Inputs!C125</f>
        <v>10.125578703703713</v>
      </c>
      <c r="AC125" s="44">
        <f>Inputs!D125</f>
        <v>3.3184375000000284</v>
      </c>
      <c r="AD125" s="67">
        <f>IF(Inputs!E125=0,"",Inputs!E125)</f>
        <v>-0.67457475000004008</v>
      </c>
      <c r="AE125" s="718">
        <f>Inputs!F125</f>
        <v>2.35</v>
      </c>
      <c r="AJ125" s="25"/>
      <c r="AL125" s="87">
        <f t="shared" si="15"/>
        <v>2.352352352352352</v>
      </c>
      <c r="AM125" s="63">
        <f t="shared" si="14"/>
        <v>0</v>
      </c>
      <c r="AO125" s="49"/>
      <c r="AQ125" s="87"/>
      <c r="AR125" s="105"/>
      <c r="AS125" s="106"/>
      <c r="AT125" s="106"/>
      <c r="AV125" s="103"/>
    </row>
    <row r="126" spans="1:48" x14ac:dyDescent="0.4">
      <c r="Z126" s="717">
        <f>Inputs!A126</f>
        <v>2.36</v>
      </c>
      <c r="AA126" s="59">
        <f>Inputs!B126</f>
        <v>2.3690357023690352</v>
      </c>
      <c r="AB126" s="59">
        <f>Inputs!C126</f>
        <v>10.180833333333343</v>
      </c>
      <c r="AC126" s="44">
        <f>Inputs!D126</f>
        <v>3.3119625000000283</v>
      </c>
      <c r="AD126" s="67">
        <f>IF(Inputs!E126=0,"",Inputs!E126)</f>
        <v>-0.37887075000001669</v>
      </c>
      <c r="AE126" s="718">
        <f>Inputs!F126</f>
        <v>2.36</v>
      </c>
      <c r="AJ126" s="25"/>
      <c r="AL126" s="87">
        <f t="shared" si="15"/>
        <v>2.3690357023690352</v>
      </c>
      <c r="AM126" s="63">
        <f t="shared" si="14"/>
        <v>0</v>
      </c>
      <c r="AO126" s="49"/>
      <c r="AQ126" s="87"/>
      <c r="AR126" s="81"/>
      <c r="AS126" s="54"/>
      <c r="AT126" s="54"/>
      <c r="AV126" s="103"/>
    </row>
    <row r="127" spans="1:48" ht="15" customHeight="1" thickBot="1" x14ac:dyDescent="0.45">
      <c r="Z127" s="717">
        <f>Inputs!A127</f>
        <v>2.38</v>
      </c>
      <c r="AA127" s="59">
        <f>Inputs!B127</f>
        <v>2.3857190523857184</v>
      </c>
      <c r="AB127" s="59">
        <f>Inputs!C127</f>
        <v>10.236057098765441</v>
      </c>
      <c r="AC127" s="44">
        <f>Inputs!D127</f>
        <v>3.3101125000000287</v>
      </c>
      <c r="AD127" s="67">
        <f>IF(Inputs!E127=0,"",Inputs!E127)</f>
        <v>-6.4685249999965194E-2</v>
      </c>
      <c r="AE127" s="718">
        <f>Inputs!F127</f>
        <v>2.38</v>
      </c>
      <c r="AJ127" s="25"/>
      <c r="AL127" s="87">
        <f t="shared" si="15"/>
        <v>2.3857190523857184</v>
      </c>
      <c r="AM127" s="63">
        <f t="shared" si="14"/>
        <v>0</v>
      </c>
      <c r="AO127" s="49"/>
      <c r="AQ127" s="87"/>
      <c r="AR127" s="81"/>
      <c r="AS127" s="54"/>
      <c r="AT127" s="54"/>
      <c r="AV127" s="103"/>
    </row>
    <row r="128" spans="1:48" ht="15" customHeight="1" thickTop="1" thickBot="1" x14ac:dyDescent="0.5">
      <c r="B128" s="453" t="s">
        <v>527</v>
      </c>
      <c r="C128" s="454"/>
      <c r="D128" s="454"/>
      <c r="E128" s="454"/>
      <c r="F128" s="454"/>
      <c r="G128" s="454"/>
      <c r="H128" s="454"/>
      <c r="I128" s="455"/>
      <c r="J128" s="456" t="s">
        <v>399</v>
      </c>
      <c r="K128" s="457" t="s">
        <v>6</v>
      </c>
      <c r="L128" s="457" t="s">
        <v>528</v>
      </c>
      <c r="M128" s="457" t="s">
        <v>15</v>
      </c>
      <c r="N128" s="458"/>
      <c r="Z128" s="717">
        <f>Inputs!A128</f>
        <v>2.4</v>
      </c>
      <c r="AA128" s="59">
        <f>Inputs!B128</f>
        <v>2.4024024024024015</v>
      </c>
      <c r="AB128" s="59">
        <f>Inputs!C128</f>
        <v>10.29136574074075</v>
      </c>
      <c r="AC128" s="44">
        <f>Inputs!D128</f>
        <v>3.3152000000000288</v>
      </c>
      <c r="AD128" s="67">
        <f>IF(Inputs!E128=0,"",Inputs!E128)</f>
        <v>0.36038924999998861</v>
      </c>
      <c r="AE128" s="718">
        <f>Inputs!F128</f>
        <v>2.4</v>
      </c>
      <c r="AJ128" s="25"/>
      <c r="AL128" s="87">
        <f t="shared" si="15"/>
        <v>2.4024024024024015</v>
      </c>
      <c r="AM128" s="95">
        <f t="shared" si="14"/>
        <v>2.4024024024024015</v>
      </c>
      <c r="AO128" s="49"/>
      <c r="AQ128" s="87"/>
      <c r="AR128" s="81"/>
      <c r="AS128" s="54"/>
      <c r="AT128" s="54"/>
      <c r="AV128" s="103"/>
    </row>
    <row r="129" spans="1:48" ht="15" customHeight="1" x14ac:dyDescent="0.45">
      <c r="B129" s="72"/>
      <c r="C129" s="73"/>
      <c r="D129" s="122"/>
      <c r="E129" s="73"/>
      <c r="F129" s="73"/>
      <c r="G129" s="73"/>
      <c r="H129" s="112"/>
      <c r="I129" s="114"/>
      <c r="J129" s="459" t="s">
        <v>2</v>
      </c>
      <c r="K129" s="40">
        <f>C32</f>
        <v>0.38</v>
      </c>
      <c r="L129" s="77"/>
      <c r="M129" s="42">
        <f t="shared" ref="M129:M136" si="16">V63</f>
        <v>4.4298249999999966</v>
      </c>
      <c r="N129" s="84"/>
      <c r="Y129" s="329"/>
      <c r="Z129" s="717">
        <f>Inputs!A129</f>
        <v>2.41</v>
      </c>
      <c r="AA129" s="59">
        <f>Inputs!B129</f>
        <v>2.4190857524190847</v>
      </c>
      <c r="AB129" s="59">
        <f>Inputs!C129</f>
        <v>10.346921296296305</v>
      </c>
      <c r="AC129" s="44">
        <f>Inputs!D129</f>
        <v>3.3300000000000289</v>
      </c>
      <c r="AD129" s="67">
        <f>IF(Inputs!E129=0,"",Inputs!E129)</f>
        <v>0.93331575000006051</v>
      </c>
      <c r="AE129" s="718">
        <f>Inputs!F129</f>
        <v>2.41</v>
      </c>
      <c r="AJ129" s="25"/>
      <c r="AL129" s="87">
        <f t="shared" si="15"/>
        <v>2.4190857524190847</v>
      </c>
      <c r="AM129" s="95">
        <f t="shared" si="14"/>
        <v>2.4190857524190847</v>
      </c>
      <c r="AO129" s="49"/>
      <c r="AQ129" s="87"/>
      <c r="AR129" s="81"/>
      <c r="AS129" s="54"/>
      <c r="AT129" s="54"/>
      <c r="AV129" s="103"/>
    </row>
    <row r="130" spans="1:48" ht="15" customHeight="1" x14ac:dyDescent="0.45">
      <c r="B130" s="76"/>
      <c r="E130" s="459" t="s">
        <v>529</v>
      </c>
      <c r="F130" s="460" t="str">
        <f>Inputs!H4</f>
        <v>RCA</v>
      </c>
      <c r="H130" s="115"/>
      <c r="I130" s="114"/>
      <c r="J130" s="459" t="s">
        <v>368</v>
      </c>
      <c r="K130" s="40">
        <f t="shared" ref="K130:K136" si="17">C33</f>
        <v>0.57999999999999996</v>
      </c>
      <c r="L130" s="59">
        <f>K130-K129</f>
        <v>0.19999999999999996</v>
      </c>
      <c r="M130" s="42">
        <f t="shared" si="16"/>
        <v>3.2652500000000075</v>
      </c>
      <c r="N130" s="84"/>
      <c r="Z130" s="717">
        <f>Inputs!A130</f>
        <v>2.4300000000000002</v>
      </c>
      <c r="AA130" s="59">
        <f>Inputs!B130</f>
        <v>2.4357691024357679</v>
      </c>
      <c r="AB130" s="59">
        <f>Inputs!C130</f>
        <v>10.402924382716058</v>
      </c>
      <c r="AC130" s="44">
        <f>Inputs!D130</f>
        <v>3.3568250000000304</v>
      </c>
      <c r="AD130" s="67">
        <f>IF(Inputs!E130=0,"",Inputs!E130)</f>
        <v>1.6078905000000474</v>
      </c>
      <c r="AE130" s="718">
        <f>Inputs!F130</f>
        <v>2.4300000000000002</v>
      </c>
      <c r="AJ130" s="25"/>
      <c r="AL130" s="87">
        <f t="shared" si="15"/>
        <v>2.4357691024357679</v>
      </c>
      <c r="AM130" s="95">
        <f t="shared" si="14"/>
        <v>2.4357691024357679</v>
      </c>
      <c r="AO130" s="49"/>
      <c r="AQ130" s="87"/>
      <c r="AR130" s="81"/>
      <c r="AS130" s="54"/>
      <c r="AT130" s="54"/>
      <c r="AV130" s="103"/>
    </row>
    <row r="131" spans="1:48" ht="15" customHeight="1" x14ac:dyDescent="0.45">
      <c r="B131" s="76"/>
      <c r="E131" s="37" t="s">
        <v>163</v>
      </c>
      <c r="F131" s="461" t="str">
        <f>Inputs!H2</f>
        <v>W4-</v>
      </c>
      <c r="H131" s="115"/>
      <c r="I131" s="114"/>
      <c r="J131" s="459" t="s">
        <v>408</v>
      </c>
      <c r="K131" s="40">
        <f t="shared" si="17"/>
        <v>0.93</v>
      </c>
      <c r="L131" s="77"/>
      <c r="M131" s="42">
        <f t="shared" si="16"/>
        <v>3.2564625000000071</v>
      </c>
      <c r="N131" s="84"/>
      <c r="Z131" s="717">
        <f>Inputs!A131</f>
        <v>2.4500000000000002</v>
      </c>
      <c r="AA131" s="59">
        <f>Inputs!B131</f>
        <v>2.4524524524524511</v>
      </c>
      <c r="AB131" s="59">
        <f>Inputs!C131</f>
        <v>10.45957561728396</v>
      </c>
      <c r="AC131" s="44">
        <f>Inputs!D131</f>
        <v>3.3956750000000309</v>
      </c>
      <c r="AD131" s="67">
        <f>IF(Inputs!E131=0,"",Inputs!E131)</f>
        <v>2.2824652500000875</v>
      </c>
      <c r="AE131" s="718">
        <f>Inputs!F131</f>
        <v>2.4500000000000002</v>
      </c>
      <c r="AJ131" s="25"/>
      <c r="AL131" s="87">
        <f t="shared" si="15"/>
        <v>2.4524524524524511</v>
      </c>
      <c r="AM131" s="95">
        <f t="shared" si="14"/>
        <v>2.4524524524524511</v>
      </c>
      <c r="AO131" s="49"/>
      <c r="AQ131" s="87"/>
      <c r="AR131" s="81"/>
      <c r="AS131" s="54"/>
      <c r="AT131" s="54"/>
      <c r="AV131" s="103"/>
    </row>
    <row r="132" spans="1:48" ht="15" customHeight="1" x14ac:dyDescent="0.45">
      <c r="B132" s="76"/>
      <c r="E132" s="459" t="s">
        <v>510</v>
      </c>
      <c r="F132" s="68" t="str">
        <f>Inputs!H3</f>
        <v>U23W4-</v>
      </c>
      <c r="H132" s="115"/>
      <c r="I132" s="114"/>
      <c r="J132" s="459" t="s">
        <v>373</v>
      </c>
      <c r="K132" s="40">
        <f t="shared" si="17"/>
        <v>1.18</v>
      </c>
      <c r="L132" s="59">
        <f>K132-K130</f>
        <v>0.6</v>
      </c>
      <c r="M132" s="42">
        <f t="shared" si="16"/>
        <v>4.1467750000000088</v>
      </c>
      <c r="N132" s="84"/>
      <c r="R132" s="37"/>
      <c r="Z132" s="717">
        <f>Inputs!A132</f>
        <v>2.46</v>
      </c>
      <c r="AA132" s="59">
        <f>Inputs!B132</f>
        <v>2.4691358024691343</v>
      </c>
      <c r="AB132" s="59">
        <f>Inputs!C132</f>
        <v>10.517037037037046</v>
      </c>
      <c r="AC132" s="44">
        <f>Inputs!D132</f>
        <v>3.4442375000000314</v>
      </c>
      <c r="AD132" s="67">
        <f>IF(Inputs!E132=0,"",Inputs!E132)</f>
        <v>2.8369102500000247</v>
      </c>
      <c r="AE132" s="718">
        <f>Inputs!F132</f>
        <v>2.46</v>
      </c>
      <c r="AJ132" s="25"/>
      <c r="AL132" s="87">
        <f t="shared" si="15"/>
        <v>2.4691358024691343</v>
      </c>
      <c r="AM132" s="95">
        <f t="shared" si="14"/>
        <v>2.4691358024691343</v>
      </c>
      <c r="AO132" s="49"/>
      <c r="AQ132" s="87"/>
      <c r="AR132" s="81"/>
      <c r="AS132" s="54"/>
      <c r="AT132" s="54"/>
      <c r="AV132" s="103"/>
    </row>
    <row r="133" spans="1:48" ht="15" customHeight="1" x14ac:dyDescent="0.45">
      <c r="B133" s="197"/>
      <c r="C133" s="129"/>
      <c r="E133" s="459" t="s">
        <v>530</v>
      </c>
      <c r="F133" s="462" t="str">
        <f>Inputs!H6</f>
        <v>Henley Course 1800m</v>
      </c>
      <c r="H133" s="115"/>
      <c r="I133" s="114"/>
      <c r="J133" s="459" t="s">
        <v>5</v>
      </c>
      <c r="K133" s="40">
        <f t="shared" si="17"/>
        <v>1.28</v>
      </c>
      <c r="L133" s="59">
        <f>K133-K132</f>
        <v>0.10000000000000009</v>
      </c>
      <c r="M133" s="42">
        <f t="shared" si="16"/>
        <v>4.7267499999999805</v>
      </c>
      <c r="N133" s="84"/>
      <c r="R133" s="37"/>
      <c r="Z133" s="717">
        <f>Inputs!A133</f>
        <v>2.48</v>
      </c>
      <c r="AA133" s="59">
        <f>Inputs!B133</f>
        <v>2.4858191524858175</v>
      </c>
      <c r="AB133" s="59">
        <f>Inputs!C133</f>
        <v>10.575408950617293</v>
      </c>
      <c r="AC133" s="44">
        <f>Inputs!D133</f>
        <v>3.4988125000000316</v>
      </c>
      <c r="AD133" s="67">
        <f>IF(Inputs!E133=0,"",Inputs!E133)</f>
        <v>3.1972995000000668</v>
      </c>
      <c r="AE133" s="718">
        <f>Inputs!F133</f>
        <v>2.48</v>
      </c>
      <c r="AJ133" s="25"/>
      <c r="AL133" s="87">
        <f t="shared" si="15"/>
        <v>2.4858191524858175</v>
      </c>
      <c r="AM133" s="95">
        <f t="shared" si="14"/>
        <v>2.4858191524858175</v>
      </c>
      <c r="AO133" s="49"/>
      <c r="AQ133" s="87"/>
      <c r="AR133" s="81"/>
      <c r="AS133" s="54"/>
      <c r="AT133" s="54"/>
      <c r="AV133" s="103"/>
    </row>
    <row r="134" spans="1:48" ht="15" customHeight="1" x14ac:dyDescent="0.45">
      <c r="B134" s="197"/>
      <c r="C134" s="463"/>
      <c r="E134" s="459" t="s">
        <v>531</v>
      </c>
      <c r="F134" s="831" t="str">
        <f>Inputs!H7</f>
        <v xml:space="preserve">Analysis </v>
      </c>
      <c r="H134" s="115"/>
      <c r="I134" s="114"/>
      <c r="J134" s="459" t="s">
        <v>161</v>
      </c>
      <c r="K134" s="40">
        <f t="shared" si="17"/>
        <v>1.86</v>
      </c>
      <c r="L134" s="77"/>
      <c r="M134" s="42">
        <f t="shared" si="16"/>
        <v>4.753574999999981</v>
      </c>
      <c r="N134" s="84"/>
      <c r="R134" s="37"/>
      <c r="Z134" s="717">
        <f>Inputs!A134</f>
        <v>2.5</v>
      </c>
      <c r="AA134" s="59">
        <f>Inputs!B134</f>
        <v>2.5025025025025007</v>
      </c>
      <c r="AB134" s="59">
        <f>Inputs!C134</f>
        <v>10.634729938271613</v>
      </c>
      <c r="AC134" s="44">
        <f>Inputs!D134</f>
        <v>3.5557000000000323</v>
      </c>
      <c r="AD134" s="67">
        <f>IF(Inputs!E134=0,"",Inputs!E134)</f>
        <v>3.3266700000000768</v>
      </c>
      <c r="AE134" s="718">
        <f>Inputs!F134</f>
        <v>2.5</v>
      </c>
      <c r="AJ134" s="25"/>
      <c r="AL134" s="87">
        <f t="shared" si="15"/>
        <v>2.5025025025025007</v>
      </c>
      <c r="AM134" s="95">
        <f t="shared" si="14"/>
        <v>2.5025025025025007</v>
      </c>
      <c r="AO134" s="49"/>
      <c r="AQ134" s="87"/>
      <c r="AR134" s="81"/>
      <c r="AS134" s="54"/>
      <c r="AT134" s="54"/>
      <c r="AV134" s="103"/>
    </row>
    <row r="135" spans="1:48" ht="15" customHeight="1" x14ac:dyDescent="0.45">
      <c r="B135" s="76"/>
      <c r="C135" s="464"/>
      <c r="E135" s="464" t="s">
        <v>532</v>
      </c>
      <c r="F135" s="465">
        <f>Inputs!H9</f>
        <v>45813</v>
      </c>
      <c r="H135" s="115"/>
      <c r="I135" s="114"/>
      <c r="J135" s="459" t="s">
        <v>430</v>
      </c>
      <c r="K135" s="40">
        <f t="shared" si="17"/>
        <v>2.16</v>
      </c>
      <c r="L135" s="59">
        <f>K135-K133</f>
        <v>0.88000000000000012</v>
      </c>
      <c r="M135" s="42">
        <f t="shared" si="16"/>
        <v>5.6350999999999756</v>
      </c>
      <c r="N135" s="84"/>
      <c r="R135" s="37"/>
      <c r="Z135" s="717">
        <f>Inputs!A135</f>
        <v>2.5099999999999998</v>
      </c>
      <c r="AA135" s="59">
        <f>Inputs!B135</f>
        <v>2.5191858525191839</v>
      </c>
      <c r="AB135" s="59">
        <f>Inputs!C135</f>
        <v>10.694969135802477</v>
      </c>
      <c r="AC135" s="44">
        <f>Inputs!D135</f>
        <v>3.6107375000000341</v>
      </c>
      <c r="AD135" s="67">
        <f>IF(Inputs!E135=0,"",Inputs!E135)</f>
        <v>3.2157810000000948</v>
      </c>
      <c r="AE135" s="718">
        <f>Inputs!F135</f>
        <v>2.5099999999999998</v>
      </c>
      <c r="AJ135" s="25"/>
      <c r="AL135" s="87">
        <f t="shared" si="15"/>
        <v>2.5191858525191839</v>
      </c>
      <c r="AM135" s="95">
        <f t="shared" si="14"/>
        <v>2.5191858525191839</v>
      </c>
      <c r="AO135" s="49"/>
      <c r="AQ135" s="87"/>
      <c r="AR135" s="81"/>
      <c r="AS135" s="54"/>
      <c r="AT135" s="54"/>
      <c r="AV135" s="103"/>
    </row>
    <row r="136" spans="1:48" ht="15" customHeight="1" thickBot="1" x14ac:dyDescent="0.5">
      <c r="B136" s="89"/>
      <c r="C136" s="466"/>
      <c r="D136" s="467"/>
      <c r="E136" s="468" t="s">
        <v>533</v>
      </c>
      <c r="F136" s="469">
        <f>Inputs!H8</f>
        <v>0.33333333333333331</v>
      </c>
      <c r="G136" s="467"/>
      <c r="H136" s="470"/>
      <c r="I136" s="471"/>
      <c r="J136" s="472" t="s">
        <v>382</v>
      </c>
      <c r="K136" s="473">
        <f t="shared" si="17"/>
        <v>2.33</v>
      </c>
      <c r="L136" s="90"/>
      <c r="M136" s="474">
        <f t="shared" si="16"/>
        <v>4.2351125000000396</v>
      </c>
      <c r="N136" s="417"/>
      <c r="Z136" s="717">
        <f>Inputs!A136</f>
        <v>2.5299999999999998</v>
      </c>
      <c r="AA136" s="59">
        <f>Inputs!B136</f>
        <v>2.5358692025358671</v>
      </c>
      <c r="AB136" s="59">
        <f>Inputs!C136</f>
        <v>10.756026234567909</v>
      </c>
      <c r="AC136" s="44">
        <f>Inputs!D136</f>
        <v>3.6597625000000349</v>
      </c>
      <c r="AD136" s="67">
        <f>IF(Inputs!E136=0,"",Inputs!E136)</f>
        <v>2.9293177500001386</v>
      </c>
      <c r="AE136" s="718">
        <f>Inputs!F136</f>
        <v>2.5299999999999998</v>
      </c>
      <c r="AJ136" s="25"/>
      <c r="AL136" s="87">
        <f t="shared" si="15"/>
        <v>2.5358692025358671</v>
      </c>
      <c r="AM136" s="95">
        <f t="shared" si="14"/>
        <v>2.5358692025358671</v>
      </c>
      <c r="AO136" s="49"/>
      <c r="AQ136" s="87"/>
      <c r="AR136" s="81"/>
      <c r="AS136" s="54"/>
      <c r="AT136" s="54"/>
      <c r="AV136" s="103"/>
    </row>
    <row r="137" spans="1:48" ht="15" customHeight="1" thickTop="1" x14ac:dyDescent="0.45">
      <c r="A137" s="63">
        <v>4</v>
      </c>
      <c r="B137" s="475"/>
      <c r="C137" s="476"/>
      <c r="D137" s="476"/>
      <c r="E137" s="477" t="s">
        <v>534</v>
      </c>
      <c r="F137" s="478">
        <f>C36-C33</f>
        <v>0.70000000000000007</v>
      </c>
      <c r="G137" s="479" t="s">
        <v>535</v>
      </c>
      <c r="H137" s="314"/>
      <c r="I137" s="314"/>
      <c r="J137" s="314"/>
      <c r="K137" s="314"/>
      <c r="L137" s="314"/>
      <c r="M137" s="314"/>
      <c r="N137" s="445"/>
      <c r="P137" s="630"/>
      <c r="Z137" s="717">
        <f>Inputs!A137</f>
        <v>2.5499999999999998</v>
      </c>
      <c r="AA137" s="59">
        <f>Inputs!B137</f>
        <v>2.5525525525525503</v>
      </c>
      <c r="AB137" s="59">
        <f>Inputs!C137</f>
        <v>10.81779320987655</v>
      </c>
      <c r="AC137" s="44">
        <f>Inputs!D137</f>
        <v>3.7023125000000365</v>
      </c>
      <c r="AD137" s="67">
        <f>IF(Inputs!E137=0,"",Inputs!E137)</f>
        <v>2.6151322500000607</v>
      </c>
      <c r="AE137" s="718">
        <f>Inputs!F137</f>
        <v>2.5499999999999998</v>
      </c>
      <c r="AJ137" s="25"/>
      <c r="AL137" s="87">
        <f t="shared" si="15"/>
        <v>2.5525525525525503</v>
      </c>
      <c r="AM137" s="95">
        <f t="shared" si="14"/>
        <v>2.5525525525525503</v>
      </c>
      <c r="AO137" s="49"/>
      <c r="AQ137" s="87"/>
      <c r="AR137" s="81"/>
      <c r="AS137" s="54"/>
      <c r="AT137" s="54"/>
      <c r="AV137" s="103"/>
    </row>
    <row r="138" spans="1:48" ht="15" customHeight="1" x14ac:dyDescent="0.45">
      <c r="A138" s="63">
        <v>5</v>
      </c>
      <c r="B138" s="480"/>
      <c r="C138" s="481"/>
      <c r="D138" s="481"/>
      <c r="E138" s="482" t="s">
        <v>536</v>
      </c>
      <c r="F138" s="483" t="str">
        <f>Inputs!H29</f>
        <v>N/A</v>
      </c>
      <c r="G138" s="484" t="s">
        <v>537</v>
      </c>
      <c r="H138" s="449"/>
      <c r="I138" s="449"/>
      <c r="J138" s="449"/>
      <c r="K138" s="449"/>
      <c r="L138" s="449"/>
      <c r="M138" s="449"/>
      <c r="N138" s="451"/>
      <c r="P138" s="631"/>
      <c r="Z138" s="717">
        <f>Inputs!A138</f>
        <v>2.56</v>
      </c>
      <c r="AA138" s="59">
        <f>Inputs!B138</f>
        <v>2.5692359025692335</v>
      </c>
      <c r="AB138" s="59">
        <f>Inputs!C138</f>
        <v>10.880216049382723</v>
      </c>
      <c r="AC138" s="44">
        <f>Inputs!D138</f>
        <v>3.7416250000000368</v>
      </c>
      <c r="AD138" s="67">
        <f>IF(Inputs!E138=0,"",Inputs!E138)</f>
        <v>2.4487987500000741</v>
      </c>
      <c r="AE138" s="718">
        <f>Inputs!F138</f>
        <v>2.56</v>
      </c>
      <c r="AJ138" s="25"/>
      <c r="AL138" s="87">
        <f t="shared" si="15"/>
        <v>2.5692359025692335</v>
      </c>
      <c r="AM138" s="95">
        <f t="shared" si="14"/>
        <v>2.5692359025692335</v>
      </c>
      <c r="AO138" s="49"/>
      <c r="AQ138" s="87"/>
      <c r="AR138" s="81"/>
      <c r="AS138" s="54"/>
      <c r="AT138" s="54"/>
      <c r="AV138" s="103"/>
    </row>
    <row r="139" spans="1:48" ht="15" customHeight="1" x14ac:dyDescent="0.45">
      <c r="A139" s="63">
        <v>6</v>
      </c>
      <c r="B139" s="480"/>
      <c r="C139" s="481"/>
      <c r="D139" s="481"/>
      <c r="E139" s="482" t="s">
        <v>538</v>
      </c>
      <c r="F139" s="485">
        <f>ABS(U67-U64)</f>
        <v>2.4348919753086435</v>
      </c>
      <c r="G139" s="484" t="s">
        <v>539</v>
      </c>
      <c r="H139" s="449"/>
      <c r="I139" s="449"/>
      <c r="J139" s="449"/>
      <c r="K139" s="449"/>
      <c r="L139" s="449"/>
      <c r="M139" s="449"/>
      <c r="N139" s="451"/>
      <c r="P139" s="631"/>
      <c r="Z139" s="717">
        <f>Inputs!A139</f>
        <v>2.58</v>
      </c>
      <c r="AA139" s="59">
        <f>Inputs!B139</f>
        <v>2.5859192525859167</v>
      </c>
      <c r="AB139" s="59">
        <f>Inputs!C139</f>
        <v>10.943317901234575</v>
      </c>
      <c r="AC139" s="44">
        <f>Inputs!D139</f>
        <v>3.7823250000000379</v>
      </c>
      <c r="AD139" s="67">
        <f>IF(Inputs!E139=0,"",Inputs!E139)</f>
        <v>2.4857617500000502</v>
      </c>
      <c r="AE139" s="718">
        <f>Inputs!F139</f>
        <v>2.58</v>
      </c>
      <c r="AJ139" s="25"/>
      <c r="AL139" s="87">
        <f t="shared" si="15"/>
        <v>2.5859192525859167</v>
      </c>
      <c r="AM139" s="95">
        <f t="shared" si="14"/>
        <v>2.5859192525859167</v>
      </c>
      <c r="AO139" s="49"/>
      <c r="AQ139" s="87"/>
      <c r="AR139" s="81"/>
      <c r="AS139" s="54"/>
      <c r="AT139" s="54"/>
    </row>
    <row r="140" spans="1:48" ht="15" customHeight="1" x14ac:dyDescent="0.45">
      <c r="A140">
        <v>7</v>
      </c>
      <c r="B140" s="480"/>
      <c r="C140" s="481"/>
      <c r="D140" s="481"/>
      <c r="E140" s="482" t="s">
        <v>540</v>
      </c>
      <c r="F140" s="486">
        <f xml:space="preserve"> (T66-T64)/(T67-T64)</f>
        <v>0.58333333333333215</v>
      </c>
      <c r="G140" s="484" t="s">
        <v>541</v>
      </c>
      <c r="H140" s="449"/>
      <c r="I140" s="449"/>
      <c r="J140" s="449"/>
      <c r="K140" s="449"/>
      <c r="L140" s="449"/>
      <c r="M140" s="449"/>
      <c r="N140" s="451"/>
      <c r="P140" s="631"/>
      <c r="Y140" s="329"/>
      <c r="Z140" s="717">
        <f>Inputs!A140</f>
        <v>2.6</v>
      </c>
      <c r="AA140" s="59">
        <f>Inputs!B140</f>
        <v>2.6026026026025999</v>
      </c>
      <c r="AB140" s="59">
        <f>Inputs!C140</f>
        <v>11.007160493827168</v>
      </c>
      <c r="AC140" s="44">
        <f>Inputs!D140</f>
        <v>3.8267250000000383</v>
      </c>
      <c r="AD140" s="67">
        <f>IF(Inputs!E140=0,"",Inputs!E140)</f>
        <v>2.6705767500000648</v>
      </c>
      <c r="AE140" s="718">
        <f>Inputs!F140</f>
        <v>2.6</v>
      </c>
      <c r="AJ140" s="25"/>
      <c r="AL140" s="87">
        <f t="shared" si="15"/>
        <v>2.6026026026025999</v>
      </c>
      <c r="AM140" s="95">
        <f t="shared" si="14"/>
        <v>2.6026026026025999</v>
      </c>
      <c r="AO140" s="49"/>
      <c r="AQ140" s="87"/>
      <c r="AR140" s="81"/>
      <c r="AS140" s="54"/>
      <c r="AT140" s="54"/>
    </row>
    <row r="141" spans="1:48" ht="15" customHeight="1" x14ac:dyDescent="0.45">
      <c r="A141">
        <v>8</v>
      </c>
      <c r="B141" s="480"/>
      <c r="C141" s="481"/>
      <c r="D141" s="481"/>
      <c r="E141" s="482" t="s">
        <v>542</v>
      </c>
      <c r="F141" s="487">
        <f>60/(C39-C33)</f>
        <v>34.285714285714285</v>
      </c>
      <c r="G141" s="484" t="s">
        <v>543</v>
      </c>
      <c r="H141" s="449"/>
      <c r="I141" s="449"/>
      <c r="J141" s="449"/>
      <c r="K141" s="449"/>
      <c r="L141" s="449"/>
      <c r="M141" s="449"/>
      <c r="N141" s="451"/>
      <c r="P141" s="631"/>
      <c r="Z141" s="717">
        <f>Inputs!A141</f>
        <v>2.61</v>
      </c>
      <c r="AA141" s="59">
        <f>Inputs!B141</f>
        <v>2.6192859526192831</v>
      </c>
      <c r="AB141" s="59">
        <f>Inputs!C141</f>
        <v>11.071813271604945</v>
      </c>
      <c r="AC141" s="44">
        <f>Inputs!D141</f>
        <v>3.875287500000038</v>
      </c>
      <c r="AD141" s="67">
        <f>IF(Inputs!E141=0,"",Inputs!E141)</f>
        <v>2.9200770000000182</v>
      </c>
      <c r="AE141" s="718">
        <f>Inputs!F141</f>
        <v>2.61</v>
      </c>
      <c r="AJ141" s="25"/>
      <c r="AL141" s="87">
        <f t="shared" si="15"/>
        <v>2.6192859526192831</v>
      </c>
      <c r="AM141" s="95">
        <f t="shared" si="14"/>
        <v>2.6192859526192831</v>
      </c>
      <c r="AO141" s="49"/>
      <c r="AQ141" s="87"/>
      <c r="AR141" s="81"/>
      <c r="AS141" s="54"/>
      <c r="AT141" s="54"/>
    </row>
    <row r="142" spans="1:48" ht="15" customHeight="1" thickBot="1" x14ac:dyDescent="0.5">
      <c r="A142">
        <v>9</v>
      </c>
      <c r="B142" s="407"/>
      <c r="C142" s="408"/>
      <c r="D142" s="408"/>
      <c r="E142" s="409" t="s">
        <v>544</v>
      </c>
      <c r="F142" s="488">
        <f>((C39-C33)-(C36-C33))/(C36-C33)</f>
        <v>1.4999999999999996</v>
      </c>
      <c r="G142" s="489" t="s">
        <v>545</v>
      </c>
      <c r="H142" s="408"/>
      <c r="I142" s="408"/>
      <c r="J142" s="408"/>
      <c r="K142" s="408"/>
      <c r="L142" s="408"/>
      <c r="M142" s="408"/>
      <c r="N142" s="490"/>
      <c r="P142" s="631"/>
      <c r="Z142" s="717"/>
      <c r="AE142" s="718"/>
      <c r="AJ142" s="25"/>
      <c r="AL142" s="87">
        <f t="shared" si="15"/>
        <v>0</v>
      </c>
      <c r="AM142" s="63">
        <f t="shared" si="14"/>
        <v>0</v>
      </c>
      <c r="AO142" s="49"/>
      <c r="AQ142" s="87"/>
      <c r="AR142" s="81"/>
      <c r="AS142" s="54"/>
      <c r="AT142" s="54"/>
    </row>
    <row r="143" spans="1:48" ht="15" customHeight="1" thickTop="1" x14ac:dyDescent="0.4">
      <c r="A143">
        <v>11</v>
      </c>
      <c r="B143" s="492"/>
      <c r="C143" s="476"/>
      <c r="D143" s="493"/>
      <c r="E143" s="477" t="s">
        <v>546</v>
      </c>
      <c r="F143" s="494">
        <f>E46</f>
        <v>0.18351685018351602</v>
      </c>
      <c r="G143" s="495" t="s">
        <v>547</v>
      </c>
      <c r="H143" s="314"/>
      <c r="I143" s="314"/>
      <c r="J143" s="314"/>
      <c r="K143" s="314"/>
      <c r="L143" s="314"/>
      <c r="M143" s="314"/>
      <c r="N143" s="445"/>
      <c r="P143" s="302"/>
      <c r="Z143" s="717"/>
      <c r="AE143" s="718"/>
      <c r="AJ143" s="25"/>
      <c r="AL143" s="87">
        <f t="shared" si="15"/>
        <v>0</v>
      </c>
      <c r="AM143" s="63">
        <f t="shared" si="14"/>
        <v>0</v>
      </c>
      <c r="AO143" s="49"/>
      <c r="AQ143" s="87"/>
      <c r="AR143" s="81"/>
      <c r="AS143" s="54"/>
      <c r="AT143" s="54"/>
    </row>
    <row r="144" spans="1:48" ht="15" customHeight="1" x14ac:dyDescent="0.4">
      <c r="A144">
        <v>12</v>
      </c>
      <c r="B144" s="497"/>
      <c r="C144" s="314"/>
      <c r="D144" s="498"/>
      <c r="E144" s="374" t="s">
        <v>548</v>
      </c>
      <c r="F144" s="499">
        <f>E47</f>
        <v>0.10476190476190429</v>
      </c>
      <c r="G144" s="495" t="s">
        <v>549</v>
      </c>
      <c r="H144" s="314"/>
      <c r="I144" s="314"/>
      <c r="J144" s="314"/>
      <c r="K144" s="314"/>
      <c r="L144" s="314"/>
      <c r="M144" s="314"/>
      <c r="N144" s="445"/>
      <c r="P144" s="302"/>
      <c r="Z144" s="717"/>
      <c r="AE144" s="718"/>
      <c r="AJ144" s="25"/>
      <c r="AL144" s="87">
        <f t="shared" si="15"/>
        <v>0</v>
      </c>
      <c r="AM144" s="63">
        <f t="shared" si="14"/>
        <v>0</v>
      </c>
      <c r="AO144" s="49"/>
      <c r="AQ144" s="87"/>
      <c r="AR144" s="81"/>
      <c r="AS144" s="54"/>
      <c r="AT144" s="54"/>
    </row>
    <row r="145" spans="1:46" ht="15" customHeight="1" x14ac:dyDescent="0.4">
      <c r="A145" s="500"/>
      <c r="B145" s="497"/>
      <c r="C145" s="449"/>
      <c r="D145" s="449"/>
      <c r="E145" s="501" t="s">
        <v>550</v>
      </c>
      <c r="F145" s="502">
        <f>V63</f>
        <v>4.4298249999999966</v>
      </c>
      <c r="G145" s="484" t="s">
        <v>551</v>
      </c>
      <c r="H145" s="450"/>
      <c r="I145" s="450"/>
      <c r="J145" s="449"/>
      <c r="K145" s="449"/>
      <c r="L145" s="449"/>
      <c r="M145" s="449"/>
      <c r="N145" s="451"/>
      <c r="P145" s="631"/>
      <c r="Z145" s="717"/>
      <c r="AE145" s="718"/>
      <c r="AJ145" s="25"/>
      <c r="AL145" s="87">
        <f t="shared" si="15"/>
        <v>0</v>
      </c>
      <c r="AM145" s="63">
        <f t="shared" si="14"/>
        <v>0</v>
      </c>
      <c r="AO145" s="49"/>
      <c r="AQ145" s="87"/>
      <c r="AR145" s="81"/>
      <c r="AS145" s="54"/>
      <c r="AT145" s="54"/>
    </row>
    <row r="146" spans="1:46" ht="15" customHeight="1" x14ac:dyDescent="0.4">
      <c r="A146" s="500"/>
      <c r="B146" s="497"/>
      <c r="C146" s="339"/>
      <c r="D146" s="339"/>
      <c r="E146" s="317" t="s">
        <v>552</v>
      </c>
      <c r="F146" s="503">
        <f>V64-V63</f>
        <v>-1.164574999999989</v>
      </c>
      <c r="G146" s="504" t="s">
        <v>553</v>
      </c>
      <c r="H146" s="505"/>
      <c r="I146" s="505"/>
      <c r="J146" s="339"/>
      <c r="K146" s="339"/>
      <c r="L146" s="339"/>
      <c r="M146" s="339"/>
      <c r="N146" s="444"/>
      <c r="P146" s="631"/>
      <c r="Z146" s="717"/>
      <c r="AE146" s="718"/>
      <c r="AJ146" s="25"/>
      <c r="AL146" s="87">
        <f t="shared" si="15"/>
        <v>0</v>
      </c>
      <c r="AM146" s="63">
        <f t="shared" si="14"/>
        <v>0</v>
      </c>
      <c r="AO146" s="49"/>
      <c r="AQ146" s="87"/>
      <c r="AR146" s="81"/>
      <c r="AS146" s="54"/>
      <c r="AT146" s="54"/>
    </row>
    <row r="147" spans="1:46" ht="15" customHeight="1" x14ac:dyDescent="0.4">
      <c r="A147" s="500">
        <v>10</v>
      </c>
      <c r="B147" s="497"/>
      <c r="C147" s="339"/>
      <c r="D147" s="339"/>
      <c r="E147" s="317" t="s">
        <v>554</v>
      </c>
      <c r="F147" s="503">
        <f>V65</f>
        <v>3.2564625000000071</v>
      </c>
      <c r="G147" s="504" t="s">
        <v>555</v>
      </c>
      <c r="H147" s="505"/>
      <c r="I147" s="505"/>
      <c r="J147" s="339"/>
      <c r="K147" s="339"/>
      <c r="L147" s="339"/>
      <c r="M147" s="339"/>
      <c r="N147" s="444"/>
      <c r="P147" s="631"/>
      <c r="Z147" s="717"/>
      <c r="AE147" s="718"/>
      <c r="AJ147" s="25"/>
      <c r="AL147" s="87">
        <f t="shared" si="15"/>
        <v>0</v>
      </c>
      <c r="AM147" s="63">
        <f t="shared" si="14"/>
        <v>0</v>
      </c>
      <c r="AO147" s="49"/>
      <c r="AQ147" s="87"/>
      <c r="AR147" s="81"/>
      <c r="AS147" s="54"/>
      <c r="AT147" s="54"/>
    </row>
    <row r="148" spans="1:46" ht="15" customHeight="1" x14ac:dyDescent="0.4">
      <c r="A148" s="500"/>
      <c r="B148" s="497"/>
      <c r="C148" s="449"/>
      <c r="D148" s="449"/>
      <c r="E148" s="501" t="s">
        <v>556</v>
      </c>
      <c r="F148" s="506">
        <f>T65-T64</f>
        <v>-1.6683350016683307E-2</v>
      </c>
      <c r="G148" s="484" t="s">
        <v>557</v>
      </c>
      <c r="H148" s="450"/>
      <c r="I148" s="450"/>
      <c r="J148" s="449"/>
      <c r="K148" s="449"/>
      <c r="L148" s="449"/>
      <c r="M148" s="449"/>
      <c r="N148" s="451"/>
      <c r="P148" s="631"/>
      <c r="Z148" s="717"/>
      <c r="AE148" s="718"/>
      <c r="AJ148" s="25"/>
      <c r="AL148" s="87">
        <f t="shared" si="15"/>
        <v>0</v>
      </c>
      <c r="AM148" s="63">
        <f t="shared" si="14"/>
        <v>0</v>
      </c>
      <c r="AO148" s="49"/>
      <c r="AQ148" s="87"/>
      <c r="AR148" s="81"/>
      <c r="AS148" s="54"/>
      <c r="AT148" s="54"/>
    </row>
    <row r="149" spans="1:46" ht="15" customHeight="1" x14ac:dyDescent="0.4">
      <c r="A149" s="500"/>
      <c r="B149" s="507"/>
      <c r="C149" s="339"/>
      <c r="D149" s="339"/>
      <c r="E149" s="317" t="s">
        <v>558</v>
      </c>
      <c r="F149" s="503">
        <f>V65-V64</f>
        <v>-8.7875000000003922E-3</v>
      </c>
      <c r="G149" s="504" t="s">
        <v>559</v>
      </c>
      <c r="H149" s="505"/>
      <c r="I149" s="505"/>
      <c r="J149" s="339"/>
      <c r="K149" s="339"/>
      <c r="L149" s="339"/>
      <c r="M149" s="339"/>
      <c r="N149" s="444"/>
      <c r="P149" s="631"/>
      <c r="Z149" s="717"/>
      <c r="AE149" s="718"/>
      <c r="AJ149" s="25"/>
      <c r="AL149" s="87">
        <f t="shared" si="15"/>
        <v>0</v>
      </c>
      <c r="AM149" s="63">
        <f t="shared" si="14"/>
        <v>0</v>
      </c>
      <c r="AO149" s="49"/>
      <c r="AQ149" s="87"/>
      <c r="AR149" s="81"/>
      <c r="AS149" s="54"/>
      <c r="AT149" s="54"/>
    </row>
    <row r="150" spans="1:46" ht="15" customHeight="1" thickBot="1" x14ac:dyDescent="0.45">
      <c r="A150">
        <v>13</v>
      </c>
      <c r="B150" s="507"/>
      <c r="C150" s="339"/>
      <c r="D150" s="339"/>
      <c r="E150" s="317" t="s">
        <v>560</v>
      </c>
      <c r="F150" s="503">
        <f>U64-U63</f>
        <v>0.73091049382716067</v>
      </c>
      <c r="G150" s="504" t="s">
        <v>561</v>
      </c>
      <c r="H150" s="505"/>
      <c r="I150" s="505"/>
      <c r="J150" s="339"/>
      <c r="K150" s="339"/>
      <c r="L150" s="339"/>
      <c r="M150" s="339"/>
      <c r="N150" s="444"/>
      <c r="O150" t="s">
        <v>562</v>
      </c>
      <c r="P150" s="302"/>
      <c r="Z150" s="717"/>
      <c r="AE150" s="718"/>
      <c r="AJ150" s="25"/>
      <c r="AL150" s="87">
        <f t="shared" si="15"/>
        <v>0</v>
      </c>
      <c r="AM150" s="63">
        <f t="shared" si="14"/>
        <v>0</v>
      </c>
      <c r="AO150" s="49"/>
      <c r="AQ150" s="87"/>
      <c r="AR150" s="81"/>
      <c r="AS150" s="54"/>
      <c r="AT150" s="54"/>
    </row>
    <row r="151" spans="1:46" ht="15" customHeight="1" x14ac:dyDescent="0.4">
      <c r="A151" s="508"/>
      <c r="B151" s="509"/>
      <c r="C151" s="168"/>
      <c r="D151" s="168"/>
      <c r="E151" s="345" t="s">
        <v>563</v>
      </c>
      <c r="F151" s="510">
        <f>AF3-AF2</f>
        <v>6.6733400066733228E-2</v>
      </c>
      <c r="G151" s="496" t="s">
        <v>564</v>
      </c>
      <c r="H151" s="511"/>
      <c r="I151" s="511"/>
      <c r="J151" s="168"/>
      <c r="K151" s="168"/>
      <c r="L151" s="168"/>
      <c r="M151" s="168"/>
      <c r="N151" s="442"/>
      <c r="P151" s="631"/>
      <c r="R151" s="82"/>
      <c r="Z151" s="717"/>
      <c r="AE151" s="718"/>
      <c r="AJ151" s="25"/>
      <c r="AL151" s="87">
        <f t="shared" si="15"/>
        <v>0</v>
      </c>
      <c r="AM151" s="63">
        <f t="shared" si="14"/>
        <v>0</v>
      </c>
      <c r="AO151" s="49"/>
      <c r="AQ151" s="87"/>
      <c r="AR151" s="81"/>
      <c r="AS151" s="54"/>
      <c r="AT151" s="54"/>
    </row>
    <row r="152" spans="1:46" ht="15" customHeight="1" x14ac:dyDescent="0.4">
      <c r="A152" s="508"/>
      <c r="B152" s="512"/>
      <c r="C152" s="449"/>
      <c r="D152" s="449"/>
      <c r="E152" s="501" t="s">
        <v>565</v>
      </c>
      <c r="F152" s="502">
        <f>AF7-AF6</f>
        <v>-0.76698225000001585</v>
      </c>
      <c r="G152" s="484" t="s">
        <v>566</v>
      </c>
      <c r="H152" s="449"/>
      <c r="I152" s="449"/>
      <c r="J152" s="449"/>
      <c r="K152" s="449"/>
      <c r="L152" s="449"/>
      <c r="M152" s="449"/>
      <c r="N152" s="451"/>
      <c r="P152" s="631"/>
      <c r="Z152" s="717"/>
      <c r="AE152" s="718"/>
      <c r="AJ152" s="25"/>
      <c r="AL152" s="87">
        <f t="shared" si="15"/>
        <v>0</v>
      </c>
      <c r="AM152" s="63">
        <f t="shared" si="14"/>
        <v>0</v>
      </c>
      <c r="AO152" s="49"/>
      <c r="AQ152" s="87"/>
      <c r="AR152" s="81"/>
      <c r="AS152" s="54"/>
      <c r="AT152" s="54"/>
    </row>
    <row r="153" spans="1:46" ht="15" customHeight="1" x14ac:dyDescent="0.4">
      <c r="A153" s="508"/>
      <c r="B153" s="512"/>
      <c r="C153" s="449"/>
      <c r="D153" s="449"/>
      <c r="E153" s="501" t="s">
        <v>567</v>
      </c>
      <c r="F153" s="502">
        <f>AF5-AF4</f>
        <v>0.12996249999999954</v>
      </c>
      <c r="G153" s="484" t="s">
        <v>568</v>
      </c>
      <c r="H153" s="449"/>
      <c r="I153" s="449"/>
      <c r="J153" s="449"/>
      <c r="K153" s="449"/>
      <c r="L153" s="449"/>
      <c r="M153" s="449"/>
      <c r="N153" s="451"/>
      <c r="P153" s="302"/>
      <c r="R153" s="82"/>
      <c r="Z153" s="717"/>
      <c r="AE153" s="718"/>
      <c r="AJ153" s="25"/>
      <c r="AL153" s="87">
        <f t="shared" si="15"/>
        <v>0</v>
      </c>
      <c r="AM153" s="63">
        <f t="shared" si="14"/>
        <v>0</v>
      </c>
      <c r="AO153" s="49"/>
      <c r="AQ153" s="87"/>
      <c r="AR153" s="81"/>
      <c r="AS153" s="54"/>
      <c r="AT153" s="54"/>
    </row>
    <row r="154" spans="1:46" ht="15" customHeight="1" thickBot="1" x14ac:dyDescent="0.45">
      <c r="A154">
        <v>14</v>
      </c>
      <c r="B154" s="514"/>
      <c r="C154" s="515"/>
      <c r="D154" s="516"/>
      <c r="E154" s="516" t="s">
        <v>569</v>
      </c>
      <c r="F154" s="517">
        <f>AG2</f>
        <v>-3.191250000000069E-2</v>
      </c>
      <c r="G154" s="513" t="s">
        <v>570</v>
      </c>
      <c r="H154" s="351"/>
      <c r="I154" s="351"/>
      <c r="J154" s="351"/>
      <c r="K154" s="351"/>
      <c r="L154" s="351"/>
      <c r="M154" s="351"/>
      <c r="N154" s="518"/>
      <c r="P154" s="631"/>
      <c r="Q154"/>
      <c r="Z154" s="717"/>
      <c r="AE154" s="718"/>
      <c r="AJ154" s="25"/>
      <c r="AL154" s="87">
        <f t="shared" si="15"/>
        <v>0</v>
      </c>
      <c r="AM154" s="63">
        <f t="shared" si="14"/>
        <v>0</v>
      </c>
      <c r="AO154" s="49"/>
      <c r="AQ154" s="87"/>
      <c r="AR154" s="81"/>
      <c r="AS154" s="54"/>
      <c r="AT154" s="54"/>
    </row>
    <row r="155" spans="1:46" ht="15" customHeight="1" x14ac:dyDescent="0.4">
      <c r="A155">
        <v>19</v>
      </c>
      <c r="B155" s="520"/>
      <c r="E155" s="374" t="s">
        <v>571</v>
      </c>
      <c r="F155" s="521">
        <f>T67-T64</f>
        <v>0.60060060060060028</v>
      </c>
      <c r="G155" s="519" t="s">
        <v>572</v>
      </c>
      <c r="H155" s="168"/>
      <c r="I155" s="168"/>
      <c r="J155" s="168"/>
      <c r="K155" s="168"/>
      <c r="L155" s="168"/>
      <c r="M155" s="168"/>
      <c r="N155" s="442"/>
      <c r="P155" s="302"/>
      <c r="Q155"/>
      <c r="Z155" s="717"/>
      <c r="AE155" s="718"/>
      <c r="AJ155" s="25"/>
      <c r="AL155" s="87">
        <f t="shared" si="15"/>
        <v>0</v>
      </c>
      <c r="AM155" s="63">
        <f t="shared" si="14"/>
        <v>0</v>
      </c>
      <c r="AO155" s="49"/>
      <c r="AQ155" s="87"/>
      <c r="AR155" s="81"/>
      <c r="AS155" s="54"/>
      <c r="AT155" s="54"/>
    </row>
    <row r="156" spans="1:46" ht="15" customHeight="1" x14ac:dyDescent="0.4">
      <c r="A156">
        <v>20</v>
      </c>
      <c r="B156" s="520"/>
      <c r="E156" s="501" t="s">
        <v>573</v>
      </c>
      <c r="F156" s="522">
        <f>(T67-T64)/(T71-T64)</f>
        <v>0.34285714285714269</v>
      </c>
      <c r="G156" s="523" t="s">
        <v>574</v>
      </c>
      <c r="H156" s="449"/>
      <c r="I156" s="449"/>
      <c r="J156" s="449"/>
      <c r="K156" s="449"/>
      <c r="L156" s="449"/>
      <c r="M156" s="449"/>
      <c r="N156" s="451"/>
      <c r="P156" s="302"/>
      <c r="Q156"/>
      <c r="R156" s="120"/>
      <c r="Z156" s="717"/>
      <c r="AE156" s="718"/>
      <c r="AJ156" s="25"/>
      <c r="AL156" s="87">
        <f t="shared" si="15"/>
        <v>0</v>
      </c>
      <c r="AM156" s="63">
        <f t="shared" si="14"/>
        <v>0</v>
      </c>
      <c r="AO156" s="49"/>
      <c r="AQ156" s="87"/>
      <c r="AR156" s="81"/>
      <c r="AS156" s="54"/>
      <c r="AT156" s="54"/>
    </row>
    <row r="157" spans="1:46" ht="15" customHeight="1" x14ac:dyDescent="0.4">
      <c r="A157"/>
      <c r="B157" s="520"/>
      <c r="C157" s="314"/>
      <c r="D157" s="314"/>
      <c r="E157" s="374" t="s">
        <v>576</v>
      </c>
      <c r="F157" s="494">
        <f>V64</f>
        <v>3.2652500000000075</v>
      </c>
      <c r="G157" s="523" t="s">
        <v>575</v>
      </c>
      <c r="H157" s="450"/>
      <c r="I157" s="450"/>
      <c r="J157" s="449"/>
      <c r="K157" s="449"/>
      <c r="L157" s="449"/>
      <c r="M157" s="449"/>
      <c r="N157" s="451"/>
      <c r="P157" s="302"/>
      <c r="Q157"/>
      <c r="Z157" s="717"/>
      <c r="AE157" s="718"/>
      <c r="AJ157" s="25"/>
      <c r="AL157" s="87">
        <f t="shared" si="15"/>
        <v>0</v>
      </c>
      <c r="AM157" s="63">
        <f t="shared" si="14"/>
        <v>0</v>
      </c>
      <c r="AO157" s="49"/>
      <c r="AQ157" s="87"/>
      <c r="AR157" s="81"/>
      <c r="AS157" s="54"/>
      <c r="AT157" s="54"/>
    </row>
    <row r="158" spans="1:46" ht="15" customHeight="1" x14ac:dyDescent="0.4">
      <c r="A158">
        <v>15</v>
      </c>
      <c r="B158" s="497"/>
      <c r="C158" s="449"/>
      <c r="D158" s="524"/>
      <c r="E158" s="374" t="s">
        <v>577</v>
      </c>
      <c r="F158" s="494">
        <f>(V67-V64)/(T67-T64)</f>
        <v>2.4333974999999564</v>
      </c>
      <c r="G158" s="495" t="s">
        <v>578</v>
      </c>
      <c r="H158" s="449"/>
      <c r="I158" s="449"/>
      <c r="J158" s="449"/>
      <c r="K158" s="449"/>
      <c r="L158" s="449"/>
      <c r="M158" s="449"/>
      <c r="N158" s="451"/>
      <c r="P158" s="302"/>
      <c r="Q158"/>
      <c r="Z158" s="717"/>
      <c r="AE158" s="718"/>
      <c r="AJ158" s="25"/>
      <c r="AL158" s="87">
        <f t="shared" si="15"/>
        <v>0</v>
      </c>
      <c r="AM158" s="63">
        <f t="shared" si="14"/>
        <v>0</v>
      </c>
      <c r="AO158" s="49"/>
      <c r="AQ158" s="87"/>
      <c r="AR158" s="81"/>
      <c r="AS158" s="54"/>
      <c r="AT158" s="54"/>
    </row>
    <row r="159" spans="1:46" ht="15" customHeight="1" thickBot="1" x14ac:dyDescent="0.45">
      <c r="A159">
        <v>16</v>
      </c>
      <c r="B159" s="525"/>
      <c r="C159" s="351"/>
      <c r="D159" s="351"/>
      <c r="E159" s="352" t="s">
        <v>579</v>
      </c>
      <c r="F159" s="526">
        <f>E50</f>
        <v>1.0795007032348967</v>
      </c>
      <c r="G159" s="513" t="s">
        <v>580</v>
      </c>
      <c r="H159" s="351"/>
      <c r="I159" s="351"/>
      <c r="J159" s="351"/>
      <c r="K159" s="351"/>
      <c r="L159" s="351"/>
      <c r="M159" s="351"/>
      <c r="N159" s="518"/>
      <c r="P159" s="302"/>
      <c r="Z159" s="76"/>
      <c r="AE159" s="719"/>
      <c r="AJ159" s="25"/>
      <c r="AL159" s="87">
        <f t="shared" si="15"/>
        <v>0</v>
      </c>
      <c r="AM159" s="63">
        <f t="shared" si="14"/>
        <v>0</v>
      </c>
      <c r="AO159" s="49"/>
      <c r="AQ159" s="87"/>
      <c r="AR159" s="81"/>
      <c r="AS159" s="54"/>
      <c r="AT159" s="54"/>
    </row>
    <row r="160" spans="1:46" ht="15" customHeight="1" x14ac:dyDescent="0.4">
      <c r="A160"/>
      <c r="B160" s="520"/>
      <c r="C160" s="314"/>
      <c r="D160" s="314"/>
      <c r="E160" s="527" t="s">
        <v>581</v>
      </c>
      <c r="F160" s="528">
        <f>AH3-AH2</f>
        <v>0.11678345011678393</v>
      </c>
      <c r="G160" s="495" t="s">
        <v>582</v>
      </c>
      <c r="H160" s="314"/>
      <c r="I160" s="314"/>
      <c r="J160" s="314"/>
      <c r="K160" s="314"/>
      <c r="L160" s="314"/>
      <c r="M160" s="314"/>
      <c r="N160" s="445"/>
      <c r="P160" s="302"/>
      <c r="Z160" s="76"/>
      <c r="AE160" s="719"/>
      <c r="AJ160" s="25"/>
      <c r="AL160" s="87">
        <f t="shared" si="15"/>
        <v>0</v>
      </c>
      <c r="AM160" s="63">
        <f t="shared" si="14"/>
        <v>0</v>
      </c>
      <c r="AO160" s="49"/>
      <c r="AQ160" s="87"/>
      <c r="AR160" s="81"/>
      <c r="AS160" s="54"/>
      <c r="AT160" s="54"/>
    </row>
    <row r="161" spans="1:46" ht="15" customHeight="1" x14ac:dyDescent="0.45">
      <c r="A161"/>
      <c r="B161" s="497"/>
      <c r="C161" s="449"/>
      <c r="D161" s="529"/>
      <c r="E161" s="374" t="s">
        <v>583</v>
      </c>
      <c r="F161" s="502">
        <f>AH7-AH6</f>
        <v>-6.4685249999911099E-2</v>
      </c>
      <c r="G161" s="484" t="s">
        <v>584</v>
      </c>
      <c r="H161" s="449"/>
      <c r="I161" s="449"/>
      <c r="J161" s="449"/>
      <c r="K161" s="449"/>
      <c r="L161" s="449"/>
      <c r="M161" s="449"/>
      <c r="N161" s="451"/>
      <c r="P161" s="302"/>
      <c r="Z161" s="76"/>
      <c r="AE161" s="719"/>
      <c r="AJ161" s="25"/>
      <c r="AL161" s="87">
        <f t="shared" si="15"/>
        <v>0</v>
      </c>
      <c r="AM161" s="63">
        <f t="shared" si="14"/>
        <v>0</v>
      </c>
      <c r="AO161" s="49"/>
      <c r="AQ161" s="87"/>
      <c r="AR161" s="81"/>
      <c r="AS161" s="54"/>
      <c r="AT161" s="54"/>
    </row>
    <row r="162" spans="1:46" ht="15" customHeight="1" x14ac:dyDescent="0.45">
      <c r="A162"/>
      <c r="B162" s="497"/>
      <c r="C162" s="449"/>
      <c r="D162" s="529"/>
      <c r="E162" s="501" t="s">
        <v>585</v>
      </c>
      <c r="F162" s="502">
        <f>AH5-AH4</f>
        <v>1.9425000000000914E-2</v>
      </c>
      <c r="G162" s="484" t="s">
        <v>586</v>
      </c>
      <c r="H162" s="449"/>
      <c r="I162" s="449"/>
      <c r="J162" s="449"/>
      <c r="K162" s="449"/>
      <c r="L162" s="449"/>
      <c r="M162" s="449"/>
      <c r="N162" s="451"/>
      <c r="P162" s="302"/>
      <c r="Z162" s="76"/>
      <c r="AE162" s="719"/>
      <c r="AJ162" s="25"/>
      <c r="AL162" s="87">
        <f t="shared" si="15"/>
        <v>0</v>
      </c>
      <c r="AM162" s="63">
        <f t="shared" si="14"/>
        <v>0</v>
      </c>
      <c r="AO162" s="49"/>
      <c r="AQ162" s="87"/>
      <c r="AR162" s="81"/>
      <c r="AS162" s="54"/>
      <c r="AT162" s="54"/>
    </row>
    <row r="163" spans="1:46" ht="15" customHeight="1" thickBot="1" x14ac:dyDescent="0.45">
      <c r="A163">
        <v>23</v>
      </c>
      <c r="B163" s="514"/>
      <c r="C163" s="515"/>
      <c r="D163" s="515"/>
      <c r="E163" s="516" t="s">
        <v>587</v>
      </c>
      <c r="F163" s="530">
        <f>AI2</f>
        <v>2.2662500000001806E-2</v>
      </c>
      <c r="G163" s="513" t="s">
        <v>588</v>
      </c>
      <c r="H163" s="351"/>
      <c r="I163" s="351"/>
      <c r="J163" s="351"/>
      <c r="K163" s="351"/>
      <c r="L163" s="351"/>
      <c r="M163" s="351"/>
      <c r="N163" s="518"/>
      <c r="P163" s="631"/>
      <c r="Z163" s="76"/>
      <c r="AE163" s="719"/>
      <c r="AJ163" s="25"/>
      <c r="AL163" s="87">
        <f t="shared" si="15"/>
        <v>0</v>
      </c>
      <c r="AM163" s="63">
        <f t="shared" si="14"/>
        <v>0</v>
      </c>
      <c r="AO163" s="49"/>
      <c r="AR163" s="81"/>
      <c r="AS163" s="54"/>
      <c r="AT163" s="54"/>
    </row>
    <row r="164" spans="1:46" ht="15" customHeight="1" x14ac:dyDescent="0.4">
      <c r="A164">
        <v>17</v>
      </c>
      <c r="B164" s="76"/>
      <c r="E164" s="374" t="s">
        <v>589</v>
      </c>
      <c r="F164" s="494">
        <f>V67-V64</f>
        <v>1.4614999999999729</v>
      </c>
      <c r="G164" s="519" t="s">
        <v>590</v>
      </c>
      <c r="N164" s="445"/>
      <c r="P164" s="631"/>
      <c r="Z164" s="76"/>
      <c r="AE164" s="719"/>
      <c r="AJ164" s="25"/>
      <c r="AL164" s="87">
        <f t="shared" si="15"/>
        <v>0</v>
      </c>
      <c r="AM164" s="63">
        <f t="shared" si="14"/>
        <v>0</v>
      </c>
      <c r="AO164" s="49"/>
      <c r="AR164" s="81"/>
      <c r="AS164" s="54"/>
      <c r="AT164" s="54"/>
    </row>
    <row r="165" spans="1:46" ht="15" customHeight="1" x14ac:dyDescent="0.4">
      <c r="A165"/>
      <c r="B165" s="497"/>
      <c r="C165" s="449"/>
      <c r="D165" s="449"/>
      <c r="E165" s="501" t="s">
        <v>591</v>
      </c>
      <c r="F165" s="506">
        <f>(U67-U64)/(T67-T64)</f>
        <v>4.0540951388888935</v>
      </c>
      <c r="G165" s="484" t="s">
        <v>592</v>
      </c>
      <c r="H165" s="450"/>
      <c r="I165" s="450"/>
      <c r="J165" s="449"/>
      <c r="K165" s="449"/>
      <c r="L165" s="449"/>
      <c r="M165" s="449"/>
      <c r="N165" s="451"/>
      <c r="P165" s="631"/>
      <c r="Z165" s="76"/>
      <c r="AE165" s="719"/>
      <c r="AJ165" s="25"/>
      <c r="AL165" s="87">
        <f t="shared" si="15"/>
        <v>0</v>
      </c>
      <c r="AM165" s="63">
        <f t="shared" si="14"/>
        <v>0</v>
      </c>
      <c r="AO165" s="49"/>
      <c r="AR165" s="81"/>
      <c r="AS165" s="54"/>
      <c r="AT165" s="54"/>
    </row>
    <row r="166" spans="1:46" ht="15" customHeight="1" thickBot="1" x14ac:dyDescent="0.45">
      <c r="A166" s="500">
        <v>21</v>
      </c>
      <c r="B166" s="531"/>
      <c r="C166" s="314"/>
      <c r="D166" s="314"/>
      <c r="E166" s="374" t="s">
        <v>594</v>
      </c>
      <c r="F166" s="532">
        <f>U67-U64</f>
        <v>2.4348919753086435</v>
      </c>
      <c r="G166" s="519" t="s">
        <v>593</v>
      </c>
      <c r="H166" s="314"/>
      <c r="I166" s="314"/>
      <c r="J166" s="314"/>
      <c r="K166" s="314"/>
      <c r="L166" s="314"/>
      <c r="M166" s="314"/>
      <c r="N166" s="445"/>
      <c r="P166" s="631"/>
      <c r="Z166" s="76"/>
      <c r="AE166" s="719"/>
      <c r="AJ166" s="25"/>
      <c r="AL166" s="87">
        <f t="shared" si="15"/>
        <v>0</v>
      </c>
      <c r="AM166" s="63">
        <f t="shared" si="14"/>
        <v>0</v>
      </c>
      <c r="AO166" s="49"/>
      <c r="AR166" s="81"/>
      <c r="AS166" s="54"/>
      <c r="AT166" s="54"/>
    </row>
    <row r="167" spans="1:46" ht="15" customHeight="1" x14ac:dyDescent="0.4">
      <c r="A167" s="500"/>
      <c r="B167" s="534"/>
      <c r="C167" s="168"/>
      <c r="D167" s="168"/>
      <c r="E167" s="345" t="s">
        <v>596</v>
      </c>
      <c r="F167" s="535">
        <f>(V66-V64)/(T66-T64)</f>
        <v>2.5161242142857243</v>
      </c>
      <c r="G167" s="533" t="s">
        <v>595</v>
      </c>
      <c r="H167" s="168"/>
      <c r="I167" s="168"/>
      <c r="J167" s="168"/>
      <c r="K167" s="168"/>
      <c r="L167" s="168"/>
      <c r="M167" s="168"/>
      <c r="N167" s="536"/>
      <c r="P167" s="302"/>
      <c r="Z167" s="76"/>
      <c r="AE167" s="719"/>
      <c r="AJ167" s="25"/>
      <c r="AL167" s="87">
        <f t="shared" si="15"/>
        <v>0</v>
      </c>
      <c r="AM167" s="63">
        <f t="shared" si="14"/>
        <v>0</v>
      </c>
      <c r="AO167" s="49"/>
      <c r="AR167" s="81"/>
      <c r="AS167" s="54"/>
      <c r="AT167" s="54"/>
    </row>
    <row r="168" spans="1:46" x14ac:dyDescent="0.4">
      <c r="A168" s="500">
        <v>18</v>
      </c>
      <c r="B168" s="497"/>
      <c r="E168" s="57" t="s">
        <v>598</v>
      </c>
      <c r="F168" s="537">
        <f>(V67-V66)/(T67-T66)</f>
        <v>2.3175800999998817</v>
      </c>
      <c r="G168" s="302" t="s">
        <v>597</v>
      </c>
      <c r="N168" s="84"/>
      <c r="P168" s="631"/>
      <c r="Z168" s="76"/>
      <c r="AE168" s="719"/>
      <c r="AJ168" s="25"/>
      <c r="AL168" s="87">
        <f t="shared" si="15"/>
        <v>0</v>
      </c>
      <c r="AM168" s="63">
        <f t="shared" si="14"/>
        <v>0</v>
      </c>
      <c r="AO168" s="49"/>
      <c r="AR168" s="81"/>
      <c r="AS168" s="54"/>
      <c r="AT168" s="54"/>
    </row>
    <row r="169" spans="1:46" ht="15" thickBot="1" x14ac:dyDescent="0.45">
      <c r="A169" s="500"/>
      <c r="B169" s="538"/>
      <c r="C169" s="408"/>
      <c r="D169" s="408"/>
      <c r="E169" s="409" t="s">
        <v>600</v>
      </c>
      <c r="F169" s="539">
        <f>F168/F167-1</f>
        <v>-7.8908709338980421E-2</v>
      </c>
      <c r="G169" s="489" t="s">
        <v>599</v>
      </c>
      <c r="H169" s="408"/>
      <c r="I169" s="408"/>
      <c r="J169" s="408"/>
      <c r="K169" s="408"/>
      <c r="L169" s="408"/>
      <c r="M169" s="408"/>
      <c r="N169" s="540"/>
      <c r="P169" s="302"/>
      <c r="Z169" s="76"/>
      <c r="AE169" s="719"/>
      <c r="AJ169" s="25"/>
      <c r="AL169" s="87">
        <f t="shared" si="15"/>
        <v>0</v>
      </c>
      <c r="AM169" s="63">
        <f t="shared" si="14"/>
        <v>0</v>
      </c>
      <c r="AO169" s="49"/>
      <c r="AR169" s="81"/>
      <c r="AS169" s="54"/>
      <c r="AT169" s="54"/>
    </row>
    <row r="170" spans="1:46" ht="16.3" thickTop="1" x14ac:dyDescent="0.45">
      <c r="A170" s="500">
        <v>24</v>
      </c>
      <c r="B170" s="541"/>
      <c r="C170" s="314"/>
      <c r="D170" s="542"/>
      <c r="E170" s="374" t="s">
        <v>601</v>
      </c>
      <c r="F170" s="494">
        <f>C36-C35</f>
        <v>0.10000000000000009</v>
      </c>
      <c r="G170" s="495" t="s">
        <v>602</v>
      </c>
      <c r="H170" s="314"/>
      <c r="I170" s="314"/>
      <c r="J170" s="314"/>
      <c r="K170" s="314"/>
      <c r="L170" s="314"/>
      <c r="M170" s="314"/>
      <c r="N170" s="445"/>
      <c r="P170" s="302"/>
      <c r="Z170" s="76"/>
      <c r="AE170" s="719"/>
      <c r="AJ170" s="25"/>
      <c r="AL170" s="87">
        <f t="shared" si="15"/>
        <v>0</v>
      </c>
      <c r="AM170" s="63">
        <f t="shared" si="14"/>
        <v>0</v>
      </c>
      <c r="AO170" s="49"/>
      <c r="AR170" s="81"/>
      <c r="AS170" s="54"/>
      <c r="AT170" s="54"/>
    </row>
    <row r="171" spans="1:46" x14ac:dyDescent="0.4">
      <c r="A171" s="500">
        <v>26</v>
      </c>
      <c r="B171" s="497"/>
      <c r="C171" s="314"/>
      <c r="D171" s="498"/>
      <c r="E171" s="374" t="s">
        <v>604</v>
      </c>
      <c r="F171" s="499">
        <f>(T68-T67)/(T71-T64)</f>
        <v>5.7142857142857384E-2</v>
      </c>
      <c r="G171" s="495" t="s">
        <v>603</v>
      </c>
      <c r="H171" s="314"/>
      <c r="I171" s="314"/>
      <c r="J171" s="314"/>
      <c r="K171" s="314"/>
      <c r="L171" s="314"/>
      <c r="M171" s="314"/>
      <c r="N171" s="445"/>
      <c r="P171" s="302"/>
      <c r="Z171" s="76"/>
      <c r="AE171" s="719"/>
      <c r="AJ171" s="25"/>
      <c r="AL171" s="87">
        <f t="shared" si="15"/>
        <v>0</v>
      </c>
      <c r="AM171" s="63">
        <f t="shared" si="14"/>
        <v>0</v>
      </c>
      <c r="AO171" s="49"/>
      <c r="AR171" s="81"/>
      <c r="AS171" s="54"/>
      <c r="AT171" s="54"/>
    </row>
    <row r="172" spans="1:46" ht="15" thickBot="1" x14ac:dyDescent="0.45">
      <c r="A172" s="500">
        <v>25</v>
      </c>
      <c r="B172" s="507"/>
      <c r="E172" s="57" t="s">
        <v>605</v>
      </c>
      <c r="F172" s="543">
        <f>V68-V67</f>
        <v>2.6825000000000543E-2</v>
      </c>
      <c r="G172" s="302" t="s">
        <v>606</v>
      </c>
      <c r="N172" s="84"/>
      <c r="P172" s="631"/>
      <c r="Z172" s="76"/>
      <c r="AE172" s="719"/>
      <c r="AJ172" s="25"/>
      <c r="AL172" s="87">
        <f t="shared" si="15"/>
        <v>0</v>
      </c>
      <c r="AM172" s="63">
        <f t="shared" si="14"/>
        <v>0</v>
      </c>
      <c r="AO172" s="49"/>
      <c r="AR172" s="81"/>
      <c r="AS172" s="54"/>
      <c r="AT172" s="54"/>
    </row>
    <row r="173" spans="1:46" ht="15" thickTop="1" x14ac:dyDescent="0.4">
      <c r="A173" s="500">
        <v>38</v>
      </c>
      <c r="B173" s="541"/>
      <c r="C173" s="545"/>
      <c r="D173" s="545"/>
      <c r="E173" s="546" t="s">
        <v>607</v>
      </c>
      <c r="F173" s="547">
        <f>T70-T68</f>
        <v>0.88421755088421872</v>
      </c>
      <c r="G173" s="544" t="s">
        <v>608</v>
      </c>
      <c r="H173" s="545"/>
      <c r="I173" s="545"/>
      <c r="J173" s="545"/>
      <c r="K173" s="545"/>
      <c r="L173" s="545"/>
      <c r="M173" s="545"/>
      <c r="N173" s="548"/>
      <c r="P173" s="631"/>
      <c r="Z173" s="76"/>
      <c r="AE173" s="719"/>
      <c r="AJ173" s="25"/>
      <c r="AL173" s="87">
        <f t="shared" si="15"/>
        <v>0</v>
      </c>
      <c r="AM173" s="63">
        <f t="shared" si="14"/>
        <v>0</v>
      </c>
      <c r="AO173" s="49"/>
      <c r="AR173" s="81"/>
      <c r="AS173" s="54"/>
      <c r="AT173" s="54"/>
    </row>
    <row r="174" spans="1:46" x14ac:dyDescent="0.4">
      <c r="A174" s="500"/>
      <c r="B174" s="497"/>
      <c r="C174" s="314"/>
      <c r="D174" s="314"/>
      <c r="E174" s="374" t="s">
        <v>610</v>
      </c>
      <c r="F174" s="549">
        <f>(T70-T68)/(T71-T64)</f>
        <v>0.50476190476190552</v>
      </c>
      <c r="G174" s="519" t="s">
        <v>609</v>
      </c>
      <c r="H174" s="314"/>
      <c r="I174" s="314"/>
      <c r="J174" s="314"/>
      <c r="K174" s="314"/>
      <c r="L174" s="314"/>
      <c r="M174" s="314"/>
      <c r="N174" s="445"/>
      <c r="P174" s="631"/>
      <c r="Z174" s="76"/>
      <c r="AE174" s="719"/>
      <c r="AJ174" s="25"/>
      <c r="AL174" s="87">
        <f t="shared" si="15"/>
        <v>0</v>
      </c>
      <c r="AM174" s="63">
        <f t="shared" si="14"/>
        <v>0</v>
      </c>
      <c r="AO174" s="49"/>
      <c r="AR174" s="81"/>
      <c r="AS174" s="54"/>
      <c r="AT174" s="54"/>
    </row>
    <row r="175" spans="1:46" x14ac:dyDescent="0.4">
      <c r="A175" s="500"/>
      <c r="B175" s="497"/>
      <c r="C175" s="449"/>
      <c r="D175" s="449"/>
      <c r="E175" s="501" t="s">
        <v>612</v>
      </c>
      <c r="F175" s="502">
        <f>V68</f>
        <v>4.753574999999981</v>
      </c>
      <c r="G175" s="484" t="s">
        <v>611</v>
      </c>
      <c r="H175" s="450"/>
      <c r="I175" s="450"/>
      <c r="J175" s="449"/>
      <c r="K175" s="449"/>
      <c r="L175" s="449"/>
      <c r="M175" s="449"/>
      <c r="N175" s="451"/>
      <c r="P175" s="631"/>
      <c r="Z175" s="76"/>
      <c r="AE175" s="719"/>
      <c r="AJ175" s="25"/>
      <c r="AL175" s="87">
        <f t="shared" si="15"/>
        <v>0</v>
      </c>
      <c r="AM175" s="63">
        <f t="shared" si="14"/>
        <v>0</v>
      </c>
      <c r="AO175" s="49"/>
      <c r="AR175" s="81"/>
      <c r="AS175" s="54"/>
      <c r="AT175" s="54"/>
    </row>
    <row r="176" spans="1:46" x14ac:dyDescent="0.4">
      <c r="A176" s="500"/>
      <c r="B176" s="497"/>
      <c r="C176" s="449"/>
      <c r="D176" s="449"/>
      <c r="E176" s="501" t="s">
        <v>613</v>
      </c>
      <c r="F176" s="502">
        <f>(V70-V68)/(T70-T68)</f>
        <v>-0.58635174056597072</v>
      </c>
      <c r="G176" s="484" t="s">
        <v>614</v>
      </c>
      <c r="H176" s="449"/>
      <c r="I176" s="449"/>
      <c r="J176" s="449"/>
      <c r="K176" s="449"/>
      <c r="L176" s="449"/>
      <c r="M176" s="449"/>
      <c r="N176" s="451"/>
      <c r="P176" s="631"/>
      <c r="Z176" s="76"/>
      <c r="AE176" s="719"/>
      <c r="AJ176" s="25"/>
      <c r="AL176" s="87">
        <f t="shared" si="15"/>
        <v>0</v>
      </c>
      <c r="AM176" s="63">
        <f t="shared" si="14"/>
        <v>0</v>
      </c>
      <c r="AR176" s="81"/>
      <c r="AS176" s="54"/>
      <c r="AT176" s="54"/>
    </row>
    <row r="177" spans="1:46" x14ac:dyDescent="0.4">
      <c r="A177" s="500"/>
      <c r="B177" s="497"/>
      <c r="C177" s="449"/>
      <c r="D177" s="449"/>
      <c r="E177" s="501" t="s">
        <v>616</v>
      </c>
      <c r="F177" s="550">
        <f>E58</f>
        <v>0.89755658821767204</v>
      </c>
      <c r="G177" s="484" t="s">
        <v>615</v>
      </c>
      <c r="H177" s="449"/>
      <c r="I177" s="449"/>
      <c r="J177" s="449"/>
      <c r="K177" s="449"/>
      <c r="L177" s="449"/>
      <c r="M177" s="449"/>
      <c r="N177" s="451"/>
      <c r="P177" s="631"/>
      <c r="Z177" s="76"/>
      <c r="AE177" s="719"/>
      <c r="AJ177" s="25"/>
      <c r="AL177" s="87">
        <f t="shared" si="15"/>
        <v>0</v>
      </c>
      <c r="AM177" s="63">
        <f t="shared" si="14"/>
        <v>0</v>
      </c>
      <c r="AR177" s="81"/>
      <c r="AS177" s="54"/>
      <c r="AT177" s="54"/>
    </row>
    <row r="178" spans="1:46" x14ac:dyDescent="0.4">
      <c r="A178" s="500"/>
      <c r="B178" s="497"/>
      <c r="C178" s="314"/>
      <c r="D178" s="314"/>
      <c r="E178" s="374" t="s">
        <v>617</v>
      </c>
      <c r="F178" s="521">
        <f>V70-V68</f>
        <v>-0.51846249999994143</v>
      </c>
      <c r="G178" s="519" t="s">
        <v>618</v>
      </c>
      <c r="H178" s="314"/>
      <c r="I178" s="314"/>
      <c r="J178" s="314"/>
      <c r="K178" s="314"/>
      <c r="L178" s="314"/>
      <c r="M178" s="314"/>
      <c r="N178" s="445"/>
      <c r="P178" s="631"/>
      <c r="Z178" s="76"/>
      <c r="AE178" s="719"/>
      <c r="AJ178" s="25"/>
      <c r="AL178" s="87">
        <f t="shared" si="15"/>
        <v>0</v>
      </c>
      <c r="AM178" s="63">
        <f t="shared" si="14"/>
        <v>0</v>
      </c>
      <c r="AR178" s="81"/>
      <c r="AS178" s="54"/>
      <c r="AT178" s="54"/>
    </row>
    <row r="179" spans="1:46" x14ac:dyDescent="0.4">
      <c r="A179" s="500"/>
      <c r="B179" s="551"/>
      <c r="C179" s="552"/>
      <c r="D179" s="552"/>
      <c r="E179" s="553" t="s">
        <v>619</v>
      </c>
      <c r="F179" s="521">
        <f>(U70-U68)/(T70-T68)</f>
        <v>5.1371358490566053</v>
      </c>
      <c r="G179" s="519" t="s">
        <v>620</v>
      </c>
      <c r="H179" s="314"/>
      <c r="I179" s="314"/>
      <c r="J179" s="314"/>
      <c r="K179" s="314"/>
      <c r="L179" s="314"/>
      <c r="M179" s="314"/>
      <c r="N179" s="445"/>
      <c r="P179" s="631"/>
      <c r="Z179" s="76"/>
      <c r="AE179" s="719"/>
      <c r="AJ179" s="25"/>
      <c r="AL179" s="87">
        <f t="shared" si="15"/>
        <v>0</v>
      </c>
      <c r="AM179" s="63">
        <f t="shared" ref="AM179:AM242" si="18">IF(AND(AL179&gt;0,AD179&gt;0),AA179,0)</f>
        <v>0</v>
      </c>
      <c r="AR179" s="81"/>
      <c r="AS179" s="54"/>
      <c r="AT179" s="54"/>
    </row>
    <row r="180" spans="1:46" ht="16.3" thickBot="1" x14ac:dyDescent="0.5">
      <c r="A180" s="500">
        <v>34</v>
      </c>
      <c r="B180" s="531"/>
      <c r="C180" s="118"/>
      <c r="D180" s="136"/>
      <c r="E180" s="260" t="s">
        <v>622</v>
      </c>
      <c r="F180" s="554">
        <f>U70-U68</f>
        <v>4.5423456790123531</v>
      </c>
      <c r="G180" s="491" t="s">
        <v>621</v>
      </c>
      <c r="H180" s="118"/>
      <c r="I180" s="118"/>
      <c r="J180" s="118"/>
      <c r="K180" s="118"/>
      <c r="L180" s="118"/>
      <c r="M180" s="118"/>
      <c r="N180" s="425"/>
      <c r="P180" s="631"/>
      <c r="Z180" s="76"/>
      <c r="AE180" s="719"/>
      <c r="AJ180" s="25"/>
      <c r="AL180" s="87">
        <f t="shared" ref="AL180:AL243" si="19">IF(AA180&gt;(AL$49+0.05),AA180, )</f>
        <v>0</v>
      </c>
      <c r="AM180" s="63">
        <f t="shared" si="18"/>
        <v>0</v>
      </c>
      <c r="AR180" s="81"/>
      <c r="AS180" s="54"/>
      <c r="AT180" s="54"/>
    </row>
    <row r="181" spans="1:46" x14ac:dyDescent="0.4">
      <c r="A181" s="500"/>
      <c r="B181" s="534"/>
      <c r="C181" s="168"/>
      <c r="D181" s="168"/>
      <c r="E181" s="345" t="s">
        <v>623</v>
      </c>
      <c r="F181" s="555">
        <f>T69-T68</f>
        <v>0.58391725058391963</v>
      </c>
      <c r="G181" s="533" t="s">
        <v>624</v>
      </c>
      <c r="H181" s="511"/>
      <c r="I181" s="511"/>
      <c r="J181" s="168"/>
      <c r="K181" s="168"/>
      <c r="L181" s="168"/>
      <c r="M181" s="168"/>
      <c r="N181" s="442"/>
      <c r="P181" s="631"/>
      <c r="Z181" s="76"/>
      <c r="AE181" s="719"/>
      <c r="AJ181" s="25"/>
      <c r="AL181" s="87">
        <f t="shared" si="19"/>
        <v>0</v>
      </c>
      <c r="AM181" s="63">
        <f t="shared" si="18"/>
        <v>0</v>
      </c>
      <c r="AR181" s="81"/>
      <c r="AS181" s="54"/>
      <c r="AT181" s="54"/>
    </row>
    <row r="182" spans="1:46" x14ac:dyDescent="0.4">
      <c r="A182" s="63">
        <v>27</v>
      </c>
      <c r="B182" s="497"/>
      <c r="C182" s="449"/>
      <c r="D182" s="449"/>
      <c r="E182" s="501" t="s">
        <v>626</v>
      </c>
      <c r="F182" s="556">
        <f>(V69-V68)/(T69-T68)</f>
        <v>1.509674528571413</v>
      </c>
      <c r="G182" s="484" t="s">
        <v>625</v>
      </c>
      <c r="H182" s="449"/>
      <c r="I182" s="449"/>
      <c r="J182" s="449"/>
      <c r="K182" s="449"/>
      <c r="L182" s="449"/>
      <c r="M182" s="449"/>
      <c r="N182" s="451"/>
      <c r="P182" s="302"/>
      <c r="Z182" s="76"/>
      <c r="AE182" s="719"/>
      <c r="AJ182" s="25"/>
      <c r="AL182" s="87">
        <f t="shared" si="19"/>
        <v>0</v>
      </c>
      <c r="AM182" s="63">
        <f t="shared" si="18"/>
        <v>0</v>
      </c>
      <c r="AR182" s="81"/>
      <c r="AS182" s="54"/>
      <c r="AT182" s="54"/>
    </row>
    <row r="183" spans="1:46" ht="15" thickBot="1" x14ac:dyDescent="0.45">
      <c r="A183" s="63">
        <v>28</v>
      </c>
      <c r="B183" s="531"/>
      <c r="C183" s="118"/>
      <c r="D183" s="118"/>
      <c r="E183" s="260" t="s">
        <v>628</v>
      </c>
      <c r="F183" s="557">
        <f>E58</f>
        <v>0.89755658821767204</v>
      </c>
      <c r="G183" s="440" t="s">
        <v>627</v>
      </c>
      <c r="H183" s="118"/>
      <c r="I183" s="118"/>
      <c r="J183" s="118"/>
      <c r="K183" s="118"/>
      <c r="L183" s="118"/>
      <c r="M183" s="118"/>
      <c r="N183" s="425"/>
      <c r="P183" s="631"/>
      <c r="Z183" s="76"/>
      <c r="AE183" s="719"/>
      <c r="AJ183" s="25"/>
      <c r="AL183" s="87">
        <f t="shared" si="19"/>
        <v>0</v>
      </c>
      <c r="AM183" s="63">
        <f t="shared" si="18"/>
        <v>0</v>
      </c>
      <c r="AR183" s="81"/>
      <c r="AS183" s="54"/>
      <c r="AT183" s="54"/>
    </row>
    <row r="184" spans="1:46" x14ac:dyDescent="0.4">
      <c r="B184" s="534"/>
      <c r="C184" s="168"/>
      <c r="D184" s="168"/>
      <c r="E184" s="345" t="s">
        <v>629</v>
      </c>
      <c r="F184" s="558">
        <f>T69-T68</f>
        <v>0.58391725058391963</v>
      </c>
      <c r="G184" s="533" t="s">
        <v>630</v>
      </c>
      <c r="H184" s="168"/>
      <c r="I184" s="168"/>
      <c r="J184" s="168"/>
      <c r="K184" s="168"/>
      <c r="L184" s="168"/>
      <c r="M184" s="168"/>
      <c r="N184" s="442"/>
      <c r="P184" s="631"/>
      <c r="Z184" s="76"/>
      <c r="AE184" s="719"/>
      <c r="AJ184" s="25"/>
      <c r="AL184" s="87">
        <f t="shared" si="19"/>
        <v>0</v>
      </c>
      <c r="AM184" s="63">
        <f t="shared" si="18"/>
        <v>0</v>
      </c>
      <c r="AR184" s="81"/>
      <c r="AS184" s="54"/>
      <c r="AT184" s="54"/>
    </row>
    <row r="185" spans="1:46" x14ac:dyDescent="0.4">
      <c r="A185" s="441">
        <v>30</v>
      </c>
      <c r="B185" s="497"/>
      <c r="C185" s="449"/>
      <c r="D185" s="449"/>
      <c r="E185" s="501" t="s">
        <v>632</v>
      </c>
      <c r="F185" s="506">
        <f>V69</f>
        <v>5.6350999999999756</v>
      </c>
      <c r="G185" s="484" t="s">
        <v>631</v>
      </c>
      <c r="H185" s="449"/>
      <c r="I185" s="449"/>
      <c r="J185" s="449"/>
      <c r="K185" s="449"/>
      <c r="L185" s="449"/>
      <c r="M185" s="449"/>
      <c r="N185" s="451"/>
      <c r="P185" s="302"/>
      <c r="Z185" s="76"/>
      <c r="AE185" s="719"/>
      <c r="AJ185" s="25"/>
      <c r="AL185" s="87">
        <f t="shared" si="19"/>
        <v>0</v>
      </c>
      <c r="AM185" s="63">
        <f t="shared" si="18"/>
        <v>0</v>
      </c>
      <c r="AR185" s="81"/>
      <c r="AS185" s="54"/>
      <c r="AT185" s="54"/>
    </row>
    <row r="186" spans="1:46" ht="15" thickBot="1" x14ac:dyDescent="0.45">
      <c r="A186" s="441">
        <v>29</v>
      </c>
      <c r="B186" s="559"/>
      <c r="C186" s="560"/>
      <c r="D186" s="560"/>
      <c r="E186" s="561" t="s">
        <v>634</v>
      </c>
      <c r="F186" s="562">
        <f>(T69-T68)/(T70-T68)</f>
        <v>0.66037735849056789</v>
      </c>
      <c r="G186" s="440" t="s">
        <v>633</v>
      </c>
      <c r="H186" s="118"/>
      <c r="I186" s="118"/>
      <c r="J186" s="118"/>
      <c r="K186" s="118"/>
      <c r="L186" s="118"/>
      <c r="M186" s="118"/>
      <c r="N186" s="425"/>
      <c r="P186" s="631"/>
      <c r="AE186" s="70"/>
      <c r="AJ186" s="25"/>
      <c r="AL186" s="87">
        <f t="shared" si="19"/>
        <v>0</v>
      </c>
      <c r="AM186" s="63">
        <f t="shared" si="18"/>
        <v>0</v>
      </c>
      <c r="AR186" s="81"/>
      <c r="AS186" s="54"/>
      <c r="AT186" s="54"/>
    </row>
    <row r="187" spans="1:46" x14ac:dyDescent="0.4">
      <c r="B187" s="534"/>
      <c r="C187" s="314"/>
      <c r="D187" s="314"/>
      <c r="E187" s="374" t="s">
        <v>635</v>
      </c>
      <c r="F187" s="558">
        <f>T70-T69</f>
        <v>0.30030030030029908</v>
      </c>
      <c r="G187" s="533" t="s">
        <v>636</v>
      </c>
      <c r="H187" s="511"/>
      <c r="I187" s="511"/>
      <c r="J187" s="168"/>
      <c r="K187" s="168"/>
      <c r="L187" s="168"/>
      <c r="M187" s="168"/>
      <c r="N187" s="442"/>
      <c r="P187" s="631"/>
      <c r="AE187" s="70"/>
      <c r="AJ187" s="25"/>
      <c r="AL187" s="87">
        <f t="shared" si="19"/>
        <v>0</v>
      </c>
      <c r="AM187" s="63">
        <f t="shared" si="18"/>
        <v>0</v>
      </c>
      <c r="AR187" s="81"/>
      <c r="AS187" s="54"/>
      <c r="AT187" s="54"/>
    </row>
    <row r="188" spans="1:46" x14ac:dyDescent="0.4">
      <c r="A188">
        <v>32</v>
      </c>
      <c r="B188" s="563"/>
      <c r="C188" s="481"/>
      <c r="D188" s="481"/>
      <c r="E188" s="482" t="s">
        <v>638</v>
      </c>
      <c r="F188" s="506">
        <f>(V70-V69)/(T70-T69)</f>
        <v>-4.6619583749998057</v>
      </c>
      <c r="G188" s="484" t="s">
        <v>637</v>
      </c>
      <c r="H188" s="450"/>
      <c r="I188" s="450"/>
      <c r="J188" s="449"/>
      <c r="K188" s="449"/>
      <c r="L188" s="449"/>
      <c r="M188" s="314"/>
      <c r="N188" s="445"/>
      <c r="P188" s="302"/>
      <c r="AE188" s="70"/>
      <c r="AJ188" s="25"/>
      <c r="AL188" s="87">
        <f t="shared" si="19"/>
        <v>0</v>
      </c>
      <c r="AM188" s="63">
        <f t="shared" si="18"/>
        <v>0</v>
      </c>
      <c r="AR188" s="81"/>
      <c r="AS188" s="54"/>
      <c r="AT188" s="54"/>
    </row>
    <row r="189" spans="1:46" ht="15" thickBot="1" x14ac:dyDescent="0.45">
      <c r="A189">
        <v>33</v>
      </c>
      <c r="B189" s="507"/>
      <c r="C189" s="339"/>
      <c r="E189" s="57" t="s">
        <v>639</v>
      </c>
      <c r="F189" s="564">
        <f>V79</f>
        <v>1.2551481114415226</v>
      </c>
      <c r="G189" s="302" t="s">
        <v>640</v>
      </c>
      <c r="H189"/>
      <c r="I189"/>
      <c r="N189" s="84"/>
      <c r="P189" s="631"/>
      <c r="AE189" s="70"/>
      <c r="AJ189" s="25"/>
      <c r="AL189" s="87">
        <f t="shared" si="19"/>
        <v>0</v>
      </c>
      <c r="AM189" s="63">
        <f t="shared" si="18"/>
        <v>0</v>
      </c>
      <c r="AR189" s="81"/>
      <c r="AS189" s="54"/>
      <c r="AT189" s="54"/>
    </row>
    <row r="190" spans="1:46" ht="15" thickTop="1" x14ac:dyDescent="0.4">
      <c r="B190" s="565"/>
      <c r="C190" s="545"/>
      <c r="D190" s="545"/>
      <c r="E190" s="546" t="s">
        <v>641</v>
      </c>
      <c r="F190" s="547">
        <f>T71-T64</f>
        <v>1.7517517517517516</v>
      </c>
      <c r="G190" s="544" t="s">
        <v>642</v>
      </c>
      <c r="H190" s="566"/>
      <c r="I190" s="566"/>
      <c r="J190" s="545"/>
      <c r="K190" s="545"/>
      <c r="L190" s="545"/>
      <c r="M190" s="545"/>
      <c r="N190" s="548"/>
      <c r="P190" s="631"/>
      <c r="AE190" s="70"/>
      <c r="AJ190" s="25"/>
      <c r="AL190" s="87">
        <f t="shared" si="19"/>
        <v>0</v>
      </c>
      <c r="AM190" s="63">
        <f t="shared" si="18"/>
        <v>0</v>
      </c>
      <c r="AR190" s="81"/>
      <c r="AS190" s="54"/>
      <c r="AT190" s="54"/>
    </row>
    <row r="191" spans="1:46" x14ac:dyDescent="0.4">
      <c r="B191" s="567"/>
      <c r="C191" s="449"/>
      <c r="D191" s="449"/>
      <c r="E191" s="501" t="s">
        <v>643</v>
      </c>
      <c r="F191" s="502">
        <f>F190*F192</f>
        <v>8.0519753086419854</v>
      </c>
      <c r="G191" s="484" t="s">
        <v>644</v>
      </c>
      <c r="H191" s="449"/>
      <c r="I191" s="449"/>
      <c r="J191" s="449"/>
      <c r="K191" s="449"/>
      <c r="L191" s="449"/>
      <c r="M191" s="449"/>
      <c r="N191" s="451"/>
      <c r="P191" s="631"/>
      <c r="AE191" s="70"/>
      <c r="AJ191" s="25"/>
      <c r="AL191" s="87">
        <f t="shared" si="19"/>
        <v>0</v>
      </c>
      <c r="AM191" s="63">
        <f t="shared" si="18"/>
        <v>0</v>
      </c>
      <c r="AR191" s="81"/>
      <c r="AS191" s="54"/>
      <c r="AT191" s="54"/>
    </row>
    <row r="192" spans="1:46" ht="15" thickBot="1" x14ac:dyDescent="0.45">
      <c r="A192" s="568"/>
      <c r="B192" s="569"/>
      <c r="C192" s="570"/>
      <c r="D192" s="570"/>
      <c r="E192" s="571" t="s">
        <v>646</v>
      </c>
      <c r="F192" s="572">
        <f>(U71-U64)/(T71-T64)</f>
        <v>4.5965276190476256</v>
      </c>
      <c r="G192" s="489" t="s">
        <v>645</v>
      </c>
      <c r="H192" s="573"/>
      <c r="I192" s="573"/>
      <c r="J192" s="408"/>
      <c r="K192" s="408"/>
      <c r="L192" s="408"/>
      <c r="M192" s="408"/>
      <c r="N192" s="490"/>
      <c r="AE192" s="70"/>
      <c r="AJ192" s="25"/>
      <c r="AL192" s="87">
        <f t="shared" si="19"/>
        <v>0</v>
      </c>
      <c r="AM192" s="63">
        <f t="shared" si="18"/>
        <v>0</v>
      </c>
      <c r="AR192" s="81"/>
      <c r="AS192" s="54"/>
      <c r="AT192" s="54"/>
    </row>
    <row r="193" spans="1:57" ht="15" thickTop="1" x14ac:dyDescent="0.4">
      <c r="A193" s="63">
        <v>40</v>
      </c>
      <c r="B193" s="565"/>
      <c r="C193" s="545"/>
      <c r="D193" s="545"/>
      <c r="E193" s="574" t="s">
        <v>647</v>
      </c>
      <c r="F193" s="575">
        <f>AM50</f>
        <v>0.54240240240240145</v>
      </c>
      <c r="G193" s="544" t="s">
        <v>648</v>
      </c>
      <c r="H193" s="566"/>
      <c r="I193" s="566"/>
      <c r="J193" s="545"/>
      <c r="K193" s="545"/>
      <c r="L193" s="545"/>
      <c r="M193" s="545"/>
      <c r="N193" s="548"/>
      <c r="AE193" s="70"/>
      <c r="AJ193" s="25"/>
      <c r="AL193" s="87">
        <f t="shared" si="19"/>
        <v>0</v>
      </c>
      <c r="AM193" s="63">
        <f t="shared" si="18"/>
        <v>0</v>
      </c>
      <c r="AR193" s="81"/>
      <c r="AS193" s="54"/>
      <c r="AT193" s="54"/>
    </row>
    <row r="194" spans="1:57" ht="15" thickBot="1" x14ac:dyDescent="0.45">
      <c r="A194" s="63">
        <v>41</v>
      </c>
      <c r="B194" s="576"/>
      <c r="C194" s="570"/>
      <c r="D194" s="570"/>
      <c r="E194" s="577" t="s">
        <v>649</v>
      </c>
      <c r="F194" s="578">
        <f>AM50/(T71-T64)</f>
        <v>0.3096342857142852</v>
      </c>
      <c r="G194" s="489" t="s">
        <v>650</v>
      </c>
      <c r="H194" s="573"/>
      <c r="I194" s="573"/>
      <c r="J194" s="408"/>
      <c r="K194" s="408"/>
      <c r="L194" s="408"/>
      <c r="M194" s="408"/>
      <c r="N194" s="490"/>
      <c r="AE194" s="70"/>
      <c r="AJ194" s="25"/>
      <c r="AL194" s="87">
        <f t="shared" si="19"/>
        <v>0</v>
      </c>
      <c r="AM194" s="63">
        <f t="shared" si="18"/>
        <v>0</v>
      </c>
      <c r="AR194" s="81"/>
      <c r="AS194" s="54"/>
      <c r="AT194" s="54"/>
    </row>
    <row r="195" spans="1:57" ht="15" thickTop="1" x14ac:dyDescent="0.4">
      <c r="A195" s="63">
        <v>42</v>
      </c>
      <c r="B195" s="579"/>
      <c r="C195" s="545"/>
      <c r="D195" s="545"/>
      <c r="E195" s="546" t="s">
        <v>651</v>
      </c>
      <c r="F195" s="580">
        <f>T68-T63</f>
        <v>0.9009009009009008</v>
      </c>
      <c r="G195" s="581" t="s">
        <v>652</v>
      </c>
      <c r="H195" s="545"/>
      <c r="I195" s="545"/>
      <c r="J195" s="545"/>
      <c r="K195" s="545"/>
      <c r="L195" s="545"/>
      <c r="M195" s="545"/>
      <c r="N195" s="548"/>
      <c r="AE195" s="70"/>
      <c r="AJ195" s="25"/>
      <c r="AL195" s="87">
        <f t="shared" si="19"/>
        <v>0</v>
      </c>
      <c r="AM195" s="63">
        <f t="shared" si="18"/>
        <v>0</v>
      </c>
      <c r="AR195" s="81"/>
      <c r="AS195" s="54"/>
      <c r="AT195" s="54"/>
    </row>
    <row r="196" spans="1:57" x14ac:dyDescent="0.4">
      <c r="A196" s="582">
        <v>43</v>
      </c>
      <c r="B196" s="512"/>
      <c r="C196" s="449"/>
      <c r="D196" s="449"/>
      <c r="E196" s="501" t="s">
        <v>653</v>
      </c>
      <c r="F196" s="583">
        <f>(V68-   ((U71-U64)/(T71-T64))  )*2</f>
        <v>0.31409476190471075</v>
      </c>
      <c r="G196" s="484" t="s">
        <v>654</v>
      </c>
      <c r="H196" s="449"/>
      <c r="I196" s="449"/>
      <c r="J196" s="449"/>
      <c r="K196" s="449"/>
      <c r="L196" s="449"/>
      <c r="M196" s="449"/>
      <c r="N196" s="451"/>
      <c r="AE196" s="70"/>
      <c r="AJ196" s="25"/>
      <c r="AL196" s="87">
        <f t="shared" si="19"/>
        <v>0</v>
      </c>
      <c r="AM196" s="63">
        <f t="shared" si="18"/>
        <v>0</v>
      </c>
      <c r="AR196" s="81"/>
      <c r="AS196" s="54"/>
      <c r="AT196" s="54"/>
      <c r="BB196" s="63" t="str">
        <f t="shared" ref="BB196:BB201" si="20" xml:space="preserve"> IF(AND(AA196&gt;=T255,AA196&lt;=T260),IF(AD196&gt;0,AD196*BF194,""),"")</f>
        <v/>
      </c>
      <c r="BD196" s="63" t="str">
        <f t="shared" ref="BD196" si="21" xml:space="preserve"> IF(AND(AA196&gt;=T$68,AA196&lt;=T$71),IF(AD196&gt;0,AD196*BF$2,""),"")</f>
        <v/>
      </c>
      <c r="BE196" s="63" t="str">
        <f t="shared" ref="BE196" si="22" xml:space="preserve"> IF(AND(AA196&gt;=T$68,AA196&lt;=T$71),IF(AD196&lt;0,AD196*BF$2,""),"")</f>
        <v/>
      </c>
    </row>
    <row r="197" spans="1:57" x14ac:dyDescent="0.4">
      <c r="A197">
        <v>44</v>
      </c>
      <c r="B197" s="512"/>
      <c r="C197" s="449"/>
      <c r="D197" s="449"/>
      <c r="E197" s="501" t="s">
        <v>655</v>
      </c>
      <c r="F197" s="584">
        <f>F196/F195</f>
        <v>0.34864518571422898</v>
      </c>
      <c r="G197" s="484" t="s">
        <v>656</v>
      </c>
      <c r="H197" s="449"/>
      <c r="I197" s="449"/>
      <c r="J197" s="449"/>
      <c r="K197" s="449"/>
      <c r="L197" s="449"/>
      <c r="M197" s="449"/>
      <c r="N197" s="451"/>
      <c r="AE197" s="70"/>
      <c r="AJ197" s="25"/>
      <c r="AL197" s="87">
        <f t="shared" si="19"/>
        <v>0</v>
      </c>
      <c r="AM197" s="63">
        <f t="shared" si="18"/>
        <v>0</v>
      </c>
      <c r="AR197" s="81"/>
      <c r="AS197" s="54"/>
      <c r="AT197" s="54"/>
      <c r="BB197" s="63" t="str">
        <f t="shared" si="20"/>
        <v/>
      </c>
      <c r="BD197" s="63" t="str">
        <f t="shared" ref="BD197:BD200" si="23" xml:space="preserve"> IF(AND(AA197&gt;=T$68,AA197&lt;=T$71),IF(AD197&gt;0,AD197*BF$2,""),"")</f>
        <v/>
      </c>
      <c r="BE197" s="63" t="str">
        <f t="shared" ref="BE197:BE200" si="24" xml:space="preserve"> IF(AND(AA197&gt;=T$68,AA197&lt;=T$71),IF(AD197&lt;0,AD197*BF$2,""),"")</f>
        <v/>
      </c>
    </row>
    <row r="198" spans="1:57" x14ac:dyDescent="0.4">
      <c r="A198">
        <v>45</v>
      </c>
      <c r="B198" s="512"/>
      <c r="C198" s="449"/>
      <c r="D198" s="449"/>
      <c r="E198" s="501" t="s">
        <v>657</v>
      </c>
      <c r="F198" s="584">
        <f>U68-U63</f>
        <v>3.6398225308641994</v>
      </c>
      <c r="G198" s="484" t="s">
        <v>658</v>
      </c>
      <c r="H198" s="449"/>
      <c r="I198" s="449"/>
      <c r="J198" s="449"/>
      <c r="K198" s="449"/>
      <c r="L198" s="449"/>
      <c r="M198" s="449"/>
      <c r="N198" s="451"/>
      <c r="AE198" s="70"/>
      <c r="AJ198" s="25"/>
      <c r="AL198" s="87">
        <f t="shared" si="19"/>
        <v>0</v>
      </c>
      <c r="AM198" s="63">
        <f t="shared" si="18"/>
        <v>0</v>
      </c>
      <c r="AR198" s="81"/>
      <c r="AS198" s="54"/>
      <c r="AT198" s="54"/>
      <c r="BB198" s="63" t="str">
        <f t="shared" si="20"/>
        <v/>
      </c>
      <c r="BD198" s="63" t="str">
        <f t="shared" si="23"/>
        <v/>
      </c>
      <c r="BE198" s="63" t="str">
        <f t="shared" si="24"/>
        <v/>
      </c>
    </row>
    <row r="199" spans="1:57" x14ac:dyDescent="0.4">
      <c r="A199">
        <v>46</v>
      </c>
      <c r="B199" s="512"/>
      <c r="C199" s="449"/>
      <c r="D199" s="449"/>
      <c r="E199" s="501" t="s">
        <v>659</v>
      </c>
      <c r="F199" s="585">
        <f>T70-T68</f>
        <v>0.88421755088421872</v>
      </c>
      <c r="G199" s="484" t="s">
        <v>660</v>
      </c>
      <c r="H199" s="449"/>
      <c r="I199" s="449"/>
      <c r="J199" s="449"/>
      <c r="K199" s="449"/>
      <c r="L199" s="449"/>
      <c r="M199" s="449"/>
      <c r="N199" s="451"/>
      <c r="AE199" s="70"/>
      <c r="AJ199" s="25"/>
      <c r="AL199" s="87">
        <f t="shared" si="19"/>
        <v>0</v>
      </c>
      <c r="AM199" s="63">
        <f t="shared" si="18"/>
        <v>0</v>
      </c>
      <c r="AR199" s="81"/>
      <c r="AS199" s="54"/>
      <c r="AT199" s="54"/>
      <c r="BB199" s="63" t="str">
        <f t="shared" si="20"/>
        <v/>
      </c>
      <c r="BD199" s="63" t="str">
        <f t="shared" si="23"/>
        <v/>
      </c>
      <c r="BE199" s="63" t="str">
        <f t="shared" si="24"/>
        <v/>
      </c>
    </row>
    <row r="200" spans="1:57" x14ac:dyDescent="0.4">
      <c r="A200">
        <v>47</v>
      </c>
      <c r="B200" s="512"/>
      <c r="C200" s="449"/>
      <c r="D200" s="449"/>
      <c r="E200" s="501" t="s">
        <v>661</v>
      </c>
      <c r="F200" s="583">
        <f>(  ((U71-U64)/(T71-T64)) -V68  )*2</f>
        <v>-0.31409476190471075</v>
      </c>
      <c r="G200" s="484" t="s">
        <v>662</v>
      </c>
      <c r="H200" s="449"/>
      <c r="I200" s="449"/>
      <c r="J200" s="449"/>
      <c r="K200" s="449"/>
      <c r="L200" s="449"/>
      <c r="M200" s="449"/>
      <c r="N200" s="451"/>
      <c r="AE200" s="70"/>
      <c r="AJ200" s="25"/>
      <c r="AL200" s="87">
        <f t="shared" si="19"/>
        <v>0</v>
      </c>
      <c r="AM200" s="63">
        <f t="shared" si="18"/>
        <v>0</v>
      </c>
      <c r="AR200" s="81"/>
      <c r="AS200" s="54"/>
      <c r="AT200" s="54"/>
      <c r="BB200" s="63" t="str">
        <f t="shared" si="20"/>
        <v/>
      </c>
      <c r="BD200" s="63" t="str">
        <f t="shared" si="23"/>
        <v/>
      </c>
      <c r="BE200" s="63" t="str">
        <f t="shared" si="24"/>
        <v/>
      </c>
    </row>
    <row r="201" spans="1:57" ht="15.9" x14ac:dyDescent="0.45">
      <c r="A201">
        <v>48</v>
      </c>
      <c r="B201" s="512"/>
      <c r="C201" s="449"/>
      <c r="D201" s="449"/>
      <c r="E201" s="501" t="s">
        <v>663</v>
      </c>
      <c r="F201" s="586">
        <f>F200/F199</f>
        <v>-0.35522339676544035</v>
      </c>
      <c r="G201" s="484" t="s">
        <v>664</v>
      </c>
      <c r="H201" s="449"/>
      <c r="I201" s="449"/>
      <c r="J201" s="449"/>
      <c r="K201" s="449"/>
      <c r="L201" s="449"/>
      <c r="M201" s="449"/>
      <c r="N201" s="451"/>
      <c r="U201" s="459"/>
      <c r="V201" s="40"/>
      <c r="AE201" s="53"/>
      <c r="AJ201" s="25"/>
      <c r="AL201" s="87">
        <f t="shared" si="19"/>
        <v>0</v>
      </c>
      <c r="AM201" s="63">
        <f t="shared" si="18"/>
        <v>0</v>
      </c>
      <c r="AR201" s="81"/>
      <c r="AS201" s="54"/>
      <c r="AT201" s="54"/>
      <c r="BB201" s="63" t="str">
        <f t="shared" si="20"/>
        <v/>
      </c>
    </row>
    <row r="202" spans="1:57" ht="16.3" thickBot="1" x14ac:dyDescent="0.5">
      <c r="A202">
        <v>49</v>
      </c>
      <c r="B202" s="407"/>
      <c r="C202" s="408"/>
      <c r="D202" s="408"/>
      <c r="E202" s="409" t="s">
        <v>665</v>
      </c>
      <c r="F202" s="587">
        <f>U70-U68</f>
        <v>4.5423456790123531</v>
      </c>
      <c r="G202" s="489" t="s">
        <v>666</v>
      </c>
      <c r="H202" s="408"/>
      <c r="I202" s="408"/>
      <c r="J202" s="408"/>
      <c r="K202" s="408"/>
      <c r="L202" s="408"/>
      <c r="M202" s="408"/>
      <c r="N202" s="490"/>
      <c r="U202" s="459"/>
      <c r="V202" s="40"/>
      <c r="AE202" s="53"/>
      <c r="AJ202" s="25"/>
      <c r="AL202" s="87">
        <f t="shared" si="19"/>
        <v>0</v>
      </c>
      <c r="AM202" s="63">
        <f t="shared" si="18"/>
        <v>0</v>
      </c>
      <c r="AR202" s="81"/>
      <c r="AS202" s="54"/>
      <c r="AT202" s="54"/>
    </row>
    <row r="203" spans="1:57" ht="16.3" thickTop="1" x14ac:dyDescent="0.45">
      <c r="A203">
        <v>50</v>
      </c>
      <c r="B203" s="579"/>
      <c r="C203" s="545"/>
      <c r="D203" s="545"/>
      <c r="E203" s="588" t="s">
        <v>667</v>
      </c>
      <c r="F203" s="589">
        <f>((U68-U63)/(T68-T63))</f>
        <v>4.0402030092592618</v>
      </c>
      <c r="G203" s="581" t="s">
        <v>668</v>
      </c>
      <c r="H203" s="545"/>
      <c r="I203" s="545"/>
      <c r="J203" s="545"/>
      <c r="K203" s="545"/>
      <c r="L203" s="545"/>
      <c r="M203" s="545"/>
      <c r="N203" s="548"/>
      <c r="U203" s="459"/>
      <c r="V203" s="40"/>
      <c r="AE203" s="53"/>
      <c r="AJ203" s="25"/>
      <c r="AL203" s="87">
        <f t="shared" si="19"/>
        <v>0</v>
      </c>
      <c r="AM203" s="63">
        <f t="shared" si="18"/>
        <v>0</v>
      </c>
      <c r="AR203" s="81"/>
      <c r="AS203" s="54"/>
      <c r="AT203" s="54"/>
    </row>
    <row r="204" spans="1:57" ht="15.9" x14ac:dyDescent="0.45">
      <c r="A204">
        <v>51</v>
      </c>
      <c r="B204" s="512"/>
      <c r="C204" s="449"/>
      <c r="D204" s="449"/>
      <c r="E204" s="590" t="s">
        <v>669</v>
      </c>
      <c r="F204" s="591">
        <f>((U68-U63)/(T68-T63))-((U71-U64)/(T71-T64))</f>
        <v>-0.55632460978836384</v>
      </c>
      <c r="G204" s="592" t="s">
        <v>670</v>
      </c>
      <c r="H204" s="449"/>
      <c r="I204" s="449"/>
      <c r="J204" s="449"/>
      <c r="K204" s="449"/>
      <c r="L204" s="449"/>
      <c r="M204" s="449"/>
      <c r="N204" s="451"/>
      <c r="U204" s="459"/>
      <c r="V204" s="40"/>
      <c r="AE204" s="53"/>
      <c r="AJ204" s="25"/>
      <c r="AL204" s="87">
        <f t="shared" si="19"/>
        <v>0</v>
      </c>
      <c r="AM204" s="63">
        <f t="shared" si="18"/>
        <v>0</v>
      </c>
      <c r="AR204" s="81"/>
      <c r="AS204" s="54"/>
      <c r="AT204" s="54"/>
    </row>
    <row r="205" spans="1:57" ht="16.3" thickBot="1" x14ac:dyDescent="0.5">
      <c r="A205">
        <v>52</v>
      </c>
      <c r="B205" s="350"/>
      <c r="C205" s="351"/>
      <c r="D205" s="351"/>
      <c r="E205" s="593" t="s">
        <v>671</v>
      </c>
      <c r="F205" s="594">
        <f>((U68-U63)/(T68-T63))/((U71-U64)/(T71-T64))</f>
        <v>0.87896850494642931</v>
      </c>
      <c r="G205" s="595" t="s">
        <v>672</v>
      </c>
      <c r="H205" s="351"/>
      <c r="I205" s="351"/>
      <c r="J205" s="351"/>
      <c r="K205" s="351"/>
      <c r="L205" s="351"/>
      <c r="M205" s="351"/>
      <c r="N205" s="518"/>
      <c r="U205" s="459"/>
      <c r="V205" s="40"/>
      <c r="AE205" s="53"/>
      <c r="AJ205" s="25"/>
      <c r="AL205" s="87">
        <f t="shared" si="19"/>
        <v>0</v>
      </c>
      <c r="AM205" s="63">
        <f t="shared" si="18"/>
        <v>0</v>
      </c>
      <c r="AR205" s="81"/>
      <c r="AS205" s="54"/>
      <c r="AT205" s="54"/>
    </row>
    <row r="206" spans="1:57" ht="15.9" x14ac:dyDescent="0.45">
      <c r="A206" s="63">
        <v>53</v>
      </c>
      <c r="B206" s="596"/>
      <c r="C206" s="552"/>
      <c r="D206" s="552"/>
      <c r="E206" s="597" t="s">
        <v>673</v>
      </c>
      <c r="F206" s="598">
        <f>((U70-U68)/(T70-T68))</f>
        <v>5.1371358490566053</v>
      </c>
      <c r="G206" s="599" t="s">
        <v>674</v>
      </c>
      <c r="H206" s="314"/>
      <c r="I206" s="314"/>
      <c r="J206" s="314"/>
      <c r="K206" s="314"/>
      <c r="L206" s="314"/>
      <c r="M206" s="314"/>
      <c r="N206" s="445"/>
      <c r="U206" s="459"/>
      <c r="V206" s="40"/>
      <c r="AE206" s="53"/>
      <c r="AJ206" s="25"/>
      <c r="AL206" s="87">
        <f t="shared" si="19"/>
        <v>0</v>
      </c>
      <c r="AM206" s="63">
        <f t="shared" si="18"/>
        <v>0</v>
      </c>
      <c r="AR206" s="81"/>
      <c r="AS206" s="54"/>
      <c r="AT206" s="54"/>
    </row>
    <row r="207" spans="1:57" ht="15.9" x14ac:dyDescent="0.45">
      <c r="A207" s="63">
        <v>54</v>
      </c>
      <c r="B207" s="512"/>
      <c r="C207" s="449"/>
      <c r="D207" s="449"/>
      <c r="E207" s="590" t="s">
        <v>675</v>
      </c>
      <c r="F207" s="585">
        <f>((U70-U68)/(T70-T68))-((U71-U64)/(T71-T64))</f>
        <v>0.54060823000897962</v>
      </c>
      <c r="G207" s="592" t="s">
        <v>676</v>
      </c>
      <c r="H207" s="449"/>
      <c r="I207" s="449"/>
      <c r="J207" s="449"/>
      <c r="K207" s="449"/>
      <c r="L207" s="449"/>
      <c r="M207" s="449"/>
      <c r="N207" s="451"/>
      <c r="S207" s="24"/>
      <c r="U207" s="459"/>
      <c r="V207" s="40"/>
      <c r="AE207" s="53"/>
      <c r="AJ207" s="25"/>
      <c r="AL207" s="87">
        <f t="shared" si="19"/>
        <v>0</v>
      </c>
      <c r="AM207" s="63">
        <f t="shared" si="18"/>
        <v>0</v>
      </c>
      <c r="AR207" s="81"/>
      <c r="AS207" s="54"/>
      <c r="AT207" s="54"/>
    </row>
    <row r="208" spans="1:57" ht="16.3" thickBot="1" x14ac:dyDescent="0.5">
      <c r="A208" s="63">
        <v>55</v>
      </c>
      <c r="B208" s="350"/>
      <c r="C208" s="351"/>
      <c r="D208" s="351"/>
      <c r="E208" s="593" t="s">
        <v>677</v>
      </c>
      <c r="F208" s="600">
        <f>((U70-U68)/(T70-T68))/((U71-U64)/(T71-T64))</f>
        <v>1.1176123097289232</v>
      </c>
      <c r="G208" s="595" t="s">
        <v>678</v>
      </c>
      <c r="H208" s="351"/>
      <c r="I208" s="351"/>
      <c r="J208" s="351"/>
      <c r="K208" s="351"/>
      <c r="L208" s="351"/>
      <c r="M208" s="351"/>
      <c r="N208" s="518"/>
      <c r="S208" s="52"/>
      <c r="U208" s="459"/>
      <c r="V208" s="40"/>
      <c r="AE208" s="53"/>
      <c r="AJ208" s="25"/>
      <c r="AL208" s="87">
        <f t="shared" si="19"/>
        <v>0</v>
      </c>
      <c r="AM208" s="63">
        <f t="shared" si="18"/>
        <v>0</v>
      </c>
      <c r="AR208" s="81"/>
      <c r="AS208" s="54"/>
      <c r="AT208" s="54"/>
    </row>
    <row r="209" spans="1:46" x14ac:dyDescent="0.4">
      <c r="A209" s="63">
        <v>56</v>
      </c>
      <c r="B209" s="313"/>
      <c r="C209" s="168"/>
      <c r="D209" s="168"/>
      <c r="E209" s="601" t="s">
        <v>679</v>
      </c>
      <c r="F209" s="602">
        <f>(V68-I28)*2</f>
        <v>0.31409476190471075</v>
      </c>
      <c r="G209" s="599" t="s">
        <v>680</v>
      </c>
      <c r="H209" s="168"/>
      <c r="I209" s="168"/>
      <c r="J209" s="168"/>
      <c r="K209" s="168"/>
      <c r="L209" s="168"/>
      <c r="M209" s="168"/>
      <c r="N209" s="442"/>
      <c r="S209" s="53"/>
      <c r="AE209" s="53"/>
      <c r="AJ209" s="25"/>
      <c r="AL209" s="87">
        <f t="shared" si="19"/>
        <v>0</v>
      </c>
      <c r="AM209" s="63">
        <f t="shared" si="18"/>
        <v>0</v>
      </c>
      <c r="AR209" s="81"/>
      <c r="AS209" s="54"/>
      <c r="AT209" s="54"/>
    </row>
    <row r="210" spans="1:46" x14ac:dyDescent="0.4">
      <c r="A210" s="63">
        <v>57</v>
      </c>
      <c r="B210" s="603"/>
      <c r="C210" s="604"/>
      <c r="D210" s="604"/>
      <c r="E210" s="605" t="s">
        <v>681</v>
      </c>
      <c r="F210" s="606">
        <f>V69-W72</f>
        <v>2.3402457568806869</v>
      </c>
      <c r="G210" s="592" t="s">
        <v>682</v>
      </c>
      <c r="H210" s="314"/>
      <c r="I210" s="314"/>
      <c r="J210" s="314"/>
      <c r="K210" s="314"/>
      <c r="L210" s="314"/>
      <c r="M210" s="314"/>
      <c r="N210" s="445"/>
      <c r="S210" s="53"/>
      <c r="AE210" s="70"/>
      <c r="AJ210" s="25"/>
      <c r="AL210" s="87">
        <f t="shared" si="19"/>
        <v>0</v>
      </c>
      <c r="AM210" s="63">
        <f t="shared" si="18"/>
        <v>0</v>
      </c>
      <c r="AR210" s="81"/>
      <c r="AS210" s="54"/>
      <c r="AT210" s="54"/>
    </row>
    <row r="211" spans="1:46" ht="15" thickBot="1" x14ac:dyDescent="0.45">
      <c r="A211" s="63">
        <v>58</v>
      </c>
      <c r="B211" s="350"/>
      <c r="C211" s="351"/>
      <c r="D211" s="351"/>
      <c r="E211" s="468" t="s">
        <v>683</v>
      </c>
      <c r="F211" s="594">
        <f>((V68-I28)*2)/(V69-V72)</f>
        <v>0.13509524756787636</v>
      </c>
      <c r="G211" s="595" t="s">
        <v>684</v>
      </c>
      <c r="H211" s="351"/>
      <c r="I211" s="351"/>
      <c r="J211" s="351"/>
      <c r="K211" s="351"/>
      <c r="L211" s="351"/>
      <c r="M211" s="351"/>
      <c r="N211" s="518"/>
      <c r="S211" s="77"/>
      <c r="AE211" s="70"/>
      <c r="AJ211" s="25"/>
      <c r="AL211" s="87">
        <f t="shared" si="19"/>
        <v>0</v>
      </c>
      <c r="AM211" s="63">
        <f t="shared" si="18"/>
        <v>0</v>
      </c>
      <c r="AR211" s="81"/>
      <c r="AS211" s="54"/>
      <c r="AT211" s="54"/>
    </row>
    <row r="212" spans="1:46" ht="15.45" x14ac:dyDescent="0.4">
      <c r="B212" s="512"/>
      <c r="C212" s="449"/>
      <c r="D212" s="449"/>
      <c r="E212" s="607" t="s">
        <v>685</v>
      </c>
      <c r="F212" s="608">
        <f>V64</f>
        <v>3.2652500000000075</v>
      </c>
      <c r="G212" s="609" t="s">
        <v>686</v>
      </c>
      <c r="H212" s="449"/>
      <c r="I212" s="449"/>
      <c r="J212" s="449"/>
      <c r="K212" s="449"/>
      <c r="L212" s="449"/>
      <c r="M212" s="449"/>
      <c r="N212" s="451"/>
      <c r="P212" s="1"/>
      <c r="Q212" s="77"/>
      <c r="R212" s="77"/>
      <c r="S212" s="77"/>
      <c r="AE212" s="70"/>
      <c r="AJ212" s="25"/>
      <c r="AL212" s="87">
        <f t="shared" si="19"/>
        <v>0</v>
      </c>
      <c r="AM212" s="63">
        <f t="shared" si="18"/>
        <v>0</v>
      </c>
      <c r="AR212" s="81"/>
      <c r="AS212" s="54"/>
      <c r="AT212" s="54"/>
    </row>
    <row r="213" spans="1:46" ht="15.45" x14ac:dyDescent="0.4">
      <c r="B213" s="512"/>
      <c r="C213" s="449"/>
      <c r="D213" s="449"/>
      <c r="E213" s="607" t="s">
        <v>687</v>
      </c>
      <c r="F213" s="610">
        <f t="shared" ref="F213:F218" si="25">V66</f>
        <v>4.1467750000000088</v>
      </c>
      <c r="G213" s="599" t="s">
        <v>688</v>
      </c>
      <c r="H213" s="449"/>
      <c r="I213" s="449"/>
      <c r="J213" s="449"/>
      <c r="K213" s="449"/>
      <c r="L213" s="449"/>
      <c r="M213" s="449"/>
      <c r="N213" s="451"/>
      <c r="AJ213" s="25"/>
      <c r="AL213" s="87">
        <f t="shared" si="19"/>
        <v>0</v>
      </c>
      <c r="AM213" s="63">
        <f t="shared" si="18"/>
        <v>0</v>
      </c>
      <c r="AR213" s="81"/>
      <c r="AS213" s="54"/>
      <c r="AT213" s="54"/>
    </row>
    <row r="214" spans="1:46" ht="15.45" x14ac:dyDescent="0.4">
      <c r="B214" s="512"/>
      <c r="C214" s="449"/>
      <c r="D214" s="449"/>
      <c r="E214" s="607" t="s">
        <v>689</v>
      </c>
      <c r="F214" s="610">
        <f t="shared" si="25"/>
        <v>4.7267499999999805</v>
      </c>
      <c r="G214" s="599" t="s">
        <v>690</v>
      </c>
      <c r="H214" s="449"/>
      <c r="I214" s="449"/>
      <c r="J214" s="449"/>
      <c r="K214" s="449"/>
      <c r="L214" s="449"/>
      <c r="M214" s="449"/>
      <c r="N214" s="451"/>
      <c r="AJ214" s="25"/>
      <c r="AL214" s="87">
        <f t="shared" si="19"/>
        <v>0</v>
      </c>
      <c r="AM214" s="63">
        <f t="shared" si="18"/>
        <v>0</v>
      </c>
      <c r="AR214" s="81"/>
      <c r="AS214" s="54"/>
      <c r="AT214" s="54"/>
    </row>
    <row r="215" spans="1:46" ht="15.45" x14ac:dyDescent="0.4">
      <c r="B215" s="512"/>
      <c r="C215" s="449"/>
      <c r="D215" s="449"/>
      <c r="E215" s="607" t="s">
        <v>691</v>
      </c>
      <c r="F215" s="610">
        <f t="shared" si="25"/>
        <v>4.753574999999981</v>
      </c>
      <c r="G215" s="599" t="s">
        <v>692</v>
      </c>
      <c r="H215" s="449"/>
      <c r="I215" s="449"/>
      <c r="J215" s="449"/>
      <c r="K215" s="449"/>
      <c r="L215" s="449"/>
      <c r="M215" s="449"/>
      <c r="N215" s="451"/>
      <c r="AJ215" s="25"/>
      <c r="AL215" s="87">
        <f t="shared" si="19"/>
        <v>0</v>
      </c>
      <c r="AM215" s="63">
        <f t="shared" si="18"/>
        <v>0</v>
      </c>
      <c r="AR215" s="81"/>
      <c r="AS215" s="54"/>
      <c r="AT215" s="54"/>
    </row>
    <row r="216" spans="1:46" ht="15.45" x14ac:dyDescent="0.4">
      <c r="B216" s="512"/>
      <c r="C216" s="449"/>
      <c r="D216" s="449"/>
      <c r="E216" s="607" t="s">
        <v>693</v>
      </c>
      <c r="F216" s="610">
        <f t="shared" si="25"/>
        <v>5.6350999999999756</v>
      </c>
      <c r="G216" s="599" t="s">
        <v>694</v>
      </c>
      <c r="H216" s="449"/>
      <c r="I216" s="449"/>
      <c r="J216" s="449"/>
      <c r="K216" s="449"/>
      <c r="L216" s="449"/>
      <c r="M216" s="449"/>
      <c r="N216" s="451"/>
      <c r="P216"/>
      <c r="Q216"/>
      <c r="AJ216" s="25"/>
      <c r="AL216" s="87">
        <f t="shared" si="19"/>
        <v>0</v>
      </c>
      <c r="AM216" s="63">
        <f t="shared" si="18"/>
        <v>0</v>
      </c>
      <c r="AR216" s="81"/>
      <c r="AS216" s="54"/>
      <c r="AT216" s="54"/>
    </row>
    <row r="217" spans="1:46" ht="15.45" x14ac:dyDescent="0.4">
      <c r="B217" s="512"/>
      <c r="C217" s="449"/>
      <c r="D217" s="449"/>
      <c r="E217" s="607" t="s">
        <v>695</v>
      </c>
      <c r="F217" s="610">
        <f t="shared" si="25"/>
        <v>4.2351125000000396</v>
      </c>
      <c r="G217" s="599" t="s">
        <v>696</v>
      </c>
      <c r="H217" s="449"/>
      <c r="I217" s="449"/>
      <c r="J217" s="449"/>
      <c r="K217" s="449"/>
      <c r="L217" s="449"/>
      <c r="M217" s="449"/>
      <c r="N217" s="451"/>
      <c r="AJ217" s="25"/>
      <c r="AL217" s="87">
        <f t="shared" si="19"/>
        <v>0</v>
      </c>
      <c r="AM217" s="63">
        <f t="shared" si="18"/>
        <v>0</v>
      </c>
      <c r="AR217" s="81"/>
      <c r="AS217" s="54"/>
      <c r="AT217" s="54"/>
    </row>
    <row r="218" spans="1:46" ht="15.9" thickBot="1" x14ac:dyDescent="0.45">
      <c r="B218" s="325"/>
      <c r="C218" s="339"/>
      <c r="D218" s="339"/>
      <c r="E218" s="611" t="s">
        <v>697</v>
      </c>
      <c r="F218" s="612">
        <f t="shared" si="25"/>
        <v>3.3290750000000293</v>
      </c>
      <c r="G218" s="599" t="s">
        <v>698</v>
      </c>
      <c r="H218" s="339"/>
      <c r="I218" s="339"/>
      <c r="J218" s="339"/>
      <c r="K218" s="339"/>
      <c r="L218" s="339"/>
      <c r="M218" s="339"/>
      <c r="N218" s="444"/>
      <c r="AJ218" s="25"/>
      <c r="AL218" s="87">
        <f t="shared" si="19"/>
        <v>0</v>
      </c>
      <c r="AM218" s="63">
        <f t="shared" si="18"/>
        <v>0</v>
      </c>
      <c r="AR218" s="81"/>
      <c r="AS218" s="54"/>
      <c r="AT218" s="54"/>
    </row>
    <row r="219" spans="1:46" ht="15.45" x14ac:dyDescent="0.4">
      <c r="A219" s="63">
        <v>59</v>
      </c>
      <c r="B219" s="613"/>
      <c r="C219" s="168"/>
      <c r="D219" s="168"/>
      <c r="E219" s="614" t="s">
        <v>699</v>
      </c>
      <c r="F219" s="608">
        <f>BB3</f>
        <v>0</v>
      </c>
      <c r="G219" s="399" t="s">
        <v>700</v>
      </c>
      <c r="H219" s="168"/>
      <c r="I219" s="168"/>
      <c r="J219" s="168"/>
      <c r="K219" s="168"/>
      <c r="L219" s="168"/>
      <c r="M219" s="168"/>
      <c r="N219" s="615"/>
      <c r="AJ219" s="25"/>
      <c r="AL219" s="87">
        <f t="shared" si="19"/>
        <v>0</v>
      </c>
      <c r="AM219" s="63">
        <f t="shared" si="18"/>
        <v>0</v>
      </c>
      <c r="AR219" s="81"/>
      <c r="AS219" s="54"/>
      <c r="AT219" s="54"/>
    </row>
    <row r="220" spans="1:46" ht="15.45" x14ac:dyDescent="0.4">
      <c r="A220" s="63">
        <v>60</v>
      </c>
      <c r="B220" s="616"/>
      <c r="C220" s="449"/>
      <c r="D220" s="449"/>
      <c r="E220" s="607" t="s">
        <v>701</v>
      </c>
      <c r="F220" s="610">
        <f>BC3</f>
        <v>0</v>
      </c>
      <c r="G220" s="592" t="s">
        <v>702</v>
      </c>
      <c r="H220" s="449"/>
      <c r="I220" s="449"/>
      <c r="J220" s="449"/>
      <c r="K220" s="449"/>
      <c r="L220" s="449"/>
      <c r="M220" s="449"/>
      <c r="N220" s="617"/>
      <c r="AJ220" s="25"/>
      <c r="AL220" s="87">
        <f t="shared" si="19"/>
        <v>0</v>
      </c>
      <c r="AM220" s="63">
        <f t="shared" si="18"/>
        <v>0</v>
      </c>
      <c r="AR220" s="81"/>
      <c r="AS220" s="54"/>
      <c r="AT220" s="54"/>
    </row>
    <row r="221" spans="1:46" ht="15.45" x14ac:dyDescent="0.4">
      <c r="A221" s="63">
        <v>61</v>
      </c>
      <c r="B221" s="616"/>
      <c r="C221" s="449"/>
      <c r="D221" s="449"/>
      <c r="E221" s="607" t="s">
        <v>703</v>
      </c>
      <c r="F221" s="585">
        <f>BD3</f>
        <v>0</v>
      </c>
      <c r="G221" s="592" t="s">
        <v>704</v>
      </c>
      <c r="H221" s="449"/>
      <c r="I221" s="449"/>
      <c r="J221" s="449"/>
      <c r="K221" s="449"/>
      <c r="L221" s="449"/>
      <c r="M221" s="449"/>
      <c r="N221" s="617"/>
      <c r="AJ221" s="25"/>
      <c r="AL221" s="87">
        <f t="shared" si="19"/>
        <v>0</v>
      </c>
      <c r="AM221" s="63">
        <f t="shared" si="18"/>
        <v>0</v>
      </c>
      <c r="AR221" s="81"/>
      <c r="AS221" s="54"/>
      <c r="AT221" s="54"/>
    </row>
    <row r="222" spans="1:46" ht="15.65" customHeight="1" thickBot="1" x14ac:dyDescent="0.45">
      <c r="A222" s="63">
        <v>62</v>
      </c>
      <c r="B222" s="141"/>
      <c r="C222" s="118"/>
      <c r="D222" s="118"/>
      <c r="E222" s="618" t="s">
        <v>705</v>
      </c>
      <c r="F222" s="619">
        <f>BE3</f>
        <v>0</v>
      </c>
      <c r="G222" s="599" t="s">
        <v>706</v>
      </c>
      <c r="H222" s="118"/>
      <c r="I222" s="118"/>
      <c r="J222" s="118"/>
      <c r="K222" s="118"/>
      <c r="L222" s="118"/>
      <c r="M222" s="118"/>
      <c r="N222" s="142"/>
      <c r="AJ222" s="25"/>
      <c r="AL222" s="87">
        <f t="shared" si="19"/>
        <v>0</v>
      </c>
      <c r="AM222" s="63">
        <f t="shared" si="18"/>
        <v>0</v>
      </c>
      <c r="AR222" s="81"/>
      <c r="AS222" s="54"/>
      <c r="AT222" s="54"/>
    </row>
    <row r="223" spans="1:46" x14ac:dyDescent="0.4">
      <c r="A223">
        <v>63</v>
      </c>
      <c r="B223" s="613"/>
      <c r="C223" s="168"/>
      <c r="D223" s="168"/>
      <c r="E223" s="345" t="s">
        <v>707</v>
      </c>
      <c r="F223" s="620">
        <f>(AL29-AL24)/AL24</f>
        <v>-0.12103149505357071</v>
      </c>
      <c r="G223" s="399" t="s">
        <v>708</v>
      </c>
      <c r="H223" s="168"/>
      <c r="I223" s="168"/>
      <c r="J223" s="168"/>
      <c r="K223" s="168"/>
      <c r="L223" s="168"/>
      <c r="M223" s="168"/>
      <c r="N223" s="615"/>
      <c r="AJ223" s="25"/>
      <c r="AL223" s="87">
        <f t="shared" si="19"/>
        <v>0</v>
      </c>
      <c r="AM223" s="63">
        <f t="shared" si="18"/>
        <v>0</v>
      </c>
      <c r="AR223" s="81"/>
      <c r="AS223" s="54"/>
      <c r="AT223" s="54"/>
    </row>
    <row r="224" spans="1:46" ht="15" thickBot="1" x14ac:dyDescent="0.45">
      <c r="A224">
        <v>64</v>
      </c>
      <c r="B224" s="141"/>
      <c r="C224" s="118"/>
      <c r="D224" s="118"/>
      <c r="E224" s="260" t="s">
        <v>709</v>
      </c>
      <c r="F224" s="621">
        <f>(AL30-AL24)/AL24</f>
        <v>0.11761230972892328</v>
      </c>
      <c r="G224" s="622" t="s">
        <v>710</v>
      </c>
      <c r="H224" s="118"/>
      <c r="I224" s="118"/>
      <c r="J224" s="118"/>
      <c r="K224" s="118"/>
      <c r="L224" s="118"/>
      <c r="M224" s="118"/>
      <c r="N224" s="142"/>
      <c r="AJ224" s="25"/>
      <c r="AL224" s="87">
        <f t="shared" si="19"/>
        <v>0</v>
      </c>
      <c r="AM224" s="63">
        <f t="shared" si="18"/>
        <v>0</v>
      </c>
      <c r="AR224" s="81"/>
      <c r="AS224" s="54"/>
      <c r="AT224" s="54"/>
    </row>
    <row r="225" spans="1:46" ht="15.45" x14ac:dyDescent="0.4">
      <c r="E225" s="459"/>
      <c r="AJ225" s="25"/>
      <c r="AL225" s="87">
        <f t="shared" si="19"/>
        <v>0</v>
      </c>
      <c r="AM225" s="63">
        <f t="shared" si="18"/>
        <v>0</v>
      </c>
      <c r="AR225" s="81"/>
      <c r="AS225" s="54"/>
      <c r="AT225" s="54"/>
    </row>
    <row r="226" spans="1:46" ht="15.45" x14ac:dyDescent="0.4">
      <c r="E226" s="459"/>
      <c r="AJ226" s="25"/>
      <c r="AL226" s="87">
        <f t="shared" si="19"/>
        <v>0</v>
      </c>
      <c r="AM226" s="63">
        <f t="shared" si="18"/>
        <v>0</v>
      </c>
      <c r="AR226" s="81"/>
      <c r="AS226" s="54"/>
      <c r="AT226" s="54"/>
    </row>
    <row r="227" spans="1:46" x14ac:dyDescent="0.4">
      <c r="AJ227" s="25"/>
      <c r="AL227" s="87">
        <f t="shared" si="19"/>
        <v>0</v>
      </c>
      <c r="AM227" s="63">
        <f t="shared" si="18"/>
        <v>0</v>
      </c>
      <c r="AR227" s="81"/>
      <c r="AS227" s="54"/>
      <c r="AT227" s="54"/>
    </row>
    <row r="228" spans="1:46" ht="14.6" customHeight="1" x14ac:dyDescent="0.4">
      <c r="AJ228" s="25"/>
      <c r="AL228" s="87">
        <f t="shared" si="19"/>
        <v>0</v>
      </c>
      <c r="AM228" s="63">
        <f t="shared" si="18"/>
        <v>0</v>
      </c>
      <c r="AR228" s="81"/>
      <c r="AS228" s="54"/>
      <c r="AT228" s="54"/>
    </row>
    <row r="229" spans="1:46" ht="16.100000000000001" customHeight="1" x14ac:dyDescent="0.4">
      <c r="B229" s="632"/>
      <c r="C229" s="632"/>
      <c r="D229" s="632"/>
      <c r="E229" s="632"/>
      <c r="F229" s="632"/>
      <c r="G229" s="632"/>
      <c r="H229" s="632"/>
      <c r="I229" s="632"/>
      <c r="J229" s="632"/>
      <c r="K229" s="632"/>
      <c r="L229" s="632"/>
      <c r="M229" s="632"/>
      <c r="N229" s="632"/>
      <c r="AJ229" s="25"/>
      <c r="AL229" s="87">
        <f t="shared" si="19"/>
        <v>0</v>
      </c>
      <c r="AM229" s="63">
        <f t="shared" si="18"/>
        <v>0</v>
      </c>
      <c r="AR229" s="81"/>
      <c r="AS229" s="54"/>
      <c r="AT229" s="54"/>
    </row>
    <row r="230" spans="1:46" ht="15.9" x14ac:dyDescent="0.45">
      <c r="B230" s="865"/>
      <c r="C230" s="865"/>
      <c r="D230" s="865"/>
      <c r="E230" s="865"/>
      <c r="F230" s="869"/>
      <c r="G230" s="869"/>
      <c r="H230" s="869"/>
      <c r="I230" s="869"/>
      <c r="J230" s="869"/>
      <c r="K230" s="869"/>
      <c r="L230" s="865"/>
      <c r="M230" s="865"/>
      <c r="N230" s="865"/>
      <c r="AJ230" s="25"/>
      <c r="AL230" s="87">
        <f t="shared" si="19"/>
        <v>0</v>
      </c>
      <c r="AM230" s="63">
        <f t="shared" si="18"/>
        <v>0</v>
      </c>
      <c r="AR230" s="81"/>
      <c r="AS230" s="54"/>
      <c r="AT230" s="54"/>
    </row>
    <row r="231" spans="1:46" ht="15.9" x14ac:dyDescent="0.45">
      <c r="B231" s="633"/>
      <c r="C231" s="633"/>
      <c r="D231" s="633"/>
      <c r="E231" s="633"/>
      <c r="F231" s="634"/>
      <c r="G231" s="464"/>
      <c r="H231" s="633"/>
      <c r="I231" s="634"/>
      <c r="J231" s="464"/>
      <c r="K231" s="633"/>
      <c r="L231" s="635"/>
      <c r="M231" s="1"/>
      <c r="N231" s="1"/>
      <c r="AJ231" s="25"/>
      <c r="AL231" s="87">
        <f t="shared" si="19"/>
        <v>0</v>
      </c>
      <c r="AM231" s="63">
        <f t="shared" si="18"/>
        <v>0</v>
      </c>
      <c r="AR231" s="81"/>
      <c r="AS231" s="54"/>
      <c r="AT231" s="54"/>
    </row>
    <row r="232" spans="1:46" ht="15.9" x14ac:dyDescent="0.45">
      <c r="B232" s="459"/>
      <c r="C232" s="636"/>
      <c r="D232" s="637"/>
      <c r="E232" s="638"/>
      <c r="F232" s="459"/>
      <c r="G232" s="637"/>
      <c r="H232" s="636"/>
      <c r="I232" s="459"/>
      <c r="J232" s="637"/>
      <c r="K232" s="636"/>
      <c r="L232" s="459"/>
      <c r="M232" s="87"/>
      <c r="N232" s="85"/>
      <c r="AJ232" s="25"/>
      <c r="AL232" s="87">
        <f t="shared" si="19"/>
        <v>0</v>
      </c>
      <c r="AM232" s="63">
        <f t="shared" si="18"/>
        <v>0</v>
      </c>
      <c r="AR232" s="81"/>
      <c r="AS232" s="54"/>
      <c r="AT232" s="54"/>
    </row>
    <row r="233" spans="1:46" ht="15.9" x14ac:dyDescent="0.45">
      <c r="B233" s="459"/>
      <c r="C233" s="636"/>
      <c r="D233" s="637"/>
      <c r="E233" s="638"/>
      <c r="F233" s="459"/>
      <c r="G233" s="637"/>
      <c r="H233" s="636"/>
      <c r="I233" s="459"/>
      <c r="J233" s="637"/>
      <c r="K233" s="636"/>
      <c r="L233" s="459"/>
      <c r="M233" s="87"/>
      <c r="N233" s="85"/>
      <c r="AJ233" s="25"/>
      <c r="AL233" s="87">
        <f t="shared" si="19"/>
        <v>0</v>
      </c>
      <c r="AM233" s="63">
        <f t="shared" si="18"/>
        <v>0</v>
      </c>
      <c r="AR233" s="81"/>
      <c r="AS233" s="54"/>
      <c r="AT233" s="54"/>
    </row>
    <row r="234" spans="1:46" ht="15.9" x14ac:dyDescent="0.45">
      <c r="B234" s="459"/>
      <c r="C234" s="636"/>
      <c r="D234" s="637"/>
      <c r="E234" s="639"/>
      <c r="F234" s="459"/>
      <c r="G234" s="637"/>
      <c r="H234" s="59"/>
      <c r="I234" s="459"/>
      <c r="J234" s="637"/>
      <c r="K234" s="59"/>
      <c r="L234" s="459"/>
      <c r="N234" s="85"/>
      <c r="AJ234" s="25"/>
      <c r="AL234" s="87">
        <f t="shared" si="19"/>
        <v>0</v>
      </c>
      <c r="AM234" s="63">
        <f t="shared" si="18"/>
        <v>0</v>
      </c>
      <c r="AR234" s="81"/>
      <c r="AS234" s="54"/>
      <c r="AT234" s="54"/>
    </row>
    <row r="235" spans="1:46" x14ac:dyDescent="0.4">
      <c r="B235" s="632"/>
      <c r="C235" s="632"/>
      <c r="D235" s="632"/>
      <c r="E235" s="632"/>
      <c r="F235" s="632"/>
      <c r="G235" s="632"/>
      <c r="H235" s="632"/>
      <c r="I235" s="632"/>
      <c r="J235" s="632"/>
      <c r="K235" s="632"/>
      <c r="L235" s="632"/>
      <c r="M235" s="632"/>
      <c r="N235" s="632"/>
      <c r="AJ235" s="25"/>
      <c r="AL235" s="87">
        <f t="shared" si="19"/>
        <v>0</v>
      </c>
      <c r="AM235" s="63">
        <f t="shared" si="18"/>
        <v>0</v>
      </c>
      <c r="AR235" s="81"/>
      <c r="AS235" s="54"/>
      <c r="AT235" s="54"/>
    </row>
    <row r="236" spans="1:46" x14ac:dyDescent="0.4">
      <c r="B236" s="632"/>
      <c r="C236" s="632"/>
      <c r="D236" s="632"/>
      <c r="E236" s="632"/>
      <c r="F236" s="632"/>
      <c r="G236" s="632"/>
      <c r="H236" s="632"/>
      <c r="I236" s="632"/>
      <c r="J236" s="632"/>
      <c r="K236" s="632"/>
      <c r="L236" s="632"/>
      <c r="M236" s="632"/>
      <c r="N236" s="632"/>
      <c r="AJ236" s="25"/>
      <c r="AL236" s="87">
        <f t="shared" si="19"/>
        <v>0</v>
      </c>
      <c r="AM236" s="63">
        <f t="shared" si="18"/>
        <v>0</v>
      </c>
      <c r="AR236" s="81"/>
      <c r="AS236" s="54"/>
      <c r="AT236" s="54"/>
    </row>
    <row r="237" spans="1:46" x14ac:dyDescent="0.4">
      <c r="A237" s="65"/>
      <c r="B237" s="640"/>
      <c r="C237" s="22"/>
      <c r="D237" s="641"/>
      <c r="H237" s="1"/>
      <c r="I237" s="237"/>
      <c r="M237" s="642"/>
      <c r="N237" s="643"/>
      <c r="P237" s="865"/>
      <c r="Q237" s="865"/>
      <c r="AJ237" s="25"/>
      <c r="AL237" s="87">
        <f t="shared" si="19"/>
        <v>0</v>
      </c>
      <c r="AM237" s="63">
        <f t="shared" si="18"/>
        <v>0</v>
      </c>
      <c r="AR237" s="81"/>
      <c r="AS237" s="54"/>
      <c r="AT237" s="54"/>
    </row>
    <row r="238" spans="1:46" x14ac:dyDescent="0.4">
      <c r="B238" s="22"/>
      <c r="C238" s="22"/>
      <c r="D238" s="641"/>
      <c r="H238" s="644"/>
      <c r="I238" s="237"/>
      <c r="K238" s="645"/>
      <c r="L238" s="324"/>
      <c r="M238" s="642"/>
      <c r="N238" s="643"/>
      <c r="S238" s="22"/>
      <c r="T238" s="646"/>
      <c r="U238" s="644"/>
      <c r="V238" s="647"/>
      <c r="AJ238" s="25"/>
      <c r="AL238" s="87">
        <f t="shared" si="19"/>
        <v>0</v>
      </c>
      <c r="AM238" s="63">
        <f t="shared" si="18"/>
        <v>0</v>
      </c>
      <c r="AR238" s="81"/>
      <c r="AS238" s="54"/>
      <c r="AT238" s="54"/>
    </row>
    <row r="239" spans="1:46" x14ac:dyDescent="0.4">
      <c r="B239" s="22"/>
      <c r="C239" s="22"/>
      <c r="D239" s="641"/>
      <c r="H239" s="648"/>
      <c r="I239" s="649"/>
      <c r="K239" s="645"/>
      <c r="L239" s="324"/>
      <c r="M239" s="642"/>
      <c r="N239" s="643"/>
      <c r="S239" s="22"/>
      <c r="T239" s="646"/>
      <c r="U239" s="644"/>
      <c r="V239" s="650"/>
      <c r="AJ239" s="25"/>
      <c r="AL239" s="87">
        <f t="shared" si="19"/>
        <v>0</v>
      </c>
      <c r="AM239" s="63">
        <f t="shared" si="18"/>
        <v>0</v>
      </c>
      <c r="AR239" s="81"/>
      <c r="AS239" s="54"/>
      <c r="AT239" s="54"/>
    </row>
    <row r="240" spans="1:46" x14ac:dyDescent="0.4">
      <c r="B240" s="22"/>
      <c r="C240" s="22"/>
      <c r="D240" s="641"/>
      <c r="H240" s="648"/>
      <c r="I240" s="237"/>
      <c r="K240" s="645"/>
      <c r="L240" s="651"/>
      <c r="M240" s="642"/>
      <c r="N240" s="643"/>
      <c r="S240" s="22"/>
      <c r="T240" s="646"/>
      <c r="U240" s="644"/>
      <c r="V240" s="650"/>
      <c r="AJ240" s="25"/>
      <c r="AL240" s="87">
        <f t="shared" si="19"/>
        <v>0</v>
      </c>
      <c r="AM240" s="63">
        <f t="shared" si="18"/>
        <v>0</v>
      </c>
      <c r="AR240" s="81"/>
      <c r="AS240" s="54"/>
      <c r="AT240" s="54"/>
    </row>
    <row r="241" spans="2:46" x14ac:dyDescent="0.4">
      <c r="B241" s="22"/>
      <c r="C241" s="22"/>
      <c r="D241" s="641"/>
      <c r="H241" s="648"/>
      <c r="I241" s="237"/>
      <c r="J241" s="98"/>
      <c r="K241" s="645"/>
      <c r="L241" s="324"/>
      <c r="M241" s="642"/>
      <c r="N241" s="643"/>
      <c r="S241" s="22"/>
      <c r="T241" s="646"/>
      <c r="U241" s="644"/>
      <c r="V241" s="650"/>
      <c r="AJ241" s="25"/>
      <c r="AL241" s="87">
        <f t="shared" si="19"/>
        <v>0</v>
      </c>
      <c r="AM241" s="63">
        <f t="shared" si="18"/>
        <v>0</v>
      </c>
      <c r="AR241" s="81"/>
      <c r="AS241" s="54"/>
      <c r="AT241" s="54"/>
    </row>
    <row r="242" spans="2:46" ht="15.9" x14ac:dyDescent="0.45">
      <c r="B242" s="652"/>
      <c r="C242" s="652"/>
      <c r="D242" s="653"/>
      <c r="H242" s="452"/>
      <c r="I242" s="237"/>
      <c r="J242" s="22"/>
      <c r="K242" s="645"/>
      <c r="M242" s="642"/>
      <c r="N242" s="643"/>
      <c r="P242" s="865"/>
      <c r="Q242" s="865"/>
      <c r="R242" s="865"/>
      <c r="S242" s="65"/>
      <c r="T242" s="1"/>
      <c r="U242" s="57"/>
      <c r="V242" s="654"/>
      <c r="Y242" s="655"/>
      <c r="Z242" s="57"/>
      <c r="AJ242" s="25"/>
      <c r="AL242" s="87">
        <f t="shared" si="19"/>
        <v>0</v>
      </c>
      <c r="AM242" s="63">
        <f t="shared" si="18"/>
        <v>0</v>
      </c>
      <c r="AR242" s="81"/>
      <c r="AS242" s="54"/>
      <c r="AT242" s="54"/>
    </row>
    <row r="243" spans="2:46" x14ac:dyDescent="0.4">
      <c r="B243" s="656"/>
      <c r="C243" s="22"/>
      <c r="D243" s="657"/>
      <c r="H243" s="644"/>
      <c r="I243" s="237"/>
      <c r="K243" s="645"/>
      <c r="M243" s="642"/>
      <c r="N243" s="642"/>
      <c r="Q243" s="57"/>
      <c r="R243" s="654"/>
      <c r="T243" s="57"/>
      <c r="U243" s="658"/>
      <c r="W243" s="57"/>
      <c r="X243" s="654"/>
      <c r="Z243" s="57"/>
      <c r="AJ243" s="25"/>
      <c r="AL243" s="87">
        <f t="shared" si="19"/>
        <v>0</v>
      </c>
      <c r="AM243" s="63">
        <f t="shared" ref="AM243:AM250" si="26">IF(AND(AL243&gt;0,AD243&gt;0),AA243,0)</f>
        <v>0</v>
      </c>
      <c r="AR243" s="81"/>
      <c r="AS243" s="54"/>
      <c r="AT243" s="54"/>
    </row>
    <row r="244" spans="2:46" ht="15.9" x14ac:dyDescent="0.45">
      <c r="B244" s="659"/>
      <c r="C244" s="22"/>
      <c r="D244" s="660"/>
      <c r="H244" s="648"/>
      <c r="I244" s="237"/>
      <c r="J244" s="652"/>
      <c r="L244" s="1"/>
      <c r="M244" s="1"/>
      <c r="N244" s="642"/>
      <c r="Q244" s="57"/>
      <c r="R244" s="654"/>
      <c r="T244" s="57"/>
      <c r="U244" s="658"/>
      <c r="W244" s="57"/>
      <c r="X244" s="654"/>
      <c r="Z244" s="57"/>
      <c r="AJ244" s="25"/>
      <c r="AL244" s="87">
        <f t="shared" ref="AL244:AL250" si="27">IF(AA244&gt;(AL$49+0.05),AA244, )</f>
        <v>0</v>
      </c>
      <c r="AM244" s="63">
        <f t="shared" si="26"/>
        <v>0</v>
      </c>
      <c r="AR244" s="81"/>
      <c r="AS244" s="54"/>
      <c r="AT244" s="54"/>
    </row>
    <row r="245" spans="2:46" x14ac:dyDescent="0.4">
      <c r="C245" s="22"/>
      <c r="D245" s="660"/>
      <c r="H245" s="661"/>
      <c r="I245" s="237"/>
      <c r="J245" s="662"/>
      <c r="K245" s="22"/>
      <c r="L245" s="663"/>
      <c r="M245" s="644"/>
      <c r="N245" s="642"/>
      <c r="R245" s="1"/>
      <c r="S245" s="1"/>
      <c r="T245" s="1"/>
      <c r="U245" s="655"/>
      <c r="W245" s="655"/>
      <c r="Z245" s="655"/>
      <c r="AJ245" s="25"/>
      <c r="AL245" s="87">
        <f t="shared" si="27"/>
        <v>0</v>
      </c>
      <c r="AM245" s="63">
        <f t="shared" si="26"/>
        <v>0</v>
      </c>
    </row>
    <row r="246" spans="2:46" x14ac:dyDescent="0.4">
      <c r="C246" s="22"/>
      <c r="D246" s="660"/>
      <c r="H246" s="644"/>
      <c r="I246" s="237"/>
      <c r="J246" s="662"/>
      <c r="K246" s="22"/>
      <c r="L246" s="663"/>
      <c r="M246" s="664"/>
      <c r="N246" s="642"/>
      <c r="Q246" s="22"/>
      <c r="R246" s="654"/>
      <c r="S246" s="664"/>
      <c r="T246" s="647"/>
      <c r="V246" s="648"/>
      <c r="W246" s="655"/>
      <c r="Z246" s="655"/>
      <c r="AJ246" s="25"/>
      <c r="AL246" s="87">
        <f t="shared" si="27"/>
        <v>0</v>
      </c>
      <c r="AM246" s="63">
        <f t="shared" si="26"/>
        <v>0</v>
      </c>
    </row>
    <row r="247" spans="2:46" x14ac:dyDescent="0.4">
      <c r="B247" s="298"/>
      <c r="C247" s="22"/>
      <c r="D247" s="665"/>
      <c r="H247" s="644"/>
      <c r="I247" s="237"/>
      <c r="J247" s="662"/>
      <c r="K247" s="22"/>
      <c r="L247" s="663"/>
      <c r="M247" s="664"/>
      <c r="N247" s="642"/>
      <c r="Q247" s="22"/>
      <c r="R247" s="654"/>
      <c r="S247" s="666"/>
      <c r="T247" s="647"/>
      <c r="V247" s="452"/>
      <c r="Y247" s="655"/>
      <c r="Z247" s="655"/>
      <c r="AJ247" s="25"/>
      <c r="AL247" s="87">
        <f t="shared" si="27"/>
        <v>0</v>
      </c>
      <c r="AM247" s="63">
        <f t="shared" si="26"/>
        <v>0</v>
      </c>
    </row>
    <row r="248" spans="2:46" ht="15.9" x14ac:dyDescent="0.45">
      <c r="B248" s="298"/>
      <c r="C248" s="22"/>
      <c r="D248" s="665"/>
      <c r="E248" s="652"/>
      <c r="G248" s="653"/>
      <c r="H248" s="1"/>
      <c r="I248" s="237"/>
      <c r="J248" s="662"/>
      <c r="K248" s="22"/>
      <c r="L248" s="663"/>
      <c r="M248" s="666"/>
      <c r="N248" s="642"/>
      <c r="Q248" s="22"/>
      <c r="R248" s="654"/>
      <c r="S248" s="664"/>
      <c r="T248" s="647"/>
      <c r="U248" s="644"/>
      <c r="V248" s="644"/>
      <c r="W248" s="655"/>
      <c r="X248" s="655"/>
      <c r="Y248" s="655"/>
      <c r="Z248" s="655"/>
      <c r="AJ248" s="25"/>
      <c r="AL248" s="87">
        <f t="shared" si="27"/>
        <v>0</v>
      </c>
      <c r="AM248" s="63">
        <f t="shared" si="26"/>
        <v>0</v>
      </c>
    </row>
    <row r="249" spans="2:46" x14ac:dyDescent="0.4">
      <c r="B249" s="298"/>
      <c r="C249" s="22"/>
      <c r="D249" s="665"/>
      <c r="E249" s="57"/>
      <c r="F249" s="22"/>
      <c r="G249" s="667"/>
      <c r="H249" s="664"/>
      <c r="I249" s="237"/>
      <c r="K249" s="22"/>
      <c r="L249" s="663"/>
      <c r="M249" s="664"/>
      <c r="N249" s="642"/>
      <c r="AJ249" s="25"/>
      <c r="AL249" s="87">
        <f t="shared" si="27"/>
        <v>0</v>
      </c>
      <c r="AM249" s="63">
        <f t="shared" si="26"/>
        <v>0</v>
      </c>
    </row>
    <row r="250" spans="2:46" x14ac:dyDescent="0.4">
      <c r="B250" s="668"/>
      <c r="C250" s="22"/>
      <c r="D250" s="665"/>
      <c r="E250" s="57"/>
      <c r="F250" s="22"/>
      <c r="G250" s="667"/>
      <c r="H250" s="644"/>
      <c r="I250" s="237"/>
      <c r="J250" s="1"/>
      <c r="K250" s="22"/>
      <c r="L250" s="663"/>
      <c r="M250" s="644"/>
      <c r="N250" s="642"/>
      <c r="AJ250" s="25"/>
      <c r="AL250" s="87">
        <f t="shared" si="27"/>
        <v>0</v>
      </c>
      <c r="AM250" s="63">
        <f t="shared" si="26"/>
        <v>0</v>
      </c>
    </row>
    <row r="251" spans="2:46" x14ac:dyDescent="0.4">
      <c r="B251" s="669"/>
      <c r="C251" s="22"/>
      <c r="D251" s="665"/>
      <c r="E251" s="57"/>
      <c r="F251" s="22"/>
      <c r="G251" s="667"/>
      <c r="H251" s="664"/>
      <c r="I251" s="237"/>
      <c r="J251" s="660"/>
      <c r="K251" s="22"/>
      <c r="L251" s="663"/>
      <c r="M251" s="644"/>
      <c r="N251" s="642"/>
      <c r="AJ251" s="25"/>
    </row>
    <row r="252" spans="2:46" x14ac:dyDescent="0.4">
      <c r="B252" s="57"/>
      <c r="C252" s="22"/>
      <c r="D252" s="665"/>
      <c r="E252" s="57"/>
      <c r="F252" s="22"/>
      <c r="G252" s="667"/>
      <c r="H252" s="664"/>
      <c r="I252" s="670"/>
      <c r="J252" s="642"/>
      <c r="K252" s="642"/>
      <c r="L252" s="642"/>
      <c r="M252" s="642"/>
      <c r="N252" s="642"/>
      <c r="AJ252" s="25"/>
    </row>
    <row r="253" spans="2:46" x14ac:dyDescent="0.4">
      <c r="B253" s="22"/>
      <c r="C253" s="671"/>
      <c r="D253" s="672"/>
      <c r="E253" s="57"/>
      <c r="F253" s="22"/>
      <c r="G253" s="667"/>
      <c r="H253" s="664"/>
      <c r="I253" s="670"/>
      <c r="J253" s="642"/>
      <c r="K253" s="642"/>
      <c r="L253" s="642"/>
      <c r="M253" s="642"/>
      <c r="N253" s="642"/>
      <c r="AJ253" s="25"/>
    </row>
    <row r="254" spans="2:46" x14ac:dyDescent="0.4">
      <c r="B254" s="57"/>
      <c r="E254" s="57"/>
      <c r="F254" s="22"/>
      <c r="G254" s="667"/>
      <c r="H254" s="644"/>
      <c r="I254" s="670"/>
      <c r="J254" s="642"/>
      <c r="K254" s="642"/>
      <c r="L254" s="642"/>
      <c r="M254" s="642"/>
      <c r="N254" s="642"/>
      <c r="AJ254" s="25"/>
    </row>
    <row r="255" spans="2:46" x14ac:dyDescent="0.4">
      <c r="AJ255" s="25"/>
    </row>
    <row r="256" spans="2:46" x14ac:dyDescent="0.4">
      <c r="AJ256" s="25"/>
    </row>
    <row r="257" spans="1:36" x14ac:dyDescent="0.4">
      <c r="AJ257" s="25"/>
    </row>
    <row r="258" spans="1:36" x14ac:dyDescent="0.4">
      <c r="AJ258" s="25"/>
    </row>
    <row r="259" spans="1:36" x14ac:dyDescent="0.4">
      <c r="AJ259" s="25"/>
    </row>
    <row r="260" spans="1:36" x14ac:dyDescent="0.4">
      <c r="B260" s="844"/>
      <c r="C260" s="866"/>
      <c r="D260" s="866"/>
      <c r="E260" s="866"/>
      <c r="F260" s="866"/>
      <c r="G260" s="866"/>
      <c r="H260" s="866"/>
      <c r="I260" s="866"/>
      <c r="J260" s="866"/>
      <c r="K260" s="866"/>
      <c r="L260" s="866"/>
      <c r="M260" s="866"/>
      <c r="N260" s="866"/>
      <c r="AJ260" s="25"/>
    </row>
    <row r="261" spans="1:36" x14ac:dyDescent="0.4">
      <c r="B261" s="866"/>
      <c r="C261" s="866"/>
      <c r="D261" s="866"/>
      <c r="E261" s="866"/>
      <c r="F261" s="866"/>
      <c r="G261" s="866"/>
      <c r="H261" s="866"/>
      <c r="I261" s="866"/>
      <c r="J261" s="866"/>
      <c r="K261" s="866"/>
      <c r="L261" s="866"/>
      <c r="M261" s="866"/>
      <c r="N261" s="866"/>
      <c r="O261" s="673"/>
      <c r="AJ261" s="25"/>
    </row>
    <row r="262" spans="1:36" ht="16.75" x14ac:dyDescent="0.45">
      <c r="C262" s="57"/>
      <c r="D262" s="674"/>
      <c r="F262"/>
      <c r="H262" s="37"/>
      <c r="I262" s="675"/>
      <c r="K262" s="57"/>
      <c r="L262" s="676"/>
      <c r="M262"/>
      <c r="N262" s="57"/>
      <c r="O262" s="676"/>
      <c r="AJ262" s="25"/>
    </row>
    <row r="263" spans="1:36" ht="15.9" x14ac:dyDescent="0.45">
      <c r="C263" s="37"/>
      <c r="D263" s="677"/>
      <c r="E263" s="37"/>
      <c r="F263" s="77"/>
      <c r="H263" s="37"/>
      <c r="I263" s="130"/>
      <c r="K263"/>
      <c r="L263" s="57"/>
      <c r="M263"/>
      <c r="N263"/>
      <c r="O263" s="57"/>
      <c r="AJ263" s="25"/>
    </row>
    <row r="264" spans="1:36" ht="15.9" x14ac:dyDescent="0.45">
      <c r="C264" s="37"/>
      <c r="D264" s="677"/>
      <c r="E264" s="678"/>
      <c r="F264" s="77"/>
      <c r="H264" s="37"/>
      <c r="I264" s="129"/>
      <c r="K264" s="679"/>
      <c r="L264" s="680"/>
      <c r="M264" s="867"/>
      <c r="N264" s="867"/>
      <c r="O264" s="681"/>
      <c r="AJ264" s="25"/>
    </row>
    <row r="265" spans="1:36" ht="15.9" x14ac:dyDescent="0.45">
      <c r="C265" s="37"/>
      <c r="D265" s="682"/>
      <c r="E265" s="683"/>
      <c r="H265" s="684"/>
      <c r="I265" s="685"/>
      <c r="J265" s="434"/>
      <c r="K265" s="77"/>
      <c r="L265" s="1"/>
      <c r="M265"/>
      <c r="AJ265" s="25"/>
    </row>
    <row r="266" spans="1:36" ht="15.9" x14ac:dyDescent="0.45">
      <c r="C266" s="37"/>
      <c r="D266" s="686"/>
      <c r="E266" s="686"/>
      <c r="G266" s="687"/>
      <c r="K266" s="688"/>
      <c r="M266" s="22"/>
      <c r="O266" s="689"/>
      <c r="AJ266" s="25"/>
    </row>
    <row r="267" spans="1:36" ht="15.9" x14ac:dyDescent="0.45">
      <c r="C267" s="37"/>
      <c r="D267" s="623"/>
      <c r="H267" s="295"/>
      <c r="I267" s="690"/>
      <c r="J267" s="624"/>
      <c r="O267" s="22"/>
      <c r="AJ267" s="25"/>
    </row>
    <row r="268" spans="1:36" x14ac:dyDescent="0.4">
      <c r="E268" s="57"/>
      <c r="F268" s="295"/>
      <c r="G268" s="302"/>
      <c r="M268" s="691"/>
      <c r="O268" s="692"/>
      <c r="AJ268" s="25"/>
    </row>
    <row r="269" spans="1:36" x14ac:dyDescent="0.4">
      <c r="E269" s="57"/>
      <c r="F269" s="295"/>
      <c r="G269" s="302"/>
      <c r="O269" s="692"/>
      <c r="AJ269" s="25"/>
    </row>
    <row r="270" spans="1:36" x14ac:dyDescent="0.4">
      <c r="E270" s="57"/>
      <c r="F270" s="295"/>
      <c r="G270" s="302"/>
      <c r="O270" s="692"/>
      <c r="AJ270" s="25"/>
    </row>
    <row r="271" spans="1:36" x14ac:dyDescent="0.4">
      <c r="A271"/>
      <c r="E271" s="57"/>
      <c r="F271" s="691"/>
      <c r="G271" s="302"/>
      <c r="O271" s="692"/>
      <c r="AJ271" s="25"/>
    </row>
    <row r="272" spans="1:36" x14ac:dyDescent="0.4">
      <c r="A272"/>
      <c r="E272" s="57"/>
      <c r="F272" s="690"/>
      <c r="G272" s="302"/>
      <c r="O272" s="692"/>
      <c r="AJ272" s="25"/>
    </row>
    <row r="273" spans="1:36" x14ac:dyDescent="0.4">
      <c r="A273"/>
      <c r="E273" s="57"/>
      <c r="F273" s="624"/>
      <c r="G273" s="302"/>
      <c r="H273"/>
      <c r="O273" s="692"/>
      <c r="AJ273" s="25"/>
    </row>
    <row r="274" spans="1:36" x14ac:dyDescent="0.4">
      <c r="A274"/>
      <c r="E274" s="57"/>
      <c r="F274" s="688"/>
      <c r="G274" s="302"/>
      <c r="O274" s="692"/>
      <c r="AJ274" s="25"/>
    </row>
    <row r="275" spans="1:36" x14ac:dyDescent="0.4">
      <c r="E275" s="57"/>
      <c r="F275" s="691"/>
      <c r="G275" s="302"/>
      <c r="O275" s="692"/>
      <c r="AJ275" s="25"/>
    </row>
    <row r="276" spans="1:36" x14ac:dyDescent="0.4">
      <c r="A276"/>
      <c r="E276" s="57"/>
      <c r="F276" s="691"/>
      <c r="G276" s="302"/>
      <c r="O276" s="692"/>
      <c r="AJ276" s="25"/>
    </row>
    <row r="277" spans="1:36" x14ac:dyDescent="0.4">
      <c r="A277"/>
      <c r="E277" s="57"/>
      <c r="F277" s="625"/>
      <c r="G277" s="302"/>
      <c r="O277" s="693"/>
      <c r="AJ277" s="25"/>
    </row>
    <row r="278" spans="1:36" x14ac:dyDescent="0.4">
      <c r="A278"/>
      <c r="E278" s="57"/>
      <c r="F278" s="691"/>
      <c r="G278" s="302"/>
      <c r="O278" s="692"/>
      <c r="AJ278" s="25"/>
    </row>
    <row r="279" spans="1:36" x14ac:dyDescent="0.4">
      <c r="A279"/>
      <c r="E279" s="57"/>
      <c r="F279" s="625"/>
      <c r="G279" s="302"/>
      <c r="O279" s="693"/>
      <c r="AJ279" s="25"/>
    </row>
    <row r="280" spans="1:36" x14ac:dyDescent="0.4">
      <c r="A280"/>
      <c r="E280" s="57"/>
      <c r="F280" s="691"/>
      <c r="G280" s="302"/>
      <c r="O280" s="692"/>
      <c r="AJ280" s="25"/>
    </row>
    <row r="281" spans="1:36" x14ac:dyDescent="0.4">
      <c r="E281" s="57"/>
      <c r="F281" s="691"/>
      <c r="G281" s="302"/>
      <c r="O281" s="692"/>
      <c r="AJ281" s="25"/>
    </row>
    <row r="282" spans="1:36" x14ac:dyDescent="0.4">
      <c r="D282" s="57"/>
      <c r="E282" s="57"/>
      <c r="F282" s="690"/>
      <c r="G282" s="302"/>
      <c r="O282" s="692"/>
      <c r="AJ282" s="25"/>
    </row>
    <row r="283" spans="1:36" x14ac:dyDescent="0.4">
      <c r="D283" s="57"/>
      <c r="E283" s="57"/>
      <c r="F283" s="624"/>
      <c r="G283" s="302"/>
      <c r="O283" s="692"/>
      <c r="AJ283" s="25"/>
    </row>
    <row r="284" spans="1:36" x14ac:dyDescent="0.4">
      <c r="A284"/>
      <c r="D284" s="57"/>
      <c r="E284" s="57"/>
      <c r="F284" s="691"/>
      <c r="G284" s="302"/>
      <c r="O284" s="692"/>
      <c r="AJ284" s="25"/>
    </row>
    <row r="285" spans="1:36" x14ac:dyDescent="0.4">
      <c r="A285"/>
      <c r="D285" s="57"/>
      <c r="E285" s="57"/>
      <c r="F285" s="691"/>
      <c r="G285" s="302"/>
      <c r="O285" s="692"/>
      <c r="AJ285" s="25"/>
    </row>
    <row r="286" spans="1:36" x14ac:dyDescent="0.4">
      <c r="A286"/>
      <c r="E286" s="57"/>
      <c r="F286" s="691"/>
      <c r="G286" s="302"/>
      <c r="O286" s="692"/>
      <c r="AJ286" s="25"/>
    </row>
    <row r="287" spans="1:36" x14ac:dyDescent="0.4">
      <c r="A287"/>
      <c r="E287" s="57"/>
      <c r="F287" s="625"/>
      <c r="G287" s="302"/>
      <c r="O287" s="693"/>
      <c r="AJ287" s="25"/>
    </row>
    <row r="288" spans="1:36" x14ac:dyDescent="0.4">
      <c r="A288"/>
      <c r="E288" s="57"/>
      <c r="F288" s="691"/>
      <c r="G288" s="302"/>
      <c r="O288" s="692"/>
      <c r="AJ288" s="25"/>
    </row>
    <row r="289" spans="1:36" x14ac:dyDescent="0.4">
      <c r="A289"/>
      <c r="E289" s="57"/>
      <c r="F289" s="625"/>
      <c r="G289" s="302"/>
      <c r="O289" s="693"/>
      <c r="AJ289" s="25"/>
    </row>
    <row r="290" spans="1:36" x14ac:dyDescent="0.4">
      <c r="A290"/>
      <c r="E290" s="57"/>
      <c r="F290" s="691"/>
      <c r="G290" s="302"/>
      <c r="O290" s="692"/>
      <c r="AJ290" s="25"/>
    </row>
    <row r="291" spans="1:36" x14ac:dyDescent="0.4">
      <c r="E291" s="57"/>
      <c r="AJ291" s="25"/>
    </row>
    <row r="292" spans="1:36" x14ac:dyDescent="0.4">
      <c r="AJ292" s="25"/>
    </row>
    <row r="293" spans="1:36" x14ac:dyDescent="0.4">
      <c r="E293" s="57"/>
      <c r="AJ293" s="25"/>
    </row>
    <row r="294" spans="1:36" x14ac:dyDescent="0.4">
      <c r="E294" s="57"/>
      <c r="F294" s="691"/>
      <c r="AJ294" s="25"/>
    </row>
    <row r="295" spans="1:36" x14ac:dyDescent="0.4">
      <c r="E295" s="57"/>
      <c r="F295" s="691"/>
      <c r="AJ295" s="25"/>
    </row>
    <row r="296" spans="1:36" x14ac:dyDescent="0.4">
      <c r="E296" s="57"/>
      <c r="F296" s="691"/>
      <c r="AD296" s="67" t="str">
        <f>IF(Inputs!E296=0,"",Inputs!E296)</f>
        <v/>
      </c>
      <c r="AJ296" s="25"/>
    </row>
    <row r="297" spans="1:36" x14ac:dyDescent="0.4">
      <c r="F297" s="691"/>
      <c r="AD297" s="67" t="str">
        <f>IF(Inputs!E297=0,"",Inputs!E297)</f>
        <v/>
      </c>
      <c r="AJ297" s="25"/>
    </row>
    <row r="298" spans="1:36" x14ac:dyDescent="0.4">
      <c r="F298" s="691"/>
      <c r="AD298" s="67" t="str">
        <f>IF(Inputs!E298=0,"",Inputs!E298)</f>
        <v/>
      </c>
      <c r="AJ298" s="25"/>
    </row>
    <row r="299" spans="1:36" x14ac:dyDescent="0.4">
      <c r="F299" s="691"/>
      <c r="AD299" s="67" t="str">
        <f>IF(Inputs!E299=0,"",Inputs!E299)</f>
        <v/>
      </c>
      <c r="AJ299" s="25"/>
    </row>
    <row r="300" spans="1:36" x14ac:dyDescent="0.4">
      <c r="F300" s="691"/>
      <c r="AD300" s="67" t="str">
        <f>IF(Inputs!E300=0,"",Inputs!E300)</f>
        <v/>
      </c>
      <c r="AJ300" s="25"/>
    </row>
    <row r="301" spans="1:36" x14ac:dyDescent="0.4">
      <c r="F301" s="691"/>
      <c r="AD301" s="67" t="str">
        <f>IF(Inputs!E301=0,"",Inputs!E301)</f>
        <v/>
      </c>
      <c r="AJ301" s="25"/>
    </row>
    <row r="302" spans="1:36" x14ac:dyDescent="0.4">
      <c r="F302" s="691"/>
      <c r="AD302" s="67" t="str">
        <f>IF(Inputs!E302=0,"",Inputs!E302)</f>
        <v/>
      </c>
      <c r="AJ302" s="25"/>
    </row>
    <row r="303" spans="1:36" x14ac:dyDescent="0.4">
      <c r="F303" s="691"/>
      <c r="AD303" s="67" t="str">
        <f>IF(Inputs!E303=0,"",Inputs!E303)</f>
        <v/>
      </c>
      <c r="AJ303" s="25"/>
    </row>
    <row r="304" spans="1:36" x14ac:dyDescent="0.4">
      <c r="F304" s="691"/>
      <c r="AD304" s="67" t="str">
        <f>IF(Inputs!E304=0,"",Inputs!E304)</f>
        <v/>
      </c>
      <c r="AJ304" s="25"/>
    </row>
    <row r="305" spans="6:36" x14ac:dyDescent="0.4">
      <c r="F305" s="691"/>
      <c r="AD305" s="67" t="str">
        <f>IF(Inputs!E305=0,"",Inputs!E305)</f>
        <v/>
      </c>
      <c r="AJ305" s="25"/>
    </row>
    <row r="306" spans="6:36" x14ac:dyDescent="0.4">
      <c r="F306" s="691"/>
      <c r="AJ306" s="25"/>
    </row>
    <row r="307" spans="6:36" x14ac:dyDescent="0.4">
      <c r="F307" s="691"/>
      <c r="AJ307" s="25"/>
    </row>
    <row r="308" spans="6:36" x14ac:dyDescent="0.4">
      <c r="F308" s="691"/>
      <c r="AJ308" s="25"/>
    </row>
    <row r="309" spans="6:36" x14ac:dyDescent="0.4">
      <c r="F309" s="691"/>
      <c r="AJ309" s="25"/>
    </row>
    <row r="310" spans="6:36" x14ac:dyDescent="0.4">
      <c r="F310" s="691"/>
      <c r="AJ310" s="25"/>
    </row>
    <row r="311" spans="6:36" x14ac:dyDescent="0.4">
      <c r="F311" s="691"/>
      <c r="AJ311" s="25"/>
    </row>
    <row r="312" spans="6:36" x14ac:dyDescent="0.4">
      <c r="F312" s="691"/>
      <c r="AJ312" s="25"/>
    </row>
    <row r="313" spans="6:36" x14ac:dyDescent="0.4">
      <c r="F313" s="691"/>
      <c r="AJ313" s="25"/>
    </row>
    <row r="314" spans="6:36" x14ac:dyDescent="0.4">
      <c r="F314" s="691"/>
      <c r="AJ314" s="25"/>
    </row>
    <row r="315" spans="6:36" x14ac:dyDescent="0.4">
      <c r="F315" s="691"/>
      <c r="AJ315" s="25"/>
    </row>
    <row r="316" spans="6:36" x14ac:dyDescent="0.4">
      <c r="AJ316" s="25"/>
    </row>
    <row r="317" spans="6:36" x14ac:dyDescent="0.4">
      <c r="AJ317" s="25"/>
    </row>
    <row r="318" spans="6:36" x14ac:dyDescent="0.4">
      <c r="AJ318" s="25"/>
    </row>
    <row r="319" spans="6:36" x14ac:dyDescent="0.4">
      <c r="AJ319" s="25"/>
    </row>
    <row r="320" spans="6:36" x14ac:dyDescent="0.4">
      <c r="AJ320" s="25"/>
    </row>
    <row r="321" spans="36:36" x14ac:dyDescent="0.4">
      <c r="AJ321" s="25"/>
    </row>
    <row r="322" spans="36:36" x14ac:dyDescent="0.4">
      <c r="AJ322" s="25"/>
    </row>
    <row r="323" spans="36:36" x14ac:dyDescent="0.4">
      <c r="AJ323" s="25"/>
    </row>
    <row r="324" spans="36:36" x14ac:dyDescent="0.4">
      <c r="AJ324" s="25"/>
    </row>
    <row r="325" spans="36:36" x14ac:dyDescent="0.4">
      <c r="AJ325" s="25"/>
    </row>
    <row r="326" spans="36:36" x14ac:dyDescent="0.4">
      <c r="AJ326" s="25"/>
    </row>
    <row r="327" spans="36:36" x14ac:dyDescent="0.4">
      <c r="AJ327" s="25"/>
    </row>
    <row r="328" spans="36:36" x14ac:dyDescent="0.4">
      <c r="AJ328" s="25"/>
    </row>
    <row r="329" spans="36:36" x14ac:dyDescent="0.4">
      <c r="AJ329" s="25"/>
    </row>
    <row r="330" spans="36:36" x14ac:dyDescent="0.4">
      <c r="AJ330" s="25"/>
    </row>
    <row r="331" spans="36:36" x14ac:dyDescent="0.4">
      <c r="AJ331" s="25"/>
    </row>
    <row r="332" spans="36:36" x14ac:dyDescent="0.4">
      <c r="AJ332" s="25"/>
    </row>
    <row r="333" spans="36:36" x14ac:dyDescent="0.4">
      <c r="AJ333" s="25"/>
    </row>
    <row r="334" spans="36:36" x14ac:dyDescent="0.4">
      <c r="AJ334" s="25"/>
    </row>
    <row r="335" spans="36:36" x14ac:dyDescent="0.4">
      <c r="AJ335" s="25"/>
    </row>
    <row r="336" spans="36:36" x14ac:dyDescent="0.4">
      <c r="AJ336" s="25"/>
    </row>
    <row r="337" spans="36:36" x14ac:dyDescent="0.4">
      <c r="AJ337" s="25"/>
    </row>
    <row r="338" spans="36:36" x14ac:dyDescent="0.4">
      <c r="AJ338" s="25"/>
    </row>
    <row r="339" spans="36:36" x14ac:dyDescent="0.4">
      <c r="AJ339" s="25"/>
    </row>
    <row r="340" spans="36:36" x14ac:dyDescent="0.4">
      <c r="AJ340" s="25"/>
    </row>
    <row r="341" spans="36:36" x14ac:dyDescent="0.4">
      <c r="AJ341" s="25"/>
    </row>
    <row r="342" spans="36:36" x14ac:dyDescent="0.4">
      <c r="AJ342" s="25"/>
    </row>
    <row r="343" spans="36:36" x14ac:dyDescent="0.4">
      <c r="AJ343" s="25"/>
    </row>
    <row r="344" spans="36:36" x14ac:dyDescent="0.4">
      <c r="AJ344" s="25"/>
    </row>
    <row r="345" spans="36:36" x14ac:dyDescent="0.4">
      <c r="AJ345" s="25"/>
    </row>
    <row r="346" spans="36:36" x14ac:dyDescent="0.4">
      <c r="AJ346" s="25"/>
    </row>
    <row r="347" spans="36:36" x14ac:dyDescent="0.4">
      <c r="AJ347" s="25"/>
    </row>
    <row r="348" spans="36:36" x14ac:dyDescent="0.4">
      <c r="AJ348" s="25"/>
    </row>
    <row r="349" spans="36:36" x14ac:dyDescent="0.4">
      <c r="AJ349" s="25"/>
    </row>
    <row r="350" spans="36:36" x14ac:dyDescent="0.4">
      <c r="AJ350" s="25"/>
    </row>
    <row r="351" spans="36:36" x14ac:dyDescent="0.4">
      <c r="AJ351" s="25"/>
    </row>
    <row r="352" spans="36:36" x14ac:dyDescent="0.4">
      <c r="AJ352" s="25"/>
    </row>
    <row r="353" spans="36:36" x14ac:dyDescent="0.4">
      <c r="AJ353" s="25"/>
    </row>
    <row r="354" spans="36:36" x14ac:dyDescent="0.4">
      <c r="AJ354" s="25"/>
    </row>
    <row r="355" spans="36:36" x14ac:dyDescent="0.4">
      <c r="AJ355" s="25"/>
    </row>
    <row r="356" spans="36:36" x14ac:dyDescent="0.4">
      <c r="AJ356" s="25"/>
    </row>
    <row r="486" spans="5:68" x14ac:dyDescent="0.4">
      <c r="AA486" s="63"/>
      <c r="AB486" s="63"/>
      <c r="AC486" s="63"/>
      <c r="AD486" s="63"/>
      <c r="AE486" s="63"/>
      <c r="AF486" s="63"/>
      <c r="AG486" s="63"/>
      <c r="AH486" s="63"/>
      <c r="AI486" s="63"/>
      <c r="AR486" s="63"/>
      <c r="AS486" s="63"/>
      <c r="AT486" s="63"/>
      <c r="AU486" s="63"/>
      <c r="AV486" s="63"/>
    </row>
    <row r="487" spans="5:68" x14ac:dyDescent="0.4">
      <c r="AA487" s="63"/>
      <c r="AB487" s="63"/>
      <c r="AC487" s="63"/>
      <c r="AD487" s="63"/>
      <c r="AE487" s="63"/>
      <c r="AF487" s="63"/>
      <c r="AG487" s="63"/>
      <c r="AH487" s="63"/>
      <c r="AI487" s="63"/>
      <c r="AR487" s="63"/>
      <c r="AS487" s="63"/>
      <c r="AT487" s="63"/>
      <c r="AU487" s="63"/>
      <c r="AV487" s="63"/>
    </row>
    <row r="488" spans="5:68" x14ac:dyDescent="0.4">
      <c r="AA488" s="63"/>
      <c r="AB488" s="63"/>
      <c r="AC488" s="63"/>
      <c r="AD488" s="63"/>
      <c r="AE488" s="63"/>
      <c r="AF488" s="63"/>
      <c r="AG488" s="63"/>
      <c r="AH488" s="63"/>
      <c r="AI488" s="63"/>
      <c r="AR488" s="63"/>
      <c r="AS488" s="63"/>
      <c r="AT488" s="63"/>
      <c r="AU488" s="63"/>
      <c r="AV488" s="63"/>
    </row>
    <row r="489" spans="5:68" x14ac:dyDescent="0.4">
      <c r="AA489" s="63"/>
      <c r="AB489" s="63"/>
      <c r="AC489" s="63"/>
      <c r="AD489" s="63"/>
      <c r="AE489" s="63"/>
      <c r="AF489" s="63"/>
      <c r="AG489" s="63"/>
      <c r="AH489" s="63"/>
      <c r="AI489" s="63"/>
      <c r="AR489" s="63"/>
      <c r="AS489" s="63"/>
      <c r="AT489" s="63"/>
      <c r="AU489" s="63"/>
      <c r="AV489" s="63"/>
    </row>
    <row r="491" spans="5:68" ht="14.6" customHeight="1" x14ac:dyDescent="0.4">
      <c r="E491" s="878" t="s">
        <v>897</v>
      </c>
      <c r="F491" s="878" t="s">
        <v>898</v>
      </c>
      <c r="G491" s="878" t="s">
        <v>899</v>
      </c>
      <c r="H491" s="878" t="s">
        <v>900</v>
      </c>
      <c r="I491" s="878" t="s">
        <v>901</v>
      </c>
      <c r="J491" s="878" t="s">
        <v>902</v>
      </c>
      <c r="K491" s="879" t="s">
        <v>903</v>
      </c>
      <c r="L491" s="880" t="s">
        <v>904</v>
      </c>
      <c r="M491" s="879" t="s">
        <v>905</v>
      </c>
      <c r="N491" s="879" t="s">
        <v>906</v>
      </c>
      <c r="O491" s="881" t="s">
        <v>907</v>
      </c>
      <c r="P491" s="879" t="s">
        <v>908</v>
      </c>
      <c r="Q491" s="879" t="s">
        <v>909</v>
      </c>
      <c r="R491" s="879" t="s">
        <v>910</v>
      </c>
      <c r="S491" s="879" t="s">
        <v>911</v>
      </c>
      <c r="T491" s="879" t="s">
        <v>912</v>
      </c>
      <c r="U491" s="879" t="s">
        <v>913</v>
      </c>
      <c r="V491" s="881" t="s">
        <v>914</v>
      </c>
      <c r="W491" s="882"/>
      <c r="X491" s="883" t="s">
        <v>356</v>
      </c>
      <c r="Y491" s="879" t="s">
        <v>915</v>
      </c>
      <c r="Z491" s="879" t="s">
        <v>916</v>
      </c>
      <c r="AA491" s="879" t="s">
        <v>917</v>
      </c>
      <c r="AB491" s="879" t="s">
        <v>918</v>
      </c>
      <c r="AC491" s="879" t="s">
        <v>919</v>
      </c>
      <c r="AD491" s="879" t="s">
        <v>920</v>
      </c>
      <c r="AE491" s="879" t="s">
        <v>921</v>
      </c>
      <c r="AF491" s="879" t="s">
        <v>922</v>
      </c>
      <c r="AG491" s="879" t="s">
        <v>923</v>
      </c>
      <c r="AH491" s="879" t="s">
        <v>924</v>
      </c>
      <c r="AI491" s="879" t="s">
        <v>925</v>
      </c>
      <c r="AJ491" s="879" t="s">
        <v>926</v>
      </c>
      <c r="AK491" s="883" t="s">
        <v>927</v>
      </c>
      <c r="AL491" s="884" t="s">
        <v>928</v>
      </c>
      <c r="AM491" s="879" t="s">
        <v>929</v>
      </c>
      <c r="AN491" s="879" t="s">
        <v>930</v>
      </c>
      <c r="AO491" s="881" t="s">
        <v>931</v>
      </c>
      <c r="AP491" s="881" t="s">
        <v>932</v>
      </c>
      <c r="AQ491" s="879" t="s">
        <v>933</v>
      </c>
      <c r="AR491" s="885" t="s">
        <v>934</v>
      </c>
      <c r="AS491" s="879" t="s">
        <v>935</v>
      </c>
      <c r="AT491" s="879" t="s">
        <v>936</v>
      </c>
      <c r="AU491" s="879" t="s">
        <v>937</v>
      </c>
      <c r="AV491" s="879" t="s">
        <v>938</v>
      </c>
      <c r="AW491" s="879" t="s">
        <v>939</v>
      </c>
      <c r="AX491" s="879" t="s">
        <v>940</v>
      </c>
      <c r="AY491" s="879" t="s">
        <v>941</v>
      </c>
      <c r="AZ491" s="879" t="s">
        <v>942</v>
      </c>
      <c r="BA491" s="879" t="s">
        <v>943</v>
      </c>
      <c r="BB491" s="879" t="s">
        <v>944</v>
      </c>
      <c r="BC491" s="879" t="s">
        <v>945</v>
      </c>
      <c r="BD491" s="879" t="s">
        <v>946</v>
      </c>
      <c r="BE491" s="879" t="s">
        <v>947</v>
      </c>
      <c r="BF491" s="879" t="s">
        <v>948</v>
      </c>
      <c r="BG491" s="879" t="s">
        <v>949</v>
      </c>
      <c r="BH491" s="886" t="s">
        <v>950</v>
      </c>
      <c r="BI491" s="886" t="s">
        <v>951</v>
      </c>
      <c r="BJ491" s="887" t="s">
        <v>952</v>
      </c>
      <c r="BK491" s="887" t="s">
        <v>953</v>
      </c>
      <c r="BL491" s="880" t="s">
        <v>954</v>
      </c>
      <c r="BM491" s="888" t="s">
        <v>955</v>
      </c>
      <c r="BN491" s="879"/>
      <c r="BO491" s="879"/>
      <c r="BP491" s="879" t="s">
        <v>956</v>
      </c>
    </row>
    <row r="492" spans="5:68" x14ac:dyDescent="0.4">
      <c r="E492" s="889"/>
      <c r="F492" s="889"/>
      <c r="G492" s="889"/>
      <c r="H492" s="889"/>
      <c r="I492" s="889"/>
      <c r="J492" s="889"/>
      <c r="K492" s="890"/>
      <c r="L492" s="891"/>
      <c r="M492" s="890"/>
      <c r="N492" s="890"/>
      <c r="O492" s="892"/>
      <c r="P492" s="890"/>
      <c r="Q492" s="890"/>
      <c r="R492" s="890"/>
      <c r="S492" s="890"/>
      <c r="T492" s="890"/>
      <c r="U492" s="890"/>
      <c r="V492" s="892"/>
      <c r="W492" s="893"/>
      <c r="X492" s="883"/>
      <c r="Y492" s="890"/>
      <c r="Z492" s="890"/>
      <c r="AA492" s="890"/>
      <c r="AB492" s="890"/>
      <c r="AC492" s="890"/>
      <c r="AD492" s="890"/>
      <c r="AE492" s="890"/>
      <c r="AF492" s="890"/>
      <c r="AG492" s="890"/>
      <c r="AH492" s="890"/>
      <c r="AI492" s="890"/>
      <c r="AJ492" s="890"/>
      <c r="AK492" s="883"/>
      <c r="AL492" s="894"/>
      <c r="AM492" s="890"/>
      <c r="AN492" s="890"/>
      <c r="AO492" s="892"/>
      <c r="AP492" s="892"/>
      <c r="AQ492" s="890"/>
      <c r="AR492" s="895"/>
      <c r="AS492" s="890"/>
      <c r="AT492" s="890"/>
      <c r="AU492" s="890"/>
      <c r="AV492" s="879"/>
      <c r="AW492" s="879"/>
      <c r="AX492" s="890"/>
      <c r="AY492" s="890"/>
      <c r="AZ492" s="890"/>
      <c r="BA492" s="890"/>
      <c r="BB492" s="890"/>
      <c r="BC492" s="890"/>
      <c r="BD492" s="890"/>
      <c r="BE492" s="890"/>
      <c r="BF492" s="890"/>
      <c r="BG492" s="890"/>
      <c r="BH492" s="895"/>
      <c r="BI492" s="895"/>
      <c r="BJ492" s="896"/>
      <c r="BK492" s="896"/>
      <c r="BL492" s="891"/>
      <c r="BM492" s="897"/>
      <c r="BN492" s="890"/>
      <c r="BO492" s="890"/>
      <c r="BP492" s="890"/>
    </row>
    <row r="493" spans="5:68" x14ac:dyDescent="0.4">
      <c r="E493" s="889"/>
      <c r="F493" s="889"/>
      <c r="G493" s="889"/>
      <c r="H493" s="889"/>
      <c r="I493" s="889"/>
      <c r="J493" s="889"/>
      <c r="K493" s="890"/>
      <c r="L493" s="891"/>
      <c r="M493" s="890"/>
      <c r="N493" s="890"/>
      <c r="O493" s="892"/>
      <c r="P493" s="890"/>
      <c r="Q493" s="890"/>
      <c r="R493" s="890"/>
      <c r="S493" s="890"/>
      <c r="T493" s="890"/>
      <c r="U493" s="890"/>
      <c r="V493" s="892"/>
      <c r="W493" s="893"/>
      <c r="X493" s="883"/>
      <c r="Y493" s="890"/>
      <c r="Z493" s="890"/>
      <c r="AA493" s="890"/>
      <c r="AB493" s="890"/>
      <c r="AC493" s="890"/>
      <c r="AD493" s="890"/>
      <c r="AE493" s="890"/>
      <c r="AF493" s="890"/>
      <c r="AG493" s="890"/>
      <c r="AH493" s="890"/>
      <c r="AI493" s="890"/>
      <c r="AJ493" s="890"/>
      <c r="AK493" s="883"/>
      <c r="AL493" s="894"/>
      <c r="AM493" s="890"/>
      <c r="AN493" s="890"/>
      <c r="AO493" s="892"/>
      <c r="AP493" s="892"/>
      <c r="AQ493" s="890"/>
      <c r="AR493" s="895"/>
      <c r="AS493" s="890"/>
      <c r="AT493" s="890"/>
      <c r="AU493" s="890"/>
      <c r="AV493" s="879"/>
      <c r="AW493" s="879"/>
      <c r="AX493" s="890"/>
      <c r="AY493" s="890"/>
      <c r="AZ493" s="890"/>
      <c r="BA493" s="890"/>
      <c r="BB493" s="890"/>
      <c r="BC493" s="890"/>
      <c r="BD493" s="890"/>
      <c r="BE493" s="890"/>
      <c r="BF493" s="890"/>
      <c r="BG493" s="890"/>
      <c r="BH493" s="895"/>
      <c r="BI493" s="895"/>
      <c r="BJ493" s="896"/>
      <c r="BK493" s="896"/>
      <c r="BL493" s="891"/>
      <c r="BM493" s="897"/>
      <c r="BN493" s="890"/>
      <c r="BO493" s="890"/>
      <c r="BP493" s="890"/>
    </row>
    <row r="494" spans="5:68" x14ac:dyDescent="0.4">
      <c r="E494" s="889"/>
      <c r="F494" s="889"/>
      <c r="G494" s="889"/>
      <c r="H494" s="889"/>
      <c r="I494" s="889"/>
      <c r="J494" s="889"/>
      <c r="K494" s="890"/>
      <c r="L494" s="891"/>
      <c r="M494" s="890"/>
      <c r="N494" s="890"/>
      <c r="O494" s="892"/>
      <c r="P494" s="890"/>
      <c r="Q494" s="890"/>
      <c r="R494" s="890"/>
      <c r="S494" s="890"/>
      <c r="T494" s="890"/>
      <c r="U494" s="890"/>
      <c r="V494" s="892"/>
      <c r="W494" s="893"/>
      <c r="X494" s="883"/>
      <c r="Y494" s="890"/>
      <c r="Z494" s="890"/>
      <c r="AA494" s="890"/>
      <c r="AB494" s="890"/>
      <c r="AC494" s="890"/>
      <c r="AD494" s="890"/>
      <c r="AE494" s="890"/>
      <c r="AF494" s="890"/>
      <c r="AG494" s="890"/>
      <c r="AH494" s="890"/>
      <c r="AI494" s="890"/>
      <c r="AJ494" s="890"/>
      <c r="AK494" s="883"/>
      <c r="AL494" s="894"/>
      <c r="AM494" s="890"/>
      <c r="AN494" s="890"/>
      <c r="AO494" s="892"/>
      <c r="AP494" s="892"/>
      <c r="AQ494" s="890"/>
      <c r="AR494" s="895"/>
      <c r="AS494" s="890"/>
      <c r="AT494" s="890"/>
      <c r="AU494" s="890"/>
      <c r="AV494" s="879"/>
      <c r="AW494" s="879"/>
      <c r="AX494" s="890"/>
      <c r="AY494" s="890"/>
      <c r="AZ494" s="890"/>
      <c r="BA494" s="890"/>
      <c r="BB494" s="890"/>
      <c r="BC494" s="890"/>
      <c r="BD494" s="890"/>
      <c r="BE494" s="890"/>
      <c r="BF494" s="890"/>
      <c r="BG494" s="890"/>
      <c r="BH494" s="895"/>
      <c r="BI494" s="895"/>
      <c r="BJ494" s="896"/>
      <c r="BK494" s="896"/>
      <c r="BL494" s="891"/>
      <c r="BM494" s="897"/>
      <c r="BN494" s="890"/>
      <c r="BO494" s="890"/>
      <c r="BP494" s="890"/>
    </row>
    <row r="495" spans="5:68" x14ac:dyDescent="0.4">
      <c r="E495" s="889"/>
      <c r="F495" s="889"/>
      <c r="G495" s="889"/>
      <c r="H495" s="889"/>
      <c r="I495" s="889"/>
      <c r="J495" s="889"/>
      <c r="K495" s="890"/>
      <c r="L495" s="891"/>
      <c r="M495" s="890"/>
      <c r="N495" s="890"/>
      <c r="O495" s="892"/>
      <c r="P495" s="890"/>
      <c r="Q495" s="890"/>
      <c r="R495" s="890"/>
      <c r="S495" s="890"/>
      <c r="T495" s="890"/>
      <c r="U495" s="890"/>
      <c r="V495" s="892"/>
      <c r="W495" s="893"/>
      <c r="X495" s="883"/>
      <c r="Y495" s="890"/>
      <c r="Z495" s="890"/>
      <c r="AA495" s="890"/>
      <c r="AB495" s="890"/>
      <c r="AC495" s="890"/>
      <c r="AD495" s="890"/>
      <c r="AE495" s="890"/>
      <c r="AF495" s="890"/>
      <c r="AG495" s="890"/>
      <c r="AH495" s="890"/>
      <c r="AI495" s="890"/>
      <c r="AJ495" s="890"/>
      <c r="AK495" s="883"/>
      <c r="AL495" s="894"/>
      <c r="AM495" s="890"/>
      <c r="AN495" s="890"/>
      <c r="AO495" s="892"/>
      <c r="AP495" s="892"/>
      <c r="AQ495" s="890"/>
      <c r="AR495" s="895"/>
      <c r="AS495" s="890"/>
      <c r="AT495" s="890"/>
      <c r="AU495" s="890"/>
      <c r="AV495" s="879"/>
      <c r="AW495" s="879"/>
      <c r="AX495" s="890"/>
      <c r="AY495" s="890"/>
      <c r="AZ495" s="890"/>
      <c r="BA495" s="890"/>
      <c r="BB495" s="890"/>
      <c r="BC495" s="890"/>
      <c r="BD495" s="890"/>
      <c r="BE495" s="890"/>
      <c r="BF495" s="890"/>
      <c r="BG495" s="890"/>
      <c r="BH495" s="895"/>
      <c r="BI495" s="895"/>
      <c r="BJ495" s="896"/>
      <c r="BK495" s="896"/>
      <c r="BL495" s="891"/>
      <c r="BM495" s="897"/>
      <c r="BN495" s="890"/>
      <c r="BO495" s="890"/>
      <c r="BP495" s="890"/>
    </row>
    <row r="496" spans="5:68" x14ac:dyDescent="0.4">
      <c r="E496" s="889"/>
      <c r="F496" s="889"/>
      <c r="G496" s="889"/>
      <c r="H496" s="889"/>
      <c r="I496" s="889"/>
      <c r="J496" s="889"/>
      <c r="K496" s="890"/>
      <c r="L496" s="891"/>
      <c r="M496" s="890"/>
      <c r="N496" s="890"/>
      <c r="O496" s="892"/>
      <c r="P496" s="890"/>
      <c r="Q496" s="890"/>
      <c r="R496" s="890"/>
      <c r="S496" s="890"/>
      <c r="T496" s="890"/>
      <c r="U496" s="890"/>
      <c r="V496" s="892"/>
      <c r="W496" s="893"/>
      <c r="X496" s="883"/>
      <c r="Y496" s="890"/>
      <c r="Z496" s="890"/>
      <c r="AA496" s="890"/>
      <c r="AB496" s="890"/>
      <c r="AC496" s="890"/>
      <c r="AD496" s="890"/>
      <c r="AE496" s="890"/>
      <c r="AF496" s="890"/>
      <c r="AG496" s="890"/>
      <c r="AH496" s="890"/>
      <c r="AI496" s="890"/>
      <c r="AJ496" s="890"/>
      <c r="AK496" s="883"/>
      <c r="AL496" s="894"/>
      <c r="AM496" s="890"/>
      <c r="AN496" s="890"/>
      <c r="AO496" s="892"/>
      <c r="AP496" s="892"/>
      <c r="AQ496" s="890"/>
      <c r="AR496" s="895"/>
      <c r="AS496" s="890"/>
      <c r="AT496" s="890"/>
      <c r="AU496" s="890"/>
      <c r="AV496" s="879"/>
      <c r="AW496" s="879"/>
      <c r="AX496" s="890"/>
      <c r="AY496" s="890"/>
      <c r="AZ496" s="890"/>
      <c r="BA496" s="890"/>
      <c r="BB496" s="890"/>
      <c r="BC496" s="890"/>
      <c r="BD496" s="890"/>
      <c r="BE496" s="890"/>
      <c r="BF496" s="890"/>
      <c r="BG496" s="890"/>
      <c r="BH496" s="895"/>
      <c r="BI496" s="895"/>
      <c r="BJ496" s="896"/>
      <c r="BK496" s="896"/>
      <c r="BL496" s="891"/>
      <c r="BM496" s="897"/>
      <c r="BN496" s="890"/>
      <c r="BO496" s="890"/>
      <c r="BP496" s="890"/>
    </row>
    <row r="497" spans="1:69" x14ac:dyDescent="0.4">
      <c r="E497" s="889"/>
      <c r="F497" s="889"/>
      <c r="G497" s="889"/>
      <c r="H497" s="889"/>
      <c r="I497" s="889"/>
      <c r="J497" s="889"/>
      <c r="K497" s="890"/>
      <c r="L497" s="891"/>
      <c r="M497" s="890"/>
      <c r="N497" s="890"/>
      <c r="O497" s="892"/>
      <c r="P497" s="890"/>
      <c r="Q497" s="890"/>
      <c r="R497" s="890"/>
      <c r="S497" s="890"/>
      <c r="T497" s="890"/>
      <c r="U497" s="890"/>
      <c r="V497" s="892"/>
      <c r="W497" s="893"/>
      <c r="X497" s="883"/>
      <c r="Y497" s="890"/>
      <c r="Z497" s="890"/>
      <c r="AA497" s="890"/>
      <c r="AB497" s="890"/>
      <c r="AC497" s="890"/>
      <c r="AD497" s="890"/>
      <c r="AE497" s="890"/>
      <c r="AF497" s="890"/>
      <c r="AG497" s="890"/>
      <c r="AH497" s="890"/>
      <c r="AI497" s="890"/>
      <c r="AJ497" s="890"/>
      <c r="AK497" s="883"/>
      <c r="AL497" s="894"/>
      <c r="AM497" s="890"/>
      <c r="AN497" s="890"/>
      <c r="AO497" s="892"/>
      <c r="AP497" s="892"/>
      <c r="AQ497" s="890"/>
      <c r="AR497" s="895"/>
      <c r="AS497" s="890"/>
      <c r="AT497" s="890"/>
      <c r="AU497" s="890"/>
      <c r="AV497" s="879"/>
      <c r="AW497" s="879"/>
      <c r="AX497" s="890"/>
      <c r="AY497" s="890"/>
      <c r="AZ497" s="890"/>
      <c r="BA497" s="890"/>
      <c r="BB497" s="890"/>
      <c r="BC497" s="890"/>
      <c r="BD497" s="890"/>
      <c r="BE497" s="890"/>
      <c r="BF497" s="890"/>
      <c r="BG497" s="890"/>
      <c r="BH497" s="895"/>
      <c r="BI497" s="895"/>
      <c r="BJ497" s="896"/>
      <c r="BK497" s="896"/>
      <c r="BL497" s="891"/>
      <c r="BM497" s="897"/>
      <c r="BN497" s="890"/>
      <c r="BO497" s="890"/>
      <c r="BP497" s="890"/>
    </row>
    <row r="498" spans="1:69" ht="15" thickBot="1" x14ac:dyDescent="0.45">
      <c r="E498" s="889"/>
      <c r="F498" s="889"/>
      <c r="G498" s="889"/>
      <c r="H498" s="889"/>
      <c r="I498" s="889"/>
      <c r="J498" s="889"/>
      <c r="K498" s="890"/>
      <c r="L498" s="891"/>
      <c r="M498" s="890"/>
      <c r="N498" s="890"/>
      <c r="O498" s="892"/>
      <c r="P498" s="890"/>
      <c r="Q498" s="890"/>
      <c r="R498" s="890"/>
      <c r="S498" s="890"/>
      <c r="T498" s="890"/>
      <c r="U498" s="890"/>
      <c r="V498" s="892"/>
      <c r="W498" s="893"/>
      <c r="X498" s="883"/>
      <c r="Y498" s="890"/>
      <c r="Z498" s="890"/>
      <c r="AA498" s="890"/>
      <c r="AB498" s="890"/>
      <c r="AC498" s="890"/>
      <c r="AD498" s="890"/>
      <c r="AE498" s="890"/>
      <c r="AF498" s="890"/>
      <c r="AG498" s="890"/>
      <c r="AH498" s="890"/>
      <c r="AI498" s="890"/>
      <c r="AJ498" s="890"/>
      <c r="AK498" s="883"/>
      <c r="AL498" s="894"/>
      <c r="AM498" s="890"/>
      <c r="AN498" s="890"/>
      <c r="AO498" s="892"/>
      <c r="AP498" s="892"/>
      <c r="AQ498" s="890"/>
      <c r="AR498" s="895"/>
      <c r="AS498" s="890"/>
      <c r="AT498" s="890"/>
      <c r="AU498" s="890"/>
      <c r="AV498" s="879"/>
      <c r="AW498" s="879"/>
      <c r="AX498" s="890"/>
      <c r="AY498" s="890"/>
      <c r="AZ498" s="890"/>
      <c r="BA498" s="890"/>
      <c r="BB498" s="890"/>
      <c r="BC498" s="890"/>
      <c r="BD498" s="890"/>
      <c r="BE498" s="890"/>
      <c r="BF498" s="890"/>
      <c r="BG498" s="890"/>
      <c r="BH498" s="895"/>
      <c r="BI498" s="895"/>
      <c r="BJ498" s="896"/>
      <c r="BK498" s="896"/>
      <c r="BL498" s="891"/>
      <c r="BM498" s="897"/>
      <c r="BN498" s="890"/>
      <c r="BO498" s="890"/>
      <c r="BP498" s="890"/>
    </row>
    <row r="499" spans="1:69" ht="15" thickBot="1" x14ac:dyDescent="0.45">
      <c r="E499" s="898" t="s">
        <v>957</v>
      </c>
      <c r="F499" s="899"/>
      <c r="G499" s="899"/>
      <c r="H499" s="899"/>
      <c r="I499" s="899"/>
      <c r="J499" s="900"/>
      <c r="L499" s="901"/>
    </row>
    <row r="500" spans="1:69" x14ac:dyDescent="0.4">
      <c r="G500" s="902" t="s">
        <v>958</v>
      </c>
      <c r="H500" s="65"/>
      <c r="I500" s="65"/>
      <c r="J500" s="65"/>
      <c r="K500" s="65"/>
      <c r="L500" s="903"/>
      <c r="M500" s="902"/>
      <c r="N500" s="904" t="s">
        <v>959</v>
      </c>
      <c r="O500" s="434"/>
      <c r="P500" s="902"/>
      <c r="Q500" s="902" t="s">
        <v>958</v>
      </c>
      <c r="R500" s="65"/>
      <c r="T500" s="902"/>
      <c r="U500" s="902" t="s">
        <v>958</v>
      </c>
      <c r="W500" s="1" t="s">
        <v>958</v>
      </c>
      <c r="Y500" s="902"/>
      <c r="AA500" s="902" t="s">
        <v>958</v>
      </c>
      <c r="AH500" s="434" t="s">
        <v>958</v>
      </c>
      <c r="AN500" s="434" t="s">
        <v>958</v>
      </c>
      <c r="AP500" s="434" t="s">
        <v>958</v>
      </c>
      <c r="AY500" s="77"/>
      <c r="BA500" s="434" t="s">
        <v>958</v>
      </c>
      <c r="BB500" s="434"/>
      <c r="BC500" s="434"/>
      <c r="BD500" s="434" t="s">
        <v>958</v>
      </c>
      <c r="BE500" s="434"/>
      <c r="BF500" s="434"/>
      <c r="BG500" s="434" t="s">
        <v>958</v>
      </c>
      <c r="BL500" s="434" t="s">
        <v>958</v>
      </c>
      <c r="BM500" s="434" t="s">
        <v>958</v>
      </c>
    </row>
    <row r="501" spans="1:69" x14ac:dyDescent="0.4">
      <c r="A501" s="1" t="s">
        <v>960</v>
      </c>
      <c r="B501" s="77">
        <v>1</v>
      </c>
      <c r="C501" s="77">
        <v>2</v>
      </c>
      <c r="D501" s="77">
        <v>3</v>
      </c>
      <c r="E501" s="1">
        <v>4</v>
      </c>
      <c r="F501" s="77">
        <v>5</v>
      </c>
      <c r="G501" s="1">
        <v>6</v>
      </c>
      <c r="H501" s="77">
        <v>7</v>
      </c>
      <c r="I501" s="1">
        <v>8</v>
      </c>
      <c r="J501" s="77">
        <v>9</v>
      </c>
      <c r="K501" s="1">
        <v>10</v>
      </c>
      <c r="L501" s="905">
        <v>11</v>
      </c>
      <c r="M501" s="1">
        <v>12</v>
      </c>
      <c r="N501" s="77">
        <v>13</v>
      </c>
      <c r="O501" s="1">
        <v>14</v>
      </c>
      <c r="P501" s="77">
        <v>15</v>
      </c>
      <c r="Q501" s="1">
        <v>16</v>
      </c>
      <c r="R501" s="77">
        <v>17</v>
      </c>
      <c r="S501" s="1">
        <v>18</v>
      </c>
      <c r="T501" s="77">
        <v>19</v>
      </c>
      <c r="U501" s="1">
        <v>20</v>
      </c>
      <c r="V501" s="833">
        <v>21</v>
      </c>
      <c r="W501" s="1">
        <v>22</v>
      </c>
      <c r="X501" s="1">
        <v>23</v>
      </c>
      <c r="Y501" s="1">
        <v>24</v>
      </c>
      <c r="Z501" s="1">
        <v>25</v>
      </c>
      <c r="AA501" s="77">
        <v>26</v>
      </c>
      <c r="AB501" s="77">
        <v>27</v>
      </c>
      <c r="AC501" s="53">
        <v>28</v>
      </c>
      <c r="AD501" s="53">
        <v>29</v>
      </c>
      <c r="AE501" s="53">
        <v>30</v>
      </c>
      <c r="AF501" s="53">
        <v>31</v>
      </c>
      <c r="AG501" s="53">
        <v>32</v>
      </c>
      <c r="AH501" s="53">
        <v>33</v>
      </c>
      <c r="AI501" s="1">
        <v>34</v>
      </c>
      <c r="AJ501" s="53">
        <v>35</v>
      </c>
      <c r="AK501" s="53">
        <v>36</v>
      </c>
      <c r="AL501" s="53">
        <v>37</v>
      </c>
      <c r="AM501" s="53">
        <v>38</v>
      </c>
      <c r="AN501" s="53">
        <v>39</v>
      </c>
      <c r="AO501" s="53">
        <v>40</v>
      </c>
      <c r="AP501" s="53">
        <v>41</v>
      </c>
      <c r="AQ501" s="53">
        <v>42</v>
      </c>
      <c r="AR501" s="53">
        <v>43</v>
      </c>
      <c r="AS501" s="53">
        <v>44</v>
      </c>
      <c r="AT501" s="53">
        <v>45</v>
      </c>
      <c r="AU501" s="53">
        <v>46</v>
      </c>
      <c r="AV501" s="53">
        <v>47</v>
      </c>
      <c r="AW501" s="53">
        <v>48</v>
      </c>
      <c r="AX501" s="53">
        <v>49</v>
      </c>
      <c r="AY501" s="53">
        <v>50</v>
      </c>
      <c r="AZ501" s="53">
        <v>51</v>
      </c>
      <c r="BA501" s="53">
        <v>52</v>
      </c>
      <c r="BB501" s="53">
        <v>53</v>
      </c>
      <c r="BC501" s="53">
        <v>54</v>
      </c>
      <c r="BD501" s="53">
        <v>55</v>
      </c>
      <c r="BE501" s="53">
        <v>56</v>
      </c>
      <c r="BF501" s="53">
        <v>57</v>
      </c>
      <c r="BG501" s="53">
        <v>58</v>
      </c>
      <c r="BH501" s="53">
        <v>59</v>
      </c>
      <c r="BI501" s="53">
        <v>60</v>
      </c>
      <c r="BJ501" s="53">
        <v>61</v>
      </c>
      <c r="BK501" s="53">
        <v>62</v>
      </c>
      <c r="BL501" s="53">
        <v>63</v>
      </c>
      <c r="BM501" s="53">
        <v>64</v>
      </c>
      <c r="BN501" s="53">
        <v>65</v>
      </c>
      <c r="BO501" s="53">
        <v>66</v>
      </c>
      <c r="BP501" s="53">
        <v>67</v>
      </c>
    </row>
    <row r="502" spans="1:69" ht="15" thickBot="1" x14ac:dyDescent="0.45">
      <c r="A502" s="1" t="s">
        <v>961</v>
      </c>
      <c r="B502" s="63" t="s">
        <v>962</v>
      </c>
      <c r="C502" s="77" t="s">
        <v>963</v>
      </c>
      <c r="D502" s="63" t="s">
        <v>964</v>
      </c>
      <c r="E502" s="77" t="s">
        <v>965</v>
      </c>
      <c r="F502" t="s">
        <v>966</v>
      </c>
      <c r="G502" t="s">
        <v>967</v>
      </c>
      <c r="H502" t="s">
        <v>968</v>
      </c>
      <c r="I502" t="s">
        <v>969</v>
      </c>
      <c r="J502" t="s">
        <v>970</v>
      </c>
      <c r="K502" t="s">
        <v>971</v>
      </c>
      <c r="L502" s="906" t="s">
        <v>972</v>
      </c>
      <c r="M502" t="s">
        <v>973</v>
      </c>
      <c r="N502" t="s">
        <v>974</v>
      </c>
      <c r="O502" t="s">
        <v>975</v>
      </c>
      <c r="P502" t="s">
        <v>976</v>
      </c>
      <c r="Q502" t="s">
        <v>977</v>
      </c>
      <c r="R502" t="s">
        <v>978</v>
      </c>
      <c r="S502" t="s">
        <v>979</v>
      </c>
      <c r="T502" t="s">
        <v>980</v>
      </c>
      <c r="U502" s="907" t="s">
        <v>981</v>
      </c>
      <c r="V502" t="s">
        <v>982</v>
      </c>
      <c r="W502" t="s">
        <v>983</v>
      </c>
      <c r="X502" t="s">
        <v>984</v>
      </c>
      <c r="Y502" t="s">
        <v>985</v>
      </c>
      <c r="Z502" t="s">
        <v>986</v>
      </c>
      <c r="AA502" t="s">
        <v>987</v>
      </c>
      <c r="AB502" t="s">
        <v>988</v>
      </c>
      <c r="AC502" t="s">
        <v>989</v>
      </c>
      <c r="AD502" t="s">
        <v>990</v>
      </c>
      <c r="AE502" t="s">
        <v>991</v>
      </c>
      <c r="AF502" t="s">
        <v>992</v>
      </c>
      <c r="AG502" t="s">
        <v>993</v>
      </c>
      <c r="AH502" t="s">
        <v>994</v>
      </c>
      <c r="AI502" t="s">
        <v>995</v>
      </c>
      <c r="AJ502" t="s">
        <v>996</v>
      </c>
      <c r="AK502" t="s">
        <v>997</v>
      </c>
      <c r="AL502" t="s">
        <v>998</v>
      </c>
      <c r="AM502" t="s">
        <v>999</v>
      </c>
      <c r="AN502" t="s">
        <v>1000</v>
      </c>
      <c r="AO502" t="s">
        <v>1001</v>
      </c>
      <c r="AP502" s="908" t="s">
        <v>1002</v>
      </c>
      <c r="AQ502" s="909" t="s">
        <v>1003</v>
      </c>
      <c r="AR502" s="909" t="s">
        <v>1004</v>
      </c>
      <c r="AS502" s="909" t="s">
        <v>1005</v>
      </c>
      <c r="AT502" s="909" t="s">
        <v>1006</v>
      </c>
      <c r="AU502" s="909" t="s">
        <v>1007</v>
      </c>
      <c r="AV502" s="909" t="s">
        <v>1008</v>
      </c>
      <c r="AW502" s="909" t="s">
        <v>1009</v>
      </c>
      <c r="AX502" s="909" t="s">
        <v>1010</v>
      </c>
      <c r="AY502" s="910" t="s">
        <v>1011</v>
      </c>
      <c r="AZ502" s="63" t="s">
        <v>1012</v>
      </c>
      <c r="BA502" s="63" t="s">
        <v>1013</v>
      </c>
      <c r="BB502" s="63" t="s">
        <v>1014</v>
      </c>
      <c r="BC502" s="63" t="s">
        <v>1015</v>
      </c>
      <c r="BD502" s="63" t="s">
        <v>1016</v>
      </c>
      <c r="BE502" s="63" t="s">
        <v>1017</v>
      </c>
      <c r="BF502" s="63" t="s">
        <v>1018</v>
      </c>
      <c r="BG502" s="63" t="s">
        <v>1019</v>
      </c>
      <c r="BH502" s="63" t="s">
        <v>1020</v>
      </c>
      <c r="BI502" s="63" t="s">
        <v>1021</v>
      </c>
      <c r="BJ502" s="63" t="s">
        <v>1022</v>
      </c>
      <c r="BK502" s="63" t="s">
        <v>1023</v>
      </c>
      <c r="BL502" s="63" t="s">
        <v>1024</v>
      </c>
      <c r="BM502" s="63" t="s">
        <v>1025</v>
      </c>
      <c r="BN502" s="63" t="s">
        <v>1026</v>
      </c>
      <c r="BO502" s="63" t="s">
        <v>1027</v>
      </c>
      <c r="BP502" s="63" t="s">
        <v>1028</v>
      </c>
      <c r="BQ502"/>
    </row>
    <row r="503" spans="1:69" x14ac:dyDescent="0.4">
      <c r="A503" s="911">
        <v>45192</v>
      </c>
      <c r="B503" s="912" t="s">
        <v>1029</v>
      </c>
      <c r="C503" s="913">
        <v>3.6921296296296298E-3</v>
      </c>
      <c r="D503" s="914">
        <f t="shared" ref="D503:D531" si="28">C503/4</f>
        <v>9.2303240740740746E-4</v>
      </c>
      <c r="E503" s="915"/>
      <c r="F503" s="916"/>
      <c r="G503" s="917"/>
      <c r="H503" s="918"/>
      <c r="I503" s="919"/>
      <c r="J503" s="920"/>
      <c r="K503" s="921"/>
      <c r="L503" s="922"/>
      <c r="M503" s="923"/>
      <c r="N503" s="924"/>
      <c r="O503" s="925"/>
      <c r="P503" s="917"/>
      <c r="Q503" s="926"/>
      <c r="R503" s="927"/>
      <c r="S503" s="917"/>
      <c r="T503" s="928"/>
      <c r="U503" s="929"/>
      <c r="V503" s="930"/>
      <c r="W503" s="931"/>
      <c r="X503" s="932"/>
      <c r="Y503" s="933"/>
      <c r="Z503" s="934"/>
      <c r="AA503" s="935"/>
      <c r="AB503" s="936"/>
      <c r="AC503" s="931"/>
      <c r="AD503" s="937"/>
      <c r="AE503" s="938"/>
      <c r="AF503" s="939"/>
      <c r="AG503" s="940"/>
      <c r="AH503" s="941"/>
      <c r="AI503" s="942"/>
      <c r="AJ503" s="943"/>
      <c r="AK503" s="944"/>
      <c r="AL503" s="945"/>
      <c r="AM503" s="946"/>
      <c r="AN503" s="947"/>
      <c r="AO503" s="946"/>
      <c r="AP503" s="947"/>
      <c r="AQ503" s="946"/>
      <c r="AR503" s="948"/>
      <c r="AS503" s="946"/>
      <c r="AT503" s="946"/>
      <c r="AU503" s="946"/>
      <c r="AV503" s="916"/>
      <c r="AW503" s="946"/>
      <c r="AX503" s="946"/>
      <c r="AY503" s="946"/>
      <c r="AZ503" s="946"/>
      <c r="BA503" s="949"/>
      <c r="BB503" s="59"/>
      <c r="BC503" s="59"/>
      <c r="BD503" s="949"/>
      <c r="BE503" s="59"/>
      <c r="BF503" s="59"/>
      <c r="BG503" s="949"/>
      <c r="BH503" s="59"/>
      <c r="BI503" s="59"/>
      <c r="BJ503" s="946"/>
      <c r="BK503" s="2"/>
      <c r="BL503" s="950"/>
      <c r="BM503" s="950"/>
      <c r="BN503" s="2"/>
      <c r="BO503" s="2"/>
      <c r="BP503" s="951"/>
    </row>
    <row r="504" spans="1:69" ht="15" thickBot="1" x14ac:dyDescent="0.45">
      <c r="B504" s="952" t="s">
        <v>1030</v>
      </c>
      <c r="C504" s="107">
        <v>3.8425925925925923E-3</v>
      </c>
      <c r="D504" s="107">
        <f t="shared" si="28"/>
        <v>9.6064814814814808E-4</v>
      </c>
      <c r="E504" s="915"/>
      <c r="F504" s="916"/>
      <c r="G504" s="917"/>
      <c r="H504" s="953"/>
      <c r="I504" s="919"/>
      <c r="J504" s="920"/>
      <c r="K504" s="921"/>
      <c r="L504" s="922"/>
      <c r="M504" s="923"/>
      <c r="N504" s="924"/>
      <c r="O504" s="924"/>
      <c r="P504" s="917"/>
      <c r="Q504" s="929"/>
      <c r="R504" s="927"/>
      <c r="S504" s="917"/>
      <c r="T504" s="928"/>
      <c r="U504" s="929"/>
      <c r="V504" s="930"/>
      <c r="W504" s="931"/>
      <c r="X504" s="932"/>
      <c r="Y504" s="933"/>
      <c r="Z504" s="934"/>
      <c r="AA504" s="935"/>
      <c r="AB504" s="936"/>
      <c r="AC504" s="931"/>
      <c r="AD504" s="954"/>
      <c r="AE504" s="938"/>
      <c r="AF504" s="955"/>
      <c r="AG504" s="940"/>
      <c r="AH504" s="941"/>
      <c r="AI504" s="942"/>
      <c r="AJ504" s="943"/>
      <c r="AK504" s="944"/>
      <c r="AL504" s="956"/>
      <c r="AM504" s="946"/>
      <c r="AN504" s="947"/>
      <c r="AO504" s="946"/>
      <c r="AP504" s="947"/>
      <c r="AQ504" s="946"/>
      <c r="AR504" s="948"/>
      <c r="AS504" s="946"/>
      <c r="AT504" s="946"/>
      <c r="AU504" s="946"/>
      <c r="AV504" s="916"/>
      <c r="AW504" s="946"/>
      <c r="AX504" s="946"/>
      <c r="AY504" s="946"/>
      <c r="AZ504" s="946"/>
      <c r="BA504" s="949"/>
      <c r="BB504" s="59"/>
      <c r="BC504" s="59"/>
      <c r="BD504" s="949"/>
      <c r="BE504" s="59"/>
      <c r="BF504" s="59"/>
      <c r="BG504" s="949"/>
      <c r="BH504" s="59"/>
      <c r="BI504" s="59"/>
      <c r="BJ504" s="946"/>
      <c r="BK504" s="2"/>
      <c r="BL504" s="950"/>
      <c r="BM504" s="950"/>
      <c r="BN504" s="2"/>
      <c r="BO504" s="2"/>
      <c r="BP504" s="951"/>
    </row>
    <row r="505" spans="1:69" x14ac:dyDescent="0.4">
      <c r="B505" s="957" t="s">
        <v>1031</v>
      </c>
      <c r="C505" s="958">
        <v>3.9467592592592592E-3</v>
      </c>
      <c r="D505" s="914">
        <f t="shared" si="28"/>
        <v>9.8668981481481481E-4</v>
      </c>
      <c r="E505" s="915"/>
      <c r="F505" s="916"/>
      <c r="G505" s="917"/>
      <c r="H505" s="959"/>
      <c r="I505" s="919"/>
      <c r="J505" s="920"/>
      <c r="K505" s="921"/>
      <c r="L505" s="922"/>
      <c r="M505" s="923"/>
      <c r="N505" s="924"/>
      <c r="O505" s="924"/>
      <c r="P505" s="917"/>
      <c r="Q505" s="929"/>
      <c r="R505" s="927"/>
      <c r="S505" s="917"/>
      <c r="T505" s="928"/>
      <c r="U505" s="929"/>
      <c r="V505" s="930"/>
      <c r="W505" s="931"/>
      <c r="X505" s="932"/>
      <c r="Y505" s="933"/>
      <c r="Z505" s="934"/>
      <c r="AA505" s="935"/>
      <c r="AB505" s="936"/>
      <c r="AC505" s="931"/>
      <c r="AD505" s="954"/>
      <c r="AE505" s="938"/>
      <c r="AF505" s="955"/>
      <c r="AG505" s="940"/>
      <c r="AH505" s="941"/>
      <c r="AI505" s="942"/>
      <c r="AJ505" s="943"/>
      <c r="AK505" s="944"/>
      <c r="AL505" s="956"/>
      <c r="AM505" s="946"/>
      <c r="AN505" s="947"/>
      <c r="AO505" s="946"/>
      <c r="AP505" s="947"/>
      <c r="AQ505" s="946"/>
      <c r="AR505" s="948"/>
      <c r="AS505" s="946"/>
      <c r="AT505" s="946"/>
      <c r="AU505" s="946"/>
      <c r="AV505" s="916"/>
      <c r="AW505" s="946"/>
      <c r="AX505" s="946"/>
      <c r="AY505" s="946"/>
      <c r="AZ505" s="946"/>
      <c r="BA505" s="949"/>
      <c r="BB505" s="59"/>
      <c r="BC505" s="59"/>
      <c r="BD505" s="949"/>
      <c r="BE505" s="59"/>
      <c r="BF505" s="59"/>
      <c r="BG505" s="949"/>
      <c r="BH505" s="59"/>
      <c r="BI505" s="59"/>
      <c r="BJ505" s="946"/>
      <c r="BK505" s="2"/>
      <c r="BL505" s="950"/>
      <c r="BM505" s="950"/>
      <c r="BN505" s="2"/>
      <c r="BO505" s="2"/>
      <c r="BP505" s="951"/>
    </row>
    <row r="506" spans="1:69" ht="15" thickBot="1" x14ac:dyDescent="0.45">
      <c r="B506" s="952" t="s">
        <v>1032</v>
      </c>
      <c r="C506" s="107">
        <v>4.0856481481481481E-3</v>
      </c>
      <c r="D506" s="107">
        <f t="shared" si="28"/>
        <v>1.021412037037037E-3</v>
      </c>
      <c r="E506" s="915"/>
      <c r="F506" s="916"/>
      <c r="G506" s="917"/>
      <c r="H506" s="953"/>
      <c r="I506" s="919"/>
      <c r="J506" s="920"/>
      <c r="K506" s="921"/>
      <c r="L506" s="921"/>
      <c r="M506" s="923"/>
      <c r="N506" s="924"/>
      <c r="O506" s="924"/>
      <c r="P506" s="917"/>
      <c r="Q506" s="929"/>
      <c r="R506" s="927"/>
      <c r="S506" s="917"/>
      <c r="T506" s="928"/>
      <c r="U506" s="929"/>
      <c r="V506" s="930"/>
      <c r="W506" s="931"/>
      <c r="X506" s="932"/>
      <c r="Y506" s="933"/>
      <c r="Z506" s="934"/>
      <c r="AA506" s="935"/>
      <c r="AB506" s="936"/>
      <c r="AC506" s="931"/>
      <c r="AD506" s="954"/>
      <c r="AE506" s="938"/>
      <c r="AF506" s="955"/>
      <c r="AG506" s="940"/>
      <c r="AH506" s="941"/>
      <c r="AI506" s="942"/>
      <c r="AJ506" s="943"/>
      <c r="AK506" s="944"/>
      <c r="AL506" s="956"/>
      <c r="AM506" s="946"/>
      <c r="AN506" s="947"/>
      <c r="AO506" s="946"/>
      <c r="AP506" s="947"/>
      <c r="AQ506" s="946"/>
      <c r="AR506" s="948"/>
      <c r="AS506" s="946"/>
      <c r="AT506" s="946"/>
      <c r="AU506" s="946"/>
      <c r="AV506" s="916"/>
      <c r="AW506" s="946"/>
      <c r="AX506" s="946"/>
      <c r="AY506" s="946"/>
      <c r="AZ506" s="946"/>
      <c r="BA506" s="949"/>
      <c r="BB506" s="59"/>
      <c r="BC506" s="59"/>
      <c r="BD506" s="949"/>
      <c r="BE506" s="59"/>
      <c r="BF506" s="59"/>
      <c r="BG506" s="949"/>
      <c r="BH506" s="59"/>
      <c r="BI506" s="59"/>
      <c r="BJ506" s="946"/>
      <c r="BK506" s="2"/>
      <c r="BL506" s="950"/>
      <c r="BM506" s="950"/>
      <c r="BN506" s="2"/>
      <c r="BO506" s="2"/>
      <c r="BP506" s="951"/>
    </row>
    <row r="507" spans="1:69" x14ac:dyDescent="0.4">
      <c r="B507" s="952" t="s">
        <v>1033</v>
      </c>
      <c r="C507" s="107">
        <v>4.1898148148148146E-3</v>
      </c>
      <c r="D507" s="914">
        <f t="shared" si="28"/>
        <v>1.0474537037037037E-3</v>
      </c>
      <c r="E507" s="915"/>
      <c r="F507" s="916"/>
      <c r="G507" s="917"/>
      <c r="H507" s="953"/>
      <c r="I507" s="919"/>
      <c r="J507" s="920"/>
      <c r="K507" s="921"/>
      <c r="L507" s="921"/>
      <c r="M507" s="923"/>
      <c r="N507" s="924"/>
      <c r="O507" s="924"/>
      <c r="P507" s="917"/>
      <c r="Q507" s="929"/>
      <c r="R507" s="927"/>
      <c r="S507" s="917"/>
      <c r="T507" s="928"/>
      <c r="U507" s="929"/>
      <c r="V507" s="930"/>
      <c r="W507" s="931"/>
      <c r="X507" s="932"/>
      <c r="Y507" s="933"/>
      <c r="Z507" s="934"/>
      <c r="AA507" s="935"/>
      <c r="AB507" s="936"/>
      <c r="AC507" s="931"/>
      <c r="AD507" s="954"/>
      <c r="AE507" s="938"/>
      <c r="AF507" s="955"/>
      <c r="AG507" s="940"/>
      <c r="AH507" s="941"/>
      <c r="AI507" s="942"/>
      <c r="AJ507" s="943"/>
      <c r="AK507" s="944"/>
      <c r="AL507" s="956"/>
      <c r="AM507" s="946"/>
      <c r="AN507" s="947"/>
      <c r="AO507" s="946"/>
      <c r="AP507" s="947"/>
      <c r="AQ507" s="946"/>
      <c r="AR507" s="948"/>
      <c r="AS507" s="946"/>
      <c r="AT507" s="946"/>
      <c r="AU507" s="946"/>
      <c r="AV507" s="916"/>
      <c r="AW507" s="946"/>
      <c r="AX507" s="946"/>
      <c r="AY507" s="946"/>
      <c r="AZ507" s="946"/>
      <c r="BA507" s="949"/>
      <c r="BB507" s="59"/>
      <c r="BC507" s="59"/>
      <c r="BD507" s="949"/>
      <c r="BE507" s="59"/>
      <c r="BF507" s="59"/>
      <c r="BG507" s="949"/>
      <c r="BH507" s="59"/>
      <c r="BI507" s="59"/>
      <c r="BJ507" s="946"/>
      <c r="BK507" s="2"/>
      <c r="BL507" s="950"/>
      <c r="BM507" s="950"/>
      <c r="BN507" s="2"/>
      <c r="BO507" s="2"/>
      <c r="BP507" s="951"/>
    </row>
    <row r="508" spans="1:69" ht="15" thickBot="1" x14ac:dyDescent="0.45">
      <c r="A508" s="911">
        <v>45190</v>
      </c>
      <c r="B508" s="960" t="s">
        <v>1034</v>
      </c>
      <c r="C508" s="133">
        <v>4.31712962962963E-3</v>
      </c>
      <c r="D508" s="107">
        <f t="shared" si="28"/>
        <v>1.0792824074074075E-3</v>
      </c>
      <c r="E508" s="915"/>
      <c r="F508" s="916"/>
      <c r="G508" s="917"/>
      <c r="H508" s="959"/>
      <c r="I508" s="919"/>
      <c r="J508" s="920"/>
      <c r="K508" s="921"/>
      <c r="L508" s="921"/>
      <c r="M508" s="923"/>
      <c r="N508" s="924"/>
      <c r="O508" s="925"/>
      <c r="P508" s="917"/>
      <c r="Q508" s="929"/>
      <c r="R508" s="927"/>
      <c r="S508" s="917"/>
      <c r="T508" s="928"/>
      <c r="U508" s="929"/>
      <c r="V508" s="930"/>
      <c r="W508" s="931"/>
      <c r="X508" s="932"/>
      <c r="Y508" s="933"/>
      <c r="Z508" s="934"/>
      <c r="AA508" s="935"/>
      <c r="AB508" s="936"/>
      <c r="AC508" s="931"/>
      <c r="AD508" s="954"/>
      <c r="AE508" s="938"/>
      <c r="AF508" s="955"/>
      <c r="AG508" s="940"/>
      <c r="AH508" s="941"/>
      <c r="AI508" s="942"/>
      <c r="AJ508" s="943"/>
      <c r="AK508" s="944"/>
      <c r="AL508" s="956"/>
      <c r="AM508" s="946"/>
      <c r="AN508" s="947"/>
      <c r="AO508" s="946"/>
      <c r="AP508" s="947"/>
      <c r="AQ508" s="946"/>
      <c r="AR508" s="948"/>
      <c r="AS508" s="946"/>
      <c r="AT508" s="946"/>
      <c r="AU508" s="946"/>
      <c r="AV508" s="916"/>
      <c r="AW508" s="946"/>
      <c r="AX508" s="946"/>
      <c r="AY508" s="946"/>
      <c r="AZ508" s="946"/>
      <c r="BA508" s="949"/>
      <c r="BB508" s="59"/>
      <c r="BC508" s="59"/>
      <c r="BD508" s="949"/>
      <c r="BE508" s="59"/>
      <c r="BF508" s="59"/>
      <c r="BG508" s="949"/>
      <c r="BH508" s="59"/>
      <c r="BI508" s="59"/>
      <c r="BJ508" s="946"/>
      <c r="BK508" s="2"/>
      <c r="BL508" s="950"/>
      <c r="BM508" s="950"/>
      <c r="BN508" s="2"/>
      <c r="BO508" s="2"/>
      <c r="BP508" s="951"/>
    </row>
    <row r="509" spans="1:69" x14ac:dyDescent="0.4">
      <c r="A509" s="911">
        <v>45190</v>
      </c>
      <c r="B509" s="960" t="s">
        <v>1035</v>
      </c>
      <c r="C509" s="133">
        <v>4.5370370370370365E-3</v>
      </c>
      <c r="D509" s="914">
        <f t="shared" si="28"/>
        <v>1.1342592592592591E-3</v>
      </c>
      <c r="E509" s="915"/>
      <c r="F509" s="916"/>
      <c r="G509" s="917"/>
      <c r="H509" s="923"/>
      <c r="I509" s="919"/>
      <c r="J509" s="920"/>
      <c r="K509" s="961"/>
      <c r="L509" s="961"/>
      <c r="M509" s="923"/>
      <c r="N509" s="924"/>
      <c r="O509" s="925"/>
      <c r="P509" s="962"/>
      <c r="Q509" s="963"/>
      <c r="R509" s="964"/>
      <c r="S509" s="962"/>
      <c r="T509" s="928"/>
      <c r="U509" s="929"/>
      <c r="V509" s="965"/>
      <c r="W509" s="966"/>
      <c r="X509" s="932"/>
      <c r="Y509" s="967"/>
      <c r="Z509" s="934"/>
      <c r="AA509" s="935"/>
      <c r="AB509" s="968"/>
      <c r="AC509" s="966"/>
      <c r="AD509" s="969"/>
      <c r="AE509" s="938"/>
      <c r="AF509" s="955"/>
      <c r="AG509" s="970"/>
      <c r="AH509" s="971"/>
      <c r="AI509" s="942"/>
      <c r="AJ509" s="972"/>
      <c r="AK509" s="944"/>
      <c r="AL509" s="945"/>
      <c r="AM509" s="946"/>
      <c r="AN509" s="947"/>
      <c r="AO509" s="946"/>
      <c r="AP509" s="947"/>
      <c r="AQ509" s="946"/>
      <c r="AR509" s="948"/>
      <c r="AS509" s="946"/>
      <c r="AT509" s="946"/>
      <c r="AU509" s="946"/>
      <c r="AV509" s="916"/>
      <c r="AW509" s="946"/>
      <c r="AX509" s="946"/>
      <c r="AY509" s="946"/>
      <c r="AZ509" s="946"/>
      <c r="BA509" s="949"/>
      <c r="BB509" s="59"/>
      <c r="BC509" s="59"/>
      <c r="BD509" s="949"/>
      <c r="BE509" s="59"/>
      <c r="BF509" s="59"/>
      <c r="BG509" s="949"/>
      <c r="BH509" s="59"/>
      <c r="BI509" s="59"/>
      <c r="BJ509" s="946"/>
      <c r="BK509" s="2"/>
      <c r="BL509" s="950"/>
      <c r="BM509" s="950"/>
      <c r="BN509" s="2"/>
      <c r="BO509" s="2"/>
      <c r="BP509" s="951"/>
    </row>
    <row r="510" spans="1:69" ht="15" thickBot="1" x14ac:dyDescent="0.45">
      <c r="B510" s="952" t="s">
        <v>1036</v>
      </c>
      <c r="C510" s="107">
        <v>4.6180555555555558E-3</v>
      </c>
      <c r="D510" s="107">
        <f t="shared" si="28"/>
        <v>1.154513888888889E-3</v>
      </c>
      <c r="E510" s="915"/>
      <c r="F510" s="916"/>
      <c r="G510" s="917"/>
      <c r="H510" s="953"/>
      <c r="I510" s="919"/>
      <c r="J510" s="920"/>
      <c r="K510" s="921"/>
      <c r="L510" s="921"/>
      <c r="M510" s="923"/>
      <c r="N510" s="924"/>
      <c r="O510" s="924"/>
      <c r="P510" s="917"/>
      <c r="Q510" s="929"/>
      <c r="R510" s="927"/>
      <c r="S510" s="917"/>
      <c r="T510" s="928"/>
      <c r="U510" s="929"/>
      <c r="V510" s="930"/>
      <c r="W510" s="931"/>
      <c r="X510" s="932"/>
      <c r="Y510" s="933"/>
      <c r="Z510" s="934"/>
      <c r="AA510" s="935"/>
      <c r="AB510" s="936"/>
      <c r="AC510" s="931"/>
      <c r="AD510" s="954"/>
      <c r="AE510" s="938"/>
      <c r="AF510" s="955"/>
      <c r="AG510" s="940"/>
      <c r="AH510" s="941"/>
      <c r="AI510" s="942"/>
      <c r="AJ510" s="943"/>
      <c r="AK510" s="944"/>
      <c r="AL510" s="956"/>
      <c r="AM510" s="946"/>
      <c r="AN510" s="947"/>
      <c r="AO510" s="946"/>
      <c r="AP510" s="947"/>
      <c r="AQ510" s="946"/>
      <c r="AR510" s="948"/>
      <c r="AS510" s="946"/>
      <c r="AT510" s="946"/>
      <c r="AU510" s="946"/>
      <c r="AV510" s="916"/>
      <c r="AW510" s="946"/>
      <c r="AX510" s="946"/>
      <c r="AY510" s="946"/>
      <c r="AZ510" s="946"/>
      <c r="BA510" s="949"/>
      <c r="BB510" s="59"/>
      <c r="BC510" s="59"/>
      <c r="BD510" s="949"/>
      <c r="BE510" s="59"/>
      <c r="BF510" s="59"/>
      <c r="BG510" s="949"/>
      <c r="BH510" s="59"/>
      <c r="BI510" s="59"/>
      <c r="BJ510" s="946"/>
      <c r="BK510" s="2"/>
      <c r="BL510" s="950"/>
      <c r="BM510" s="950"/>
      <c r="BN510" s="2"/>
      <c r="BO510" s="2"/>
      <c r="BP510" s="951"/>
    </row>
    <row r="511" spans="1:69" x14ac:dyDescent="0.4">
      <c r="A511" s="911">
        <v>45191</v>
      </c>
      <c r="B511" s="957" t="s">
        <v>1037</v>
      </c>
      <c r="C511" s="958">
        <v>4.0856481481481481E-3</v>
      </c>
      <c r="D511" s="914">
        <f t="shared" si="28"/>
        <v>1.021412037037037E-3</v>
      </c>
      <c r="E511" s="915"/>
      <c r="F511" s="916"/>
      <c r="G511" s="917"/>
      <c r="H511" s="959"/>
      <c r="I511" s="919"/>
      <c r="J511" s="920"/>
      <c r="K511" s="921"/>
      <c r="L511" s="921"/>
      <c r="M511" s="923"/>
      <c r="N511" s="924"/>
      <c r="O511" s="924"/>
      <c r="P511" s="917"/>
      <c r="Q511" s="929"/>
      <c r="R511" s="927"/>
      <c r="S511" s="917"/>
      <c r="T511" s="928"/>
      <c r="U511" s="929"/>
      <c r="V511" s="930"/>
      <c r="W511" s="931"/>
      <c r="X511" s="932"/>
      <c r="Y511" s="933"/>
      <c r="Z511" s="934"/>
      <c r="AA511" s="935"/>
      <c r="AB511" s="936"/>
      <c r="AC511" s="931"/>
      <c r="AD511" s="954"/>
      <c r="AE511" s="938"/>
      <c r="AF511" s="955"/>
      <c r="AG511" s="940"/>
      <c r="AH511" s="941"/>
      <c r="AI511" s="942"/>
      <c r="AJ511" s="943"/>
      <c r="AK511" s="944"/>
      <c r="AL511" s="945"/>
      <c r="AM511" s="946"/>
      <c r="AN511" s="947"/>
      <c r="AO511" s="946"/>
      <c r="AP511" s="947"/>
      <c r="AQ511" s="946"/>
      <c r="AR511" s="948"/>
      <c r="AS511" s="946"/>
      <c r="AT511" s="946"/>
      <c r="AU511" s="946"/>
      <c r="AV511" s="916"/>
      <c r="AW511" s="946"/>
      <c r="AX511" s="946"/>
      <c r="AY511" s="946"/>
      <c r="AZ511" s="946"/>
      <c r="BA511" s="949"/>
      <c r="BB511" s="59"/>
      <c r="BC511" s="59"/>
      <c r="BD511" s="949"/>
      <c r="BE511" s="59"/>
      <c r="BF511" s="59"/>
      <c r="BG511" s="949"/>
      <c r="BH511" s="59"/>
      <c r="BI511" s="59"/>
      <c r="BJ511" s="946"/>
      <c r="BK511" s="2"/>
      <c r="BL511" s="950"/>
      <c r="BM511" s="950"/>
      <c r="BN511" s="2"/>
      <c r="BO511" s="2"/>
      <c r="BP511" s="951"/>
    </row>
    <row r="512" spans="1:69" ht="15" thickBot="1" x14ac:dyDescent="0.45">
      <c r="B512" s="952" t="s">
        <v>1038</v>
      </c>
      <c r="C512" s="107">
        <v>4.2361111111111106E-3</v>
      </c>
      <c r="D512" s="107">
        <f t="shared" si="28"/>
        <v>1.0590277777777777E-3</v>
      </c>
      <c r="E512" s="915"/>
      <c r="F512" s="916"/>
      <c r="G512" s="917"/>
      <c r="H512" s="953"/>
      <c r="I512" s="919"/>
      <c r="J512" s="920"/>
      <c r="K512" s="921"/>
      <c r="L512" s="921"/>
      <c r="M512" s="923"/>
      <c r="N512" s="924"/>
      <c r="O512" s="924"/>
      <c r="P512" s="917"/>
      <c r="Q512" s="929"/>
      <c r="R512" s="927"/>
      <c r="S512" s="917"/>
      <c r="T512" s="928"/>
      <c r="U512" s="929"/>
      <c r="V512" s="930"/>
      <c r="W512" s="931"/>
      <c r="X512" s="932"/>
      <c r="Y512" s="933"/>
      <c r="Z512" s="934"/>
      <c r="AA512" s="935"/>
      <c r="AB512" s="936"/>
      <c r="AC512" s="931"/>
      <c r="AD512" s="954"/>
      <c r="AE512" s="938"/>
      <c r="AF512" s="955"/>
      <c r="AG512" s="940"/>
      <c r="AH512" s="941"/>
      <c r="AI512" s="942"/>
      <c r="AJ512" s="943"/>
      <c r="AK512" s="944"/>
      <c r="AL512" s="956"/>
      <c r="AM512" s="946"/>
      <c r="AN512" s="947"/>
      <c r="AO512" s="946"/>
      <c r="AP512" s="947"/>
      <c r="AQ512" s="946"/>
      <c r="AR512" s="948"/>
      <c r="AS512" s="946"/>
      <c r="AT512" s="946"/>
      <c r="AU512" s="946"/>
      <c r="AV512" s="916"/>
      <c r="AW512" s="946"/>
      <c r="AX512" s="946"/>
      <c r="AY512" s="946"/>
      <c r="AZ512" s="946"/>
      <c r="BA512" s="949"/>
      <c r="BB512" s="59"/>
      <c r="BC512" s="59"/>
      <c r="BD512" s="949"/>
      <c r="BE512" s="59"/>
      <c r="BF512" s="59"/>
      <c r="BG512" s="949"/>
      <c r="BH512" s="59"/>
      <c r="BI512" s="59"/>
      <c r="BJ512" s="946"/>
      <c r="BK512" s="2"/>
      <c r="BL512" s="950"/>
      <c r="BM512" s="950"/>
      <c r="BN512" s="2"/>
      <c r="BO512" s="2"/>
      <c r="BP512" s="951"/>
    </row>
    <row r="513" spans="1:68" x14ac:dyDescent="0.4">
      <c r="B513" s="952" t="s">
        <v>7</v>
      </c>
      <c r="C513" s="107">
        <v>4.3750000000000004E-3</v>
      </c>
      <c r="D513" s="914">
        <f t="shared" si="28"/>
        <v>1.0937500000000001E-3</v>
      </c>
      <c r="E513" s="915"/>
      <c r="F513" s="916"/>
      <c r="G513" s="917"/>
      <c r="H513" s="953"/>
      <c r="I513" s="919"/>
      <c r="J513" s="920"/>
      <c r="K513" s="921"/>
      <c r="L513" s="921"/>
      <c r="M513" s="923"/>
      <c r="N513" s="924"/>
      <c r="O513" s="924"/>
      <c r="P513" s="917"/>
      <c r="Q513" s="929"/>
      <c r="R513" s="927"/>
      <c r="S513" s="917"/>
      <c r="T513" s="928"/>
      <c r="U513" s="929"/>
      <c r="V513" s="930"/>
      <c r="W513" s="931"/>
      <c r="X513" s="932"/>
      <c r="Y513" s="933"/>
      <c r="Z513" s="934"/>
      <c r="AA513" s="935"/>
      <c r="AB513" s="936"/>
      <c r="AC513" s="931"/>
      <c r="AD513" s="954"/>
      <c r="AE513" s="938"/>
      <c r="AF513" s="955"/>
      <c r="AG513" s="940"/>
      <c r="AH513" s="941"/>
      <c r="AI513" s="942"/>
      <c r="AJ513" s="943"/>
      <c r="AK513" s="944"/>
      <c r="AL513" s="956"/>
      <c r="AM513" s="946"/>
      <c r="AN513" s="947"/>
      <c r="AO513" s="946"/>
      <c r="AP513" s="947"/>
      <c r="AQ513" s="946"/>
      <c r="AR513" s="948"/>
      <c r="AS513" s="946"/>
      <c r="AT513" s="946"/>
      <c r="AU513" s="946"/>
      <c r="AV513" s="916"/>
      <c r="AW513" s="946"/>
      <c r="AX513" s="946"/>
      <c r="AY513" s="946"/>
      <c r="AZ513" s="946"/>
      <c r="BA513" s="949"/>
      <c r="BB513" s="59"/>
      <c r="BC513" s="59"/>
      <c r="BD513" s="949"/>
      <c r="BE513" s="59"/>
      <c r="BF513" s="59"/>
      <c r="BG513" s="949"/>
      <c r="BH513" s="59"/>
      <c r="BI513" s="59"/>
      <c r="BJ513" s="946"/>
      <c r="BK513" s="2"/>
      <c r="BL513" s="950"/>
      <c r="BM513" s="950"/>
      <c r="BN513" s="2"/>
      <c r="BO513" s="2"/>
      <c r="BP513" s="951"/>
    </row>
    <row r="514" spans="1:68" ht="15" thickBot="1" x14ac:dyDescent="0.45">
      <c r="B514" s="952" t="s">
        <v>1039</v>
      </c>
      <c r="C514" s="107">
        <v>4.5717592592592589E-3</v>
      </c>
      <c r="D514" s="107">
        <f t="shared" si="28"/>
        <v>1.1429398148148147E-3</v>
      </c>
      <c r="E514" s="915"/>
      <c r="F514" s="916"/>
      <c r="G514" s="917"/>
      <c r="H514" s="953"/>
      <c r="I514" s="919"/>
      <c r="J514" s="920"/>
      <c r="K514" s="921"/>
      <c r="L514" s="921"/>
      <c r="M514" s="923"/>
      <c r="N514" s="924"/>
      <c r="O514" s="924"/>
      <c r="P514" s="917"/>
      <c r="Q514" s="929"/>
      <c r="R514" s="927"/>
      <c r="S514" s="917"/>
      <c r="T514" s="928"/>
      <c r="U514" s="929"/>
      <c r="V514" s="930"/>
      <c r="W514" s="931"/>
      <c r="X514" s="932"/>
      <c r="Y514" s="933"/>
      <c r="Z514" s="934"/>
      <c r="AA514" s="935"/>
      <c r="AB514" s="936"/>
      <c r="AC514" s="931"/>
      <c r="AD514" s="954"/>
      <c r="AE514" s="938"/>
      <c r="AF514" s="955"/>
      <c r="AG514" s="940"/>
      <c r="AH514" s="941"/>
      <c r="AI514" s="942"/>
      <c r="AJ514" s="943"/>
      <c r="AK514" s="944"/>
      <c r="AL514" s="956"/>
      <c r="AM514" s="946"/>
      <c r="AN514" s="947"/>
      <c r="AO514" s="946"/>
      <c r="AP514" s="947"/>
      <c r="AQ514" s="946"/>
      <c r="AR514" s="948"/>
      <c r="AS514" s="946"/>
      <c r="AT514" s="946"/>
      <c r="AU514" s="946"/>
      <c r="AV514" s="916"/>
      <c r="AW514" s="946"/>
      <c r="AX514" s="946"/>
      <c r="AY514" s="946"/>
      <c r="AZ514" s="946"/>
      <c r="BA514" s="949"/>
      <c r="BB514" s="59"/>
      <c r="BC514" s="59"/>
      <c r="BD514" s="949"/>
      <c r="BE514" s="59"/>
      <c r="BF514" s="59"/>
      <c r="BG514" s="949"/>
      <c r="BH514" s="59"/>
      <c r="BI514" s="59"/>
      <c r="BJ514" s="946"/>
      <c r="BK514" s="2"/>
      <c r="BL514" s="950"/>
      <c r="BM514" s="950"/>
      <c r="BN514" s="2"/>
      <c r="BO514" s="2"/>
      <c r="BP514" s="951"/>
    </row>
    <row r="515" spans="1:68" x14ac:dyDescent="0.4">
      <c r="A515" s="911">
        <v>45294</v>
      </c>
      <c r="B515" s="952" t="s">
        <v>1040</v>
      </c>
      <c r="C515" s="107">
        <v>4.5833333333333334E-3</v>
      </c>
      <c r="D515" s="914">
        <f t="shared" si="28"/>
        <v>1.1458333333333333E-3</v>
      </c>
      <c r="E515" s="915"/>
      <c r="F515" s="916"/>
      <c r="G515" s="917"/>
      <c r="H515" s="953"/>
      <c r="I515" s="919"/>
      <c r="J515" s="920"/>
      <c r="K515" s="921"/>
      <c r="L515" s="921"/>
      <c r="M515" s="923"/>
      <c r="N515" s="924"/>
      <c r="O515" s="924"/>
      <c r="P515" s="917"/>
      <c r="Q515" s="929"/>
      <c r="R515" s="927"/>
      <c r="S515" s="917"/>
      <c r="T515" s="928"/>
      <c r="U515" s="929"/>
      <c r="V515" s="930"/>
      <c r="W515" s="931"/>
      <c r="X515" s="932"/>
      <c r="Y515" s="933"/>
      <c r="Z515" s="934"/>
      <c r="AA515" s="935"/>
      <c r="AB515" s="936"/>
      <c r="AC515" s="931"/>
      <c r="AD515" s="954"/>
      <c r="AE515" s="938"/>
      <c r="AF515" s="955"/>
      <c r="AG515" s="940"/>
      <c r="AH515" s="941"/>
      <c r="AI515" s="942"/>
      <c r="AJ515" s="943"/>
      <c r="AK515" s="944"/>
      <c r="AL515" s="956"/>
      <c r="AM515" s="946"/>
      <c r="AN515" s="947"/>
      <c r="AO515" s="946"/>
      <c r="AP515" s="947"/>
      <c r="AQ515" s="946"/>
      <c r="AR515" s="948"/>
      <c r="AS515" s="946"/>
      <c r="AT515" s="946"/>
      <c r="AU515" s="946"/>
      <c r="AV515" s="916"/>
      <c r="AW515" s="946"/>
      <c r="AX515" s="946"/>
      <c r="AY515" s="946"/>
      <c r="AZ515" s="946"/>
      <c r="BA515" s="949"/>
      <c r="BB515" s="59"/>
      <c r="BC515" s="59"/>
      <c r="BD515" s="949"/>
      <c r="BE515" s="59"/>
      <c r="BF515" s="59"/>
      <c r="BG515" s="949"/>
      <c r="BH515" s="59"/>
      <c r="BI515" s="59"/>
      <c r="BJ515" s="946"/>
      <c r="BK515" s="2"/>
      <c r="BL515" s="950"/>
      <c r="BM515" s="950"/>
      <c r="BN515" s="2"/>
      <c r="BO515" s="2"/>
      <c r="BP515" s="951"/>
    </row>
    <row r="516" spans="1:68" ht="15" thickBot="1" x14ac:dyDescent="0.45">
      <c r="A516" s="911">
        <v>45190</v>
      </c>
      <c r="B516" s="957" t="s">
        <v>1041</v>
      </c>
      <c r="C516" s="958">
        <v>4.7569444444444447E-3</v>
      </c>
      <c r="D516" s="107">
        <f t="shared" si="28"/>
        <v>1.1892361111111112E-3</v>
      </c>
      <c r="E516" s="915"/>
      <c r="F516" s="916"/>
      <c r="G516" s="917"/>
      <c r="H516" s="959"/>
      <c r="I516" s="919"/>
      <c r="J516" s="920"/>
      <c r="K516" s="921"/>
      <c r="L516" s="921"/>
      <c r="M516" s="923"/>
      <c r="N516" s="924"/>
      <c r="O516" s="925"/>
      <c r="P516" s="917"/>
      <c r="Q516" s="929"/>
      <c r="R516" s="927"/>
      <c r="S516" s="917"/>
      <c r="T516" s="928"/>
      <c r="U516" s="929"/>
      <c r="V516" s="930"/>
      <c r="W516" s="931"/>
      <c r="X516" s="932"/>
      <c r="Y516" s="933"/>
      <c r="Z516" s="934"/>
      <c r="AA516" s="935"/>
      <c r="AB516" s="936"/>
      <c r="AC516" s="931"/>
      <c r="AD516" s="954"/>
      <c r="AE516" s="938"/>
      <c r="AF516" s="955"/>
      <c r="AG516" s="940"/>
      <c r="AH516" s="941"/>
      <c r="AI516" s="942"/>
      <c r="AJ516" s="943"/>
      <c r="AK516" s="944"/>
      <c r="AL516" s="956"/>
      <c r="AM516" s="946"/>
      <c r="AN516" s="947"/>
      <c r="AO516" s="946"/>
      <c r="AP516" s="947"/>
      <c r="AQ516" s="946"/>
      <c r="AR516" s="948"/>
      <c r="AS516" s="946"/>
      <c r="AT516" s="946"/>
      <c r="AU516" s="946"/>
      <c r="AV516" s="916"/>
      <c r="AW516" s="946"/>
      <c r="AX516" s="946"/>
      <c r="AY516" s="946"/>
      <c r="AZ516" s="946"/>
      <c r="BA516" s="949"/>
      <c r="BB516" s="59"/>
      <c r="BC516" s="59"/>
      <c r="BD516" s="949"/>
      <c r="BE516" s="59"/>
      <c r="BF516" s="59"/>
      <c r="BG516" s="949"/>
      <c r="BH516" s="59"/>
      <c r="BI516" s="59"/>
      <c r="BJ516" s="946"/>
      <c r="BK516" s="2"/>
      <c r="BL516" s="950"/>
      <c r="BM516" s="950"/>
      <c r="BN516" s="2"/>
      <c r="BO516" s="2"/>
      <c r="BP516" s="951"/>
    </row>
    <row r="517" spans="1:68" x14ac:dyDescent="0.4">
      <c r="A517" s="911">
        <v>45190</v>
      </c>
      <c r="B517" s="960" t="s">
        <v>1042</v>
      </c>
      <c r="C517" s="133">
        <v>4.9652777777777777E-3</v>
      </c>
      <c r="D517" s="914">
        <f t="shared" si="28"/>
        <v>1.2413194444444444E-3</v>
      </c>
      <c r="E517" s="915"/>
      <c r="F517" s="916"/>
      <c r="G517" s="917"/>
      <c r="H517" s="959"/>
      <c r="I517" s="919"/>
      <c r="J517" s="920"/>
      <c r="K517" s="961"/>
      <c r="L517" s="961"/>
      <c r="M517" s="923"/>
      <c r="N517" s="924"/>
      <c r="O517" s="925"/>
      <c r="P517" s="962"/>
      <c r="Q517" s="963"/>
      <c r="R517" s="964"/>
      <c r="S517" s="962"/>
      <c r="T517" s="928"/>
      <c r="U517" s="929"/>
      <c r="V517" s="965"/>
      <c r="W517" s="966"/>
      <c r="X517" s="932"/>
      <c r="Y517" s="967"/>
      <c r="Z517" s="934"/>
      <c r="AA517" s="935"/>
      <c r="AB517" s="968"/>
      <c r="AC517" s="966"/>
      <c r="AD517" s="969"/>
      <c r="AE517" s="938"/>
      <c r="AF517" s="955"/>
      <c r="AG517" s="970"/>
      <c r="AH517" s="941"/>
      <c r="AI517" s="942"/>
      <c r="AJ517" s="972"/>
      <c r="AK517" s="944"/>
      <c r="AL517" s="945"/>
      <c r="AM517" s="946"/>
      <c r="AN517" s="973"/>
      <c r="AO517" s="946"/>
      <c r="AP517" s="947"/>
      <c r="AQ517" s="946"/>
      <c r="AR517" s="948"/>
      <c r="AS517" s="946"/>
      <c r="AT517" s="946"/>
      <c r="AU517" s="946"/>
      <c r="AV517" s="916"/>
      <c r="AW517" s="946"/>
      <c r="AX517" s="946"/>
      <c r="AY517" s="946"/>
      <c r="AZ517" s="946"/>
      <c r="BA517" s="949"/>
      <c r="BB517" s="59"/>
      <c r="BC517" s="59"/>
      <c r="BD517" s="949"/>
      <c r="BE517" s="59"/>
      <c r="BF517" s="59"/>
      <c r="BG517" s="949"/>
      <c r="BH517" s="59"/>
      <c r="BI517" s="59"/>
      <c r="BJ517" s="946"/>
      <c r="BK517" s="2"/>
      <c r="BL517" s="950"/>
      <c r="BM517" s="950"/>
      <c r="BN517" s="2"/>
      <c r="BO517" s="2"/>
      <c r="BP517" s="951"/>
    </row>
    <row r="518" spans="1:68" ht="15" thickBot="1" x14ac:dyDescent="0.45">
      <c r="B518" s="952" t="s">
        <v>1043</v>
      </c>
      <c r="C518" s="107">
        <v>3.7499999999999999E-3</v>
      </c>
      <c r="D518" s="107">
        <f t="shared" si="28"/>
        <v>9.3749999999999997E-4</v>
      </c>
      <c r="E518" s="915"/>
      <c r="F518" s="916"/>
      <c r="G518" s="917"/>
      <c r="H518" s="953"/>
      <c r="I518" s="919"/>
      <c r="J518" s="920"/>
      <c r="K518" s="921"/>
      <c r="L518" s="921"/>
      <c r="M518" s="923"/>
      <c r="N518" s="924"/>
      <c r="O518" s="924"/>
      <c r="P518" s="917"/>
      <c r="Q518" s="929"/>
      <c r="R518" s="927"/>
      <c r="S518" s="917"/>
      <c r="T518" s="928"/>
      <c r="U518" s="929"/>
      <c r="V518" s="930"/>
      <c r="W518" s="931"/>
      <c r="X518" s="932"/>
      <c r="Y518" s="933"/>
      <c r="Z518" s="934"/>
      <c r="AA518" s="935"/>
      <c r="AB518" s="936"/>
      <c r="AC518" s="931"/>
      <c r="AD518" s="954"/>
      <c r="AE518" s="938"/>
      <c r="AF518" s="955"/>
      <c r="AG518" s="940"/>
      <c r="AH518" s="941"/>
      <c r="AI518" s="942"/>
      <c r="AJ518" s="943"/>
      <c r="AK518" s="944"/>
      <c r="AL518" s="956"/>
      <c r="AM518" s="946"/>
      <c r="AN518" s="947"/>
      <c r="AO518" s="946"/>
      <c r="AP518" s="947"/>
      <c r="AQ518" s="946"/>
      <c r="AR518" s="948"/>
      <c r="AS518" s="946"/>
      <c r="AT518" s="946"/>
      <c r="AU518" s="946"/>
      <c r="AV518" s="916"/>
      <c r="AW518" s="946"/>
      <c r="AX518" s="946"/>
      <c r="AY518" s="946"/>
      <c r="AZ518" s="946"/>
      <c r="BA518" s="949"/>
      <c r="BB518" s="59"/>
      <c r="BC518" s="59"/>
      <c r="BD518" s="949"/>
      <c r="BE518" s="59"/>
      <c r="BF518" s="59"/>
      <c r="BG518" s="949"/>
      <c r="BH518" s="59"/>
      <c r="BI518" s="59"/>
      <c r="BJ518" s="946"/>
      <c r="BK518" s="2"/>
      <c r="BL518" s="950"/>
      <c r="BM518" s="950"/>
      <c r="BN518" s="2"/>
      <c r="BO518" s="2"/>
      <c r="BP518" s="951"/>
    </row>
    <row r="519" spans="1:68" x14ac:dyDescent="0.4">
      <c r="B519" s="952" t="s">
        <v>1044</v>
      </c>
      <c r="C519" s="107">
        <v>3.9004629629629632E-3</v>
      </c>
      <c r="D519" s="914">
        <f t="shared" si="28"/>
        <v>9.751157407407408E-4</v>
      </c>
      <c r="E519" s="915"/>
      <c r="F519" s="916"/>
      <c r="G519" s="917"/>
      <c r="H519" s="953"/>
      <c r="I519" s="919"/>
      <c r="J519" s="920"/>
      <c r="K519" s="921"/>
      <c r="L519" s="921"/>
      <c r="M519" s="923"/>
      <c r="N519" s="924"/>
      <c r="O519" s="924"/>
      <c r="P519" s="917"/>
      <c r="Q519" s="929"/>
      <c r="R519" s="927"/>
      <c r="S519" s="917"/>
      <c r="T519" s="928"/>
      <c r="U519" s="929"/>
      <c r="V519" s="930"/>
      <c r="W519" s="931"/>
      <c r="X519" s="932"/>
      <c r="Y519" s="933"/>
      <c r="Z519" s="934"/>
      <c r="AA519" s="935"/>
      <c r="AB519" s="936"/>
      <c r="AC519" s="931"/>
      <c r="AD519" s="954"/>
      <c r="AE519" s="938"/>
      <c r="AF519" s="955"/>
      <c r="AG519" s="940"/>
      <c r="AH519" s="941"/>
      <c r="AI519" s="942"/>
      <c r="AJ519" s="943"/>
      <c r="AK519" s="944"/>
      <c r="AL519" s="956"/>
      <c r="AM519" s="946"/>
      <c r="AN519" s="947"/>
      <c r="AO519" s="946"/>
      <c r="AP519" s="947"/>
      <c r="AQ519" s="946"/>
      <c r="AR519" s="948"/>
      <c r="AS519" s="946"/>
      <c r="AT519" s="946"/>
      <c r="AU519" s="946"/>
      <c r="AV519" s="916"/>
      <c r="AW519" s="946"/>
      <c r="AX519" s="946"/>
      <c r="AY519" s="946"/>
      <c r="AZ519" s="946"/>
      <c r="BA519" s="949"/>
      <c r="BB519" s="59"/>
      <c r="BC519" s="59"/>
      <c r="BD519" s="949"/>
      <c r="BE519" s="59"/>
      <c r="BF519" s="59"/>
      <c r="BG519" s="949"/>
      <c r="BH519" s="59"/>
      <c r="BI519" s="59"/>
      <c r="BJ519" s="946"/>
      <c r="BK519" s="2"/>
      <c r="BL519" s="950"/>
      <c r="BM519" s="950"/>
      <c r="BN519" s="2"/>
      <c r="BO519" s="2"/>
      <c r="BP519" s="951"/>
    </row>
    <row r="520" spans="1:68" ht="15" thickBot="1" x14ac:dyDescent="0.45">
      <c r="B520" s="952" t="s">
        <v>1045</v>
      </c>
      <c r="C520" s="107">
        <v>4.0046296296296297E-3</v>
      </c>
      <c r="D520" s="107">
        <f t="shared" si="28"/>
        <v>1.0011574074074074E-3</v>
      </c>
      <c r="E520" s="915"/>
      <c r="F520" s="916"/>
      <c r="G520" s="917"/>
      <c r="H520" s="953"/>
      <c r="I520" s="919"/>
      <c r="J520" s="920"/>
      <c r="K520" s="921"/>
      <c r="L520" s="921"/>
      <c r="M520" s="923"/>
      <c r="N520" s="924"/>
      <c r="O520" s="924"/>
      <c r="P520" s="917"/>
      <c r="Q520" s="929"/>
      <c r="R520" s="927"/>
      <c r="S520" s="917"/>
      <c r="T520" s="928"/>
      <c r="U520" s="929"/>
      <c r="V520" s="930"/>
      <c r="W520" s="931"/>
      <c r="X520" s="932"/>
      <c r="Y520" s="933"/>
      <c r="Z520" s="934"/>
      <c r="AA520" s="935"/>
      <c r="AB520" s="936"/>
      <c r="AC520" s="931"/>
      <c r="AD520" s="954"/>
      <c r="AE520" s="938"/>
      <c r="AF520" s="955"/>
      <c r="AG520" s="940"/>
      <c r="AH520" s="941"/>
      <c r="AI520" s="942"/>
      <c r="AJ520" s="943"/>
      <c r="AK520" s="944"/>
      <c r="AL520" s="956"/>
      <c r="AM520" s="946"/>
      <c r="AN520" s="947"/>
      <c r="AO520" s="946"/>
      <c r="AP520" s="947"/>
      <c r="AQ520" s="946"/>
      <c r="AR520" s="948"/>
      <c r="AS520" s="946"/>
      <c r="AT520" s="946"/>
      <c r="AU520" s="946"/>
      <c r="AV520" s="916"/>
      <c r="AW520" s="946"/>
      <c r="AX520" s="946"/>
      <c r="AY520" s="946"/>
      <c r="AZ520" s="946"/>
      <c r="BA520" s="949"/>
      <c r="BB520" s="59"/>
      <c r="BC520" s="59"/>
      <c r="BD520" s="949"/>
      <c r="BE520" s="59"/>
      <c r="BF520" s="59"/>
      <c r="BG520" s="949"/>
      <c r="BH520" s="59"/>
      <c r="BI520" s="59"/>
      <c r="BJ520" s="946"/>
      <c r="BK520" s="2"/>
      <c r="BL520" s="950"/>
      <c r="BM520" s="950"/>
      <c r="BN520" s="2"/>
      <c r="BO520" s="2"/>
      <c r="BP520" s="951"/>
    </row>
    <row r="521" spans="1:68" x14ac:dyDescent="0.4">
      <c r="B521" s="952" t="s">
        <v>1046</v>
      </c>
      <c r="C521" s="107">
        <v>4.2129629629629626E-3</v>
      </c>
      <c r="D521" s="914">
        <f t="shared" si="28"/>
        <v>1.0532407407407407E-3</v>
      </c>
      <c r="E521" s="915"/>
      <c r="F521" s="916"/>
      <c r="G521" s="917"/>
      <c r="H521" s="953"/>
      <c r="I521" s="919"/>
      <c r="J521" s="920"/>
      <c r="K521" s="921"/>
      <c r="L521" s="921"/>
      <c r="M521" s="923"/>
      <c r="N521" s="924"/>
      <c r="O521" s="924"/>
      <c r="P521" s="917"/>
      <c r="Q521" s="929"/>
      <c r="R521" s="927"/>
      <c r="S521" s="917"/>
      <c r="T521" s="928"/>
      <c r="U521" s="929"/>
      <c r="V521" s="930"/>
      <c r="W521" s="931"/>
      <c r="X521" s="932"/>
      <c r="Y521" s="933"/>
      <c r="Z521" s="934"/>
      <c r="AA521" s="935"/>
      <c r="AB521" s="936"/>
      <c r="AC521" s="931"/>
      <c r="AD521" s="954"/>
      <c r="AE521" s="938"/>
      <c r="AF521" s="955"/>
      <c r="AG521" s="940"/>
      <c r="AH521" s="941"/>
      <c r="AI521" s="942"/>
      <c r="AJ521" s="943"/>
      <c r="AK521" s="944"/>
      <c r="AL521" s="956"/>
      <c r="AM521" s="946"/>
      <c r="AN521" s="947"/>
      <c r="AO521" s="946"/>
      <c r="AP521" s="947"/>
      <c r="AQ521" s="946"/>
      <c r="AR521" s="948"/>
      <c r="AS521" s="946"/>
      <c r="AT521" s="946"/>
      <c r="AU521" s="946"/>
      <c r="AV521" s="916"/>
      <c r="AW521" s="946"/>
      <c r="AX521" s="946"/>
      <c r="AY521" s="946"/>
      <c r="AZ521" s="946"/>
      <c r="BA521" s="949"/>
      <c r="BB521" s="59"/>
      <c r="BC521" s="59"/>
      <c r="BD521" s="949"/>
      <c r="BE521" s="59"/>
      <c r="BF521" s="59"/>
      <c r="BG521" s="949"/>
      <c r="BH521" s="59"/>
      <c r="BI521" s="59"/>
      <c r="BJ521" s="946"/>
      <c r="BK521" s="2"/>
      <c r="BL521" s="950"/>
      <c r="BM521" s="950"/>
      <c r="BN521" s="2"/>
      <c r="BO521" s="2"/>
      <c r="BP521" s="951"/>
    </row>
    <row r="522" spans="1:68" ht="15" thickBot="1" x14ac:dyDescent="0.45">
      <c r="B522" s="957" t="s">
        <v>1047</v>
      </c>
      <c r="C522" s="958">
        <v>4.2476851851851851E-3</v>
      </c>
      <c r="D522" s="107">
        <f t="shared" si="28"/>
        <v>1.0619212962962963E-3</v>
      </c>
      <c r="E522" s="915"/>
      <c r="F522" s="916"/>
      <c r="G522" s="917"/>
      <c r="H522" s="959"/>
      <c r="I522" s="919"/>
      <c r="J522" s="920"/>
      <c r="K522" s="921"/>
      <c r="L522" s="921"/>
      <c r="M522" s="923"/>
      <c r="N522" s="924"/>
      <c r="O522" s="924"/>
      <c r="P522" s="917"/>
      <c r="Q522" s="929"/>
      <c r="R522" s="927"/>
      <c r="S522" s="917"/>
      <c r="T522" s="928"/>
      <c r="U522" s="929"/>
      <c r="V522" s="930"/>
      <c r="W522" s="931"/>
      <c r="X522" s="932"/>
      <c r="Y522" s="933"/>
      <c r="Z522" s="934"/>
      <c r="AA522" s="935"/>
      <c r="AB522" s="936"/>
      <c r="AC522" s="931"/>
      <c r="AD522" s="954"/>
      <c r="AE522" s="938"/>
      <c r="AF522" s="955"/>
      <c r="AG522" s="940"/>
      <c r="AH522" s="941"/>
      <c r="AI522" s="942"/>
      <c r="AJ522" s="943"/>
      <c r="AK522" s="944"/>
      <c r="AL522" s="956"/>
      <c r="AM522" s="946"/>
      <c r="AN522" s="947"/>
      <c r="AO522" s="946"/>
      <c r="AP522" s="947"/>
      <c r="AQ522" s="946"/>
      <c r="AR522" s="948"/>
      <c r="AS522" s="946"/>
      <c r="AT522" s="946"/>
      <c r="AU522" s="946"/>
      <c r="AV522" s="916"/>
      <c r="AW522" s="946"/>
      <c r="AX522" s="946"/>
      <c r="AY522" s="946"/>
      <c r="AZ522" s="946"/>
      <c r="BA522" s="949"/>
      <c r="BB522" s="59"/>
      <c r="BC522" s="59"/>
      <c r="BD522" s="949"/>
      <c r="BE522" s="59"/>
      <c r="BF522" s="59"/>
      <c r="BG522" s="949"/>
      <c r="BH522" s="59"/>
      <c r="BI522" s="59"/>
      <c r="BJ522" s="946"/>
      <c r="BK522" s="2"/>
      <c r="BL522" s="950"/>
      <c r="BM522" s="950"/>
      <c r="BN522" s="2"/>
      <c r="BO522" s="2"/>
      <c r="BP522" s="951"/>
    </row>
    <row r="523" spans="1:68" x14ac:dyDescent="0.4">
      <c r="B523" s="952" t="s">
        <v>1048</v>
      </c>
      <c r="C523" s="107">
        <v>4.3750000000000004E-3</v>
      </c>
      <c r="D523" s="914">
        <f t="shared" si="28"/>
        <v>1.0937500000000001E-3</v>
      </c>
      <c r="E523" s="915"/>
      <c r="F523" s="916"/>
      <c r="G523" s="917"/>
      <c r="H523" s="953"/>
      <c r="I523" s="919"/>
      <c r="J523" s="920"/>
      <c r="K523" s="921"/>
      <c r="L523" s="921"/>
      <c r="M523" s="923"/>
      <c r="N523" s="924"/>
      <c r="O523" s="924"/>
      <c r="P523" s="917"/>
      <c r="Q523" s="929"/>
      <c r="R523" s="927"/>
      <c r="S523" s="917"/>
      <c r="T523" s="928"/>
      <c r="U523" s="929"/>
      <c r="V523" s="930"/>
      <c r="W523" s="931"/>
      <c r="X523" s="932"/>
      <c r="Y523" s="933"/>
      <c r="Z523" s="934"/>
      <c r="AA523" s="935"/>
      <c r="AB523" s="936"/>
      <c r="AC523" s="931"/>
      <c r="AD523" s="954"/>
      <c r="AE523" s="938"/>
      <c r="AF523" s="955"/>
      <c r="AG523" s="940"/>
      <c r="AH523" s="941"/>
      <c r="AI523" s="942"/>
      <c r="AJ523" s="943"/>
      <c r="AK523" s="944"/>
      <c r="AL523" s="956"/>
      <c r="AM523" s="946"/>
      <c r="AN523" s="947"/>
      <c r="AO523" s="946"/>
      <c r="AP523" s="947"/>
      <c r="AQ523" s="946"/>
      <c r="AR523" s="948"/>
      <c r="AS523" s="946"/>
      <c r="AT523" s="946"/>
      <c r="AU523" s="946"/>
      <c r="AV523" s="916"/>
      <c r="AW523" s="946"/>
      <c r="AX523" s="946"/>
      <c r="AY523" s="946"/>
      <c r="AZ523" s="946"/>
      <c r="BA523" s="949"/>
      <c r="BB523" s="59"/>
      <c r="BC523" s="59"/>
      <c r="BD523" s="949"/>
      <c r="BE523" s="59"/>
      <c r="BF523" s="59"/>
      <c r="BG523" s="949"/>
      <c r="BH523" s="59"/>
      <c r="BI523" s="59"/>
      <c r="BJ523" s="946"/>
      <c r="BK523" s="2"/>
      <c r="BL523" s="950"/>
      <c r="BM523" s="950"/>
      <c r="BN523" s="2"/>
      <c r="BO523" s="2"/>
      <c r="BP523" s="951"/>
    </row>
    <row r="524" spans="1:68" ht="15" thickBot="1" x14ac:dyDescent="0.45">
      <c r="A524" s="974"/>
      <c r="B524" s="957" t="s">
        <v>1049</v>
      </c>
      <c r="C524" s="958">
        <v>4.6064814814814814E-3</v>
      </c>
      <c r="D524" s="107">
        <f t="shared" si="28"/>
        <v>1.1516203703703703E-3</v>
      </c>
      <c r="E524" s="915"/>
      <c r="F524" s="916"/>
      <c r="G524" s="917"/>
      <c r="H524" s="959"/>
      <c r="I524" s="919"/>
      <c r="J524" s="920"/>
      <c r="K524" s="921"/>
      <c r="L524" s="921"/>
      <c r="M524" s="923"/>
      <c r="N524" s="924"/>
      <c r="O524" s="924"/>
      <c r="P524" s="917"/>
      <c r="Q524" s="929"/>
      <c r="R524" s="927"/>
      <c r="S524" s="917"/>
      <c r="T524" s="928"/>
      <c r="U524" s="929"/>
      <c r="V524" s="930"/>
      <c r="W524" s="931"/>
      <c r="X524" s="932"/>
      <c r="Y524" s="933"/>
      <c r="Z524" s="934"/>
      <c r="AA524" s="935"/>
      <c r="AB524" s="936"/>
      <c r="AC524" s="931"/>
      <c r="AD524" s="954"/>
      <c r="AE524" s="938"/>
      <c r="AF524" s="955"/>
      <c r="AG524" s="940"/>
      <c r="AH524" s="941"/>
      <c r="AI524" s="942"/>
      <c r="AJ524" s="943"/>
      <c r="AK524" s="944"/>
      <c r="AL524" s="956"/>
      <c r="AM524" s="946"/>
      <c r="AN524" s="947"/>
      <c r="AO524" s="946"/>
      <c r="AP524" s="947"/>
      <c r="AQ524" s="946"/>
      <c r="AR524" s="948"/>
      <c r="AS524" s="946"/>
      <c r="AT524" s="946"/>
      <c r="AU524" s="946"/>
      <c r="AV524" s="916"/>
      <c r="AW524" s="946"/>
      <c r="AX524" s="946"/>
      <c r="AY524" s="946"/>
      <c r="AZ524" s="946"/>
      <c r="BA524" s="949"/>
      <c r="BB524" s="59"/>
      <c r="BC524" s="59"/>
      <c r="BD524" s="949"/>
      <c r="BE524" s="59"/>
      <c r="BF524" s="59"/>
      <c r="BG524" s="949"/>
      <c r="BH524" s="59"/>
      <c r="BI524" s="59"/>
      <c r="BJ524" s="946"/>
      <c r="BK524" s="2"/>
      <c r="BL524" s="950"/>
      <c r="BM524" s="950"/>
      <c r="BN524" s="2"/>
      <c r="BO524" s="2"/>
      <c r="BP524" s="951"/>
    </row>
    <row r="525" spans="1:68" x14ac:dyDescent="0.4">
      <c r="A525" s="974"/>
      <c r="B525" s="952" t="s">
        <v>1050</v>
      </c>
      <c r="C525" s="107">
        <v>4.2129629629629626E-3</v>
      </c>
      <c r="D525" s="914">
        <f t="shared" si="28"/>
        <v>1.0532407407407407E-3</v>
      </c>
      <c r="E525" s="915"/>
      <c r="F525" s="916"/>
      <c r="G525" s="917"/>
      <c r="H525" s="953"/>
      <c r="I525" s="919"/>
      <c r="J525" s="920"/>
      <c r="K525" s="921"/>
      <c r="L525" s="921"/>
      <c r="M525" s="923"/>
      <c r="N525" s="924"/>
      <c r="O525" s="924"/>
      <c r="P525" s="917"/>
      <c r="Q525" s="929"/>
      <c r="R525" s="927"/>
      <c r="S525" s="917"/>
      <c r="T525" s="928"/>
      <c r="U525" s="929"/>
      <c r="V525" s="930"/>
      <c r="W525" s="931"/>
      <c r="X525" s="932"/>
      <c r="Y525" s="933"/>
      <c r="Z525" s="934"/>
      <c r="AA525" s="935"/>
      <c r="AB525" s="936"/>
      <c r="AC525" s="931"/>
      <c r="AD525" s="954"/>
      <c r="AE525" s="938"/>
      <c r="AF525" s="955"/>
      <c r="AG525" s="940"/>
      <c r="AH525" s="941"/>
      <c r="AI525" s="942"/>
      <c r="AJ525" s="943"/>
      <c r="AK525" s="944"/>
      <c r="AL525" s="956"/>
      <c r="AM525" s="946"/>
      <c r="AN525" s="947"/>
      <c r="AO525" s="946"/>
      <c r="AP525" s="947"/>
      <c r="AQ525" s="946"/>
      <c r="AR525" s="948"/>
      <c r="AS525" s="946"/>
      <c r="AT525" s="946"/>
      <c r="AU525" s="946"/>
      <c r="AV525" s="916"/>
      <c r="AW525" s="946"/>
      <c r="AX525" s="946"/>
      <c r="AY525" s="946"/>
      <c r="AZ525" s="946"/>
      <c r="BA525" s="949"/>
      <c r="BB525" s="59"/>
      <c r="BC525" s="59"/>
      <c r="BD525" s="949"/>
      <c r="BE525" s="59"/>
      <c r="BF525" s="59"/>
      <c r="BG525" s="949"/>
      <c r="BH525" s="59"/>
      <c r="BI525" s="59"/>
      <c r="BJ525" s="946"/>
      <c r="BK525" s="2"/>
      <c r="BL525" s="950"/>
      <c r="BM525" s="950"/>
      <c r="BN525" s="2"/>
      <c r="BO525" s="2"/>
      <c r="BP525" s="951"/>
    </row>
    <row r="526" spans="1:68" ht="15" thickBot="1" x14ac:dyDescent="0.45">
      <c r="A526" s="974"/>
      <c r="B526" s="952" t="s">
        <v>1051</v>
      </c>
      <c r="C526" s="107">
        <v>4.363425925925926E-3</v>
      </c>
      <c r="D526" s="107">
        <f t="shared" si="28"/>
        <v>1.0908564814814815E-3</v>
      </c>
      <c r="E526" s="915"/>
      <c r="F526" s="916"/>
      <c r="G526" s="917"/>
      <c r="H526" s="953"/>
      <c r="I526" s="919"/>
      <c r="J526" s="920"/>
      <c r="K526" s="921"/>
      <c r="L526" s="921"/>
      <c r="M526" s="923"/>
      <c r="N526" s="924"/>
      <c r="O526" s="924"/>
      <c r="P526" s="917"/>
      <c r="Q526" s="929"/>
      <c r="R526" s="927"/>
      <c r="S526" s="917"/>
      <c r="T526" s="928"/>
      <c r="U526" s="929"/>
      <c r="V526" s="930"/>
      <c r="W526" s="931"/>
      <c r="X526" s="932"/>
      <c r="Y526" s="933"/>
      <c r="Z526" s="934"/>
      <c r="AA526" s="935"/>
      <c r="AB526" s="936"/>
      <c r="AC526" s="931"/>
      <c r="AD526" s="954"/>
      <c r="AE526" s="938"/>
      <c r="AF526" s="955"/>
      <c r="AG526" s="940"/>
      <c r="AH526" s="941"/>
      <c r="AI526" s="942"/>
      <c r="AJ526" s="943"/>
      <c r="AK526" s="944"/>
      <c r="AL526" s="956"/>
      <c r="AM526" s="946"/>
      <c r="AN526" s="947"/>
      <c r="AO526" s="946"/>
      <c r="AP526" s="947"/>
      <c r="AQ526" s="946"/>
      <c r="AR526" s="948"/>
      <c r="AS526" s="946"/>
      <c r="AT526" s="946"/>
      <c r="AU526" s="946"/>
      <c r="AV526" s="916"/>
      <c r="AW526" s="946"/>
      <c r="AX526" s="946"/>
      <c r="AY526" s="946"/>
      <c r="AZ526" s="946"/>
      <c r="BA526" s="949"/>
      <c r="BB526" s="59"/>
      <c r="BC526" s="59"/>
      <c r="BD526" s="949"/>
      <c r="BE526" s="59"/>
      <c r="BF526" s="59"/>
      <c r="BG526" s="949"/>
      <c r="BH526" s="59"/>
      <c r="BI526" s="59"/>
      <c r="BJ526" s="946"/>
      <c r="BK526" s="2"/>
      <c r="BL526" s="950"/>
      <c r="BM526" s="950"/>
      <c r="BN526" s="2"/>
      <c r="BO526" s="2"/>
      <c r="BP526" s="951"/>
    </row>
    <row r="527" spans="1:68" x14ac:dyDescent="0.4">
      <c r="A527" s="974"/>
      <c r="B527" s="952" t="s">
        <v>1052</v>
      </c>
      <c r="C527" s="107">
        <v>4.6064814814814814E-3</v>
      </c>
      <c r="D527" s="914">
        <f t="shared" si="28"/>
        <v>1.1516203703703703E-3</v>
      </c>
      <c r="E527" s="915"/>
      <c r="F527" s="916"/>
      <c r="G527" s="917"/>
      <c r="H527" s="953"/>
      <c r="I527" s="919"/>
      <c r="J527" s="920"/>
      <c r="K527" s="921"/>
      <c r="L527" s="921"/>
      <c r="M527" s="923"/>
      <c r="N527" s="924"/>
      <c r="O527" s="924"/>
      <c r="P527" s="917"/>
      <c r="Q527" s="929"/>
      <c r="R527" s="927"/>
      <c r="S527" s="917"/>
      <c r="T527" s="928"/>
      <c r="U527" s="929"/>
      <c r="V527" s="930"/>
      <c r="W527" s="931"/>
      <c r="X527" s="932"/>
      <c r="Y527" s="933"/>
      <c r="Z527" s="934"/>
      <c r="AA527" s="935"/>
      <c r="AB527" s="936"/>
      <c r="AC527" s="931"/>
      <c r="AD527" s="954"/>
      <c r="AE527" s="938"/>
      <c r="AF527" s="955"/>
      <c r="AG527" s="940"/>
      <c r="AH527" s="941"/>
      <c r="AI527" s="942"/>
      <c r="AJ527" s="943"/>
      <c r="AK527" s="944"/>
      <c r="AL527" s="956"/>
      <c r="AM527" s="946"/>
      <c r="AN527" s="947"/>
      <c r="AO527" s="946"/>
      <c r="AP527" s="947"/>
      <c r="AQ527" s="946"/>
      <c r="AR527" s="948"/>
      <c r="AS527" s="946"/>
      <c r="AT527" s="946"/>
      <c r="AU527" s="946"/>
      <c r="AV527" s="916"/>
      <c r="AW527" s="946"/>
      <c r="AX527" s="946"/>
      <c r="AY527" s="946"/>
      <c r="AZ527" s="946"/>
      <c r="BA527" s="949"/>
      <c r="BB527" s="59"/>
      <c r="BC527" s="59"/>
      <c r="BD527" s="949"/>
      <c r="BE527" s="59"/>
      <c r="BF527" s="59"/>
      <c r="BG527" s="949"/>
      <c r="BH527" s="59"/>
      <c r="BI527" s="59"/>
      <c r="BJ527" s="946"/>
      <c r="BK527" s="2"/>
      <c r="BL527" s="950"/>
      <c r="BM527" s="950"/>
      <c r="BN527" s="2"/>
      <c r="BO527" s="2"/>
      <c r="BP527" s="951"/>
    </row>
    <row r="528" spans="1:68" ht="15" thickBot="1" x14ac:dyDescent="0.45">
      <c r="A528" s="974"/>
      <c r="B528" s="952" t="s">
        <v>1053</v>
      </c>
      <c r="C528" s="107">
        <v>4.6527777777777774E-3</v>
      </c>
      <c r="D528" s="107">
        <f t="shared" si="28"/>
        <v>1.1631944444444443E-3</v>
      </c>
      <c r="E528" s="915"/>
      <c r="F528" s="916"/>
      <c r="G528" s="917"/>
      <c r="H528" s="953"/>
      <c r="I528" s="919"/>
      <c r="J528" s="920"/>
      <c r="K528" s="921"/>
      <c r="L528" s="921"/>
      <c r="M528" s="923"/>
      <c r="N528" s="924"/>
      <c r="O528" s="924"/>
      <c r="P528" s="917"/>
      <c r="Q528" s="929"/>
      <c r="R528" s="927"/>
      <c r="S528" s="917"/>
      <c r="T528" s="928"/>
      <c r="U528" s="929"/>
      <c r="V528" s="930"/>
      <c r="W528" s="931"/>
      <c r="X528" s="932"/>
      <c r="Y528" s="933"/>
      <c r="Z528" s="934"/>
      <c r="AA528" s="935"/>
      <c r="AB528" s="936"/>
      <c r="AC528" s="931"/>
      <c r="AD528" s="954"/>
      <c r="AE528" s="938"/>
      <c r="AF528" s="955"/>
      <c r="AG528" s="940"/>
      <c r="AH528" s="941"/>
      <c r="AI528" s="942"/>
      <c r="AJ528" s="943"/>
      <c r="AK528" s="944"/>
      <c r="AL528" s="956"/>
      <c r="AM528" s="946"/>
      <c r="AN528" s="947"/>
      <c r="AO528" s="946"/>
      <c r="AP528" s="947"/>
      <c r="AQ528" s="946"/>
      <c r="AR528" s="948"/>
      <c r="AS528" s="946"/>
      <c r="AT528" s="946"/>
      <c r="AU528" s="946"/>
      <c r="AV528" s="916"/>
      <c r="AW528" s="946"/>
      <c r="AX528" s="946"/>
      <c r="AY528" s="946"/>
      <c r="AZ528" s="946"/>
      <c r="BA528" s="949"/>
      <c r="BB528" s="59"/>
      <c r="BC528" s="59"/>
      <c r="BD528" s="949"/>
      <c r="BE528" s="59"/>
      <c r="BF528" s="59"/>
      <c r="BG528" s="949"/>
      <c r="BH528" s="59"/>
      <c r="BI528" s="59"/>
      <c r="BJ528" s="946"/>
      <c r="BK528" s="2"/>
      <c r="BL528" s="950"/>
      <c r="BM528" s="950"/>
      <c r="BN528" s="2"/>
      <c r="BO528" s="2"/>
      <c r="BP528" s="951"/>
    </row>
    <row r="529" spans="1:68" x14ac:dyDescent="0.4">
      <c r="A529" s="974"/>
      <c r="B529" s="952" t="s">
        <v>1054</v>
      </c>
      <c r="C529" s="107">
        <v>4.8958333333333328E-3</v>
      </c>
      <c r="D529" s="914">
        <f t="shared" si="28"/>
        <v>1.2239583333333332E-3</v>
      </c>
      <c r="E529" s="915"/>
      <c r="F529" s="916"/>
      <c r="G529" s="917"/>
      <c r="H529" s="953"/>
      <c r="I529" s="919"/>
      <c r="J529" s="920"/>
      <c r="K529" s="921"/>
      <c r="L529" s="921"/>
      <c r="M529" s="923"/>
      <c r="N529" s="924"/>
      <c r="O529" s="924"/>
      <c r="P529" s="917"/>
      <c r="Q529" s="929"/>
      <c r="R529" s="927"/>
      <c r="S529" s="917"/>
      <c r="T529" s="928"/>
      <c r="U529" s="929"/>
      <c r="V529" s="930"/>
      <c r="W529" s="931"/>
      <c r="X529" s="932"/>
      <c r="Y529" s="933"/>
      <c r="Z529" s="934"/>
      <c r="AA529" s="935"/>
      <c r="AB529" s="936"/>
      <c r="AC529" s="931"/>
      <c r="AD529" s="954"/>
      <c r="AE529" s="938"/>
      <c r="AF529" s="955"/>
      <c r="AG529" s="940"/>
      <c r="AH529" s="941"/>
      <c r="AI529" s="942"/>
      <c r="AJ529" s="943"/>
      <c r="AK529" s="944"/>
      <c r="AL529" s="956"/>
      <c r="AM529" s="946"/>
      <c r="AN529" s="947"/>
      <c r="AO529" s="946"/>
      <c r="AP529" s="947"/>
      <c r="AQ529" s="946"/>
      <c r="AR529" s="948"/>
      <c r="AS529" s="946"/>
      <c r="AT529" s="946"/>
      <c r="AU529" s="946"/>
      <c r="AV529" s="916"/>
      <c r="AW529" s="946"/>
      <c r="AX529" s="946"/>
      <c r="AY529" s="946"/>
      <c r="AZ529" s="946"/>
      <c r="BA529" s="949"/>
      <c r="BB529" s="59"/>
      <c r="BC529" s="59"/>
      <c r="BD529" s="949"/>
      <c r="BE529" s="59"/>
      <c r="BF529" s="59"/>
      <c r="BG529" s="949"/>
      <c r="BH529" s="59"/>
      <c r="BI529" s="59"/>
      <c r="BJ529" s="946"/>
      <c r="BK529" s="2"/>
      <c r="BL529" s="950"/>
      <c r="BM529" s="950"/>
      <c r="BN529" s="2"/>
      <c r="BO529" s="2"/>
      <c r="BP529" s="951"/>
    </row>
    <row r="530" spans="1:68" ht="15" thickBot="1" x14ac:dyDescent="0.45">
      <c r="A530" s="974"/>
      <c r="B530" s="957" t="s">
        <v>1055</v>
      </c>
      <c r="C530" s="958">
        <v>4.6874999999999998E-3</v>
      </c>
      <c r="D530" s="107">
        <f t="shared" si="28"/>
        <v>1.171875E-3</v>
      </c>
      <c r="E530" s="915"/>
      <c r="F530" s="916"/>
      <c r="G530" s="917"/>
      <c r="H530" s="959"/>
      <c r="I530" s="919"/>
      <c r="J530" s="920"/>
      <c r="K530" s="921"/>
      <c r="L530" s="921"/>
      <c r="M530" s="923"/>
      <c r="N530" s="924"/>
      <c r="O530" s="924"/>
      <c r="P530" s="917"/>
      <c r="Q530" s="929"/>
      <c r="R530" s="927"/>
      <c r="S530" s="917"/>
      <c r="T530" s="928"/>
      <c r="U530" s="929"/>
      <c r="V530" s="930"/>
      <c r="W530" s="931"/>
      <c r="X530" s="932"/>
      <c r="Y530" s="933"/>
      <c r="Z530" s="934"/>
      <c r="AA530" s="935"/>
      <c r="AB530" s="936"/>
      <c r="AC530" s="931"/>
      <c r="AD530" s="954"/>
      <c r="AE530" s="938"/>
      <c r="AF530" s="955"/>
      <c r="AG530" s="940"/>
      <c r="AH530" s="941"/>
      <c r="AI530" s="942"/>
      <c r="AJ530" s="943"/>
      <c r="AK530" s="944"/>
      <c r="AL530" s="956"/>
      <c r="AM530" s="946"/>
      <c r="AN530" s="947"/>
      <c r="AO530" s="946"/>
      <c r="AP530" s="947"/>
      <c r="AQ530" s="946"/>
      <c r="AR530" s="948"/>
      <c r="AS530" s="946"/>
      <c r="AT530" s="946"/>
      <c r="AU530" s="946"/>
      <c r="AV530" s="916"/>
      <c r="AW530" s="946"/>
      <c r="AX530" s="946"/>
      <c r="AY530" s="946"/>
      <c r="AZ530" s="946"/>
      <c r="BA530" s="949"/>
      <c r="BB530" s="59"/>
      <c r="BC530" s="59"/>
      <c r="BD530" s="949"/>
      <c r="BE530" s="59"/>
      <c r="BF530" s="59"/>
      <c r="BG530" s="949"/>
      <c r="BH530" s="59"/>
      <c r="BI530" s="59"/>
      <c r="BJ530" s="946"/>
      <c r="BK530" s="2"/>
      <c r="BL530" s="950"/>
      <c r="BM530" s="950"/>
      <c r="BN530" s="2"/>
      <c r="BO530" s="2"/>
      <c r="BP530" s="951"/>
    </row>
    <row r="531" spans="1:68" ht="15" thickBot="1" x14ac:dyDescent="0.45">
      <c r="A531" s="911">
        <v>44521</v>
      </c>
      <c r="B531" s="957" t="s">
        <v>1056</v>
      </c>
      <c r="C531" s="958">
        <v>5.0347222222222225E-3</v>
      </c>
      <c r="D531" s="914">
        <f t="shared" si="28"/>
        <v>1.2586805555555556E-3</v>
      </c>
      <c r="E531" s="915"/>
      <c r="F531" s="916"/>
      <c r="G531" s="917"/>
      <c r="H531" s="959"/>
      <c r="I531" s="919"/>
      <c r="J531" s="920"/>
      <c r="K531" s="921"/>
      <c r="L531" s="921"/>
      <c r="M531" s="923"/>
      <c r="N531" s="924"/>
      <c r="O531" s="925"/>
      <c r="P531" s="917"/>
      <c r="Q531" s="929"/>
      <c r="R531" s="927"/>
      <c r="S531" s="917"/>
      <c r="T531" s="928"/>
      <c r="U531" s="929"/>
      <c r="V531" s="930"/>
      <c r="W531" s="931"/>
      <c r="X531" s="932"/>
      <c r="Y531" s="933"/>
      <c r="Z531" s="934"/>
      <c r="AA531" s="935"/>
      <c r="AB531" s="936"/>
      <c r="AC531" s="931"/>
      <c r="AD531" s="954"/>
      <c r="AE531" s="938"/>
      <c r="AF531" s="955"/>
      <c r="AG531" s="940"/>
      <c r="AH531" s="941"/>
      <c r="AI531" s="942"/>
      <c r="AJ531" s="943"/>
      <c r="AK531" s="944"/>
      <c r="AL531" s="956"/>
      <c r="AM531" s="946"/>
      <c r="AN531" s="947"/>
      <c r="AO531" s="946"/>
      <c r="AP531" s="947"/>
      <c r="AQ531" s="946"/>
      <c r="AR531" s="948"/>
      <c r="AS531" s="946"/>
      <c r="AT531" s="946"/>
      <c r="AU531" s="946"/>
      <c r="AV531" s="916"/>
      <c r="AW531" s="946"/>
      <c r="AX531" s="946"/>
      <c r="AY531" s="946"/>
      <c r="AZ531" s="946"/>
      <c r="BA531" s="949"/>
      <c r="BB531" s="59"/>
      <c r="BC531" s="59"/>
      <c r="BD531" s="949"/>
      <c r="BE531" s="59"/>
      <c r="BF531" s="59"/>
      <c r="BG531" s="949"/>
      <c r="BH531" s="59"/>
      <c r="BI531" s="59"/>
      <c r="BJ531" s="946"/>
      <c r="BK531" s="2"/>
      <c r="BL531" s="950"/>
      <c r="BM531" s="950"/>
      <c r="BN531" s="2"/>
      <c r="BO531" s="2"/>
      <c r="BP531" s="951"/>
    </row>
    <row r="532" spans="1:68" x14ac:dyDescent="0.4">
      <c r="A532" s="911">
        <v>45357</v>
      </c>
      <c r="B532" s="975" t="s">
        <v>1057</v>
      </c>
      <c r="C532" s="976">
        <v>2.8472222222222219E-3</v>
      </c>
      <c r="D532" s="108">
        <f>C532/2</f>
        <v>1.423611111111111E-3</v>
      </c>
      <c r="E532" s="977"/>
      <c r="F532" s="978"/>
      <c r="G532" s="979"/>
      <c r="H532" s="980"/>
      <c r="I532" s="981"/>
      <c r="J532" s="982"/>
      <c r="K532" s="977"/>
      <c r="L532" s="977"/>
      <c r="M532" s="980"/>
      <c r="N532" s="983"/>
      <c r="O532" s="984"/>
      <c r="P532" s="979"/>
      <c r="Q532" s="985"/>
      <c r="R532" s="986"/>
      <c r="S532" s="979"/>
      <c r="T532" s="987"/>
      <c r="U532" s="985"/>
      <c r="V532" s="988"/>
      <c r="W532" s="989"/>
      <c r="X532" s="990"/>
      <c r="Y532" s="991"/>
      <c r="Z532" s="992"/>
      <c r="AA532" s="993"/>
      <c r="AB532" s="994"/>
      <c r="AC532" s="989"/>
      <c r="AD532" s="995"/>
      <c r="AE532" s="996"/>
      <c r="AF532" s="997"/>
      <c r="AG532" s="998"/>
      <c r="AH532" s="999"/>
      <c r="AI532" s="1000"/>
      <c r="AJ532" s="1001"/>
      <c r="AK532" s="1002"/>
      <c r="AL532" s="1003"/>
      <c r="AM532" s="1004"/>
      <c r="AN532" s="1005"/>
      <c r="AO532" s="1004"/>
      <c r="AP532" s="1005"/>
      <c r="AQ532" s="1004"/>
      <c r="AR532" s="1006"/>
      <c r="AS532" s="1004"/>
      <c r="AT532" s="1004"/>
      <c r="AU532" s="1004"/>
      <c r="AV532" s="978"/>
      <c r="AW532" s="1004"/>
      <c r="AX532" s="1004"/>
      <c r="AY532" s="1004"/>
      <c r="AZ532" s="1004"/>
      <c r="BA532" s="1007"/>
      <c r="BB532" s="1008"/>
      <c r="BC532" s="1008"/>
      <c r="BD532" s="1007"/>
      <c r="BE532" s="1008"/>
      <c r="BF532" s="1008"/>
      <c r="BG532" s="1007"/>
      <c r="BH532" s="1008"/>
      <c r="BI532" s="1008"/>
      <c r="BJ532" s="1004"/>
      <c r="BK532" s="1009"/>
      <c r="BL532" s="1010"/>
      <c r="BM532" s="1010"/>
      <c r="BN532" s="1009"/>
      <c r="BO532" s="1009"/>
      <c r="BP532" s="1011"/>
    </row>
    <row r="533" spans="1:68" x14ac:dyDescent="0.4">
      <c r="A533" s="974"/>
      <c r="B533" s="1012" t="s">
        <v>1058</v>
      </c>
      <c r="C533" s="1013">
        <v>2.6388888888888885E-3</v>
      </c>
      <c r="D533" s="107">
        <f>C533/2</f>
        <v>1.3194444444444443E-3</v>
      </c>
      <c r="E533" s="977"/>
      <c r="F533" s="978"/>
      <c r="G533" s="979"/>
      <c r="H533" s="1014"/>
      <c r="I533" s="981"/>
      <c r="J533" s="982"/>
      <c r="K533" s="977"/>
      <c r="L533" s="977"/>
      <c r="M533" s="1014"/>
      <c r="N533" s="983"/>
      <c r="O533" s="1015"/>
      <c r="P533" s="979"/>
      <c r="Q533" s="1016"/>
      <c r="R533" s="986"/>
      <c r="S533" s="979"/>
      <c r="T533" s="987"/>
      <c r="U533" s="1016"/>
      <c r="V533" s="988"/>
      <c r="W533" s="989"/>
      <c r="X533" s="990"/>
      <c r="Y533" s="991"/>
      <c r="Z533" s="992"/>
      <c r="AA533" s="993"/>
      <c r="AB533" s="994"/>
      <c r="AC533" s="989"/>
      <c r="AD533" s="1017"/>
      <c r="AE533" s="996"/>
      <c r="AF533" s="1018"/>
      <c r="AG533" s="998"/>
      <c r="AH533" s="999"/>
      <c r="AI533" s="1000"/>
      <c r="AJ533" s="1001"/>
      <c r="AK533" s="1002"/>
      <c r="AL533" s="1019"/>
      <c r="AM533" s="1004"/>
      <c r="AN533" s="1020"/>
      <c r="AO533" s="1004"/>
      <c r="AP533" s="1005"/>
      <c r="AQ533" s="1004"/>
      <c r="AR533" s="1006"/>
      <c r="AS533" s="1004"/>
      <c r="AT533" s="1004"/>
      <c r="AU533" s="1004"/>
      <c r="AV533" s="978"/>
      <c r="AW533" s="1004"/>
      <c r="AX533" s="1004"/>
      <c r="AY533" s="1004"/>
      <c r="AZ533" s="1004"/>
      <c r="BA533" s="1007"/>
      <c r="BB533" s="1008"/>
      <c r="BC533" s="1008"/>
      <c r="BD533" s="1007"/>
      <c r="BE533" s="1008"/>
      <c r="BF533" s="1008"/>
      <c r="BG533" s="1007"/>
      <c r="BH533" s="1008"/>
      <c r="BI533" s="1008"/>
      <c r="BJ533" s="1004"/>
      <c r="BK533" s="1009"/>
      <c r="BL533" s="1010"/>
      <c r="BM533" s="1010"/>
      <c r="BN533" s="1009"/>
      <c r="BO533" s="1009"/>
      <c r="BP533" s="1011"/>
    </row>
    <row r="534" spans="1:68" x14ac:dyDescent="0.4">
      <c r="A534" s="911">
        <v>44626</v>
      </c>
      <c r="B534" s="957" t="s">
        <v>1059</v>
      </c>
      <c r="C534" s="1021">
        <v>2.5925925925925925E-3</v>
      </c>
      <c r="D534" s="107">
        <f>C534/2</f>
        <v>1.2962962962962963E-3</v>
      </c>
      <c r="E534" s="921"/>
      <c r="F534" s="916"/>
      <c r="G534" s="917"/>
      <c r="H534" s="1022"/>
      <c r="I534" s="919"/>
      <c r="J534" s="920"/>
      <c r="K534" s="921"/>
      <c r="L534" s="921"/>
      <c r="M534" s="1023"/>
      <c r="N534" s="924"/>
      <c r="O534" s="1024"/>
      <c r="P534" s="917"/>
      <c r="Q534" s="1025"/>
      <c r="R534" s="927"/>
      <c r="S534" s="917"/>
      <c r="T534" s="928"/>
      <c r="U534" s="1025"/>
      <c r="V534" s="930"/>
      <c r="W534" s="931"/>
      <c r="X534" s="932"/>
      <c r="Y534" s="933"/>
      <c r="Z534" s="934"/>
      <c r="AA534" s="935"/>
      <c r="AB534" s="936"/>
      <c r="AC534" s="931"/>
      <c r="AD534" s="1026"/>
      <c r="AE534" s="938"/>
      <c r="AF534" s="1027"/>
      <c r="AG534" s="940"/>
      <c r="AH534" s="941"/>
      <c r="AI534" s="942"/>
      <c r="AJ534" s="943"/>
      <c r="AK534" s="944"/>
      <c r="AL534" s="945"/>
      <c r="AM534" s="946"/>
      <c r="AN534" s="947"/>
      <c r="AO534" s="946"/>
      <c r="AP534" s="947"/>
      <c r="AQ534" s="946"/>
      <c r="AR534" s="948"/>
      <c r="AS534" s="946"/>
      <c r="AT534" s="946"/>
      <c r="AU534" s="946"/>
      <c r="AV534" s="916"/>
      <c r="AW534" s="946"/>
      <c r="AX534" s="946"/>
      <c r="AY534" s="946"/>
      <c r="AZ534" s="946"/>
      <c r="BA534" s="949"/>
      <c r="BB534" s="59"/>
      <c r="BC534" s="59"/>
      <c r="BD534" s="949"/>
      <c r="BE534" s="59"/>
      <c r="BF534" s="59"/>
      <c r="BG534" s="949"/>
      <c r="BH534" s="59"/>
      <c r="BI534" s="59"/>
      <c r="BJ534" s="946"/>
      <c r="BK534" s="2"/>
      <c r="BL534" s="950"/>
      <c r="BM534" s="950"/>
      <c r="BN534" s="2"/>
      <c r="BO534" s="2"/>
      <c r="BP534" s="951"/>
    </row>
    <row r="535" spans="1:68" ht="15" thickBot="1" x14ac:dyDescent="0.45">
      <c r="A535" s="974"/>
      <c r="B535" s="1028" t="s">
        <v>1060</v>
      </c>
      <c r="C535" s="1029">
        <v>2.615740740740741E-3</v>
      </c>
      <c r="D535" s="107">
        <f>C535/2</f>
        <v>1.3078703703703705E-3</v>
      </c>
      <c r="E535" s="921"/>
      <c r="F535" s="916"/>
      <c r="G535" s="917"/>
      <c r="H535" s="1030"/>
      <c r="I535" s="919"/>
      <c r="J535" s="920"/>
      <c r="K535" s="921"/>
      <c r="L535" s="921"/>
      <c r="M535" s="1031"/>
      <c r="N535" s="924"/>
      <c r="O535" s="1032"/>
      <c r="P535" s="917"/>
      <c r="Q535" s="1033"/>
      <c r="R535" s="927"/>
      <c r="S535" s="917"/>
      <c r="T535" s="928"/>
      <c r="U535" s="1033"/>
      <c r="V535" s="930"/>
      <c r="W535" s="931"/>
      <c r="X535" s="932"/>
      <c r="Y535" s="933"/>
      <c r="Z535" s="934"/>
      <c r="AA535" s="935"/>
      <c r="AB535" s="936"/>
      <c r="AC535" s="931"/>
      <c r="AD535" s="1034"/>
      <c r="AE535" s="938"/>
      <c r="AF535" s="1035"/>
      <c r="AG535" s="940"/>
      <c r="AH535" s="941"/>
      <c r="AI535" s="942"/>
      <c r="AJ535" s="943"/>
      <c r="AK535" s="944"/>
      <c r="AL535" s="945"/>
      <c r="AM535" s="946"/>
      <c r="AN535" s="973"/>
      <c r="AO535" s="946"/>
      <c r="AP535" s="947"/>
      <c r="AQ535" s="946"/>
      <c r="AR535" s="948"/>
      <c r="AS535" s="946"/>
      <c r="AT535" s="946"/>
      <c r="AU535" s="946"/>
      <c r="AV535" s="916"/>
      <c r="AW535" s="946"/>
      <c r="AX535" s="946"/>
      <c r="AY535" s="946"/>
      <c r="AZ535" s="946"/>
      <c r="BA535" s="949"/>
      <c r="BB535" s="59"/>
      <c r="BC535" s="59"/>
      <c r="BD535" s="949"/>
      <c r="BE535" s="59"/>
      <c r="BF535" s="59"/>
      <c r="BG535" s="949"/>
      <c r="BH535" s="59"/>
      <c r="BI535" s="59"/>
      <c r="BJ535" s="946"/>
      <c r="BK535" s="2"/>
      <c r="BL535" s="950"/>
      <c r="BM535" s="950"/>
      <c r="BN535" s="2"/>
      <c r="BO535" s="2"/>
      <c r="BP535" s="951"/>
    </row>
    <row r="536" spans="1:68" x14ac:dyDescent="0.4">
      <c r="A536" s="974"/>
      <c r="B536" s="952" t="s">
        <v>1061</v>
      </c>
      <c r="C536" s="1036"/>
      <c r="D536" s="107"/>
      <c r="E536" s="921"/>
      <c r="F536" s="916"/>
      <c r="G536" s="917"/>
      <c r="H536" s="953"/>
      <c r="I536" s="919"/>
      <c r="J536" s="920"/>
      <c r="K536" s="921"/>
      <c r="L536" s="921"/>
      <c r="M536" s="923"/>
      <c r="N536" s="924"/>
      <c r="O536" s="924"/>
      <c r="P536" s="917"/>
      <c r="Q536" s="929"/>
      <c r="R536" s="927"/>
      <c r="S536" s="917"/>
      <c r="T536" s="928"/>
      <c r="U536" s="929"/>
      <c r="V536" s="930"/>
      <c r="W536" s="931"/>
      <c r="X536" s="932"/>
      <c r="Y536" s="933"/>
      <c r="Z536" s="934"/>
      <c r="AA536" s="935"/>
      <c r="AB536" s="936"/>
      <c r="AC536" s="931"/>
      <c r="AD536" s="954"/>
      <c r="AE536" s="938"/>
      <c r="AF536" s="955"/>
      <c r="AG536" s="940"/>
      <c r="AH536" s="941"/>
      <c r="AI536" s="942"/>
      <c r="AJ536" s="943"/>
      <c r="AK536" s="1037"/>
      <c r="AL536" s="956"/>
      <c r="AM536" s="946"/>
      <c r="AN536" s="947"/>
      <c r="AO536" s="946"/>
      <c r="AP536" s="947"/>
      <c r="AQ536" s="946"/>
      <c r="AR536" s="948"/>
      <c r="AS536" s="946"/>
      <c r="AT536" s="946"/>
      <c r="AU536" s="946"/>
      <c r="AV536" s="916"/>
      <c r="AW536" s="946"/>
      <c r="AX536" s="946"/>
      <c r="AY536" s="946"/>
      <c r="AZ536" s="946"/>
      <c r="BA536" s="949"/>
      <c r="BB536" s="59"/>
      <c r="BC536" s="59"/>
      <c r="BD536" s="949"/>
      <c r="BE536" s="59"/>
      <c r="BF536" s="59"/>
      <c r="BG536" s="949"/>
      <c r="BH536" s="59"/>
      <c r="BI536" s="59"/>
      <c r="BJ536" s="946"/>
      <c r="BK536" s="2"/>
      <c r="BL536" s="950"/>
      <c r="BM536" s="950"/>
      <c r="BN536" s="2"/>
      <c r="BO536" s="2"/>
      <c r="BP536" s="951"/>
    </row>
    <row r="537" spans="1:68" x14ac:dyDescent="0.4">
      <c r="A537" s="974"/>
      <c r="B537" s="952" t="s">
        <v>1062</v>
      </c>
      <c r="C537" s="1036"/>
      <c r="D537" s="107"/>
      <c r="E537" s="921"/>
      <c r="F537" s="916"/>
      <c r="G537" s="917"/>
      <c r="H537" s="953"/>
      <c r="I537" s="919"/>
      <c r="J537" s="920"/>
      <c r="K537" s="921"/>
      <c r="L537" s="921"/>
      <c r="M537" s="923"/>
      <c r="N537" s="924"/>
      <c r="O537" s="924"/>
      <c r="P537" s="917"/>
      <c r="Q537" s="929"/>
      <c r="R537" s="927"/>
      <c r="S537" s="917"/>
      <c r="T537" s="928"/>
      <c r="U537" s="929"/>
      <c r="V537" s="930"/>
      <c r="W537" s="931"/>
      <c r="X537" s="932"/>
      <c r="Y537" s="933"/>
      <c r="Z537" s="934"/>
      <c r="AA537" s="935"/>
      <c r="AB537" s="936"/>
      <c r="AC537" s="931"/>
      <c r="AD537" s="954"/>
      <c r="AE537" s="938"/>
      <c r="AF537" s="955"/>
      <c r="AG537" s="940"/>
      <c r="AH537" s="941"/>
      <c r="AI537" s="942"/>
      <c r="AJ537" s="943"/>
      <c r="AK537" s="1037"/>
      <c r="AL537" s="956"/>
      <c r="AM537" s="946"/>
      <c r="AN537" s="947"/>
      <c r="AO537" s="946"/>
      <c r="AP537" s="947"/>
      <c r="AQ537" s="946"/>
      <c r="AR537" s="948"/>
      <c r="AS537" s="946"/>
      <c r="AT537" s="946"/>
      <c r="AU537" s="946"/>
      <c r="AV537" s="916"/>
      <c r="AW537" s="946"/>
      <c r="AX537" s="946"/>
      <c r="AY537" s="946"/>
      <c r="AZ537" s="946"/>
      <c r="BA537" s="949"/>
      <c r="BB537" s="59"/>
      <c r="BC537" s="59"/>
      <c r="BD537" s="949"/>
      <c r="BE537" s="59"/>
      <c r="BF537" s="59"/>
      <c r="BG537" s="949"/>
      <c r="BH537" s="59"/>
      <c r="BI537" s="59"/>
      <c r="BJ537" s="946"/>
      <c r="BK537" s="2"/>
      <c r="BL537" s="950"/>
      <c r="BM537" s="950"/>
      <c r="BN537" s="2"/>
      <c r="BO537" s="2"/>
      <c r="BP537" s="951"/>
    </row>
    <row r="538" spans="1:68" x14ac:dyDescent="0.4">
      <c r="A538" s="974"/>
      <c r="B538" s="952" t="s">
        <v>1063</v>
      </c>
      <c r="C538" s="1036"/>
      <c r="D538" s="107"/>
      <c r="E538" s="921"/>
      <c r="F538" s="916"/>
      <c r="G538" s="917"/>
      <c r="H538" s="953"/>
      <c r="I538" s="919"/>
      <c r="J538" s="920"/>
      <c r="K538" s="921"/>
      <c r="L538" s="921"/>
      <c r="M538" s="923"/>
      <c r="N538" s="924"/>
      <c r="O538" s="924"/>
      <c r="P538" s="917"/>
      <c r="Q538" s="929"/>
      <c r="R538" s="927"/>
      <c r="S538" s="917"/>
      <c r="T538" s="928"/>
      <c r="U538" s="929"/>
      <c r="V538" s="930"/>
      <c r="W538" s="931"/>
      <c r="X538" s="932"/>
      <c r="Y538" s="933"/>
      <c r="Z538" s="934"/>
      <c r="AA538" s="935"/>
      <c r="AB538" s="936"/>
      <c r="AC538" s="931"/>
      <c r="AD538" s="954"/>
      <c r="AE538" s="938"/>
      <c r="AF538" s="955"/>
      <c r="AG538" s="940"/>
      <c r="AH538" s="941"/>
      <c r="AI538" s="942"/>
      <c r="AJ538" s="943"/>
      <c r="AK538" s="1037"/>
      <c r="AL538" s="956"/>
      <c r="AM538" s="946"/>
      <c r="AN538" s="947"/>
      <c r="AO538" s="946"/>
      <c r="AP538" s="947"/>
      <c r="AQ538" s="946"/>
      <c r="AR538" s="948"/>
      <c r="AS538" s="946"/>
      <c r="AT538" s="946"/>
      <c r="AU538" s="946"/>
      <c r="AV538" s="916"/>
      <c r="AW538" s="946"/>
      <c r="AX538" s="946"/>
      <c r="AY538" s="946"/>
      <c r="AZ538" s="946"/>
      <c r="BA538" s="949"/>
      <c r="BB538" s="59"/>
      <c r="BC538" s="59"/>
      <c r="BD538" s="949"/>
      <c r="BE538" s="59"/>
      <c r="BF538" s="59"/>
      <c r="BG538" s="949"/>
      <c r="BH538" s="59"/>
      <c r="BI538" s="59"/>
      <c r="BJ538" s="946"/>
      <c r="BK538" s="2"/>
      <c r="BL538" s="950"/>
      <c r="BM538" s="950"/>
      <c r="BN538" s="2"/>
      <c r="BO538" s="2"/>
      <c r="BP538" s="951"/>
    </row>
    <row r="539" spans="1:68" x14ac:dyDescent="0.4">
      <c r="A539" s="974"/>
      <c r="B539" s="952" t="s">
        <v>1064</v>
      </c>
      <c r="C539" s="1036"/>
      <c r="D539" s="107"/>
      <c r="E539" s="921"/>
      <c r="F539" s="916"/>
      <c r="G539" s="917"/>
      <c r="H539" s="953"/>
      <c r="I539" s="919"/>
      <c r="J539" s="920"/>
      <c r="K539" s="921"/>
      <c r="L539" s="921"/>
      <c r="M539" s="923"/>
      <c r="N539" s="924"/>
      <c r="O539" s="924"/>
      <c r="P539" s="917"/>
      <c r="Q539" s="929"/>
      <c r="R539" s="927"/>
      <c r="S539" s="917"/>
      <c r="T539" s="928"/>
      <c r="U539" s="929"/>
      <c r="V539" s="930"/>
      <c r="W539" s="931"/>
      <c r="X539" s="932"/>
      <c r="Y539" s="933"/>
      <c r="Z539" s="934"/>
      <c r="AA539" s="935"/>
      <c r="AB539" s="936"/>
      <c r="AC539" s="931"/>
      <c r="AD539" s="954"/>
      <c r="AE539" s="938"/>
      <c r="AF539" s="955"/>
      <c r="AG539" s="940"/>
      <c r="AH539" s="941"/>
      <c r="AI539" s="942"/>
      <c r="AJ539" s="943"/>
      <c r="AK539" s="1037"/>
      <c r="AL539" s="956"/>
      <c r="AM539" s="946"/>
      <c r="AN539" s="947"/>
      <c r="AO539" s="946"/>
      <c r="AP539" s="947"/>
      <c r="AQ539" s="946"/>
      <c r="AR539" s="948"/>
      <c r="AS539" s="946"/>
      <c r="AT539" s="946"/>
      <c r="AU539" s="946"/>
      <c r="AV539" s="916"/>
      <c r="AW539" s="946"/>
      <c r="AX539" s="946"/>
      <c r="AY539" s="946"/>
      <c r="AZ539" s="946"/>
      <c r="BA539" s="949"/>
      <c r="BB539" s="59"/>
      <c r="BC539" s="59"/>
      <c r="BD539" s="949"/>
      <c r="BE539" s="59"/>
      <c r="BF539" s="59"/>
      <c r="BG539" s="949"/>
      <c r="BH539" s="59"/>
      <c r="BI539" s="59"/>
      <c r="BJ539" s="946"/>
      <c r="BK539" s="2"/>
      <c r="BL539" s="950"/>
      <c r="BM539" s="950"/>
      <c r="BN539" s="2"/>
      <c r="BO539" s="2"/>
      <c r="BP539" s="951"/>
    </row>
    <row r="540" spans="1:68" x14ac:dyDescent="0.4">
      <c r="A540" s="974"/>
      <c r="B540" s="952" t="s">
        <v>1065</v>
      </c>
      <c r="C540" s="1036"/>
      <c r="D540" s="107"/>
      <c r="E540" s="921"/>
      <c r="F540" s="916"/>
      <c r="G540" s="917"/>
      <c r="H540" s="953"/>
      <c r="I540" s="919"/>
      <c r="J540" s="920"/>
      <c r="K540" s="921"/>
      <c r="L540" s="921"/>
      <c r="M540" s="923"/>
      <c r="N540" s="924"/>
      <c r="O540" s="924"/>
      <c r="P540" s="917"/>
      <c r="Q540" s="929"/>
      <c r="R540" s="927"/>
      <c r="S540" s="917"/>
      <c r="T540" s="928"/>
      <c r="U540" s="929"/>
      <c r="V540" s="930"/>
      <c r="W540" s="931"/>
      <c r="X540" s="932"/>
      <c r="Y540" s="933"/>
      <c r="Z540" s="934"/>
      <c r="AA540" s="935"/>
      <c r="AB540" s="936"/>
      <c r="AC540" s="931"/>
      <c r="AD540" s="954"/>
      <c r="AE540" s="938"/>
      <c r="AF540" s="955"/>
      <c r="AG540" s="940"/>
      <c r="AH540" s="941"/>
      <c r="AI540" s="942"/>
      <c r="AJ540" s="943"/>
      <c r="AK540" s="1037"/>
      <c r="AL540" s="956"/>
      <c r="AM540" s="946"/>
      <c r="AN540" s="947"/>
      <c r="AO540" s="946"/>
      <c r="AP540" s="947"/>
      <c r="AQ540" s="946"/>
      <c r="AR540" s="948"/>
      <c r="AS540" s="946"/>
      <c r="AT540" s="946"/>
      <c r="AU540" s="946"/>
      <c r="AV540" s="916"/>
      <c r="AW540" s="946"/>
      <c r="AX540" s="946"/>
      <c r="AY540" s="946"/>
      <c r="AZ540" s="946"/>
      <c r="BA540" s="949"/>
      <c r="BB540" s="59"/>
      <c r="BC540" s="59"/>
      <c r="BD540" s="949"/>
      <c r="BE540" s="59"/>
      <c r="BF540" s="59"/>
      <c r="BG540" s="949"/>
      <c r="BH540" s="59"/>
      <c r="BI540" s="59"/>
      <c r="BJ540" s="946"/>
      <c r="BK540" s="2"/>
      <c r="BL540" s="950"/>
      <c r="BM540" s="950"/>
      <c r="BN540" s="2"/>
      <c r="BO540" s="2"/>
      <c r="BP540" s="951"/>
    </row>
    <row r="541" spans="1:68" x14ac:dyDescent="0.4">
      <c r="A541" s="974"/>
      <c r="B541" s="952" t="s">
        <v>1066</v>
      </c>
      <c r="C541" s="1036"/>
      <c r="D541" s="107"/>
      <c r="E541" s="921"/>
      <c r="F541" s="916"/>
      <c r="G541" s="917"/>
      <c r="H541" s="953"/>
      <c r="I541" s="919"/>
      <c r="J541" s="920"/>
      <c r="K541" s="921"/>
      <c r="L541" s="921"/>
      <c r="M541" s="923"/>
      <c r="N541" s="924"/>
      <c r="O541" s="924"/>
      <c r="P541" s="917"/>
      <c r="Q541" s="929"/>
      <c r="R541" s="927"/>
      <c r="S541" s="917"/>
      <c r="T541" s="928"/>
      <c r="U541" s="929"/>
      <c r="V541" s="930"/>
      <c r="W541" s="931"/>
      <c r="X541" s="932"/>
      <c r="Y541" s="933"/>
      <c r="Z541" s="934"/>
      <c r="AA541" s="935"/>
      <c r="AB541" s="936"/>
      <c r="AC541" s="931"/>
      <c r="AD541" s="954"/>
      <c r="AE541" s="938"/>
      <c r="AF541" s="955"/>
      <c r="AG541" s="940"/>
      <c r="AH541" s="941"/>
      <c r="AI541" s="942"/>
      <c r="AJ541" s="943"/>
      <c r="AK541" s="1037"/>
      <c r="AL541" s="956"/>
      <c r="AM541" s="946"/>
      <c r="AN541" s="947"/>
      <c r="AO541" s="946"/>
      <c r="AP541" s="947"/>
      <c r="AQ541" s="946"/>
      <c r="AR541" s="948"/>
      <c r="AS541" s="946"/>
      <c r="AT541" s="946"/>
      <c r="AU541" s="946"/>
      <c r="AV541" s="916"/>
      <c r="AW541" s="946"/>
      <c r="AX541" s="946"/>
      <c r="AY541" s="946"/>
      <c r="AZ541" s="946"/>
      <c r="BA541" s="949"/>
      <c r="BB541" s="59"/>
      <c r="BC541" s="59"/>
      <c r="BD541" s="949"/>
      <c r="BE541" s="59"/>
      <c r="BF541" s="59"/>
      <c r="BG541" s="949"/>
      <c r="BH541" s="59"/>
      <c r="BI541" s="59"/>
      <c r="BJ541" s="946"/>
      <c r="BK541" s="2"/>
      <c r="BL541" s="950"/>
      <c r="BM541" s="950"/>
      <c r="BN541" s="2"/>
      <c r="BO541" s="2"/>
      <c r="BP541" s="951"/>
    </row>
    <row r="542" spans="1:68" x14ac:dyDescent="0.4">
      <c r="A542" s="974"/>
      <c r="B542" s="952" t="s">
        <v>1067</v>
      </c>
      <c r="C542" s="1036"/>
      <c r="D542" s="107"/>
      <c r="E542" s="921"/>
      <c r="F542" s="916"/>
      <c r="G542" s="917"/>
      <c r="H542" s="953"/>
      <c r="I542" s="919"/>
      <c r="J542" s="920"/>
      <c r="K542" s="921"/>
      <c r="L542" s="921"/>
      <c r="M542" s="923"/>
      <c r="N542" s="924"/>
      <c r="O542" s="924"/>
      <c r="P542" s="917"/>
      <c r="Q542" s="929"/>
      <c r="R542" s="927"/>
      <c r="S542" s="917"/>
      <c r="T542" s="928"/>
      <c r="U542" s="929"/>
      <c r="V542" s="930"/>
      <c r="W542" s="931"/>
      <c r="X542" s="932"/>
      <c r="Y542" s="933"/>
      <c r="Z542" s="934"/>
      <c r="AA542" s="935"/>
      <c r="AB542" s="936"/>
      <c r="AC542" s="931"/>
      <c r="AD542" s="954"/>
      <c r="AE542" s="938"/>
      <c r="AF542" s="955"/>
      <c r="AG542" s="940"/>
      <c r="AH542" s="941"/>
      <c r="AI542" s="942"/>
      <c r="AJ542" s="943"/>
      <c r="AK542" s="1037"/>
      <c r="AL542" s="956"/>
      <c r="AM542" s="946"/>
      <c r="AN542" s="947"/>
      <c r="AO542" s="946"/>
      <c r="AP542" s="947"/>
      <c r="AQ542" s="946"/>
      <c r="AR542" s="948"/>
      <c r="AS542" s="946"/>
      <c r="AT542" s="946"/>
      <c r="AU542" s="946"/>
      <c r="AV542" s="916"/>
      <c r="AW542" s="946"/>
      <c r="AX542" s="946"/>
      <c r="AY542" s="946"/>
      <c r="AZ542" s="946"/>
      <c r="BA542" s="949"/>
      <c r="BB542" s="59"/>
      <c r="BC542" s="59"/>
      <c r="BD542" s="949"/>
      <c r="BE542" s="59"/>
      <c r="BF542" s="59"/>
      <c r="BG542" s="949"/>
      <c r="BH542" s="59"/>
      <c r="BI542" s="59"/>
      <c r="BJ542" s="946"/>
      <c r="BK542" s="2"/>
      <c r="BL542" s="950"/>
      <c r="BM542" s="950"/>
      <c r="BN542" s="2"/>
      <c r="BO542" s="2"/>
      <c r="BP542" s="951"/>
    </row>
    <row r="543" spans="1:68" x14ac:dyDescent="0.4">
      <c r="A543" s="974"/>
      <c r="B543" s="952" t="s">
        <v>1068</v>
      </c>
      <c r="C543" s="1036"/>
      <c r="D543" s="107"/>
      <c r="E543" s="921"/>
      <c r="F543" s="916"/>
      <c r="G543" s="917"/>
      <c r="H543" s="953"/>
      <c r="I543" s="919"/>
      <c r="J543" s="920"/>
      <c r="K543" s="921"/>
      <c r="L543" s="921"/>
      <c r="M543" s="923"/>
      <c r="N543" s="924"/>
      <c r="O543" s="924"/>
      <c r="P543" s="917"/>
      <c r="Q543" s="929"/>
      <c r="R543" s="927"/>
      <c r="S543" s="917"/>
      <c r="T543" s="928"/>
      <c r="U543" s="929"/>
      <c r="V543" s="930"/>
      <c r="W543" s="931"/>
      <c r="X543" s="932"/>
      <c r="Y543" s="933"/>
      <c r="Z543" s="934"/>
      <c r="AA543" s="935"/>
      <c r="AB543" s="936"/>
      <c r="AC543" s="931"/>
      <c r="AD543" s="954"/>
      <c r="AE543" s="938"/>
      <c r="AF543" s="955"/>
      <c r="AG543" s="940"/>
      <c r="AH543" s="941"/>
      <c r="AI543" s="942"/>
      <c r="AJ543" s="943"/>
      <c r="AK543" s="1037"/>
      <c r="AL543" s="956"/>
      <c r="AM543" s="946"/>
      <c r="AN543" s="947"/>
      <c r="AO543" s="946"/>
      <c r="AP543" s="947"/>
      <c r="AQ543" s="946"/>
      <c r="AR543" s="948"/>
      <c r="AS543" s="946"/>
      <c r="AT543" s="946"/>
      <c r="AU543" s="946"/>
      <c r="AV543" s="916"/>
      <c r="AW543" s="946"/>
      <c r="AX543" s="946"/>
      <c r="AY543" s="946"/>
      <c r="AZ543" s="946"/>
      <c r="BA543" s="949"/>
      <c r="BB543" s="59"/>
      <c r="BC543" s="59"/>
      <c r="BD543" s="949"/>
      <c r="BE543" s="59"/>
      <c r="BF543" s="59"/>
      <c r="BG543" s="949"/>
      <c r="BH543" s="59"/>
      <c r="BI543" s="59"/>
      <c r="BJ543" s="946"/>
      <c r="BK543" s="2"/>
      <c r="BL543" s="950"/>
      <c r="BM543" s="950"/>
      <c r="BN543" s="2"/>
      <c r="BO543" s="2"/>
      <c r="BP543" s="951"/>
    </row>
    <row r="544" spans="1:68" x14ac:dyDescent="0.4">
      <c r="A544" s="974"/>
      <c r="B544" s="952" t="s">
        <v>1069</v>
      </c>
      <c r="C544" s="1036">
        <v>2.6388888888888885E-3</v>
      </c>
      <c r="D544" s="107">
        <f>C544/2</f>
        <v>1.3194444444444443E-3</v>
      </c>
      <c r="E544" s="921"/>
      <c r="F544" s="916"/>
      <c r="G544" s="917"/>
      <c r="H544" s="953"/>
      <c r="I544" s="919"/>
      <c r="J544" s="920"/>
      <c r="K544" s="921"/>
      <c r="L544" s="921"/>
      <c r="M544" s="923"/>
      <c r="N544" s="924"/>
      <c r="O544" s="924"/>
      <c r="P544" s="917"/>
      <c r="Q544" s="929"/>
      <c r="R544" s="927"/>
      <c r="S544" s="917"/>
      <c r="T544" s="928"/>
      <c r="U544" s="929"/>
      <c r="V544" s="930"/>
      <c r="W544" s="931"/>
      <c r="X544" s="932"/>
      <c r="Y544" s="933"/>
      <c r="Z544" s="934"/>
      <c r="AA544" s="935"/>
      <c r="AB544" s="936"/>
      <c r="AC544" s="931"/>
      <c r="AD544" s="954"/>
      <c r="AE544" s="938"/>
      <c r="AF544" s="955"/>
      <c r="AG544" s="940"/>
      <c r="AH544" s="941"/>
      <c r="AI544" s="942"/>
      <c r="AJ544" s="943"/>
      <c r="AK544" s="1037"/>
      <c r="AL544" s="956"/>
      <c r="AM544" s="946"/>
      <c r="AN544" s="947"/>
      <c r="AO544" s="946"/>
      <c r="AP544" s="947"/>
      <c r="AQ544" s="946"/>
      <c r="AR544" s="948"/>
      <c r="AS544" s="946"/>
      <c r="AT544" s="946"/>
      <c r="AU544" s="946"/>
      <c r="AV544" s="916"/>
      <c r="AW544" s="946"/>
      <c r="AX544" s="946"/>
      <c r="AY544" s="946"/>
      <c r="AZ544" s="946"/>
      <c r="BA544" s="949"/>
      <c r="BB544" s="59"/>
      <c r="BC544" s="59"/>
      <c r="BD544" s="949"/>
      <c r="BE544" s="59"/>
      <c r="BF544" s="59"/>
      <c r="BG544" s="949"/>
      <c r="BH544" s="59"/>
      <c r="BI544" s="59"/>
      <c r="BJ544" s="946"/>
      <c r="BK544" s="2"/>
      <c r="BL544" s="950"/>
      <c r="BM544" s="950"/>
      <c r="BN544" s="2"/>
      <c r="BO544" s="2"/>
      <c r="BP544" s="951"/>
    </row>
    <row r="545" spans="1:68" x14ac:dyDescent="0.4">
      <c r="A545" s="974"/>
      <c r="B545" s="952" t="s">
        <v>1070</v>
      </c>
      <c r="C545" s="1036"/>
      <c r="D545" s="107">
        <f>C545/2</f>
        <v>0</v>
      </c>
      <c r="E545" s="921"/>
      <c r="F545" s="916"/>
      <c r="G545" s="917"/>
      <c r="H545" s="953"/>
      <c r="I545" s="919"/>
      <c r="J545" s="920"/>
      <c r="K545" s="921"/>
      <c r="L545" s="921"/>
      <c r="M545" s="923"/>
      <c r="N545" s="924"/>
      <c r="O545" s="924"/>
      <c r="P545" s="917"/>
      <c r="Q545" s="929"/>
      <c r="R545" s="927"/>
      <c r="S545" s="917"/>
      <c r="T545" s="928"/>
      <c r="U545" s="929"/>
      <c r="V545" s="930"/>
      <c r="W545" s="931"/>
      <c r="X545" s="932"/>
      <c r="Y545" s="933"/>
      <c r="Z545" s="934"/>
      <c r="AA545" s="935"/>
      <c r="AB545" s="936"/>
      <c r="AC545" s="931"/>
      <c r="AD545" s="954"/>
      <c r="AE545" s="938"/>
      <c r="AF545" s="955"/>
      <c r="AG545" s="940"/>
      <c r="AH545" s="941"/>
      <c r="AI545" s="942"/>
      <c r="AJ545" s="943"/>
      <c r="AK545" s="1037"/>
      <c r="AL545" s="956"/>
      <c r="AM545" s="946"/>
      <c r="AN545" s="947"/>
      <c r="AO545" s="946"/>
      <c r="AP545" s="947"/>
      <c r="AQ545" s="946"/>
      <c r="AR545" s="948"/>
      <c r="AS545" s="946"/>
      <c r="AT545" s="946"/>
      <c r="AU545" s="946"/>
      <c r="AV545" s="916"/>
      <c r="AW545" s="946"/>
      <c r="AX545" s="946"/>
      <c r="AY545" s="946"/>
      <c r="AZ545" s="946"/>
      <c r="BA545" s="949"/>
      <c r="BB545" s="59"/>
      <c r="BC545" s="59"/>
      <c r="BD545" s="949"/>
      <c r="BE545" s="59"/>
      <c r="BF545" s="59"/>
      <c r="BG545" s="949"/>
      <c r="BH545" s="59"/>
      <c r="BI545" s="59"/>
      <c r="BJ545" s="946"/>
      <c r="BK545" s="2"/>
      <c r="BL545" s="950"/>
      <c r="BM545" s="950"/>
      <c r="BN545" s="2"/>
      <c r="BO545" s="2"/>
      <c r="BP545" s="951"/>
    </row>
    <row r="546" spans="1:68" ht="15" thickBot="1" x14ac:dyDescent="0.45">
      <c r="A546" s="974"/>
      <c r="B546" s="952" t="s">
        <v>1071</v>
      </c>
      <c r="C546" s="1038"/>
      <c r="D546" s="107">
        <f>C546/2</f>
        <v>0</v>
      </c>
      <c r="E546" s="921"/>
      <c r="F546" s="916"/>
      <c r="G546" s="917"/>
      <c r="H546" s="1022"/>
      <c r="I546" s="919"/>
      <c r="J546" s="920"/>
      <c r="K546" s="921"/>
      <c r="L546" s="921"/>
      <c r="M546" s="923"/>
      <c r="N546" s="924"/>
      <c r="O546" s="924"/>
      <c r="P546" s="917"/>
      <c r="Q546" s="1025"/>
      <c r="R546" s="927"/>
      <c r="S546" s="917"/>
      <c r="T546" s="928"/>
      <c r="U546" s="929"/>
      <c r="V546" s="930"/>
      <c r="W546" s="931"/>
      <c r="X546" s="932"/>
      <c r="Y546" s="933"/>
      <c r="Z546" s="934"/>
      <c r="AA546" s="935"/>
      <c r="AB546" s="936"/>
      <c r="AC546" s="931"/>
      <c r="AD546" s="1026"/>
      <c r="AE546" s="938"/>
      <c r="AF546" s="1027"/>
      <c r="AG546" s="940"/>
      <c r="AH546" s="941"/>
      <c r="AI546" s="942"/>
      <c r="AJ546" s="943"/>
      <c r="AK546" s="1037"/>
      <c r="AL546" s="956"/>
      <c r="AM546" s="946"/>
      <c r="AN546" s="947"/>
      <c r="AO546" s="946"/>
      <c r="AP546" s="947"/>
      <c r="AQ546" s="946"/>
      <c r="AR546" s="948"/>
      <c r="AS546" s="946"/>
      <c r="AT546" s="946"/>
      <c r="AU546" s="946"/>
      <c r="AV546" s="916"/>
      <c r="AW546" s="946"/>
      <c r="AX546" s="946"/>
      <c r="AY546" s="946"/>
      <c r="AZ546" s="946"/>
      <c r="BA546" s="949"/>
      <c r="BB546" s="59"/>
      <c r="BC546" s="59"/>
      <c r="BD546" s="949"/>
      <c r="BE546" s="59"/>
      <c r="BF546" s="59"/>
      <c r="BG546" s="949"/>
      <c r="BH546" s="59"/>
      <c r="BI546" s="59"/>
      <c r="BJ546" s="946"/>
      <c r="BK546" s="2"/>
      <c r="BL546" s="950"/>
      <c r="BM546" s="950"/>
      <c r="BN546" s="2"/>
      <c r="BO546" s="2"/>
      <c r="BP546" s="951"/>
    </row>
    <row r="547" spans="1:68" x14ac:dyDescent="0.4">
      <c r="A547" s="974"/>
      <c r="B547" s="1039" t="s">
        <v>1072</v>
      </c>
      <c r="C547" s="1040">
        <v>6.5740740740740733E-3</v>
      </c>
      <c r="D547" s="107">
        <f>C547/4</f>
        <v>1.6435185185185183E-3</v>
      </c>
      <c r="E547" s="921"/>
      <c r="F547" s="916"/>
      <c r="G547" s="917"/>
      <c r="H547" s="1041"/>
      <c r="I547" s="919"/>
      <c r="J547" s="920"/>
      <c r="K547" s="921"/>
      <c r="L547" s="921"/>
      <c r="M547" s="1042"/>
      <c r="N547" s="924"/>
      <c r="O547" s="1043"/>
      <c r="P547" s="917"/>
      <c r="Q547" s="926"/>
      <c r="R547" s="927"/>
      <c r="S547" s="917"/>
      <c r="T547" s="928"/>
      <c r="U547" s="926"/>
      <c r="V547" s="930"/>
      <c r="W547" s="931"/>
      <c r="X547" s="932"/>
      <c r="Y547" s="933"/>
      <c r="Z547" s="934"/>
      <c r="AA547" s="935"/>
      <c r="AB547" s="936"/>
      <c r="AC547" s="931"/>
      <c r="AD547" s="937"/>
      <c r="AE547" s="938"/>
      <c r="AF547" s="939"/>
      <c r="AG547" s="940"/>
      <c r="AH547" s="941"/>
      <c r="AI547" s="942"/>
      <c r="AJ547" s="943"/>
      <c r="AK547" s="1037"/>
      <c r="AL547" s="956"/>
      <c r="AM547" s="946"/>
      <c r="AN547" s="947"/>
      <c r="AO547" s="946"/>
      <c r="AP547" s="947"/>
      <c r="AQ547" s="946"/>
      <c r="AR547" s="948"/>
      <c r="AS547" s="946"/>
      <c r="AT547" s="946"/>
      <c r="AU547" s="946"/>
      <c r="AV547" s="916"/>
      <c r="AW547" s="946"/>
      <c r="AX547" s="946"/>
      <c r="AY547" s="946"/>
      <c r="AZ547" s="946"/>
      <c r="BA547" s="949"/>
      <c r="BB547" s="59"/>
      <c r="BC547" s="59"/>
      <c r="BD547" s="949"/>
      <c r="BE547" s="59"/>
      <c r="BF547" s="59"/>
      <c r="BG547" s="949"/>
      <c r="BH547" s="59"/>
      <c r="BI547" s="59"/>
      <c r="BJ547" s="946"/>
      <c r="BK547" s="2"/>
      <c r="BL547" s="950"/>
      <c r="BM547" s="950"/>
      <c r="BN547" s="2"/>
      <c r="BO547" s="2"/>
      <c r="BP547" s="951"/>
    </row>
    <row r="548" spans="1:68" x14ac:dyDescent="0.4">
      <c r="A548" s="974"/>
      <c r="B548" s="952" t="s">
        <v>1073</v>
      </c>
      <c r="C548" s="1038">
        <v>5.8912037037037032E-3</v>
      </c>
      <c r="D548" s="107">
        <f>C548/4</f>
        <v>1.4728009259259258E-3</v>
      </c>
      <c r="E548" s="921"/>
      <c r="F548" s="916"/>
      <c r="G548" s="917"/>
      <c r="H548" s="1022"/>
      <c r="I548" s="919"/>
      <c r="J548" s="920"/>
      <c r="K548" s="921"/>
      <c r="L548" s="921"/>
      <c r="M548" s="1023"/>
      <c r="N548" s="924"/>
      <c r="O548" s="1044"/>
      <c r="P548" s="917"/>
      <c r="Q548" s="1025"/>
      <c r="R548" s="927"/>
      <c r="S548" s="917"/>
      <c r="T548" s="928"/>
      <c r="U548" s="1025"/>
      <c r="V548" s="930"/>
      <c r="W548" s="931"/>
      <c r="X548" s="932"/>
      <c r="Y548" s="933"/>
      <c r="Z548" s="934"/>
      <c r="AA548" s="935"/>
      <c r="AB548" s="936"/>
      <c r="AC548" s="931"/>
      <c r="AD548" s="1026"/>
      <c r="AE548" s="938"/>
      <c r="AF548" s="1027"/>
      <c r="AG548" s="940"/>
      <c r="AH548" s="941"/>
      <c r="AI548" s="942"/>
      <c r="AJ548" s="943"/>
      <c r="AK548" s="1037"/>
      <c r="AL548" s="956"/>
      <c r="AM548" s="946"/>
      <c r="AN548" s="947"/>
      <c r="AO548" s="946"/>
      <c r="AP548" s="947"/>
      <c r="AQ548" s="946"/>
      <c r="AR548" s="948"/>
      <c r="AS548" s="946"/>
      <c r="AT548" s="946"/>
      <c r="AU548" s="946"/>
      <c r="AV548" s="916"/>
      <c r="AW548" s="946"/>
      <c r="AX548" s="946"/>
      <c r="AY548" s="946"/>
      <c r="AZ548" s="946"/>
      <c r="BA548" s="949"/>
      <c r="BB548" s="59"/>
      <c r="BC548" s="59"/>
      <c r="BD548" s="949"/>
      <c r="BE548" s="59"/>
      <c r="BF548" s="59"/>
      <c r="BG548" s="949"/>
      <c r="BH548" s="59"/>
      <c r="BI548" s="59"/>
      <c r="BJ548" s="946"/>
      <c r="BK548" s="2"/>
      <c r="BL548" s="950"/>
      <c r="BM548" s="950"/>
      <c r="BN548" s="2"/>
      <c r="BO548" s="2"/>
      <c r="BP548" s="951"/>
    </row>
    <row r="549" spans="1:68" x14ac:dyDescent="0.4">
      <c r="A549" s="974"/>
      <c r="B549" s="952" t="s">
        <v>1074</v>
      </c>
      <c r="C549" s="1036">
        <v>5.4745370370370373E-3</v>
      </c>
      <c r="D549" s="107">
        <f>C549/4</f>
        <v>1.3686342592592593E-3</v>
      </c>
      <c r="E549" s="921"/>
      <c r="F549" s="916"/>
      <c r="G549" s="917"/>
      <c r="H549" s="1022"/>
      <c r="I549" s="919"/>
      <c r="J549" s="920"/>
      <c r="K549" s="921"/>
      <c r="L549" s="921"/>
      <c r="M549" s="1023"/>
      <c r="N549" s="924"/>
      <c r="O549" s="1044"/>
      <c r="P549" s="917"/>
      <c r="Q549" s="1025"/>
      <c r="R549" s="927"/>
      <c r="S549" s="917"/>
      <c r="T549" s="928"/>
      <c r="U549" s="1025"/>
      <c r="V549" s="930"/>
      <c r="W549" s="931"/>
      <c r="X549" s="932"/>
      <c r="Y549" s="933"/>
      <c r="Z549" s="934"/>
      <c r="AA549" s="935"/>
      <c r="AB549" s="936"/>
      <c r="AC549" s="931"/>
      <c r="AD549" s="1026"/>
      <c r="AE549" s="938"/>
      <c r="AF549" s="1027"/>
      <c r="AG549" s="940"/>
      <c r="AH549" s="941"/>
      <c r="AI549" s="942"/>
      <c r="AJ549" s="943"/>
      <c r="AK549" s="1037"/>
      <c r="AL549" s="956"/>
      <c r="AM549" s="946"/>
      <c r="AN549" s="947"/>
      <c r="AO549" s="946"/>
      <c r="AP549" s="947"/>
      <c r="AQ549" s="946"/>
      <c r="AR549" s="948"/>
      <c r="AS549" s="946"/>
      <c r="AT549" s="946"/>
      <c r="AU549" s="946"/>
      <c r="AV549" s="916"/>
      <c r="AW549" s="946"/>
      <c r="AX549" s="946"/>
      <c r="AY549" s="946"/>
      <c r="AZ549" s="946"/>
      <c r="BA549" s="949"/>
      <c r="BB549" s="59"/>
      <c r="BC549" s="59"/>
      <c r="BD549" s="949"/>
      <c r="BE549" s="59"/>
      <c r="BF549" s="59"/>
      <c r="BG549" s="949"/>
      <c r="BH549" s="59"/>
      <c r="BI549" s="59"/>
      <c r="BJ549" s="946"/>
      <c r="BK549" s="2"/>
      <c r="BL549" s="950"/>
      <c r="BM549" s="950"/>
      <c r="BN549" s="2"/>
      <c r="BO549" s="2"/>
      <c r="BP549" s="951"/>
    </row>
    <row r="550" spans="1:68" x14ac:dyDescent="0.4">
      <c r="A550" s="974"/>
      <c r="B550" s="1045" t="s">
        <v>1075</v>
      </c>
      <c r="C550" s="1046">
        <v>4.5717592592592589E-3</v>
      </c>
      <c r="D550" s="107">
        <f>C550/4</f>
        <v>1.1429398148148147E-3</v>
      </c>
      <c r="E550" s="921"/>
      <c r="F550" s="916"/>
      <c r="G550" s="917"/>
      <c r="H550" s="1022"/>
      <c r="I550" s="919"/>
      <c r="J550" s="920"/>
      <c r="K550" s="921"/>
      <c r="L550" s="921"/>
      <c r="M550" s="1023"/>
      <c r="N550" s="924"/>
      <c r="O550" s="1044"/>
      <c r="P550" s="917"/>
      <c r="Q550" s="1025"/>
      <c r="R550" s="927"/>
      <c r="S550" s="917"/>
      <c r="T550" s="928"/>
      <c r="U550" s="1025"/>
      <c r="V550" s="930"/>
      <c r="W550" s="931"/>
      <c r="X550" s="932"/>
      <c r="Y550" s="933"/>
      <c r="Z550" s="934"/>
      <c r="AA550" s="935"/>
      <c r="AB550" s="936"/>
      <c r="AC550" s="931"/>
      <c r="AD550" s="1026"/>
      <c r="AE550" s="938"/>
      <c r="AF550" s="1027"/>
      <c r="AG550" s="940"/>
      <c r="AH550" s="941"/>
      <c r="AI550" s="942"/>
      <c r="AJ550" s="943"/>
      <c r="AK550" s="1037"/>
      <c r="AL550" s="956"/>
      <c r="AM550" s="946"/>
      <c r="AN550" s="947"/>
      <c r="AO550" s="946"/>
      <c r="AP550" s="947"/>
      <c r="AQ550" s="946"/>
      <c r="AR550" s="948"/>
      <c r="AS550" s="946"/>
      <c r="AT550" s="946"/>
      <c r="AU550" s="946"/>
      <c r="AV550" s="916"/>
      <c r="AW550" s="946"/>
      <c r="AX550" s="946"/>
      <c r="AY550" s="946"/>
      <c r="AZ550" s="946"/>
      <c r="BA550" s="949"/>
      <c r="BB550" s="59"/>
      <c r="BC550" s="59"/>
      <c r="BD550" s="949"/>
      <c r="BE550" s="59"/>
      <c r="BF550" s="59"/>
      <c r="BG550" s="949"/>
      <c r="BH550" s="59"/>
      <c r="BI550" s="59"/>
      <c r="BJ550" s="946"/>
      <c r="BK550" s="2"/>
      <c r="BL550" s="950"/>
      <c r="BM550" s="950"/>
      <c r="BN550" s="2"/>
      <c r="BO550" s="2"/>
      <c r="BP550" s="951"/>
    </row>
    <row r="551" spans="1:68" x14ac:dyDescent="0.4">
      <c r="A551" s="974"/>
      <c r="B551" s="1045" t="s">
        <v>1076</v>
      </c>
      <c r="C551" s="1046"/>
      <c r="D551" s="107">
        <f>C551/4</f>
        <v>0</v>
      </c>
      <c r="E551" s="921"/>
      <c r="F551" s="916"/>
      <c r="G551" s="917"/>
      <c r="H551" s="1022"/>
      <c r="I551" s="919"/>
      <c r="J551" s="920"/>
      <c r="K551" s="921"/>
      <c r="L551" s="921"/>
      <c r="M551" s="1023"/>
      <c r="N551" s="924"/>
      <c r="O551" s="1044"/>
      <c r="P551" s="917"/>
      <c r="Q551" s="1025"/>
      <c r="R551" s="927"/>
      <c r="S551" s="917"/>
      <c r="T551" s="928"/>
      <c r="U551" s="1025"/>
      <c r="V551" s="930"/>
      <c r="W551" s="931"/>
      <c r="X551" s="932"/>
      <c r="Y551" s="933"/>
      <c r="Z551" s="934"/>
      <c r="AA551" s="935"/>
      <c r="AB551" s="936"/>
      <c r="AC551" s="931"/>
      <c r="AD551" s="1026"/>
      <c r="AE551" s="938"/>
      <c r="AF551" s="1027"/>
      <c r="AG551" s="940"/>
      <c r="AH551" s="941"/>
      <c r="AI551" s="942"/>
      <c r="AJ551" s="943"/>
      <c r="AK551" s="1037"/>
      <c r="AL551" s="956"/>
      <c r="AM551" s="946"/>
      <c r="AN551" s="947"/>
      <c r="AO551" s="946"/>
      <c r="AP551" s="947"/>
      <c r="AQ551" s="946"/>
      <c r="AR551" s="948"/>
      <c r="AS551" s="946"/>
      <c r="AT551" s="946"/>
      <c r="AU551" s="946"/>
      <c r="AV551" s="916"/>
      <c r="AW551" s="946"/>
      <c r="AX551" s="946"/>
      <c r="AY551" s="946"/>
      <c r="AZ551" s="946"/>
      <c r="BA551" s="949"/>
      <c r="BB551" s="59"/>
      <c r="BC551" s="59"/>
      <c r="BD551" s="949"/>
      <c r="BE551" s="59"/>
      <c r="BF551" s="59"/>
      <c r="BG551" s="949"/>
      <c r="BH551" s="59"/>
      <c r="BI551" s="59"/>
      <c r="BJ551" s="946"/>
      <c r="BK551" s="2"/>
      <c r="BL551" s="950"/>
      <c r="BM551" s="950"/>
      <c r="BN551" s="2"/>
      <c r="BO551" s="2"/>
      <c r="BP551" s="951"/>
    </row>
    <row r="552" spans="1:68" x14ac:dyDescent="0.4">
      <c r="A552" s="974"/>
      <c r="B552" s="1045" t="s">
        <v>1077</v>
      </c>
      <c r="C552" s="1046"/>
      <c r="D552" s="107"/>
      <c r="E552" s="921"/>
      <c r="F552" s="916"/>
      <c r="G552" s="917"/>
      <c r="H552" s="1022"/>
      <c r="I552" s="919"/>
      <c r="J552" s="920"/>
      <c r="K552" s="921"/>
      <c r="L552" s="921"/>
      <c r="M552" s="1023"/>
      <c r="N552" s="924"/>
      <c r="O552" s="1044"/>
      <c r="P552" s="917"/>
      <c r="Q552" s="1025"/>
      <c r="R552" s="927"/>
      <c r="S552" s="917"/>
      <c r="T552" s="928"/>
      <c r="U552" s="1025"/>
      <c r="V552" s="930"/>
      <c r="W552" s="931"/>
      <c r="X552" s="932"/>
      <c r="Y552" s="933"/>
      <c r="Z552" s="934"/>
      <c r="AA552" s="935"/>
      <c r="AB552" s="936"/>
      <c r="AC552" s="931"/>
      <c r="AD552" s="1026"/>
      <c r="AE552" s="938"/>
      <c r="AF552" s="1027"/>
      <c r="AG552" s="940"/>
      <c r="AH552" s="941"/>
      <c r="AI552" s="942"/>
      <c r="AJ552" s="943"/>
      <c r="AK552" s="1037"/>
      <c r="AL552" s="956"/>
      <c r="AM552" s="946"/>
      <c r="AN552" s="947"/>
      <c r="AO552" s="946"/>
      <c r="AP552" s="947"/>
      <c r="AQ552" s="946"/>
      <c r="AR552" s="948"/>
      <c r="AS552" s="946"/>
      <c r="AT552" s="946"/>
      <c r="AU552" s="946"/>
      <c r="AV552" s="916"/>
      <c r="AW552" s="946"/>
      <c r="AX552" s="946"/>
      <c r="AY552" s="946"/>
      <c r="AZ552" s="946"/>
      <c r="BA552" s="949"/>
      <c r="BB552" s="59"/>
      <c r="BC552" s="59"/>
      <c r="BD552" s="949"/>
      <c r="BE552" s="59"/>
      <c r="BF552" s="59"/>
      <c r="BG552" s="949"/>
      <c r="BH552" s="59"/>
      <c r="BI552" s="59"/>
      <c r="BJ552" s="946"/>
      <c r="BK552" s="2"/>
      <c r="BL552" s="950"/>
      <c r="BM552" s="950"/>
      <c r="BN552" s="2"/>
      <c r="BO552" s="2"/>
      <c r="BP552" s="951"/>
    </row>
    <row r="553" spans="1:68" ht="15" thickBot="1" x14ac:dyDescent="0.45">
      <c r="A553" s="974"/>
      <c r="B553" s="1028" t="s">
        <v>1078</v>
      </c>
      <c r="C553" s="1029"/>
      <c r="D553" s="107"/>
      <c r="E553" s="921"/>
      <c r="F553" s="916"/>
      <c r="G553" s="917"/>
      <c r="H553" s="1030"/>
      <c r="I553" s="919"/>
      <c r="J553" s="920"/>
      <c r="K553" s="921"/>
      <c r="L553" s="921"/>
      <c r="M553" s="1031"/>
      <c r="N553" s="924"/>
      <c r="O553" s="1032"/>
      <c r="P553" s="917"/>
      <c r="Q553" s="1033"/>
      <c r="R553" s="927"/>
      <c r="S553" s="917"/>
      <c r="T553" s="928"/>
      <c r="U553" s="1033"/>
      <c r="V553" s="930"/>
      <c r="W553" s="931"/>
      <c r="X553" s="932"/>
      <c r="Y553" s="933"/>
      <c r="Z553" s="934"/>
      <c r="AA553" s="935"/>
      <c r="AB553" s="936"/>
      <c r="AC553" s="931"/>
      <c r="AD553" s="1034"/>
      <c r="AE553" s="938"/>
      <c r="AF553" s="1035"/>
      <c r="AG553" s="940"/>
      <c r="AH553" s="941"/>
      <c r="AI553" s="942"/>
      <c r="AJ553" s="943"/>
      <c r="AK553" s="1037"/>
      <c r="AL553" s="956"/>
      <c r="AM553" s="946"/>
      <c r="AN553" s="947"/>
      <c r="AO553" s="946"/>
      <c r="AP553" s="947"/>
      <c r="AQ553" s="946"/>
      <c r="AR553" s="948"/>
      <c r="AS553" s="946"/>
      <c r="AT553" s="946"/>
      <c r="AU553" s="946"/>
      <c r="AV553" s="916"/>
      <c r="AW553" s="946"/>
      <c r="AX553" s="946"/>
      <c r="AY553" s="946"/>
      <c r="AZ553" s="946"/>
      <c r="BA553" s="949"/>
      <c r="BB553" s="59"/>
      <c r="BC553" s="59"/>
      <c r="BD553" s="949"/>
      <c r="BE553" s="59"/>
      <c r="BF553" s="59"/>
      <c r="BG553" s="949"/>
      <c r="BH553" s="59"/>
      <c r="BI553" s="59"/>
      <c r="BJ553" s="946"/>
      <c r="BK553" s="2"/>
      <c r="BL553" s="950"/>
      <c r="BM553" s="950"/>
      <c r="BN553" s="2"/>
      <c r="BO553" s="2"/>
      <c r="BP553" s="951"/>
    </row>
    <row r="554" spans="1:68" x14ac:dyDescent="0.4">
      <c r="A554" s="974"/>
      <c r="B554" s="1045" t="s">
        <v>1079</v>
      </c>
      <c r="C554" s="1046">
        <v>2.4537037037037036E-3</v>
      </c>
      <c r="D554" s="107">
        <f t="shared" ref="D554:D583" si="29">C554/2</f>
        <v>1.2268518518518518E-3</v>
      </c>
      <c r="E554" s="921"/>
      <c r="F554" s="916"/>
      <c r="G554" s="917"/>
      <c r="H554" s="953"/>
      <c r="I554" s="919"/>
      <c r="J554" s="920"/>
      <c r="K554" s="921"/>
      <c r="L554" s="921"/>
      <c r="M554" s="923"/>
      <c r="N554" s="924"/>
      <c r="O554" s="924"/>
      <c r="P554" s="917"/>
      <c r="Q554" s="929"/>
      <c r="R554" s="927"/>
      <c r="S554" s="917"/>
      <c r="T554" s="928"/>
      <c r="U554" s="929"/>
      <c r="V554" s="930"/>
      <c r="W554" s="931"/>
      <c r="X554" s="932"/>
      <c r="Y554" s="933"/>
      <c r="Z554" s="934"/>
      <c r="AA554" s="935"/>
      <c r="AB554" s="936"/>
      <c r="AC554" s="931"/>
      <c r="AD554" s="954"/>
      <c r="AE554" s="938"/>
      <c r="AF554" s="955"/>
      <c r="AG554" s="940"/>
      <c r="AH554" s="941"/>
      <c r="AI554" s="942"/>
      <c r="AJ554" s="943"/>
      <c r="AK554" s="1037"/>
      <c r="AL554" s="956"/>
      <c r="AM554" s="946"/>
      <c r="AN554" s="947"/>
      <c r="AO554" s="946"/>
      <c r="AP554" s="947"/>
      <c r="AQ554" s="946"/>
      <c r="AR554" s="948"/>
      <c r="AS554" s="946"/>
      <c r="AT554" s="946"/>
      <c r="AU554" s="946"/>
      <c r="AV554" s="916"/>
      <c r="AW554" s="946"/>
      <c r="AX554" s="946"/>
      <c r="AY554" s="946"/>
      <c r="AZ554" s="946"/>
      <c r="BA554" s="949"/>
      <c r="BB554" s="59"/>
      <c r="BC554" s="59"/>
      <c r="BD554" s="949"/>
      <c r="BE554" s="59"/>
      <c r="BF554" s="59"/>
      <c r="BG554" s="949"/>
      <c r="BH554" s="59"/>
      <c r="BI554" s="59"/>
      <c r="BJ554" s="946"/>
      <c r="BK554" s="2"/>
      <c r="BL554" s="950"/>
      <c r="BM554" s="950"/>
      <c r="BN554" s="2"/>
      <c r="BO554" s="2"/>
      <c r="BP554" s="951"/>
    </row>
    <row r="555" spans="1:68" x14ac:dyDescent="0.4">
      <c r="A555" s="974"/>
      <c r="B555" s="1045" t="s">
        <v>1080</v>
      </c>
      <c r="C555" s="1046">
        <v>2.488425925925926E-3</v>
      </c>
      <c r="D555" s="107">
        <f t="shared" si="29"/>
        <v>1.244212962962963E-3</v>
      </c>
      <c r="E555" s="921"/>
      <c r="F555" s="916"/>
      <c r="G555" s="917"/>
      <c r="H555" s="953"/>
      <c r="I555" s="919"/>
      <c r="J555" s="920"/>
      <c r="K555" s="921"/>
      <c r="L555" s="921"/>
      <c r="M555" s="923"/>
      <c r="N555" s="924"/>
      <c r="O555" s="924"/>
      <c r="P555" s="917"/>
      <c r="Q555" s="929"/>
      <c r="R555" s="927"/>
      <c r="S555" s="917"/>
      <c r="T555" s="928"/>
      <c r="U555" s="929"/>
      <c r="V555" s="930"/>
      <c r="W555" s="931"/>
      <c r="X555" s="932"/>
      <c r="Y555" s="933"/>
      <c r="Z555" s="934"/>
      <c r="AA555" s="935"/>
      <c r="AB555" s="936"/>
      <c r="AC555" s="931"/>
      <c r="AD555" s="954"/>
      <c r="AE555" s="938"/>
      <c r="AF555" s="955"/>
      <c r="AG555" s="940"/>
      <c r="AH555" s="941"/>
      <c r="AI555" s="942"/>
      <c r="AJ555" s="943"/>
      <c r="AK555" s="1037"/>
      <c r="AL555" s="956"/>
      <c r="AM555" s="946"/>
      <c r="AN555" s="947"/>
      <c r="AO555" s="946"/>
      <c r="AP555" s="947"/>
      <c r="AQ555" s="946"/>
      <c r="AR555" s="948"/>
      <c r="AS555" s="946"/>
      <c r="AT555" s="946"/>
      <c r="AU555" s="946"/>
      <c r="AV555" s="916"/>
      <c r="AW555" s="946"/>
      <c r="AX555" s="946"/>
      <c r="AY555" s="946"/>
      <c r="AZ555" s="946"/>
      <c r="BA555" s="949"/>
      <c r="BB555" s="59"/>
      <c r="BC555" s="59"/>
      <c r="BD555" s="949"/>
      <c r="BE555" s="59"/>
      <c r="BF555" s="59"/>
      <c r="BG555" s="949"/>
      <c r="BH555" s="59"/>
      <c r="BI555" s="59"/>
      <c r="BJ555" s="946"/>
      <c r="BK555" s="2"/>
      <c r="BL555" s="950"/>
      <c r="BM555" s="950"/>
      <c r="BN555" s="2"/>
      <c r="BO555" s="2"/>
      <c r="BP555" s="951"/>
    </row>
    <row r="556" spans="1:68" x14ac:dyDescent="0.4">
      <c r="A556" s="974"/>
      <c r="B556" s="1045" t="s">
        <v>1081</v>
      </c>
      <c r="C556" s="1046">
        <v>2.5347222222222221E-3</v>
      </c>
      <c r="D556" s="107">
        <f t="shared" si="29"/>
        <v>1.267361111111111E-3</v>
      </c>
      <c r="E556" s="921"/>
      <c r="F556" s="916"/>
      <c r="G556" s="917"/>
      <c r="H556" s="953"/>
      <c r="I556" s="919"/>
      <c r="J556" s="920"/>
      <c r="K556" s="921"/>
      <c r="L556" s="921"/>
      <c r="M556" s="923"/>
      <c r="N556" s="924"/>
      <c r="O556" s="924"/>
      <c r="P556" s="917"/>
      <c r="Q556" s="929"/>
      <c r="R556" s="927"/>
      <c r="S556" s="917"/>
      <c r="T556" s="928"/>
      <c r="U556" s="929"/>
      <c r="V556" s="930"/>
      <c r="W556" s="931"/>
      <c r="X556" s="932"/>
      <c r="Y556" s="933"/>
      <c r="Z556" s="934"/>
      <c r="AA556" s="935"/>
      <c r="AB556" s="936"/>
      <c r="AC556" s="931"/>
      <c r="AD556" s="954"/>
      <c r="AE556" s="938"/>
      <c r="AF556" s="955"/>
      <c r="AG556" s="940"/>
      <c r="AH556" s="941"/>
      <c r="AI556" s="942"/>
      <c r="AJ556" s="943"/>
      <c r="AK556" s="1037"/>
      <c r="AL556" s="956"/>
      <c r="AM556" s="946"/>
      <c r="AN556" s="947"/>
      <c r="AO556" s="946"/>
      <c r="AP556" s="947"/>
      <c r="AQ556" s="946"/>
      <c r="AR556" s="948"/>
      <c r="AS556" s="946"/>
      <c r="AT556" s="946"/>
      <c r="AU556" s="946"/>
      <c r="AV556" s="916"/>
      <c r="AW556" s="946"/>
      <c r="AX556" s="946"/>
      <c r="AY556" s="946"/>
      <c r="AZ556" s="946"/>
      <c r="BA556" s="949"/>
      <c r="BB556" s="59"/>
      <c r="BC556" s="59"/>
      <c r="BD556" s="949"/>
      <c r="BE556" s="59"/>
      <c r="BF556" s="59"/>
      <c r="BG556" s="949"/>
      <c r="BH556" s="59"/>
      <c r="BI556" s="59"/>
      <c r="BJ556" s="946"/>
      <c r="BK556" s="2"/>
      <c r="BL556" s="950"/>
      <c r="BM556" s="950"/>
      <c r="BN556" s="2"/>
      <c r="BO556" s="2"/>
      <c r="BP556" s="951"/>
    </row>
    <row r="557" spans="1:68" x14ac:dyDescent="0.4">
      <c r="A557" s="974"/>
      <c r="B557" s="1045" t="s">
        <v>1082</v>
      </c>
      <c r="C557" s="1046">
        <v>2.5925925925925925E-3</v>
      </c>
      <c r="D557" s="107">
        <f t="shared" si="29"/>
        <v>1.2962962962962963E-3</v>
      </c>
      <c r="E557" s="921"/>
      <c r="F557" s="916"/>
      <c r="G557" s="917"/>
      <c r="H557" s="953"/>
      <c r="I557" s="919"/>
      <c r="J557" s="920"/>
      <c r="K557" s="921"/>
      <c r="L557" s="921"/>
      <c r="M557" s="923"/>
      <c r="N557" s="924"/>
      <c r="O557" s="924"/>
      <c r="P557" s="917"/>
      <c r="Q557" s="929"/>
      <c r="R557" s="927"/>
      <c r="S557" s="917"/>
      <c r="T557" s="928"/>
      <c r="U557" s="929"/>
      <c r="V557" s="930"/>
      <c r="W557" s="931"/>
      <c r="X557" s="932"/>
      <c r="Y557" s="933"/>
      <c r="Z557" s="934"/>
      <c r="AA557" s="935"/>
      <c r="AB557" s="936"/>
      <c r="AC557" s="931"/>
      <c r="AD557" s="954"/>
      <c r="AE557" s="938"/>
      <c r="AF557" s="955"/>
      <c r="AG557" s="940"/>
      <c r="AH557" s="941"/>
      <c r="AI557" s="942"/>
      <c r="AJ557" s="943"/>
      <c r="AK557" s="1037"/>
      <c r="AL557" s="956"/>
      <c r="AM557" s="946"/>
      <c r="AN557" s="947"/>
      <c r="AO557" s="946"/>
      <c r="AP557" s="947"/>
      <c r="AQ557" s="946"/>
      <c r="AR557" s="948"/>
      <c r="AS557" s="946"/>
      <c r="AT557" s="946"/>
      <c r="AU557" s="946"/>
      <c r="AV557" s="916"/>
      <c r="AW557" s="946"/>
      <c r="AX557" s="946"/>
      <c r="AY557" s="946"/>
      <c r="AZ557" s="946"/>
      <c r="BA557" s="949"/>
      <c r="BB557" s="59"/>
      <c r="BC557" s="59"/>
      <c r="BD557" s="949"/>
      <c r="BE557" s="59"/>
      <c r="BF557" s="59"/>
      <c r="BG557" s="949"/>
      <c r="BH557" s="59"/>
      <c r="BI557" s="59"/>
      <c r="BJ557" s="946"/>
      <c r="BK557" s="2"/>
      <c r="BL557" s="950"/>
      <c r="BM557" s="950"/>
      <c r="BN557" s="2"/>
      <c r="BO557" s="2"/>
      <c r="BP557" s="951"/>
    </row>
    <row r="558" spans="1:68" x14ac:dyDescent="0.4">
      <c r="A558" s="974"/>
      <c r="B558" s="1045" t="s">
        <v>1083</v>
      </c>
      <c r="C558" s="1046">
        <v>2.6620370370370374E-3</v>
      </c>
      <c r="D558" s="107">
        <f t="shared" si="29"/>
        <v>1.3310185185185187E-3</v>
      </c>
      <c r="E558" s="921"/>
      <c r="F558" s="916"/>
      <c r="G558" s="917"/>
      <c r="H558" s="953"/>
      <c r="I558" s="919"/>
      <c r="J558" s="920"/>
      <c r="K558" s="921"/>
      <c r="L558" s="921"/>
      <c r="M558" s="923"/>
      <c r="N558" s="924"/>
      <c r="O558" s="924"/>
      <c r="P558" s="917"/>
      <c r="Q558" s="929"/>
      <c r="R558" s="927"/>
      <c r="S558" s="917"/>
      <c r="T558" s="928"/>
      <c r="U558" s="929"/>
      <c r="V558" s="930"/>
      <c r="W558" s="931"/>
      <c r="X558" s="932"/>
      <c r="Y558" s="933"/>
      <c r="Z558" s="934"/>
      <c r="AA558" s="935"/>
      <c r="AB558" s="936"/>
      <c r="AC558" s="931"/>
      <c r="AD558" s="954"/>
      <c r="AE558" s="938"/>
      <c r="AF558" s="955"/>
      <c r="AG558" s="940"/>
      <c r="AH558" s="941"/>
      <c r="AI558" s="942"/>
      <c r="AJ558" s="943"/>
      <c r="AK558" s="1037"/>
      <c r="AL558" s="956"/>
      <c r="AM558" s="946"/>
      <c r="AN558" s="947"/>
      <c r="AO558" s="946"/>
      <c r="AP558" s="947"/>
      <c r="AQ558" s="946"/>
      <c r="AR558" s="948"/>
      <c r="AS558" s="946"/>
      <c r="AT558" s="946"/>
      <c r="AU558" s="946"/>
      <c r="AV558" s="916"/>
      <c r="AW558" s="946"/>
      <c r="AX558" s="946"/>
      <c r="AY558" s="946"/>
      <c r="AZ558" s="946"/>
      <c r="BA558" s="949"/>
      <c r="BB558" s="59"/>
      <c r="BC558" s="59"/>
      <c r="BD558" s="949"/>
      <c r="BE558" s="59"/>
      <c r="BF558" s="59"/>
      <c r="BG558" s="949"/>
      <c r="BH558" s="59"/>
      <c r="BI558" s="59"/>
      <c r="BJ558" s="946"/>
      <c r="BK558" s="2"/>
      <c r="BL558" s="950"/>
      <c r="BM558" s="950"/>
      <c r="BN558" s="2"/>
      <c r="BO558" s="2"/>
      <c r="BP558" s="951"/>
    </row>
    <row r="559" spans="1:68" x14ac:dyDescent="0.4">
      <c r="A559" s="974"/>
      <c r="B559" s="1045" t="s">
        <v>1084</v>
      </c>
      <c r="C559" s="1046">
        <v>2.7314814814814819E-3</v>
      </c>
      <c r="D559" s="107">
        <f t="shared" si="29"/>
        <v>1.3657407407407409E-3</v>
      </c>
      <c r="E559" s="921"/>
      <c r="F559" s="916"/>
      <c r="G559" s="917"/>
      <c r="H559" s="953"/>
      <c r="I559" s="919"/>
      <c r="J559" s="920"/>
      <c r="K559" s="921"/>
      <c r="L559" s="921"/>
      <c r="M559" s="923"/>
      <c r="N559" s="924"/>
      <c r="O559" s="924"/>
      <c r="P559" s="917"/>
      <c r="Q559" s="929"/>
      <c r="R559" s="927"/>
      <c r="S559" s="917"/>
      <c r="T559" s="928"/>
      <c r="U559" s="929"/>
      <c r="V559" s="930"/>
      <c r="W559" s="931"/>
      <c r="X559" s="932"/>
      <c r="Y559" s="933"/>
      <c r="Z559" s="934"/>
      <c r="AA559" s="935"/>
      <c r="AB559" s="936"/>
      <c r="AC559" s="931"/>
      <c r="AD559" s="954"/>
      <c r="AE559" s="938"/>
      <c r="AF559" s="955"/>
      <c r="AG559" s="940"/>
      <c r="AH559" s="941"/>
      <c r="AI559" s="942"/>
      <c r="AJ559" s="943"/>
      <c r="AK559" s="1037"/>
      <c r="AL559" s="956"/>
      <c r="AM559" s="946"/>
      <c r="AN559" s="947"/>
      <c r="AO559" s="946"/>
      <c r="AP559" s="947"/>
      <c r="AQ559" s="946"/>
      <c r="AR559" s="948"/>
      <c r="AS559" s="946"/>
      <c r="AT559" s="946"/>
      <c r="AU559" s="946"/>
      <c r="AV559" s="916"/>
      <c r="AW559" s="946"/>
      <c r="AX559" s="946"/>
      <c r="AY559" s="946"/>
      <c r="AZ559" s="946"/>
      <c r="BA559" s="949"/>
      <c r="BB559" s="59"/>
      <c r="BC559" s="59"/>
      <c r="BD559" s="949"/>
      <c r="BE559" s="59"/>
      <c r="BF559" s="59"/>
      <c r="BG559" s="949"/>
      <c r="BH559" s="59"/>
      <c r="BI559" s="59"/>
      <c r="BJ559" s="946"/>
      <c r="BK559" s="2"/>
      <c r="BL559" s="950"/>
      <c r="BM559" s="950"/>
      <c r="BN559" s="2"/>
      <c r="BO559" s="2"/>
      <c r="BP559" s="951"/>
    </row>
    <row r="560" spans="1:68" x14ac:dyDescent="0.4">
      <c r="A560" s="974"/>
      <c r="B560" s="1045" t="s">
        <v>1085</v>
      </c>
      <c r="C560" s="1046">
        <v>2.8009259259259259E-3</v>
      </c>
      <c r="D560" s="107">
        <f t="shared" si="29"/>
        <v>1.4004629629629629E-3</v>
      </c>
      <c r="E560" s="921"/>
      <c r="F560" s="916"/>
      <c r="G560" s="917"/>
      <c r="H560" s="953"/>
      <c r="I560" s="919"/>
      <c r="J560" s="920"/>
      <c r="K560" s="921"/>
      <c r="L560" s="921"/>
      <c r="M560" s="923"/>
      <c r="N560" s="924"/>
      <c r="O560" s="924"/>
      <c r="P560" s="917"/>
      <c r="Q560" s="929"/>
      <c r="R560" s="927"/>
      <c r="S560" s="917"/>
      <c r="T560" s="928"/>
      <c r="U560" s="929"/>
      <c r="V560" s="930"/>
      <c r="W560" s="931"/>
      <c r="X560" s="932"/>
      <c r="Y560" s="933"/>
      <c r="Z560" s="934"/>
      <c r="AA560" s="935"/>
      <c r="AB560" s="936"/>
      <c r="AC560" s="931"/>
      <c r="AD560" s="954"/>
      <c r="AE560" s="938"/>
      <c r="AF560" s="955"/>
      <c r="AG560" s="940"/>
      <c r="AH560" s="941"/>
      <c r="AI560" s="942"/>
      <c r="AJ560" s="943"/>
      <c r="AK560" s="1037"/>
      <c r="AL560" s="956"/>
      <c r="AM560" s="946"/>
      <c r="AN560" s="947"/>
      <c r="AO560" s="946"/>
      <c r="AP560" s="947"/>
      <c r="AQ560" s="946"/>
      <c r="AR560" s="948"/>
      <c r="AS560" s="946"/>
      <c r="AT560" s="946"/>
      <c r="AU560" s="946"/>
      <c r="AV560" s="916"/>
      <c r="AW560" s="946"/>
      <c r="AX560" s="946"/>
      <c r="AY560" s="946"/>
      <c r="AZ560" s="946"/>
      <c r="BA560" s="949"/>
      <c r="BB560" s="59"/>
      <c r="BC560" s="59"/>
      <c r="BD560" s="949"/>
      <c r="BE560" s="59"/>
      <c r="BF560" s="59"/>
      <c r="BG560" s="949"/>
      <c r="BH560" s="59"/>
      <c r="BI560" s="59"/>
      <c r="BJ560" s="946"/>
      <c r="BK560" s="2"/>
      <c r="BL560" s="950"/>
      <c r="BM560" s="950"/>
      <c r="BN560" s="2"/>
      <c r="BO560" s="2"/>
      <c r="BP560" s="951"/>
    </row>
    <row r="561" spans="1:68" x14ac:dyDescent="0.4">
      <c r="A561" s="974"/>
      <c r="B561" s="1045" t="s">
        <v>1086</v>
      </c>
      <c r="C561" s="1046">
        <v>2.9050925925925928E-3</v>
      </c>
      <c r="D561" s="107">
        <f t="shared" si="29"/>
        <v>1.4525462962962964E-3</v>
      </c>
      <c r="E561" s="921"/>
      <c r="F561" s="916"/>
      <c r="G561" s="917"/>
      <c r="H561" s="953"/>
      <c r="I561" s="919"/>
      <c r="J561" s="920"/>
      <c r="K561" s="921"/>
      <c r="L561" s="921"/>
      <c r="M561" s="923"/>
      <c r="N561" s="924"/>
      <c r="O561" s="924"/>
      <c r="P561" s="917"/>
      <c r="Q561" s="929"/>
      <c r="R561" s="927"/>
      <c r="S561" s="917"/>
      <c r="T561" s="928"/>
      <c r="U561" s="929"/>
      <c r="V561" s="930"/>
      <c r="W561" s="931"/>
      <c r="X561" s="932"/>
      <c r="Y561" s="933"/>
      <c r="Z561" s="934"/>
      <c r="AA561" s="935"/>
      <c r="AB561" s="936"/>
      <c r="AC561" s="931"/>
      <c r="AD561" s="954"/>
      <c r="AE561" s="938"/>
      <c r="AF561" s="955"/>
      <c r="AG561" s="940"/>
      <c r="AH561" s="941"/>
      <c r="AI561" s="942"/>
      <c r="AJ561" s="943"/>
      <c r="AK561" s="1037"/>
      <c r="AL561" s="956"/>
      <c r="AM561" s="946"/>
      <c r="AN561" s="947"/>
      <c r="AO561" s="946"/>
      <c r="AP561" s="947"/>
      <c r="AQ561" s="946"/>
      <c r="AR561" s="948"/>
      <c r="AS561" s="946"/>
      <c r="AT561" s="946"/>
      <c r="AU561" s="946"/>
      <c r="AV561" s="916"/>
      <c r="AW561" s="946"/>
      <c r="AX561" s="946"/>
      <c r="AY561" s="946"/>
      <c r="AZ561" s="946"/>
      <c r="BA561" s="949"/>
      <c r="BB561" s="59"/>
      <c r="BC561" s="59"/>
      <c r="BD561" s="949"/>
      <c r="BE561" s="59"/>
      <c r="BF561" s="59"/>
      <c r="BG561" s="949"/>
      <c r="BH561" s="59"/>
      <c r="BI561" s="59"/>
      <c r="BJ561" s="946"/>
      <c r="BK561" s="2"/>
      <c r="BL561" s="950"/>
      <c r="BM561" s="950"/>
      <c r="BN561" s="2"/>
      <c r="BO561" s="2"/>
      <c r="BP561" s="951"/>
    </row>
    <row r="562" spans="1:68" x14ac:dyDescent="0.4">
      <c r="A562" s="974"/>
      <c r="B562" s="1045" t="s">
        <v>1087</v>
      </c>
      <c r="C562" s="1046">
        <v>3.0555555555555557E-3</v>
      </c>
      <c r="D562" s="107">
        <f t="shared" si="29"/>
        <v>1.5277777777777779E-3</v>
      </c>
      <c r="E562" s="921"/>
      <c r="F562" s="916"/>
      <c r="G562" s="917"/>
      <c r="H562" s="953"/>
      <c r="I562" s="919"/>
      <c r="J562" s="920"/>
      <c r="K562" s="921"/>
      <c r="L562" s="921"/>
      <c r="M562" s="923"/>
      <c r="N562" s="924"/>
      <c r="O562" s="924"/>
      <c r="P562" s="917"/>
      <c r="Q562" s="929"/>
      <c r="R562" s="927"/>
      <c r="S562" s="917"/>
      <c r="T562" s="928"/>
      <c r="U562" s="929"/>
      <c r="V562" s="930"/>
      <c r="W562" s="931"/>
      <c r="X562" s="932"/>
      <c r="Y562" s="933"/>
      <c r="Z562" s="934"/>
      <c r="AA562" s="935"/>
      <c r="AB562" s="936"/>
      <c r="AC562" s="931"/>
      <c r="AD562" s="954"/>
      <c r="AE562" s="938"/>
      <c r="AF562" s="955"/>
      <c r="AG562" s="940"/>
      <c r="AH562" s="941"/>
      <c r="AI562" s="942"/>
      <c r="AJ562" s="943"/>
      <c r="AK562" s="1037"/>
      <c r="AL562" s="956"/>
      <c r="AM562" s="946"/>
      <c r="AN562" s="947"/>
      <c r="AO562" s="946"/>
      <c r="AP562" s="947"/>
      <c r="AQ562" s="946"/>
      <c r="AR562" s="948"/>
      <c r="AS562" s="946"/>
      <c r="AT562" s="946"/>
      <c r="AU562" s="946"/>
      <c r="AV562" s="916"/>
      <c r="AW562" s="946"/>
      <c r="AX562" s="946"/>
      <c r="AY562" s="946"/>
      <c r="AZ562" s="946"/>
      <c r="BA562" s="949"/>
      <c r="BB562" s="59"/>
      <c r="BC562" s="59"/>
      <c r="BD562" s="949"/>
      <c r="BE562" s="59"/>
      <c r="BF562" s="59"/>
      <c r="BG562" s="949"/>
      <c r="BH562" s="59"/>
      <c r="BI562" s="59"/>
      <c r="BJ562" s="946"/>
      <c r="BK562" s="2"/>
      <c r="BL562" s="950"/>
      <c r="BM562" s="950"/>
      <c r="BN562" s="2"/>
      <c r="BO562" s="2"/>
      <c r="BP562" s="951"/>
    </row>
    <row r="563" spans="1:68" x14ac:dyDescent="0.4">
      <c r="A563" s="974"/>
      <c r="B563" s="1045" t="s">
        <v>1088</v>
      </c>
      <c r="C563" s="1046">
        <v>2.7430555555555559E-3</v>
      </c>
      <c r="D563" s="107">
        <f t="shared" si="29"/>
        <v>1.3715277777777779E-3</v>
      </c>
      <c r="E563" s="921"/>
      <c r="F563" s="916"/>
      <c r="G563" s="917"/>
      <c r="H563" s="953"/>
      <c r="I563" s="919"/>
      <c r="J563" s="920"/>
      <c r="K563" s="921"/>
      <c r="L563" s="921"/>
      <c r="M563" s="923"/>
      <c r="N563" s="924"/>
      <c r="O563" s="924"/>
      <c r="P563" s="917"/>
      <c r="Q563" s="929"/>
      <c r="R563" s="927"/>
      <c r="S563" s="917"/>
      <c r="T563" s="928"/>
      <c r="U563" s="929"/>
      <c r="V563" s="930"/>
      <c r="W563" s="931"/>
      <c r="X563" s="932"/>
      <c r="Y563" s="933"/>
      <c r="Z563" s="934"/>
      <c r="AA563" s="935"/>
      <c r="AB563" s="936"/>
      <c r="AC563" s="931"/>
      <c r="AD563" s="954"/>
      <c r="AE563" s="938"/>
      <c r="AF563" s="955"/>
      <c r="AG563" s="940"/>
      <c r="AH563" s="941"/>
      <c r="AI563" s="942"/>
      <c r="AJ563" s="943"/>
      <c r="AK563" s="1037"/>
      <c r="AL563" s="956"/>
      <c r="AM563" s="946"/>
      <c r="AN563" s="947"/>
      <c r="AO563" s="946"/>
      <c r="AP563" s="947"/>
      <c r="AQ563" s="946"/>
      <c r="AR563" s="948"/>
      <c r="AS563" s="946"/>
      <c r="AT563" s="946"/>
      <c r="AU563" s="946"/>
      <c r="AV563" s="916"/>
      <c r="AW563" s="946"/>
      <c r="AX563" s="946"/>
      <c r="AY563" s="946"/>
      <c r="AZ563" s="946"/>
      <c r="BA563" s="949"/>
      <c r="BB563" s="59"/>
      <c r="BC563" s="59"/>
      <c r="BD563" s="949"/>
      <c r="BE563" s="59"/>
      <c r="BF563" s="59"/>
      <c r="BG563" s="949"/>
      <c r="BH563" s="59"/>
      <c r="BI563" s="59"/>
      <c r="BJ563" s="946"/>
      <c r="BK563" s="2"/>
      <c r="BL563" s="950"/>
      <c r="BM563" s="950"/>
      <c r="BN563" s="2"/>
      <c r="BO563" s="2"/>
      <c r="BP563" s="951"/>
    </row>
    <row r="564" spans="1:68" x14ac:dyDescent="0.4">
      <c r="A564" s="974"/>
      <c r="B564" s="1045" t="s">
        <v>1089</v>
      </c>
      <c r="C564" s="1046">
        <v>2.7546296296296294E-3</v>
      </c>
      <c r="D564" s="107">
        <f t="shared" si="29"/>
        <v>1.3773148148148147E-3</v>
      </c>
      <c r="E564" s="921"/>
      <c r="F564" s="916"/>
      <c r="G564" s="917"/>
      <c r="H564" s="953"/>
      <c r="I564" s="919"/>
      <c r="J564" s="920"/>
      <c r="K564" s="921"/>
      <c r="L564" s="921"/>
      <c r="M564" s="923"/>
      <c r="N564" s="924"/>
      <c r="O564" s="924"/>
      <c r="P564" s="917"/>
      <c r="Q564" s="929"/>
      <c r="R564" s="927"/>
      <c r="S564" s="917"/>
      <c r="T564" s="928"/>
      <c r="U564" s="929"/>
      <c r="V564" s="930"/>
      <c r="W564" s="931"/>
      <c r="X564" s="932"/>
      <c r="Y564" s="933"/>
      <c r="Z564" s="934"/>
      <c r="AA564" s="935"/>
      <c r="AB564" s="936"/>
      <c r="AC564" s="931"/>
      <c r="AD564" s="954"/>
      <c r="AE564" s="938"/>
      <c r="AF564" s="955"/>
      <c r="AG564" s="940"/>
      <c r="AH564" s="941"/>
      <c r="AI564" s="942"/>
      <c r="AJ564" s="943"/>
      <c r="AK564" s="1037"/>
      <c r="AL564" s="956"/>
      <c r="AM564" s="946"/>
      <c r="AN564" s="947"/>
      <c r="AO564" s="946"/>
      <c r="AP564" s="947"/>
      <c r="AQ564" s="946"/>
      <c r="AR564" s="948"/>
      <c r="AS564" s="946"/>
      <c r="AT564" s="946"/>
      <c r="AU564" s="946"/>
      <c r="AV564" s="916"/>
      <c r="AW564" s="946"/>
      <c r="AX564" s="946"/>
      <c r="AY564" s="946"/>
      <c r="AZ564" s="946"/>
      <c r="BA564" s="949"/>
      <c r="BB564" s="59"/>
      <c r="BC564" s="59"/>
      <c r="BD564" s="949"/>
      <c r="BE564" s="59"/>
      <c r="BF564" s="59"/>
      <c r="BG564" s="949"/>
      <c r="BH564" s="59"/>
      <c r="BI564" s="59"/>
      <c r="BJ564" s="946"/>
      <c r="BK564" s="2"/>
      <c r="BL564" s="950"/>
      <c r="BM564" s="950"/>
      <c r="BN564" s="2"/>
      <c r="BO564" s="2"/>
      <c r="BP564" s="951"/>
    </row>
    <row r="565" spans="1:68" x14ac:dyDescent="0.4">
      <c r="A565" s="974"/>
      <c r="B565" s="1045" t="s">
        <v>1090</v>
      </c>
      <c r="C565" s="1046">
        <v>2.7777777777777779E-3</v>
      </c>
      <c r="D565" s="107">
        <f t="shared" si="29"/>
        <v>1.3888888888888889E-3</v>
      </c>
      <c r="E565" s="921"/>
      <c r="F565" s="916"/>
      <c r="G565" s="917"/>
      <c r="H565" s="953"/>
      <c r="I565" s="919"/>
      <c r="J565" s="920"/>
      <c r="K565" s="921"/>
      <c r="L565" s="921"/>
      <c r="M565" s="923"/>
      <c r="N565" s="924"/>
      <c r="O565" s="924"/>
      <c r="P565" s="917"/>
      <c r="Q565" s="929"/>
      <c r="R565" s="927"/>
      <c r="S565" s="917"/>
      <c r="T565" s="928"/>
      <c r="U565" s="929"/>
      <c r="V565" s="930"/>
      <c r="W565" s="931"/>
      <c r="X565" s="932"/>
      <c r="Y565" s="933"/>
      <c r="Z565" s="934"/>
      <c r="AA565" s="935"/>
      <c r="AB565" s="936"/>
      <c r="AC565" s="931"/>
      <c r="AD565" s="954"/>
      <c r="AE565" s="938"/>
      <c r="AF565" s="955"/>
      <c r="AG565" s="940"/>
      <c r="AH565" s="941"/>
      <c r="AI565" s="942"/>
      <c r="AJ565" s="943"/>
      <c r="AK565" s="1037"/>
      <c r="AL565" s="956"/>
      <c r="AM565" s="946"/>
      <c r="AN565" s="947"/>
      <c r="AO565" s="946"/>
      <c r="AP565" s="947"/>
      <c r="AQ565" s="946"/>
      <c r="AR565" s="948"/>
      <c r="AS565" s="946"/>
      <c r="AT565" s="946"/>
      <c r="AU565" s="946"/>
      <c r="AV565" s="916"/>
      <c r="AW565" s="946"/>
      <c r="AX565" s="946"/>
      <c r="AY565" s="946"/>
      <c r="AZ565" s="946"/>
      <c r="BA565" s="949"/>
      <c r="BB565" s="59"/>
      <c r="BC565" s="59"/>
      <c r="BD565" s="949"/>
      <c r="BE565" s="59"/>
      <c r="BF565" s="59"/>
      <c r="BG565" s="949"/>
      <c r="BH565" s="59"/>
      <c r="BI565" s="59"/>
      <c r="BJ565" s="946"/>
      <c r="BK565" s="2"/>
      <c r="BL565" s="950"/>
      <c r="BM565" s="950"/>
      <c r="BN565" s="2"/>
      <c r="BO565" s="2"/>
      <c r="BP565" s="951"/>
    </row>
    <row r="566" spans="1:68" x14ac:dyDescent="0.4">
      <c r="A566" s="974"/>
      <c r="B566" s="1045" t="s">
        <v>1091</v>
      </c>
      <c r="C566" s="1046">
        <v>2.8356481481481479E-3</v>
      </c>
      <c r="D566" s="107">
        <f t="shared" si="29"/>
        <v>1.417824074074074E-3</v>
      </c>
      <c r="E566" s="921"/>
      <c r="F566" s="916"/>
      <c r="G566" s="917"/>
      <c r="H566" s="953"/>
      <c r="I566" s="919"/>
      <c r="J566" s="920"/>
      <c r="K566" s="921"/>
      <c r="L566" s="921"/>
      <c r="M566" s="923"/>
      <c r="N566" s="924"/>
      <c r="O566" s="924"/>
      <c r="P566" s="917"/>
      <c r="Q566" s="929"/>
      <c r="R566" s="927"/>
      <c r="S566" s="917"/>
      <c r="T566" s="928"/>
      <c r="U566" s="929"/>
      <c r="V566" s="930"/>
      <c r="W566" s="931"/>
      <c r="X566" s="932"/>
      <c r="Y566" s="933"/>
      <c r="Z566" s="934"/>
      <c r="AA566" s="935"/>
      <c r="AB566" s="936"/>
      <c r="AC566" s="931"/>
      <c r="AD566" s="954"/>
      <c r="AE566" s="938"/>
      <c r="AF566" s="955"/>
      <c r="AG566" s="940"/>
      <c r="AH566" s="941"/>
      <c r="AI566" s="942"/>
      <c r="AJ566" s="943"/>
      <c r="AK566" s="1037"/>
      <c r="AL566" s="956"/>
      <c r="AM566" s="946"/>
      <c r="AN566" s="947"/>
      <c r="AO566" s="946"/>
      <c r="AP566" s="947"/>
      <c r="AQ566" s="946"/>
      <c r="AR566" s="948"/>
      <c r="AS566" s="946"/>
      <c r="AT566" s="946"/>
      <c r="AU566" s="946"/>
      <c r="AV566" s="916"/>
      <c r="AW566" s="946"/>
      <c r="AX566" s="946"/>
      <c r="AY566" s="946"/>
      <c r="AZ566" s="946"/>
      <c r="BA566" s="949"/>
      <c r="BB566" s="59"/>
      <c r="BC566" s="59"/>
      <c r="BD566" s="949"/>
      <c r="BE566" s="59"/>
      <c r="BF566" s="59"/>
      <c r="BG566" s="949"/>
      <c r="BH566" s="59"/>
      <c r="BI566" s="59"/>
      <c r="BJ566" s="946"/>
      <c r="BK566" s="2"/>
      <c r="BL566" s="950"/>
      <c r="BM566" s="950"/>
      <c r="BN566" s="2"/>
      <c r="BO566" s="2"/>
      <c r="BP566" s="951"/>
    </row>
    <row r="567" spans="1:68" x14ac:dyDescent="0.4">
      <c r="A567" s="974"/>
      <c r="B567" s="1045" t="s">
        <v>1092</v>
      </c>
      <c r="C567" s="1046">
        <v>2.9398148148148148E-3</v>
      </c>
      <c r="D567" s="107">
        <f t="shared" si="29"/>
        <v>1.4699074074074074E-3</v>
      </c>
      <c r="E567" s="921"/>
      <c r="F567" s="916"/>
      <c r="G567" s="917"/>
      <c r="H567" s="953"/>
      <c r="I567" s="919"/>
      <c r="J567" s="920"/>
      <c r="K567" s="921"/>
      <c r="L567" s="921"/>
      <c r="M567" s="923"/>
      <c r="N567" s="924"/>
      <c r="O567" s="924"/>
      <c r="P567" s="917"/>
      <c r="Q567" s="929"/>
      <c r="R567" s="927"/>
      <c r="S567" s="917"/>
      <c r="T567" s="928"/>
      <c r="U567" s="929"/>
      <c r="V567" s="930"/>
      <c r="W567" s="931"/>
      <c r="X567" s="932"/>
      <c r="Y567" s="933"/>
      <c r="Z567" s="934"/>
      <c r="AA567" s="935"/>
      <c r="AB567" s="936"/>
      <c r="AC567" s="931"/>
      <c r="AD567" s="954"/>
      <c r="AE567" s="938"/>
      <c r="AF567" s="955"/>
      <c r="AG567" s="940"/>
      <c r="AH567" s="941"/>
      <c r="AI567" s="942"/>
      <c r="AJ567" s="943"/>
      <c r="AK567" s="1037"/>
      <c r="AL567" s="956"/>
      <c r="AM567" s="946"/>
      <c r="AN567" s="947"/>
      <c r="AO567" s="946"/>
      <c r="AP567" s="947"/>
      <c r="AQ567" s="946"/>
      <c r="AR567" s="948"/>
      <c r="AS567" s="946"/>
      <c r="AT567" s="946"/>
      <c r="AU567" s="946"/>
      <c r="AV567" s="916"/>
      <c r="AW567" s="946"/>
      <c r="AX567" s="946"/>
      <c r="AY567" s="946"/>
      <c r="AZ567" s="946"/>
      <c r="BA567" s="949"/>
      <c r="BB567" s="59"/>
      <c r="BC567" s="59"/>
      <c r="BD567" s="949"/>
      <c r="BE567" s="59"/>
      <c r="BF567" s="59"/>
      <c r="BG567" s="949"/>
      <c r="BH567" s="59"/>
      <c r="BI567" s="59"/>
      <c r="BJ567" s="946"/>
      <c r="BK567" s="2"/>
      <c r="BL567" s="950"/>
      <c r="BM567" s="950"/>
      <c r="BN567" s="2"/>
      <c r="BO567" s="2"/>
      <c r="BP567" s="951"/>
    </row>
    <row r="568" spans="1:68" x14ac:dyDescent="0.4">
      <c r="A568" s="974"/>
      <c r="B568" s="1045" t="s">
        <v>1093</v>
      </c>
      <c r="C568" s="1046">
        <v>3.0671296296296297E-3</v>
      </c>
      <c r="D568" s="107">
        <f t="shared" si="29"/>
        <v>1.5335648148148149E-3</v>
      </c>
      <c r="E568" s="921"/>
      <c r="F568" s="916"/>
      <c r="G568" s="917"/>
      <c r="H568" s="953"/>
      <c r="I568" s="919"/>
      <c r="J568" s="920"/>
      <c r="K568" s="921"/>
      <c r="L568" s="921"/>
      <c r="M568" s="923"/>
      <c r="N568" s="924"/>
      <c r="O568" s="924"/>
      <c r="P568" s="917"/>
      <c r="Q568" s="929"/>
      <c r="R568" s="927"/>
      <c r="S568" s="917"/>
      <c r="T568" s="928"/>
      <c r="U568" s="929"/>
      <c r="V568" s="930"/>
      <c r="W568" s="931"/>
      <c r="X568" s="932"/>
      <c r="Y568" s="933"/>
      <c r="Z568" s="934"/>
      <c r="AA568" s="935"/>
      <c r="AB568" s="936"/>
      <c r="AC568" s="931"/>
      <c r="AD568" s="954"/>
      <c r="AE568" s="938"/>
      <c r="AF568" s="955"/>
      <c r="AG568" s="940"/>
      <c r="AH568" s="941"/>
      <c r="AI568" s="942"/>
      <c r="AJ568" s="943"/>
      <c r="AK568" s="1037"/>
      <c r="AL568" s="956"/>
      <c r="AM568" s="946"/>
      <c r="AN568" s="947"/>
      <c r="AO568" s="946"/>
      <c r="AP568" s="947"/>
      <c r="AQ568" s="946"/>
      <c r="AR568" s="948"/>
      <c r="AS568" s="946"/>
      <c r="AT568" s="946"/>
      <c r="AU568" s="946"/>
      <c r="AV568" s="916"/>
      <c r="AW568" s="946"/>
      <c r="AX568" s="946"/>
      <c r="AY568" s="946"/>
      <c r="AZ568" s="946"/>
      <c r="BA568" s="949"/>
      <c r="BB568" s="59"/>
      <c r="BC568" s="59"/>
      <c r="BD568" s="949"/>
      <c r="BE568" s="59"/>
      <c r="BF568" s="59"/>
      <c r="BG568" s="949"/>
      <c r="BH568" s="59"/>
      <c r="BI568" s="59"/>
      <c r="BJ568" s="946"/>
      <c r="BK568" s="2"/>
      <c r="BL568" s="950"/>
      <c r="BM568" s="950"/>
      <c r="BN568" s="2"/>
      <c r="BO568" s="2"/>
      <c r="BP568" s="951"/>
    </row>
    <row r="569" spans="1:68" x14ac:dyDescent="0.4">
      <c r="A569" s="974"/>
      <c r="B569" s="1045" t="s">
        <v>1094</v>
      </c>
      <c r="C569" s="1046">
        <v>3.2060185185185191E-3</v>
      </c>
      <c r="D569" s="107">
        <f t="shared" si="29"/>
        <v>1.6030092592592595E-3</v>
      </c>
      <c r="E569" s="921"/>
      <c r="F569" s="916"/>
      <c r="G569" s="917"/>
      <c r="H569" s="953"/>
      <c r="I569" s="919"/>
      <c r="J569" s="920"/>
      <c r="K569" s="921"/>
      <c r="L569" s="921"/>
      <c r="M569" s="923"/>
      <c r="N569" s="924"/>
      <c r="O569" s="924"/>
      <c r="P569" s="917"/>
      <c r="Q569" s="929"/>
      <c r="R569" s="927"/>
      <c r="S569" s="917"/>
      <c r="T569" s="928"/>
      <c r="U569" s="929"/>
      <c r="V569" s="930"/>
      <c r="W569" s="931"/>
      <c r="X569" s="932"/>
      <c r="Y569" s="933"/>
      <c r="Z569" s="934"/>
      <c r="AA569" s="935"/>
      <c r="AB569" s="936"/>
      <c r="AC569" s="931"/>
      <c r="AD569" s="954"/>
      <c r="AE569" s="938"/>
      <c r="AF569" s="955"/>
      <c r="AG569" s="940"/>
      <c r="AH569" s="941"/>
      <c r="AI569" s="942"/>
      <c r="AJ569" s="943"/>
      <c r="AK569" s="1037"/>
      <c r="AL569" s="956"/>
      <c r="AM569" s="946"/>
      <c r="AN569" s="947"/>
      <c r="AO569" s="946"/>
      <c r="AP569" s="947"/>
      <c r="AQ569" s="946"/>
      <c r="AR569" s="948"/>
      <c r="AS569" s="946"/>
      <c r="AT569" s="946"/>
      <c r="AU569" s="946"/>
      <c r="AV569" s="916"/>
      <c r="AW569" s="946"/>
      <c r="AX569" s="946"/>
      <c r="AY569" s="946"/>
      <c r="AZ569" s="946"/>
      <c r="BA569" s="949"/>
      <c r="BB569" s="59"/>
      <c r="BC569" s="59"/>
      <c r="BD569" s="949"/>
      <c r="BE569" s="59"/>
      <c r="BF569" s="59"/>
      <c r="BG569" s="949"/>
      <c r="BH569" s="59"/>
      <c r="BI569" s="59"/>
      <c r="BJ569" s="946"/>
      <c r="BK569" s="2"/>
      <c r="BL569" s="950"/>
      <c r="BM569" s="950"/>
      <c r="BN569" s="2"/>
      <c r="BO569" s="2"/>
      <c r="BP569" s="951"/>
    </row>
    <row r="570" spans="1:68" x14ac:dyDescent="0.4">
      <c r="A570" s="974"/>
      <c r="B570" s="1045" t="s">
        <v>1095</v>
      </c>
      <c r="C570" s="1046">
        <v>3.3333333333333335E-3</v>
      </c>
      <c r="D570" s="107">
        <f t="shared" si="29"/>
        <v>1.6666666666666668E-3</v>
      </c>
      <c r="E570" s="921"/>
      <c r="F570" s="916"/>
      <c r="G570" s="917"/>
      <c r="H570" s="953"/>
      <c r="I570" s="919"/>
      <c r="J570" s="920"/>
      <c r="K570" s="921"/>
      <c r="L570" s="921"/>
      <c r="M570" s="923"/>
      <c r="N570" s="924"/>
      <c r="O570" s="924"/>
      <c r="P570" s="917"/>
      <c r="Q570" s="929"/>
      <c r="R570" s="927"/>
      <c r="S570" s="917"/>
      <c r="T570" s="928"/>
      <c r="U570" s="929"/>
      <c r="V570" s="930"/>
      <c r="W570" s="931"/>
      <c r="X570" s="932"/>
      <c r="Y570" s="933"/>
      <c r="Z570" s="934"/>
      <c r="AA570" s="935"/>
      <c r="AB570" s="936"/>
      <c r="AC570" s="931"/>
      <c r="AD570" s="954"/>
      <c r="AE570" s="938"/>
      <c r="AF570" s="955"/>
      <c r="AG570" s="940"/>
      <c r="AH570" s="941"/>
      <c r="AI570" s="942"/>
      <c r="AJ570" s="943"/>
      <c r="AK570" s="1037"/>
      <c r="AL570" s="956"/>
      <c r="AM570" s="946"/>
      <c r="AN570" s="947"/>
      <c r="AO570" s="946"/>
      <c r="AP570" s="947"/>
      <c r="AQ570" s="946"/>
      <c r="AR570" s="948"/>
      <c r="AS570" s="946"/>
      <c r="AT570" s="946"/>
      <c r="AU570" s="946"/>
      <c r="AV570" s="916"/>
      <c r="AW570" s="946"/>
      <c r="AX570" s="946"/>
      <c r="AY570" s="946"/>
      <c r="AZ570" s="946"/>
      <c r="BA570" s="949"/>
      <c r="BB570" s="59"/>
      <c r="BC570" s="59"/>
      <c r="BD570" s="949"/>
      <c r="BE570" s="59"/>
      <c r="BF570" s="59"/>
      <c r="BG570" s="949"/>
      <c r="BH570" s="59"/>
      <c r="BI570" s="59"/>
      <c r="BJ570" s="946"/>
      <c r="BK570" s="2"/>
      <c r="BL570" s="950"/>
      <c r="BM570" s="950"/>
      <c r="BN570" s="2"/>
      <c r="BO570" s="2"/>
      <c r="BP570" s="951"/>
    </row>
    <row r="571" spans="1:68" ht="15" thickBot="1" x14ac:dyDescent="0.45">
      <c r="A571" s="974"/>
      <c r="B571" s="952" t="s">
        <v>1096</v>
      </c>
      <c r="C571" s="1036">
        <v>3.5763888888888894E-3</v>
      </c>
      <c r="D571" s="107">
        <f t="shared" si="29"/>
        <v>1.7881944444444447E-3</v>
      </c>
      <c r="E571" s="921"/>
      <c r="F571" s="916"/>
      <c r="G571" s="917"/>
      <c r="H571" s="953"/>
      <c r="I571" s="919"/>
      <c r="J571" s="920"/>
      <c r="K571" s="921"/>
      <c r="L571" s="921"/>
      <c r="M571" s="923"/>
      <c r="N571" s="924"/>
      <c r="O571" s="924"/>
      <c r="P571" s="917"/>
      <c r="Q571" s="929"/>
      <c r="R571" s="927"/>
      <c r="S571" s="917"/>
      <c r="T571" s="928"/>
      <c r="U571" s="929"/>
      <c r="V571" s="930"/>
      <c r="W571" s="931"/>
      <c r="X571" s="932"/>
      <c r="Y571" s="933"/>
      <c r="Z571" s="934"/>
      <c r="AA571" s="935"/>
      <c r="AB571" s="936"/>
      <c r="AC571" s="931"/>
      <c r="AD571" s="954"/>
      <c r="AE571" s="938"/>
      <c r="AF571" s="955"/>
      <c r="AG571" s="940"/>
      <c r="AH571" s="941"/>
      <c r="AI571" s="942"/>
      <c r="AJ571" s="943"/>
      <c r="AK571" s="1037"/>
      <c r="AL571" s="956"/>
      <c r="AM571" s="946"/>
      <c r="AN571" s="947"/>
      <c r="AO571" s="946"/>
      <c r="AP571" s="947"/>
      <c r="AQ571" s="946"/>
      <c r="AR571" s="948"/>
      <c r="AS571" s="946"/>
      <c r="AT571" s="946"/>
      <c r="AU571" s="946"/>
      <c r="AV571" s="916"/>
      <c r="AW571" s="946"/>
      <c r="AX571" s="946"/>
      <c r="AY571" s="946"/>
      <c r="AZ571" s="946"/>
      <c r="BA571" s="949"/>
      <c r="BB571" s="59"/>
      <c r="BC571" s="59"/>
      <c r="BD571" s="949"/>
      <c r="BE571" s="59"/>
      <c r="BF571" s="59"/>
      <c r="BG571" s="949"/>
      <c r="BH571" s="59"/>
      <c r="BI571" s="59"/>
      <c r="BJ571" s="946"/>
      <c r="BK571" s="2"/>
      <c r="BL571" s="950"/>
      <c r="BM571" s="950"/>
      <c r="BN571" s="2"/>
      <c r="BO571" s="2"/>
      <c r="BP571" s="951"/>
    </row>
    <row r="572" spans="1:68" x14ac:dyDescent="0.4">
      <c r="A572" s="974"/>
      <c r="B572" s="1039" t="s">
        <v>1097</v>
      </c>
      <c r="C572" s="1047">
        <v>2.2569444444444447E-3</v>
      </c>
      <c r="D572" s="107">
        <f t="shared" si="29"/>
        <v>1.1284722222222223E-3</v>
      </c>
      <c r="E572" s="921"/>
      <c r="F572" s="916"/>
      <c r="G572" s="917"/>
      <c r="H572" s="953"/>
      <c r="I572" s="919"/>
      <c r="J572" s="920"/>
      <c r="K572" s="921"/>
      <c r="L572" s="921"/>
      <c r="M572" s="923"/>
      <c r="N572" s="924"/>
      <c r="O572" s="924"/>
      <c r="P572" s="917"/>
      <c r="Q572" s="929"/>
      <c r="R572" s="927"/>
      <c r="S572" s="917"/>
      <c r="T572" s="928"/>
      <c r="U572" s="929"/>
      <c r="V572" s="930"/>
      <c r="W572" s="931"/>
      <c r="X572" s="932"/>
      <c r="Y572" s="933"/>
      <c r="Z572" s="934"/>
      <c r="AA572" s="935"/>
      <c r="AB572" s="936"/>
      <c r="AC572" s="931"/>
      <c r="AD572" s="954"/>
      <c r="AE572" s="938"/>
      <c r="AF572" s="955"/>
      <c r="AG572" s="940"/>
      <c r="AH572" s="941"/>
      <c r="AI572" s="942"/>
      <c r="AJ572" s="943"/>
      <c r="AK572" s="1037"/>
      <c r="AL572" s="956"/>
      <c r="AM572" s="946"/>
      <c r="AN572" s="947"/>
      <c r="AO572" s="946"/>
      <c r="AP572" s="947"/>
      <c r="AQ572" s="946"/>
      <c r="AR572" s="948"/>
      <c r="AS572" s="946"/>
      <c r="AT572" s="946"/>
      <c r="AU572" s="946"/>
      <c r="AV572" s="916"/>
      <c r="AW572" s="946"/>
      <c r="AX572" s="946"/>
      <c r="AY572" s="946"/>
      <c r="AZ572" s="946"/>
      <c r="BA572" s="949"/>
      <c r="BB572" s="59"/>
      <c r="BC572" s="59"/>
      <c r="BD572" s="949"/>
      <c r="BE572" s="59"/>
      <c r="BF572" s="59"/>
      <c r="BG572" s="949"/>
      <c r="BH572" s="59"/>
      <c r="BI572" s="59"/>
      <c r="BJ572" s="946"/>
      <c r="BK572" s="2"/>
      <c r="BL572" s="950"/>
      <c r="BM572" s="950"/>
      <c r="BN572" s="2"/>
      <c r="BO572" s="2"/>
      <c r="BP572" s="951"/>
    </row>
    <row r="573" spans="1:68" x14ac:dyDescent="0.4">
      <c r="A573" s="974"/>
      <c r="B573" s="952" t="s">
        <v>1098</v>
      </c>
      <c r="C573" s="1036">
        <v>2.2916666666666667E-3</v>
      </c>
      <c r="D573" s="107">
        <f t="shared" si="29"/>
        <v>1.1458333333333333E-3</v>
      </c>
      <c r="E573" s="921"/>
      <c r="F573" s="916"/>
      <c r="G573" s="917"/>
      <c r="H573" s="953"/>
      <c r="I573" s="919"/>
      <c r="J573" s="920"/>
      <c r="K573" s="921"/>
      <c r="L573" s="921"/>
      <c r="M573" s="923"/>
      <c r="N573" s="924"/>
      <c r="O573" s="924"/>
      <c r="P573" s="917"/>
      <c r="Q573" s="929"/>
      <c r="R573" s="927"/>
      <c r="S573" s="917"/>
      <c r="T573" s="928"/>
      <c r="U573" s="929"/>
      <c r="V573" s="930"/>
      <c r="W573" s="931"/>
      <c r="X573" s="932"/>
      <c r="Y573" s="933"/>
      <c r="Z573" s="934"/>
      <c r="AA573" s="935"/>
      <c r="AB573" s="936"/>
      <c r="AC573" s="931"/>
      <c r="AD573" s="954"/>
      <c r="AE573" s="938"/>
      <c r="AF573" s="955"/>
      <c r="AG573" s="940"/>
      <c r="AH573" s="941"/>
      <c r="AI573" s="942"/>
      <c r="AJ573" s="943"/>
      <c r="AK573" s="1037"/>
      <c r="AL573" s="956"/>
      <c r="AM573" s="946"/>
      <c r="AN573" s="947"/>
      <c r="AO573" s="946"/>
      <c r="AP573" s="947"/>
      <c r="AQ573" s="946"/>
      <c r="AR573" s="948"/>
      <c r="AS573" s="946"/>
      <c r="AT573" s="946"/>
      <c r="AU573" s="946"/>
      <c r="AV573" s="916"/>
      <c r="AW573" s="946"/>
      <c r="AX573" s="946"/>
      <c r="AY573" s="946"/>
      <c r="AZ573" s="946"/>
      <c r="BA573" s="949"/>
      <c r="BB573" s="59"/>
      <c r="BC573" s="59"/>
      <c r="BD573" s="949"/>
      <c r="BE573" s="59"/>
      <c r="BF573" s="59"/>
      <c r="BG573" s="949"/>
      <c r="BH573" s="59"/>
      <c r="BI573" s="59"/>
      <c r="BJ573" s="946"/>
      <c r="BK573" s="2"/>
      <c r="BL573" s="950"/>
      <c r="BM573" s="950"/>
      <c r="BN573" s="2"/>
      <c r="BO573" s="2"/>
      <c r="BP573" s="951"/>
    </row>
    <row r="574" spans="1:68" x14ac:dyDescent="0.4">
      <c r="A574" s="974"/>
      <c r="B574" s="952" t="s">
        <v>1099</v>
      </c>
      <c r="C574" s="1036">
        <v>2.3263888888888887E-3</v>
      </c>
      <c r="D574" s="107">
        <f t="shared" si="29"/>
        <v>1.1631944444444443E-3</v>
      </c>
      <c r="E574" s="921"/>
      <c r="F574" s="916"/>
      <c r="G574" s="917"/>
      <c r="H574" s="1022"/>
      <c r="I574" s="919"/>
      <c r="J574" s="920"/>
      <c r="K574" s="921"/>
      <c r="L574" s="921"/>
      <c r="M574" s="923"/>
      <c r="N574" s="924"/>
      <c r="O574" s="924"/>
      <c r="P574" s="917"/>
      <c r="Q574" s="1025"/>
      <c r="R574" s="927"/>
      <c r="S574" s="917"/>
      <c r="T574" s="928"/>
      <c r="U574" s="929"/>
      <c r="V574" s="930"/>
      <c r="W574" s="931"/>
      <c r="X574" s="932"/>
      <c r="Y574" s="933"/>
      <c r="Z574" s="934"/>
      <c r="AA574" s="935"/>
      <c r="AB574" s="936"/>
      <c r="AC574" s="931"/>
      <c r="AD574" s="1026"/>
      <c r="AE574" s="938"/>
      <c r="AF574" s="1027"/>
      <c r="AG574" s="940"/>
      <c r="AH574" s="941"/>
      <c r="AI574" s="942"/>
      <c r="AJ574" s="943"/>
      <c r="AK574" s="1037"/>
      <c r="AL574" s="956"/>
      <c r="AM574" s="946"/>
      <c r="AN574" s="947"/>
      <c r="AO574" s="946"/>
      <c r="AP574" s="947"/>
      <c r="AQ574" s="946"/>
      <c r="AR574" s="948"/>
      <c r="AS574" s="946"/>
      <c r="AT574" s="946"/>
      <c r="AU574" s="946"/>
      <c r="AV574" s="916"/>
      <c r="AW574" s="946"/>
      <c r="AX574" s="946"/>
      <c r="AY574" s="946"/>
      <c r="AZ574" s="946"/>
      <c r="BA574" s="949"/>
      <c r="BB574" s="59"/>
      <c r="BC574" s="59"/>
      <c r="BD574" s="949"/>
      <c r="BE574" s="59"/>
      <c r="BF574" s="59"/>
      <c r="BG574" s="949"/>
      <c r="BH574" s="59"/>
      <c r="BI574" s="59"/>
      <c r="BJ574" s="946"/>
      <c r="BK574" s="2"/>
      <c r="BL574" s="950"/>
      <c r="BM574" s="950"/>
      <c r="BN574" s="2"/>
      <c r="BO574" s="2"/>
      <c r="BP574" s="951"/>
    </row>
    <row r="575" spans="1:68" x14ac:dyDescent="0.4">
      <c r="A575" s="974"/>
      <c r="B575" s="952" t="s">
        <v>1100</v>
      </c>
      <c r="C575" s="1036">
        <v>2.3611111111111111E-3</v>
      </c>
      <c r="D575" s="107">
        <f t="shared" si="29"/>
        <v>1.1805555555555556E-3</v>
      </c>
      <c r="E575" s="921"/>
      <c r="F575" s="916"/>
      <c r="G575" s="917"/>
      <c r="H575" s="1022"/>
      <c r="I575" s="919"/>
      <c r="J575" s="920"/>
      <c r="K575" s="921"/>
      <c r="L575" s="921"/>
      <c r="M575" s="1023"/>
      <c r="N575" s="924"/>
      <c r="O575" s="1044"/>
      <c r="P575" s="917"/>
      <c r="Q575" s="1025"/>
      <c r="R575" s="927"/>
      <c r="S575" s="917"/>
      <c r="T575" s="928"/>
      <c r="U575" s="1025"/>
      <c r="V575" s="930"/>
      <c r="W575" s="931"/>
      <c r="X575" s="932"/>
      <c r="Y575" s="933"/>
      <c r="Z575" s="934"/>
      <c r="AA575" s="935"/>
      <c r="AB575" s="936"/>
      <c r="AC575" s="931"/>
      <c r="AD575" s="1026"/>
      <c r="AE575" s="938"/>
      <c r="AF575" s="1027"/>
      <c r="AG575" s="940"/>
      <c r="AH575" s="941"/>
      <c r="AI575" s="942"/>
      <c r="AJ575" s="943"/>
      <c r="AK575" s="944"/>
      <c r="AL575" s="945"/>
      <c r="AM575" s="946"/>
      <c r="AN575" s="947"/>
      <c r="AO575" s="946"/>
      <c r="AP575" s="947"/>
      <c r="AQ575" s="946"/>
      <c r="AR575" s="948"/>
      <c r="AS575" s="946"/>
      <c r="AT575" s="946"/>
      <c r="AU575" s="946"/>
      <c r="AV575" s="916"/>
      <c r="AW575" s="946"/>
      <c r="AX575" s="946"/>
      <c r="AY575" s="946"/>
      <c r="AZ575" s="946"/>
      <c r="BA575" s="949"/>
      <c r="BB575" s="59"/>
      <c r="BC575" s="59"/>
      <c r="BD575" s="949"/>
      <c r="BE575" s="59"/>
      <c r="BF575" s="59"/>
      <c r="BG575" s="949"/>
      <c r="BH575" s="59"/>
      <c r="BI575" s="59"/>
      <c r="BJ575" s="946"/>
      <c r="BK575" s="2"/>
      <c r="BL575" s="950"/>
      <c r="BM575" s="950"/>
      <c r="BN575" s="2"/>
      <c r="BO575" s="2"/>
      <c r="BP575" s="951"/>
    </row>
    <row r="576" spans="1:68" x14ac:dyDescent="0.4">
      <c r="A576" s="974"/>
      <c r="B576" s="952" t="s">
        <v>1101</v>
      </c>
      <c r="C576" s="1036">
        <v>2.4074074074074076E-3</v>
      </c>
      <c r="D576" s="107">
        <f t="shared" si="29"/>
        <v>1.2037037037037038E-3</v>
      </c>
      <c r="E576" s="921"/>
      <c r="F576" s="916"/>
      <c r="G576" s="917"/>
      <c r="H576" s="1022"/>
      <c r="I576" s="919"/>
      <c r="J576" s="920"/>
      <c r="K576" s="921"/>
      <c r="L576" s="921"/>
      <c r="M576" s="923"/>
      <c r="N576" s="924"/>
      <c r="O576" s="924"/>
      <c r="P576" s="917"/>
      <c r="Q576" s="1025"/>
      <c r="R576" s="927"/>
      <c r="S576" s="917"/>
      <c r="T576" s="928"/>
      <c r="U576" s="929"/>
      <c r="V576" s="930"/>
      <c r="W576" s="931"/>
      <c r="X576" s="932"/>
      <c r="Y576" s="933"/>
      <c r="Z576" s="934"/>
      <c r="AA576" s="935"/>
      <c r="AB576" s="936"/>
      <c r="AC576" s="931"/>
      <c r="AD576" s="1026"/>
      <c r="AE576" s="938"/>
      <c r="AF576" s="1027"/>
      <c r="AG576" s="940"/>
      <c r="AH576" s="941"/>
      <c r="AI576" s="942"/>
      <c r="AJ576" s="943"/>
      <c r="AK576" s="1037"/>
      <c r="AL576" s="956"/>
      <c r="AM576" s="946"/>
      <c r="AN576" s="947"/>
      <c r="AO576" s="946"/>
      <c r="AP576" s="947"/>
      <c r="AQ576" s="946"/>
      <c r="AR576" s="948"/>
      <c r="AS576" s="946"/>
      <c r="AT576" s="946"/>
      <c r="AU576" s="946"/>
      <c r="AV576" s="916"/>
      <c r="AW576" s="946"/>
      <c r="AX576" s="946"/>
      <c r="AY576" s="946"/>
      <c r="AZ576" s="946"/>
      <c r="BA576" s="949"/>
      <c r="BB576" s="59"/>
      <c r="BC576" s="59"/>
      <c r="BD576" s="949"/>
      <c r="BE576" s="59"/>
      <c r="BF576" s="59"/>
      <c r="BG576" s="949"/>
      <c r="BH576" s="59"/>
      <c r="BI576" s="59"/>
      <c r="BJ576" s="946"/>
      <c r="BK576" s="2"/>
      <c r="BL576" s="950"/>
      <c r="BM576" s="950"/>
      <c r="BN576" s="2"/>
      <c r="BO576" s="2"/>
      <c r="BP576" s="951"/>
    </row>
    <row r="577" spans="1:68" ht="15" thickBot="1" x14ac:dyDescent="0.45">
      <c r="A577" s="974"/>
      <c r="B577" s="1028" t="s">
        <v>1102</v>
      </c>
      <c r="C577" s="1029">
        <v>2.4652777777777776E-3</v>
      </c>
      <c r="D577" s="107">
        <f t="shared" si="29"/>
        <v>1.2326388888888888E-3</v>
      </c>
      <c r="E577" s="921"/>
      <c r="F577" s="916"/>
      <c r="G577" s="917"/>
      <c r="H577" s="1022"/>
      <c r="I577" s="919"/>
      <c r="J577" s="920"/>
      <c r="K577" s="921"/>
      <c r="L577" s="921"/>
      <c r="M577" s="923"/>
      <c r="N577" s="924"/>
      <c r="O577" s="924"/>
      <c r="P577" s="917"/>
      <c r="Q577" s="1025"/>
      <c r="R577" s="927"/>
      <c r="S577" s="917"/>
      <c r="T577" s="928"/>
      <c r="U577" s="929"/>
      <c r="V577" s="930"/>
      <c r="W577" s="931"/>
      <c r="X577" s="932"/>
      <c r="Y577" s="933"/>
      <c r="Z577" s="934"/>
      <c r="AA577" s="935"/>
      <c r="AB577" s="936"/>
      <c r="AC577" s="931"/>
      <c r="AD577" s="1026"/>
      <c r="AE577" s="938"/>
      <c r="AF577" s="1027"/>
      <c r="AG577" s="940"/>
      <c r="AH577" s="941"/>
      <c r="AI577" s="942"/>
      <c r="AJ577" s="943"/>
      <c r="AK577" s="1037"/>
      <c r="AL577" s="956"/>
      <c r="AM577" s="946"/>
      <c r="AN577" s="947"/>
      <c r="AO577" s="946"/>
      <c r="AP577" s="947"/>
      <c r="AQ577" s="946"/>
      <c r="AR577" s="948"/>
      <c r="AS577" s="946"/>
      <c r="AT577" s="946"/>
      <c r="AU577" s="946"/>
      <c r="AV577" s="916"/>
      <c r="AW577" s="946"/>
      <c r="AX577" s="946"/>
      <c r="AY577" s="946"/>
      <c r="AZ577" s="946"/>
      <c r="BA577" s="949"/>
      <c r="BB577" s="59"/>
      <c r="BC577" s="59"/>
      <c r="BD577" s="949"/>
      <c r="BE577" s="59"/>
      <c r="BF577" s="59"/>
      <c r="BG577" s="949"/>
      <c r="BH577" s="59"/>
      <c r="BI577" s="59"/>
      <c r="BJ577" s="946"/>
      <c r="BK577" s="2"/>
      <c r="BL577" s="950"/>
      <c r="BM577" s="950"/>
      <c r="BN577" s="2"/>
      <c r="BO577" s="2"/>
      <c r="BP577" s="951"/>
    </row>
    <row r="578" spans="1:68" x14ac:dyDescent="0.4">
      <c r="A578" s="974"/>
      <c r="B578" s="952" t="s">
        <v>1103</v>
      </c>
      <c r="C578" s="1036">
        <v>2.5578703703703705E-3</v>
      </c>
      <c r="D578" s="107">
        <f t="shared" si="29"/>
        <v>1.2789351851851853E-3</v>
      </c>
      <c r="E578" s="921"/>
      <c r="F578" s="916"/>
      <c r="G578" s="917"/>
      <c r="H578" s="1022"/>
      <c r="I578" s="919"/>
      <c r="J578" s="920"/>
      <c r="K578" s="921"/>
      <c r="L578" s="921"/>
      <c r="M578" s="923"/>
      <c r="N578" s="924"/>
      <c r="O578" s="924"/>
      <c r="P578" s="917"/>
      <c r="Q578" s="1025"/>
      <c r="R578" s="927"/>
      <c r="S578" s="917"/>
      <c r="T578" s="928"/>
      <c r="U578" s="929"/>
      <c r="V578" s="930"/>
      <c r="W578" s="931"/>
      <c r="X578" s="932"/>
      <c r="Y578" s="933"/>
      <c r="Z578" s="934"/>
      <c r="AA578" s="935"/>
      <c r="AB578" s="936"/>
      <c r="AC578" s="931"/>
      <c r="AD578" s="1026"/>
      <c r="AE578" s="938"/>
      <c r="AF578" s="1027"/>
      <c r="AG578" s="940"/>
      <c r="AH578" s="941"/>
      <c r="AI578" s="942"/>
      <c r="AJ578" s="943"/>
      <c r="AK578" s="1037"/>
      <c r="AL578" s="956"/>
      <c r="AM578" s="946"/>
      <c r="AN578" s="947"/>
      <c r="AO578" s="946"/>
      <c r="AP578" s="947"/>
      <c r="AQ578" s="946"/>
      <c r="AR578" s="948"/>
      <c r="AS578" s="946"/>
      <c r="AT578" s="946"/>
      <c r="AU578" s="946"/>
      <c r="AV578" s="916"/>
      <c r="AW578" s="946"/>
      <c r="AX578" s="946"/>
      <c r="AY578" s="946"/>
      <c r="AZ578" s="946"/>
      <c r="BA578" s="949"/>
      <c r="BB578" s="59"/>
      <c r="BC578" s="59"/>
      <c r="BD578" s="949"/>
      <c r="BE578" s="59"/>
      <c r="BF578" s="59"/>
      <c r="BG578" s="949"/>
      <c r="BH578" s="59"/>
      <c r="BI578" s="59"/>
      <c r="BJ578" s="946"/>
      <c r="BK578" s="2"/>
      <c r="BL578" s="950"/>
      <c r="BM578" s="950"/>
      <c r="BN578" s="2"/>
      <c r="BO578" s="2"/>
      <c r="BP578" s="951"/>
    </row>
    <row r="579" spans="1:68" x14ac:dyDescent="0.4">
      <c r="A579" s="974"/>
      <c r="B579" s="952" t="s">
        <v>1104</v>
      </c>
      <c r="C579" s="1036">
        <v>2.5694444444444445E-3</v>
      </c>
      <c r="D579" s="107">
        <f t="shared" si="29"/>
        <v>1.2847222222222223E-3</v>
      </c>
      <c r="E579" s="921"/>
      <c r="F579" s="916"/>
      <c r="G579" s="917"/>
      <c r="H579" s="1022"/>
      <c r="I579" s="919"/>
      <c r="J579" s="920"/>
      <c r="K579" s="921"/>
      <c r="L579" s="921"/>
      <c r="M579" s="923"/>
      <c r="N579" s="924"/>
      <c r="O579" s="924"/>
      <c r="P579" s="917"/>
      <c r="Q579" s="1025"/>
      <c r="R579" s="927"/>
      <c r="S579" s="917"/>
      <c r="T579" s="928"/>
      <c r="U579" s="929"/>
      <c r="V579" s="930"/>
      <c r="W579" s="931"/>
      <c r="X579" s="932"/>
      <c r="Y579" s="933"/>
      <c r="Z579" s="934"/>
      <c r="AA579" s="935"/>
      <c r="AB579" s="936"/>
      <c r="AC579" s="931"/>
      <c r="AD579" s="1026"/>
      <c r="AE579" s="938"/>
      <c r="AF579" s="1027"/>
      <c r="AG579" s="940"/>
      <c r="AH579" s="941"/>
      <c r="AI579" s="942"/>
      <c r="AJ579" s="943"/>
      <c r="AK579" s="1037"/>
      <c r="AL579" s="956"/>
      <c r="AM579" s="946"/>
      <c r="AN579" s="947"/>
      <c r="AO579" s="946"/>
      <c r="AP579" s="947"/>
      <c r="AQ579" s="946"/>
      <c r="AR579" s="948"/>
      <c r="AS579" s="946"/>
      <c r="AT579" s="946"/>
      <c r="AU579" s="946"/>
      <c r="AV579" s="916"/>
      <c r="AW579" s="946"/>
      <c r="AX579" s="946"/>
      <c r="AY579" s="946"/>
      <c r="AZ579" s="946"/>
      <c r="BA579" s="949"/>
      <c r="BB579" s="59"/>
      <c r="BC579" s="59"/>
      <c r="BD579" s="949"/>
      <c r="BE579" s="59"/>
      <c r="BF579" s="59"/>
      <c r="BG579" s="949"/>
      <c r="BH579" s="59"/>
      <c r="BI579" s="59"/>
      <c r="BJ579" s="946"/>
      <c r="BK579" s="2"/>
      <c r="BL579" s="950"/>
      <c r="BM579" s="950"/>
      <c r="BN579" s="2"/>
      <c r="BO579" s="2"/>
      <c r="BP579" s="951"/>
    </row>
    <row r="580" spans="1:68" x14ac:dyDescent="0.4">
      <c r="A580" s="974"/>
      <c r="B580" s="952" t="s">
        <v>1105</v>
      </c>
      <c r="C580" s="1036">
        <v>2.5925925925925925E-3</v>
      </c>
      <c r="D580" s="107">
        <f t="shared" si="29"/>
        <v>1.2962962962962963E-3</v>
      </c>
      <c r="E580" s="921"/>
      <c r="F580" s="916"/>
      <c r="G580" s="917"/>
      <c r="H580" s="1022"/>
      <c r="I580" s="919"/>
      <c r="J580" s="920"/>
      <c r="K580" s="921"/>
      <c r="L580" s="921"/>
      <c r="M580" s="923"/>
      <c r="N580" s="924"/>
      <c r="O580" s="924"/>
      <c r="P580" s="917"/>
      <c r="Q580" s="1025"/>
      <c r="R580" s="927"/>
      <c r="S580" s="917"/>
      <c r="T580" s="928"/>
      <c r="U580" s="929"/>
      <c r="V580" s="930"/>
      <c r="W580" s="931"/>
      <c r="X580" s="932"/>
      <c r="Y580" s="933"/>
      <c r="Z580" s="934"/>
      <c r="AA580" s="935"/>
      <c r="AB580" s="936"/>
      <c r="AC580" s="931"/>
      <c r="AD580" s="1026"/>
      <c r="AE580" s="938"/>
      <c r="AF580" s="1027"/>
      <c r="AG580" s="940"/>
      <c r="AH580" s="941"/>
      <c r="AI580" s="942"/>
      <c r="AJ580" s="943"/>
      <c r="AK580" s="1037"/>
      <c r="AL580" s="956"/>
      <c r="AM580" s="946"/>
      <c r="AN580" s="947"/>
      <c r="AO580" s="946"/>
      <c r="AP580" s="947"/>
      <c r="AQ580" s="946"/>
      <c r="AR580" s="948"/>
      <c r="AS580" s="946"/>
      <c r="AT580" s="946"/>
      <c r="AU580" s="946"/>
      <c r="AV580" s="916"/>
      <c r="AW580" s="946"/>
      <c r="AX580" s="946"/>
      <c r="AY580" s="946"/>
      <c r="AZ580" s="946"/>
      <c r="BA580" s="949"/>
      <c r="BB580" s="59"/>
      <c r="BC580" s="59"/>
      <c r="BD580" s="949"/>
      <c r="BE580" s="59"/>
      <c r="BF580" s="59"/>
      <c r="BG580" s="949"/>
      <c r="BH580" s="59"/>
      <c r="BI580" s="59"/>
      <c r="BJ580" s="946"/>
      <c r="BK580" s="2"/>
      <c r="BL580" s="950"/>
      <c r="BM580" s="950"/>
      <c r="BN580" s="2"/>
      <c r="BO580" s="2"/>
      <c r="BP580" s="951"/>
    </row>
    <row r="581" spans="1:68" x14ac:dyDescent="0.4">
      <c r="A581" s="974"/>
      <c r="B581" s="952" t="s">
        <v>1106</v>
      </c>
      <c r="C581" s="1036">
        <v>2.627314814814815E-3</v>
      </c>
      <c r="D581" s="107">
        <f t="shared" si="29"/>
        <v>1.3136574074074075E-3</v>
      </c>
      <c r="E581" s="921"/>
      <c r="F581" s="916"/>
      <c r="G581" s="917"/>
      <c r="H581" s="1022"/>
      <c r="I581" s="919"/>
      <c r="J581" s="920"/>
      <c r="K581" s="921"/>
      <c r="L581" s="921"/>
      <c r="M581" s="923"/>
      <c r="N581" s="924"/>
      <c r="O581" s="924"/>
      <c r="P581" s="917"/>
      <c r="Q581" s="1025"/>
      <c r="R581" s="927"/>
      <c r="S581" s="917"/>
      <c r="T581" s="928"/>
      <c r="U581" s="929"/>
      <c r="V581" s="930"/>
      <c r="W581" s="931"/>
      <c r="X581" s="932"/>
      <c r="Y581" s="933"/>
      <c r="Z581" s="934"/>
      <c r="AA581" s="935"/>
      <c r="AB581" s="936"/>
      <c r="AC581" s="931"/>
      <c r="AD581" s="1026"/>
      <c r="AE581" s="938"/>
      <c r="AF581" s="1027"/>
      <c r="AG581" s="940"/>
      <c r="AH581" s="941"/>
      <c r="AI581" s="942"/>
      <c r="AJ581" s="943"/>
      <c r="AK581" s="1037"/>
      <c r="AL581" s="956"/>
      <c r="AM581" s="946"/>
      <c r="AN581" s="947"/>
      <c r="AO581" s="946"/>
      <c r="AP581" s="947"/>
      <c r="AQ581" s="946"/>
      <c r="AR581" s="948"/>
      <c r="AS581" s="946"/>
      <c r="AT581" s="946"/>
      <c r="AU581" s="946"/>
      <c r="AV581" s="916"/>
      <c r="AW581" s="946"/>
      <c r="AX581" s="946"/>
      <c r="AY581" s="946"/>
      <c r="AZ581" s="946"/>
      <c r="BA581" s="949"/>
      <c r="BB581" s="59"/>
      <c r="BC581" s="59"/>
      <c r="BD581" s="949"/>
      <c r="BE581" s="59"/>
      <c r="BF581" s="59"/>
      <c r="BG581" s="949"/>
      <c r="BH581" s="59"/>
      <c r="BI581" s="59"/>
      <c r="BJ581" s="946"/>
      <c r="BK581" s="2"/>
      <c r="BL581" s="950"/>
      <c r="BM581" s="950"/>
      <c r="BN581" s="2"/>
      <c r="BO581" s="2"/>
      <c r="BP581" s="951"/>
    </row>
    <row r="582" spans="1:68" x14ac:dyDescent="0.4">
      <c r="A582" s="974"/>
      <c r="B582" s="952" t="s">
        <v>1107</v>
      </c>
      <c r="C582" s="1036">
        <v>2.685185185185185E-3</v>
      </c>
      <c r="D582" s="107">
        <f t="shared" si="29"/>
        <v>1.3425925925925925E-3</v>
      </c>
      <c r="E582" s="921"/>
      <c r="F582" s="916"/>
      <c r="G582" s="917"/>
      <c r="H582" s="1023"/>
      <c r="I582" s="919"/>
      <c r="J582" s="920"/>
      <c r="K582" s="921"/>
      <c r="L582" s="921"/>
      <c r="M582" s="1023"/>
      <c r="N582" s="924"/>
      <c r="O582" s="1044"/>
      <c r="P582" s="917"/>
      <c r="Q582" s="1025"/>
      <c r="R582" s="927"/>
      <c r="S582" s="917"/>
      <c r="T582" s="928"/>
      <c r="U582" s="1025"/>
      <c r="V582" s="930"/>
      <c r="W582" s="931"/>
      <c r="X582" s="932"/>
      <c r="Y582" s="933"/>
      <c r="Z582" s="934"/>
      <c r="AA582" s="935"/>
      <c r="AB582" s="936"/>
      <c r="AC582" s="931"/>
      <c r="AD582" s="1026"/>
      <c r="AE582" s="938"/>
      <c r="AF582" s="1027"/>
      <c r="AG582" s="940"/>
      <c r="AH582" s="941"/>
      <c r="AI582" s="942"/>
      <c r="AJ582" s="943"/>
      <c r="AK582" s="944"/>
      <c r="AL582" s="945"/>
      <c r="AM582" s="946"/>
      <c r="AN582" s="947"/>
      <c r="AO582" s="946"/>
      <c r="AP582" s="947"/>
      <c r="AQ582" s="946"/>
      <c r="AR582" s="948"/>
      <c r="AS582" s="946"/>
      <c r="AT582" s="946"/>
      <c r="AU582" s="946"/>
      <c r="AV582" s="916"/>
      <c r="AW582" s="946"/>
      <c r="AX582" s="946"/>
      <c r="AY582" s="946"/>
      <c r="AZ582" s="946"/>
      <c r="BA582" s="949"/>
      <c r="BB582" s="59"/>
      <c r="BC582" s="59"/>
      <c r="BD582" s="949"/>
      <c r="BE582" s="59"/>
      <c r="BF582" s="59"/>
      <c r="BG582" s="949"/>
      <c r="BH582" s="59"/>
      <c r="BI582" s="59"/>
      <c r="BJ582" s="946"/>
      <c r="BK582" s="2"/>
      <c r="BL582" s="950"/>
      <c r="BM582" s="950"/>
      <c r="BN582" s="2"/>
      <c r="BO582" s="2"/>
      <c r="BP582" s="951"/>
    </row>
    <row r="583" spans="1:68" ht="15" thickBot="1" x14ac:dyDescent="0.45">
      <c r="A583" s="974"/>
      <c r="B583" s="1028" t="s">
        <v>1108</v>
      </c>
      <c r="C583" s="1029">
        <v>2.7777777777777779E-3</v>
      </c>
      <c r="D583" s="107">
        <f t="shared" si="29"/>
        <v>1.3888888888888889E-3</v>
      </c>
      <c r="E583" s="921"/>
      <c r="F583" s="916"/>
      <c r="G583" s="917"/>
      <c r="H583" s="1022"/>
      <c r="I583" s="919"/>
      <c r="J583" s="920"/>
      <c r="K583" s="921"/>
      <c r="L583" s="921"/>
      <c r="M583" s="923"/>
      <c r="N583" s="924"/>
      <c r="O583" s="924"/>
      <c r="P583" s="917"/>
      <c r="Q583" s="1025"/>
      <c r="R583" s="927"/>
      <c r="S583" s="917"/>
      <c r="T583" s="928"/>
      <c r="U583" s="929"/>
      <c r="V583" s="930"/>
      <c r="W583" s="931"/>
      <c r="X583" s="932"/>
      <c r="Y583" s="933"/>
      <c r="Z583" s="934"/>
      <c r="AA583" s="935"/>
      <c r="AB583" s="936"/>
      <c r="AC583" s="931"/>
      <c r="AD583" s="1026"/>
      <c r="AE583" s="938"/>
      <c r="AF583" s="1027"/>
      <c r="AG583" s="940"/>
      <c r="AH583" s="941"/>
      <c r="AI583" s="942"/>
      <c r="AJ583" s="943"/>
      <c r="AK583" s="1037"/>
      <c r="AL583" s="956"/>
      <c r="AM583" s="946"/>
      <c r="AN583" s="947"/>
      <c r="AO583" s="946"/>
      <c r="AP583" s="947"/>
      <c r="AQ583" s="946"/>
      <c r="AR583" s="948"/>
      <c r="AS583" s="946"/>
      <c r="AT583" s="946"/>
      <c r="AU583" s="946"/>
      <c r="AV583" s="916"/>
      <c r="AW583" s="946"/>
      <c r="AX583" s="946"/>
      <c r="AY583" s="946"/>
      <c r="AZ583" s="946"/>
      <c r="BA583" s="949"/>
      <c r="BB583" s="59"/>
      <c r="BC583" s="59"/>
      <c r="BD583" s="949"/>
      <c r="BE583" s="59"/>
      <c r="BF583" s="59"/>
      <c r="BG583" s="949"/>
      <c r="BH583" s="59"/>
      <c r="BI583" s="59"/>
      <c r="BJ583" s="946"/>
      <c r="BK583" s="2"/>
      <c r="BL583" s="950"/>
      <c r="BM583" s="950"/>
      <c r="BN583" s="2"/>
      <c r="BO583" s="2"/>
      <c r="BP583" s="951"/>
    </row>
    <row r="584" spans="1:68" x14ac:dyDescent="0.4">
      <c r="A584" s="1048"/>
      <c r="B584" s="1045" t="s">
        <v>1109</v>
      </c>
      <c r="C584" s="1036">
        <v>3.8712962962962963E-3</v>
      </c>
      <c r="D584" s="107">
        <f t="shared" ref="D584:D616" si="30">C584/4</f>
        <v>9.6782407407407407E-4</v>
      </c>
      <c r="E584" s="921"/>
      <c r="F584" s="916"/>
      <c r="G584" s="917"/>
      <c r="H584" s="1022"/>
      <c r="I584" s="919"/>
      <c r="J584" s="920"/>
      <c r="K584" s="921"/>
      <c r="L584" s="921"/>
      <c r="M584" s="923"/>
      <c r="N584" s="924"/>
      <c r="O584" s="924"/>
      <c r="P584" s="917"/>
      <c r="Q584" s="1025"/>
      <c r="R584" s="927"/>
      <c r="S584" s="917"/>
      <c r="T584" s="928"/>
      <c r="U584" s="929"/>
      <c r="V584" s="930"/>
      <c r="W584" s="931"/>
      <c r="X584" s="932"/>
      <c r="Y584" s="933"/>
      <c r="Z584" s="934"/>
      <c r="AA584" s="935"/>
      <c r="AB584" s="936"/>
      <c r="AC584" s="931"/>
      <c r="AD584" s="1026"/>
      <c r="AE584" s="938"/>
      <c r="AF584" s="1027"/>
      <c r="AG584" s="940"/>
      <c r="AH584" s="941"/>
      <c r="AI584" s="942"/>
      <c r="AJ584" s="943"/>
      <c r="AK584" s="1037"/>
      <c r="AL584" s="956"/>
      <c r="AM584" s="946"/>
      <c r="AN584" s="947"/>
      <c r="AO584" s="946"/>
      <c r="AP584" s="947"/>
      <c r="AQ584" s="946"/>
      <c r="AR584" s="948"/>
      <c r="AS584" s="946"/>
      <c r="AT584" s="946"/>
      <c r="AU584" s="946"/>
      <c r="AV584" s="916"/>
      <c r="AW584" s="946"/>
      <c r="AX584" s="946"/>
      <c r="AY584" s="946"/>
      <c r="AZ584" s="946"/>
      <c r="BA584" s="949"/>
      <c r="BB584" s="59"/>
      <c r="BC584" s="59"/>
      <c r="BD584" s="949"/>
      <c r="BE584" s="59"/>
      <c r="BF584" s="59"/>
      <c r="BG584" s="949"/>
      <c r="BH584" s="59"/>
      <c r="BI584" s="59"/>
      <c r="BJ584" s="946"/>
      <c r="BK584" s="2"/>
      <c r="BL584" s="950"/>
      <c r="BM584" s="950"/>
      <c r="BN584" s="2"/>
      <c r="BO584" s="2"/>
      <c r="BP584" s="951"/>
    </row>
    <row r="585" spans="1:68" x14ac:dyDescent="0.4">
      <c r="A585" s="1048"/>
      <c r="B585" s="952" t="s">
        <v>1110</v>
      </c>
      <c r="C585" s="1036">
        <v>4.101967592592592E-3</v>
      </c>
      <c r="D585" s="107">
        <f t="shared" si="30"/>
        <v>1.025491898148148E-3</v>
      </c>
      <c r="E585" s="921"/>
      <c r="F585" s="916"/>
      <c r="G585" s="917"/>
      <c r="H585" s="1022"/>
      <c r="I585" s="919"/>
      <c r="J585" s="920"/>
      <c r="K585" s="921"/>
      <c r="L585" s="921"/>
      <c r="M585" s="923"/>
      <c r="N585" s="924"/>
      <c r="O585" s="924"/>
      <c r="P585" s="917"/>
      <c r="Q585" s="1025"/>
      <c r="R585" s="927"/>
      <c r="S585" s="917"/>
      <c r="T585" s="928"/>
      <c r="U585" s="929"/>
      <c r="V585" s="930"/>
      <c r="W585" s="931"/>
      <c r="X585" s="932"/>
      <c r="Y585" s="917"/>
      <c r="Z585" s="934"/>
      <c r="AA585" s="935"/>
      <c r="AB585" s="936"/>
      <c r="AC585" s="931"/>
      <c r="AD585" s="1026"/>
      <c r="AE585" s="938"/>
      <c r="AF585" s="1027"/>
      <c r="AG585" s="940"/>
      <c r="AH585" s="941"/>
      <c r="AI585" s="942"/>
      <c r="AJ585" s="943"/>
      <c r="AK585" s="1037"/>
      <c r="AL585" s="956"/>
      <c r="AM585" s="946"/>
      <c r="AN585" s="947"/>
      <c r="AO585" s="946"/>
      <c r="AP585" s="947"/>
      <c r="AQ585" s="936"/>
      <c r="AR585" s="948"/>
      <c r="AS585" s="1049"/>
      <c r="AT585" s="946"/>
      <c r="AU585" s="946"/>
      <c r="AV585" s="916"/>
      <c r="AW585" s="946"/>
      <c r="AX585" s="946"/>
      <c r="AY585" s="946"/>
      <c r="AZ585" s="936"/>
      <c r="BA585" s="949"/>
      <c r="BB585" s="59"/>
      <c r="BC585" s="59"/>
      <c r="BD585" s="949"/>
      <c r="BE585" s="59"/>
      <c r="BF585" s="59"/>
      <c r="BG585" s="949"/>
      <c r="BH585" s="59"/>
      <c r="BI585" s="59"/>
      <c r="BJ585" s="1049"/>
      <c r="BK585" s="2"/>
      <c r="BL585" s="950"/>
      <c r="BM585" s="950"/>
      <c r="BN585" s="2"/>
      <c r="BO585" s="2"/>
      <c r="BP585" s="951"/>
    </row>
    <row r="586" spans="1:68" x14ac:dyDescent="0.4">
      <c r="A586" s="1048"/>
      <c r="B586" s="952" t="s">
        <v>1111</v>
      </c>
      <c r="C586" s="1036">
        <v>4.2739583333333327E-3</v>
      </c>
      <c r="D586" s="107">
        <f t="shared" si="30"/>
        <v>1.0684895833333332E-3</v>
      </c>
      <c r="E586" s="921"/>
      <c r="F586" s="916"/>
      <c r="G586" s="917"/>
      <c r="H586" s="1022"/>
      <c r="I586" s="919"/>
      <c r="J586" s="920"/>
      <c r="K586" s="921"/>
      <c r="L586" s="921"/>
      <c r="M586" s="923"/>
      <c r="N586" s="924"/>
      <c r="O586" s="924"/>
      <c r="P586" s="917"/>
      <c r="Q586" s="1025"/>
      <c r="R586" s="927"/>
      <c r="S586" s="917"/>
      <c r="T586" s="928"/>
      <c r="U586" s="929"/>
      <c r="V586" s="930"/>
      <c r="W586" s="931"/>
      <c r="X586" s="932"/>
      <c r="Y586" s="917"/>
      <c r="Z586" s="934"/>
      <c r="AA586" s="935"/>
      <c r="AB586" s="936"/>
      <c r="AC586" s="931"/>
      <c r="AD586" s="1026"/>
      <c r="AE586" s="938"/>
      <c r="AF586" s="1027"/>
      <c r="AG586" s="940"/>
      <c r="AH586" s="941"/>
      <c r="AI586" s="942"/>
      <c r="AJ586" s="943"/>
      <c r="AK586" s="1037"/>
      <c r="AL586" s="956"/>
      <c r="AM586" s="946"/>
      <c r="AN586" s="947"/>
      <c r="AO586" s="946"/>
      <c r="AP586" s="947"/>
      <c r="AQ586" s="936"/>
      <c r="AR586" s="948"/>
      <c r="AS586" s="1049"/>
      <c r="AT586" s="946"/>
      <c r="AU586" s="946"/>
      <c r="AV586" s="916"/>
      <c r="AW586" s="946"/>
      <c r="AX586" s="946"/>
      <c r="AY586" s="946"/>
      <c r="AZ586" s="936"/>
      <c r="BA586" s="949"/>
      <c r="BB586" s="59"/>
      <c r="BC586" s="59"/>
      <c r="BD586" s="949"/>
      <c r="BE586" s="59"/>
      <c r="BF586" s="59"/>
      <c r="BG586" s="949"/>
      <c r="BH586" s="59"/>
      <c r="BI586" s="59"/>
      <c r="BJ586" s="1049"/>
      <c r="BK586" s="2"/>
      <c r="BL586" s="950"/>
      <c r="BM586" s="950"/>
      <c r="BN586" s="2"/>
      <c r="BO586" s="2"/>
      <c r="BP586" s="951"/>
    </row>
    <row r="587" spans="1:68" x14ac:dyDescent="0.4">
      <c r="A587" s="1048"/>
      <c r="B587" s="952" t="s">
        <v>1112</v>
      </c>
      <c r="C587" s="1036">
        <v>4.5188657407407408E-3</v>
      </c>
      <c r="D587" s="107">
        <f t="shared" si="30"/>
        <v>1.1297164351851852E-3</v>
      </c>
      <c r="E587" s="921"/>
      <c r="F587" s="916"/>
      <c r="G587" s="917"/>
      <c r="H587" s="1022"/>
      <c r="I587" s="919"/>
      <c r="J587" s="920"/>
      <c r="K587" s="921"/>
      <c r="L587" s="921"/>
      <c r="M587" s="923"/>
      <c r="N587" s="924"/>
      <c r="O587" s="924"/>
      <c r="P587" s="917"/>
      <c r="Q587" s="1025"/>
      <c r="R587" s="927"/>
      <c r="S587" s="917"/>
      <c r="T587" s="928"/>
      <c r="U587" s="929"/>
      <c r="V587" s="930"/>
      <c r="W587" s="931"/>
      <c r="X587" s="932"/>
      <c r="Y587" s="917"/>
      <c r="Z587" s="934"/>
      <c r="AA587" s="935"/>
      <c r="AB587" s="936"/>
      <c r="AC587" s="931"/>
      <c r="AD587" s="1026"/>
      <c r="AE587" s="938"/>
      <c r="AF587" s="1027"/>
      <c r="AG587" s="940"/>
      <c r="AH587" s="941"/>
      <c r="AI587" s="942"/>
      <c r="AJ587" s="943"/>
      <c r="AK587" s="1037"/>
      <c r="AL587" s="956"/>
      <c r="AM587" s="946"/>
      <c r="AN587" s="947"/>
      <c r="AO587" s="946"/>
      <c r="AP587" s="947"/>
      <c r="AQ587" s="936"/>
      <c r="AR587" s="948"/>
      <c r="AS587" s="1049"/>
      <c r="AT587" s="946"/>
      <c r="AU587" s="946"/>
      <c r="AV587" s="916"/>
      <c r="AW587" s="946"/>
      <c r="AX587" s="946"/>
      <c r="AY587" s="946"/>
      <c r="AZ587" s="936"/>
      <c r="BA587" s="949"/>
      <c r="BB587" s="59"/>
      <c r="BC587" s="59"/>
      <c r="BD587" s="949"/>
      <c r="BE587" s="59"/>
      <c r="BF587" s="59"/>
      <c r="BG587" s="949"/>
      <c r="BH587" s="59"/>
      <c r="BI587" s="59"/>
      <c r="BJ587" s="1049"/>
      <c r="BK587" s="2"/>
      <c r="BL587" s="950"/>
      <c r="BM587" s="950"/>
      <c r="BN587" s="2"/>
      <c r="BO587" s="2"/>
      <c r="BP587" s="951"/>
    </row>
    <row r="588" spans="1:68" x14ac:dyDescent="0.4">
      <c r="A588" s="1048"/>
      <c r="B588" s="952" t="s">
        <v>1113</v>
      </c>
      <c r="C588" s="1036">
        <v>4.02349537037037E-3</v>
      </c>
      <c r="D588" s="107">
        <f t="shared" si="30"/>
        <v>1.0058738425925925E-3</v>
      </c>
      <c r="E588" s="921"/>
      <c r="F588" s="916"/>
      <c r="G588" s="917"/>
      <c r="H588" s="1022"/>
      <c r="I588" s="919"/>
      <c r="J588" s="920"/>
      <c r="K588" s="921"/>
      <c r="L588" s="921"/>
      <c r="M588" s="923"/>
      <c r="N588" s="924"/>
      <c r="O588" s="924"/>
      <c r="P588" s="917"/>
      <c r="Q588" s="1025"/>
      <c r="R588" s="927"/>
      <c r="S588" s="917"/>
      <c r="T588" s="928"/>
      <c r="U588" s="929"/>
      <c r="V588" s="930"/>
      <c r="W588" s="931"/>
      <c r="X588" s="932"/>
      <c r="Y588" s="917"/>
      <c r="Z588" s="934"/>
      <c r="AA588" s="935"/>
      <c r="AB588" s="936"/>
      <c r="AC588" s="931"/>
      <c r="AD588" s="1026"/>
      <c r="AE588" s="938"/>
      <c r="AF588" s="1027"/>
      <c r="AG588" s="940"/>
      <c r="AH588" s="941"/>
      <c r="AI588" s="942"/>
      <c r="AJ588" s="943"/>
      <c r="AK588" s="1037"/>
      <c r="AL588" s="956"/>
      <c r="AM588" s="946"/>
      <c r="AN588" s="947"/>
      <c r="AO588" s="946"/>
      <c r="AP588" s="947"/>
      <c r="AQ588" s="936"/>
      <c r="AR588" s="948"/>
      <c r="AS588" s="1049"/>
      <c r="AT588" s="946"/>
      <c r="AU588" s="946"/>
      <c r="AV588" s="916"/>
      <c r="AW588" s="946"/>
      <c r="AX588" s="946"/>
      <c r="AY588" s="946"/>
      <c r="AZ588" s="936"/>
      <c r="BA588" s="949"/>
      <c r="BB588" s="59"/>
      <c r="BC588" s="59"/>
      <c r="BD588" s="949"/>
      <c r="BE588" s="59"/>
      <c r="BF588" s="59"/>
      <c r="BG588" s="949"/>
      <c r="BH588" s="59"/>
      <c r="BI588" s="59"/>
      <c r="BJ588" s="1049"/>
      <c r="BK588" s="2"/>
      <c r="BL588" s="950"/>
      <c r="BM588" s="950"/>
      <c r="BN588" s="2"/>
      <c r="BO588" s="2"/>
      <c r="BP588" s="951"/>
    </row>
    <row r="589" spans="1:68" x14ac:dyDescent="0.4">
      <c r="A589" s="1048"/>
      <c r="B589" s="952" t="s">
        <v>1114</v>
      </c>
      <c r="C589" s="1036">
        <v>4.370949074074074E-3</v>
      </c>
      <c r="D589" s="107">
        <f t="shared" si="30"/>
        <v>1.0927372685185185E-3</v>
      </c>
      <c r="E589" s="921"/>
      <c r="F589" s="916"/>
      <c r="G589" s="917"/>
      <c r="H589" s="1022"/>
      <c r="I589" s="919"/>
      <c r="J589" s="920"/>
      <c r="K589" s="921"/>
      <c r="L589" s="921"/>
      <c r="M589" s="923"/>
      <c r="N589" s="924"/>
      <c r="O589" s="924"/>
      <c r="P589" s="917"/>
      <c r="Q589" s="1025"/>
      <c r="R589" s="927"/>
      <c r="S589" s="917"/>
      <c r="T589" s="928"/>
      <c r="U589" s="929"/>
      <c r="V589" s="930"/>
      <c r="W589" s="931"/>
      <c r="X589" s="932"/>
      <c r="Y589" s="917"/>
      <c r="Z589" s="934"/>
      <c r="AA589" s="935"/>
      <c r="AB589" s="936"/>
      <c r="AC589" s="931"/>
      <c r="AD589" s="1026"/>
      <c r="AE589" s="938"/>
      <c r="AF589" s="1027"/>
      <c r="AG589" s="940"/>
      <c r="AH589" s="941"/>
      <c r="AI589" s="942"/>
      <c r="AJ589" s="943"/>
      <c r="AK589" s="1037"/>
      <c r="AL589" s="956"/>
      <c r="AM589" s="946"/>
      <c r="AN589" s="947"/>
      <c r="AO589" s="946"/>
      <c r="AP589" s="947"/>
      <c r="AQ589" s="936"/>
      <c r="AR589" s="948"/>
      <c r="AS589" s="1049"/>
      <c r="AT589" s="946"/>
      <c r="AU589" s="946"/>
      <c r="AV589" s="916"/>
      <c r="AW589" s="946"/>
      <c r="AX589" s="946"/>
      <c r="AY589" s="946"/>
      <c r="AZ589" s="936"/>
      <c r="BA589" s="949"/>
      <c r="BB589" s="59"/>
      <c r="BC589" s="59"/>
      <c r="BD589" s="949"/>
      <c r="BE589" s="59"/>
      <c r="BF589" s="59"/>
      <c r="BG589" s="949"/>
      <c r="BH589" s="59"/>
      <c r="BI589" s="59"/>
      <c r="BJ589" s="1049"/>
      <c r="BK589" s="2"/>
      <c r="BL589" s="950"/>
      <c r="BM589" s="950"/>
      <c r="BN589" s="2"/>
      <c r="BO589" s="2"/>
      <c r="BP589" s="951"/>
    </row>
    <row r="590" spans="1:68" x14ac:dyDescent="0.4">
      <c r="A590" s="1048"/>
      <c r="B590" s="952" t="s">
        <v>1115</v>
      </c>
      <c r="C590" s="1036">
        <v>4.8172453703703702E-3</v>
      </c>
      <c r="D590" s="107">
        <f t="shared" si="30"/>
        <v>1.2043113425925925E-3</v>
      </c>
      <c r="E590" s="921"/>
      <c r="F590" s="916"/>
      <c r="G590" s="917"/>
      <c r="H590" s="1022"/>
      <c r="I590" s="919"/>
      <c r="J590" s="920"/>
      <c r="K590" s="921"/>
      <c r="L590" s="921"/>
      <c r="M590" s="923"/>
      <c r="N590" s="924"/>
      <c r="O590" s="924"/>
      <c r="P590" s="917"/>
      <c r="Q590" s="1025"/>
      <c r="R590" s="927"/>
      <c r="S590" s="917"/>
      <c r="T590" s="928"/>
      <c r="U590" s="929"/>
      <c r="V590" s="930"/>
      <c r="W590" s="931"/>
      <c r="X590" s="932"/>
      <c r="Y590" s="917"/>
      <c r="Z590" s="934"/>
      <c r="AA590" s="935"/>
      <c r="AB590" s="936"/>
      <c r="AC590" s="931"/>
      <c r="AD590" s="1026"/>
      <c r="AE590" s="938"/>
      <c r="AF590" s="1027"/>
      <c r="AG590" s="940"/>
      <c r="AH590" s="941"/>
      <c r="AI590" s="942"/>
      <c r="AJ590" s="943"/>
      <c r="AK590" s="1037"/>
      <c r="AL590" s="956"/>
      <c r="AM590" s="946"/>
      <c r="AN590" s="947"/>
      <c r="AO590" s="946"/>
      <c r="AP590" s="947"/>
      <c r="AQ590" s="936"/>
      <c r="AR590" s="948"/>
      <c r="AS590" s="1049"/>
      <c r="AT590" s="946"/>
      <c r="AU590" s="946"/>
      <c r="AV590" s="916"/>
      <c r="AW590" s="946"/>
      <c r="AX590" s="946"/>
      <c r="AY590" s="946"/>
      <c r="AZ590" s="936"/>
      <c r="BA590" s="949"/>
      <c r="BB590" s="59"/>
      <c r="BC590" s="59"/>
      <c r="BD590" s="949"/>
      <c r="BE590" s="59"/>
      <c r="BF590" s="59"/>
      <c r="BG590" s="949"/>
      <c r="BH590" s="59"/>
      <c r="BI590" s="59"/>
      <c r="BJ590" s="1049"/>
      <c r="BK590" s="2"/>
      <c r="BL590" s="950"/>
      <c r="BM590" s="950"/>
      <c r="BN590" s="2"/>
      <c r="BO590" s="2"/>
      <c r="BP590" s="951"/>
    </row>
    <row r="591" spans="1:68" x14ac:dyDescent="0.4">
      <c r="A591" s="974"/>
      <c r="B591" s="952" t="s">
        <v>1116</v>
      </c>
      <c r="C591" s="1036">
        <v>4.123842592592593E-3</v>
      </c>
      <c r="D591" s="107">
        <f t="shared" si="30"/>
        <v>1.0309606481481483E-3</v>
      </c>
      <c r="E591" s="921"/>
      <c r="F591" s="916"/>
      <c r="G591" s="917"/>
      <c r="H591" s="1022"/>
      <c r="I591" s="919"/>
      <c r="J591" s="920"/>
      <c r="K591" s="921"/>
      <c r="L591" s="921"/>
      <c r="M591" s="923"/>
      <c r="N591" s="924"/>
      <c r="O591" s="924"/>
      <c r="P591" s="917"/>
      <c r="Q591" s="1025"/>
      <c r="R591" s="927"/>
      <c r="S591" s="917"/>
      <c r="T591" s="928"/>
      <c r="U591" s="929"/>
      <c r="V591" s="1050"/>
      <c r="W591" s="931"/>
      <c r="X591" s="932"/>
      <c r="Y591" s="917"/>
      <c r="Z591" s="934"/>
      <c r="AA591" s="935"/>
      <c r="AB591" s="936"/>
      <c r="AC591" s="931"/>
      <c r="AD591" s="1026"/>
      <c r="AE591" s="938"/>
      <c r="AF591" s="1027"/>
      <c r="AG591" s="940"/>
      <c r="AH591" s="941"/>
      <c r="AI591" s="942"/>
      <c r="AJ591" s="943"/>
      <c r="AK591" s="1037"/>
      <c r="AL591" s="956"/>
      <c r="AM591" s="946"/>
      <c r="AN591" s="947"/>
      <c r="AO591" s="946"/>
      <c r="AP591" s="947"/>
      <c r="AQ591" s="936"/>
      <c r="AR591" s="948"/>
      <c r="AS591" s="1049"/>
      <c r="AT591" s="946"/>
      <c r="AU591" s="946"/>
      <c r="AV591" s="1051"/>
      <c r="AW591" s="946"/>
      <c r="AX591" s="946"/>
      <c r="AY591" s="946"/>
      <c r="AZ591" s="936"/>
      <c r="BA591" s="950"/>
      <c r="BB591" s="2"/>
      <c r="BC591" s="2"/>
      <c r="BD591" s="950"/>
      <c r="BE591" s="2"/>
      <c r="BF591" s="2"/>
      <c r="BG591" s="950"/>
      <c r="BH591" s="2"/>
      <c r="BI591" s="2"/>
      <c r="BJ591" s="1052"/>
      <c r="BK591" s="2"/>
      <c r="BL591" s="950"/>
      <c r="BM591" s="950"/>
      <c r="BN591" s="2"/>
      <c r="BO591" s="2"/>
      <c r="BP591" s="951"/>
    </row>
    <row r="592" spans="1:68" x14ac:dyDescent="0.4">
      <c r="A592" s="974"/>
      <c r="B592" s="952" t="s">
        <v>1117</v>
      </c>
      <c r="C592" s="1036">
        <v>4.4317129629629628E-3</v>
      </c>
      <c r="D592" s="107">
        <f t="shared" si="30"/>
        <v>1.1079282407407407E-3</v>
      </c>
      <c r="E592" s="921"/>
      <c r="F592" s="916"/>
      <c r="G592" s="917"/>
      <c r="H592" s="1022"/>
      <c r="I592" s="919"/>
      <c r="J592" s="920"/>
      <c r="K592" s="921"/>
      <c r="L592" s="921"/>
      <c r="M592" s="923"/>
      <c r="N592" s="924"/>
      <c r="O592" s="924"/>
      <c r="P592" s="917"/>
      <c r="Q592" s="1025"/>
      <c r="R592" s="927"/>
      <c r="S592" s="917"/>
      <c r="T592" s="928"/>
      <c r="U592" s="929"/>
      <c r="V592" s="1050"/>
      <c r="W592" s="931"/>
      <c r="X592" s="932"/>
      <c r="Y592" s="917"/>
      <c r="Z592" s="934"/>
      <c r="AA592" s="935"/>
      <c r="AB592" s="936"/>
      <c r="AC592" s="931"/>
      <c r="AD592" s="1026"/>
      <c r="AE592" s="938"/>
      <c r="AF592" s="1027"/>
      <c r="AG592" s="940"/>
      <c r="AH592" s="941"/>
      <c r="AI592" s="942"/>
      <c r="AJ592" s="943"/>
      <c r="AK592" s="1037"/>
      <c r="AL592" s="956"/>
      <c r="AM592" s="946"/>
      <c r="AN592" s="947"/>
      <c r="AO592" s="946"/>
      <c r="AP592" s="947"/>
      <c r="AQ592" s="936"/>
      <c r="AR592" s="948"/>
      <c r="AS592" s="1049"/>
      <c r="AT592" s="946"/>
      <c r="AU592" s="946"/>
      <c r="AV592" s="1051"/>
      <c r="AW592" s="946"/>
      <c r="AX592" s="946"/>
      <c r="AY592" s="946"/>
      <c r="AZ592" s="936"/>
      <c r="BA592" s="950"/>
      <c r="BB592" s="2"/>
      <c r="BC592" s="2"/>
      <c r="BD592" s="950"/>
      <c r="BE592" s="2"/>
      <c r="BF592" s="2"/>
      <c r="BG592" s="950"/>
      <c r="BH592" s="2"/>
      <c r="BI592" s="2"/>
      <c r="BJ592" s="1052"/>
      <c r="BK592" s="2"/>
      <c r="BL592" s="950"/>
      <c r="BM592" s="950"/>
      <c r="BN592" s="2"/>
      <c r="BO592" s="2"/>
      <c r="BP592" s="951"/>
    </row>
    <row r="593" spans="1:68" x14ac:dyDescent="0.4">
      <c r="A593" s="974"/>
      <c r="B593" s="952" t="s">
        <v>1118</v>
      </c>
      <c r="C593" s="1036">
        <v>4.657407407407407E-3</v>
      </c>
      <c r="D593" s="107">
        <f t="shared" si="30"/>
        <v>1.1643518518518517E-3</v>
      </c>
      <c r="E593" s="921"/>
      <c r="F593" s="916"/>
      <c r="G593" s="917"/>
      <c r="H593" s="1022"/>
      <c r="I593" s="919"/>
      <c r="J593" s="920"/>
      <c r="K593" s="921"/>
      <c r="L593" s="921"/>
      <c r="M593" s="923"/>
      <c r="N593" s="924"/>
      <c r="O593" s="924"/>
      <c r="P593" s="917"/>
      <c r="Q593" s="1025"/>
      <c r="R593" s="927"/>
      <c r="S593" s="917"/>
      <c r="T593" s="928"/>
      <c r="U593" s="929"/>
      <c r="V593" s="1050"/>
      <c r="W593" s="931"/>
      <c r="X593" s="932"/>
      <c r="Y593" s="917"/>
      <c r="Z593" s="934"/>
      <c r="AA593" s="935"/>
      <c r="AB593" s="936"/>
      <c r="AC593" s="931"/>
      <c r="AD593" s="1026"/>
      <c r="AE593" s="938"/>
      <c r="AF593" s="1027"/>
      <c r="AG593" s="940"/>
      <c r="AH593" s="941"/>
      <c r="AI593" s="942"/>
      <c r="AJ593" s="943"/>
      <c r="AK593" s="1037"/>
      <c r="AL593" s="956"/>
      <c r="AM593" s="946"/>
      <c r="AN593" s="947"/>
      <c r="AO593" s="946"/>
      <c r="AP593" s="947"/>
      <c r="AQ593" s="936"/>
      <c r="AR593" s="948"/>
      <c r="AS593" s="1049"/>
      <c r="AT593" s="946"/>
      <c r="AU593" s="946"/>
      <c r="AV593" s="1051"/>
      <c r="AW593" s="946"/>
      <c r="AX593" s="946"/>
      <c r="AY593" s="946"/>
      <c r="AZ593" s="936"/>
      <c r="BA593" s="950"/>
      <c r="BB593" s="2"/>
      <c r="BC593" s="2"/>
      <c r="BD593" s="950"/>
      <c r="BE593" s="2"/>
      <c r="BF593" s="2"/>
      <c r="BG593" s="950"/>
      <c r="BH593" s="2"/>
      <c r="BI593" s="2"/>
      <c r="BJ593" s="1052"/>
      <c r="BK593" s="2"/>
      <c r="BL593" s="950"/>
      <c r="BM593" s="950"/>
      <c r="BN593" s="2"/>
      <c r="BO593" s="2"/>
      <c r="BP593" s="951"/>
    </row>
    <row r="594" spans="1:68" x14ac:dyDescent="0.4">
      <c r="A594" s="974"/>
      <c r="B594" s="952" t="s">
        <v>1119</v>
      </c>
      <c r="C594" s="1036">
        <v>4.8700231481481476E-3</v>
      </c>
      <c r="D594" s="107">
        <f t="shared" si="30"/>
        <v>1.2175057870370369E-3</v>
      </c>
      <c r="E594" s="921"/>
      <c r="F594" s="916"/>
      <c r="G594" s="917"/>
      <c r="H594" s="1022"/>
      <c r="I594" s="919"/>
      <c r="J594" s="920"/>
      <c r="K594" s="921"/>
      <c r="L594" s="921"/>
      <c r="M594" s="923"/>
      <c r="N594" s="924"/>
      <c r="O594" s="924"/>
      <c r="P594" s="917"/>
      <c r="Q594" s="1025"/>
      <c r="R594" s="927"/>
      <c r="S594" s="917"/>
      <c r="T594" s="928"/>
      <c r="U594" s="929"/>
      <c r="V594" s="1050"/>
      <c r="W594" s="931"/>
      <c r="X594" s="932"/>
      <c r="Y594" s="917"/>
      <c r="Z594" s="934"/>
      <c r="AA594" s="935"/>
      <c r="AB594" s="936"/>
      <c r="AC594" s="931"/>
      <c r="AD594" s="1026"/>
      <c r="AE594" s="938"/>
      <c r="AF594" s="1027"/>
      <c r="AG594" s="940"/>
      <c r="AH594" s="941"/>
      <c r="AI594" s="942"/>
      <c r="AJ594" s="943"/>
      <c r="AK594" s="1037"/>
      <c r="AL594" s="956"/>
      <c r="AM594" s="946"/>
      <c r="AN594" s="947"/>
      <c r="AO594" s="946"/>
      <c r="AP594" s="947"/>
      <c r="AQ594" s="936"/>
      <c r="AR594" s="948"/>
      <c r="AS594" s="1049"/>
      <c r="AT594" s="946"/>
      <c r="AU594" s="946"/>
      <c r="AV594" s="1051"/>
      <c r="AW594" s="946"/>
      <c r="AX594" s="946"/>
      <c r="AY594" s="946"/>
      <c r="AZ594" s="936"/>
      <c r="BA594" s="950"/>
      <c r="BB594" s="2"/>
      <c r="BC594" s="2"/>
      <c r="BD594" s="950"/>
      <c r="BE594" s="2"/>
      <c r="BF594" s="2"/>
      <c r="BG594" s="950"/>
      <c r="BH594" s="2"/>
      <c r="BI594" s="2"/>
      <c r="BJ594" s="1052"/>
      <c r="BK594" s="2"/>
      <c r="BL594" s="950"/>
      <c r="BM594" s="950"/>
      <c r="BN594" s="2"/>
      <c r="BO594" s="2"/>
      <c r="BP594" s="951"/>
    </row>
    <row r="595" spans="1:68" x14ac:dyDescent="0.4">
      <c r="A595" s="974"/>
      <c r="B595" s="1045" t="s">
        <v>1120</v>
      </c>
      <c r="C595" s="1036">
        <v>4.3336805555555559E-3</v>
      </c>
      <c r="D595" s="107">
        <f t="shared" si="30"/>
        <v>1.083420138888889E-3</v>
      </c>
      <c r="E595" s="921"/>
      <c r="F595" s="916"/>
      <c r="G595" s="917"/>
      <c r="H595" s="1022"/>
      <c r="I595" s="919"/>
      <c r="J595" s="920"/>
      <c r="K595" s="921"/>
      <c r="L595" s="921"/>
      <c r="M595" s="923"/>
      <c r="N595" s="924"/>
      <c r="O595" s="924"/>
      <c r="P595" s="917"/>
      <c r="Q595" s="1025"/>
      <c r="R595" s="927"/>
      <c r="S595" s="917"/>
      <c r="T595" s="928"/>
      <c r="U595" s="929"/>
      <c r="V595" s="1050"/>
      <c r="W595" s="931"/>
      <c r="X595" s="932"/>
      <c r="Y595" s="917"/>
      <c r="Z595" s="934"/>
      <c r="AA595" s="935"/>
      <c r="AB595" s="936"/>
      <c r="AC595" s="931"/>
      <c r="AD595" s="1026"/>
      <c r="AE595" s="938"/>
      <c r="AF595" s="1027"/>
      <c r="AG595" s="940"/>
      <c r="AH595" s="941"/>
      <c r="AI595" s="942"/>
      <c r="AJ595" s="943"/>
      <c r="AK595" s="1037"/>
      <c r="AL595" s="956"/>
      <c r="AM595" s="946"/>
      <c r="AN595" s="947"/>
      <c r="AO595" s="946"/>
      <c r="AP595" s="947"/>
      <c r="AQ595" s="936"/>
      <c r="AR595" s="948"/>
      <c r="AS595" s="1049"/>
      <c r="AT595" s="946"/>
      <c r="AU595" s="946"/>
      <c r="AV595" s="1051"/>
      <c r="AW595" s="946"/>
      <c r="AX595" s="946"/>
      <c r="AY595" s="946"/>
      <c r="AZ595" s="936"/>
      <c r="BA595" s="950"/>
      <c r="BB595" s="2"/>
      <c r="BC595" s="2"/>
      <c r="BD595" s="950"/>
      <c r="BE595" s="2"/>
      <c r="BF595" s="2"/>
      <c r="BG595" s="950"/>
      <c r="BH595" s="2"/>
      <c r="BI595" s="2"/>
      <c r="BJ595" s="1052"/>
      <c r="BK595" s="2"/>
      <c r="BL595" s="950"/>
      <c r="BM595" s="950"/>
      <c r="BN595" s="2"/>
      <c r="BO595" s="2"/>
      <c r="BP595" s="951"/>
    </row>
    <row r="596" spans="1:68" x14ac:dyDescent="0.4">
      <c r="A596" s="974"/>
      <c r="B596" s="952" t="s">
        <v>712</v>
      </c>
      <c r="C596" s="1036">
        <v>4.5629629629629631E-3</v>
      </c>
      <c r="D596" s="107">
        <f t="shared" si="30"/>
        <v>1.1407407407407408E-3</v>
      </c>
      <c r="E596" s="921"/>
      <c r="F596" s="916"/>
      <c r="G596" s="917"/>
      <c r="H596" s="1022"/>
      <c r="I596" s="919"/>
      <c r="J596" s="920"/>
      <c r="K596" s="921"/>
      <c r="L596" s="921"/>
      <c r="M596" s="923"/>
      <c r="N596" s="924"/>
      <c r="O596" s="924"/>
      <c r="P596" s="917"/>
      <c r="Q596" s="1025"/>
      <c r="R596" s="927"/>
      <c r="S596" s="917"/>
      <c r="T596" s="928"/>
      <c r="U596" s="929"/>
      <c r="V596" s="1050"/>
      <c r="W596" s="931"/>
      <c r="X596" s="932"/>
      <c r="Y596" s="917"/>
      <c r="Z596" s="934"/>
      <c r="AA596" s="935"/>
      <c r="AB596" s="936"/>
      <c r="AC596" s="931"/>
      <c r="AD596" s="1026"/>
      <c r="AE596" s="938"/>
      <c r="AF596" s="1027"/>
      <c r="AG596" s="940"/>
      <c r="AH596" s="941"/>
      <c r="AI596" s="942"/>
      <c r="AJ596" s="943"/>
      <c r="AK596" s="1037"/>
      <c r="AL596" s="956"/>
      <c r="AM596" s="946"/>
      <c r="AN596" s="947"/>
      <c r="AO596" s="946"/>
      <c r="AP596" s="947"/>
      <c r="AQ596" s="936"/>
      <c r="AR596" s="948"/>
      <c r="AS596" s="1049"/>
      <c r="AT596" s="946"/>
      <c r="AU596" s="946"/>
      <c r="AV596" s="1051"/>
      <c r="AW596" s="946"/>
      <c r="AX596" s="946"/>
      <c r="AY596" s="946"/>
      <c r="AZ596" s="936"/>
      <c r="BA596" s="950"/>
      <c r="BB596" s="2"/>
      <c r="BC596" s="2"/>
      <c r="BD596" s="950"/>
      <c r="BE596" s="2"/>
      <c r="BF596" s="2"/>
      <c r="BG596" s="950"/>
      <c r="BH596" s="2"/>
      <c r="BI596" s="2"/>
      <c r="BJ596" s="1052"/>
      <c r="BK596" s="2"/>
      <c r="BL596" s="950"/>
      <c r="BM596" s="950"/>
      <c r="BN596" s="2"/>
      <c r="BO596" s="2"/>
      <c r="BP596" s="951"/>
    </row>
    <row r="597" spans="1:68" x14ac:dyDescent="0.4">
      <c r="A597" s="974"/>
      <c r="B597" s="952" t="s">
        <v>1121</v>
      </c>
      <c r="C597" s="1036">
        <v>4.8662037037037033E-3</v>
      </c>
      <c r="D597" s="107">
        <f t="shared" si="30"/>
        <v>1.2165509259259258E-3</v>
      </c>
      <c r="E597" s="921"/>
      <c r="F597" s="916"/>
      <c r="G597" s="917"/>
      <c r="H597" s="1022"/>
      <c r="I597" s="919"/>
      <c r="J597" s="920"/>
      <c r="K597" s="921"/>
      <c r="L597" s="921"/>
      <c r="M597" s="923"/>
      <c r="N597" s="924"/>
      <c r="O597" s="924"/>
      <c r="P597" s="917"/>
      <c r="Q597" s="1025"/>
      <c r="R597" s="927"/>
      <c r="S597" s="917"/>
      <c r="T597" s="928"/>
      <c r="U597" s="929"/>
      <c r="V597" s="1050"/>
      <c r="W597" s="931"/>
      <c r="X597" s="932"/>
      <c r="Y597" s="917"/>
      <c r="Z597" s="934"/>
      <c r="AA597" s="935"/>
      <c r="AB597" s="936"/>
      <c r="AC597" s="931"/>
      <c r="AD597" s="1026"/>
      <c r="AE597" s="938"/>
      <c r="AF597" s="1027"/>
      <c r="AG597" s="940"/>
      <c r="AH597" s="941"/>
      <c r="AI597" s="942"/>
      <c r="AJ597" s="943"/>
      <c r="AK597" s="1037"/>
      <c r="AL597" s="956"/>
      <c r="AM597" s="946"/>
      <c r="AN597" s="947"/>
      <c r="AO597" s="946"/>
      <c r="AP597" s="947"/>
      <c r="AQ597" s="936"/>
      <c r="AR597" s="948"/>
      <c r="AS597" s="1049"/>
      <c r="AT597" s="946"/>
      <c r="AU597" s="946"/>
      <c r="AV597" s="1051"/>
      <c r="AW597" s="946"/>
      <c r="AX597" s="946"/>
      <c r="AY597" s="946"/>
      <c r="AZ597" s="936"/>
      <c r="BA597" s="950"/>
      <c r="BB597" s="2"/>
      <c r="BC597" s="2"/>
      <c r="BD597" s="950"/>
      <c r="BE597" s="2"/>
      <c r="BF597" s="2"/>
      <c r="BG597" s="950"/>
      <c r="BH597" s="2"/>
      <c r="BI597" s="2"/>
      <c r="BJ597" s="1052"/>
      <c r="BK597" s="2"/>
      <c r="BL597" s="950"/>
      <c r="BM597" s="950"/>
      <c r="BN597" s="2"/>
      <c r="BO597" s="2"/>
      <c r="BP597" s="951"/>
    </row>
    <row r="598" spans="1:68" x14ac:dyDescent="0.4">
      <c r="A598" s="974"/>
      <c r="B598" s="952" t="s">
        <v>1122</v>
      </c>
      <c r="C598" s="1036">
        <v>5.0328703703703698E-3</v>
      </c>
      <c r="D598" s="107">
        <f t="shared" si="30"/>
        <v>1.2582175925925925E-3</v>
      </c>
      <c r="E598" s="921"/>
      <c r="F598" s="916"/>
      <c r="G598" s="917"/>
      <c r="H598" s="1022"/>
      <c r="I598" s="919"/>
      <c r="J598" s="920"/>
      <c r="K598" s="921"/>
      <c r="L598" s="921"/>
      <c r="M598" s="923"/>
      <c r="N598" s="924"/>
      <c r="O598" s="924"/>
      <c r="P598" s="917"/>
      <c r="Q598" s="1025"/>
      <c r="R598" s="927"/>
      <c r="S598" s="917"/>
      <c r="T598" s="928"/>
      <c r="U598" s="929"/>
      <c r="V598" s="1050"/>
      <c r="W598" s="931"/>
      <c r="X598" s="932"/>
      <c r="Y598" s="917"/>
      <c r="Z598" s="934"/>
      <c r="AA598" s="935"/>
      <c r="AB598" s="936"/>
      <c r="AC598" s="931"/>
      <c r="AD598" s="1026"/>
      <c r="AE598" s="938"/>
      <c r="AF598" s="1027"/>
      <c r="AG598" s="940"/>
      <c r="AH598" s="941"/>
      <c r="AI598" s="942"/>
      <c r="AJ598" s="943"/>
      <c r="AK598" s="1037"/>
      <c r="AL598" s="956"/>
      <c r="AM598" s="946"/>
      <c r="AN598" s="947"/>
      <c r="AO598" s="946"/>
      <c r="AP598" s="947"/>
      <c r="AQ598" s="936"/>
      <c r="AR598" s="948"/>
      <c r="AS598" s="1049"/>
      <c r="AT598" s="946"/>
      <c r="AU598" s="946"/>
      <c r="AV598" s="1051"/>
      <c r="AW598" s="946"/>
      <c r="AX598" s="946"/>
      <c r="AY598" s="946"/>
      <c r="AZ598" s="936"/>
      <c r="BA598" s="950"/>
      <c r="BB598" s="2"/>
      <c r="BC598" s="2"/>
      <c r="BD598" s="950"/>
      <c r="BE598" s="2"/>
      <c r="BF598" s="2"/>
      <c r="BG598" s="950"/>
      <c r="BH598" s="2"/>
      <c r="BI598" s="2"/>
      <c r="BJ598" s="1052"/>
      <c r="BK598" s="2"/>
      <c r="BL598" s="950"/>
      <c r="BM598" s="950"/>
      <c r="BN598" s="2"/>
      <c r="BO598" s="2"/>
      <c r="BP598" s="951"/>
    </row>
    <row r="599" spans="1:68" x14ac:dyDescent="0.4">
      <c r="A599" s="974"/>
      <c r="B599" s="952" t="s">
        <v>1123</v>
      </c>
      <c r="C599" s="1036">
        <v>4.5018518518518515E-3</v>
      </c>
      <c r="D599" s="107">
        <f t="shared" si="30"/>
        <v>1.1254629629629629E-3</v>
      </c>
      <c r="E599" s="921"/>
      <c r="F599" s="916"/>
      <c r="G599" s="917"/>
      <c r="H599" s="1022"/>
      <c r="I599" s="919"/>
      <c r="J599" s="920"/>
      <c r="K599" s="921"/>
      <c r="L599" s="921"/>
      <c r="M599" s="923"/>
      <c r="N599" s="924"/>
      <c r="O599" s="924"/>
      <c r="P599" s="917"/>
      <c r="Q599" s="1025"/>
      <c r="R599" s="927"/>
      <c r="S599" s="917"/>
      <c r="T599" s="928"/>
      <c r="U599" s="929"/>
      <c r="V599" s="1050"/>
      <c r="W599" s="931"/>
      <c r="X599" s="932"/>
      <c r="Y599" s="917"/>
      <c r="Z599" s="934"/>
      <c r="AA599" s="935"/>
      <c r="AB599" s="936"/>
      <c r="AC599" s="931"/>
      <c r="AD599" s="1026"/>
      <c r="AE599" s="938"/>
      <c r="AF599" s="1027"/>
      <c r="AG599" s="940"/>
      <c r="AH599" s="941"/>
      <c r="AI599" s="942"/>
      <c r="AJ599" s="943"/>
      <c r="AK599" s="1037"/>
      <c r="AL599" s="956"/>
      <c r="AM599" s="946"/>
      <c r="AN599" s="947"/>
      <c r="AO599" s="946"/>
      <c r="AP599" s="947"/>
      <c r="AQ599" s="936"/>
      <c r="AR599" s="948"/>
      <c r="AS599" s="1049"/>
      <c r="AT599" s="946"/>
      <c r="AU599" s="946"/>
      <c r="AV599" s="1051"/>
      <c r="AW599" s="946"/>
      <c r="AX599" s="946"/>
      <c r="AY599" s="946"/>
      <c r="AZ599" s="936"/>
      <c r="BA599" s="950"/>
      <c r="BB599" s="2"/>
      <c r="BC599" s="2"/>
      <c r="BD599" s="950"/>
      <c r="BE599" s="2"/>
      <c r="BF599" s="2"/>
      <c r="BG599" s="950"/>
      <c r="BH599" s="2"/>
      <c r="BI599" s="2"/>
      <c r="BJ599" s="1052"/>
      <c r="BK599" s="2"/>
      <c r="BL599" s="950"/>
      <c r="BM599" s="950"/>
      <c r="BN599" s="2"/>
      <c r="BO599" s="2"/>
      <c r="BP599" s="951"/>
    </row>
    <row r="600" spans="1:68" x14ac:dyDescent="0.4">
      <c r="A600" s="974"/>
      <c r="B600" s="952" t="s">
        <v>1124</v>
      </c>
      <c r="C600" s="1036">
        <v>4.8920138888888893E-3</v>
      </c>
      <c r="D600" s="107">
        <f t="shared" si="30"/>
        <v>1.2230034722222223E-3</v>
      </c>
      <c r="E600" s="921"/>
      <c r="F600" s="916"/>
      <c r="G600" s="917"/>
      <c r="H600" s="1022"/>
      <c r="I600" s="919"/>
      <c r="J600" s="920"/>
      <c r="K600" s="921"/>
      <c r="L600" s="921"/>
      <c r="M600" s="923"/>
      <c r="N600" s="924"/>
      <c r="O600" s="924"/>
      <c r="P600" s="917"/>
      <c r="Q600" s="1025"/>
      <c r="R600" s="927"/>
      <c r="S600" s="917"/>
      <c r="T600" s="928"/>
      <c r="U600" s="929"/>
      <c r="V600" s="1050"/>
      <c r="W600" s="931"/>
      <c r="X600" s="932"/>
      <c r="Y600" s="917"/>
      <c r="Z600" s="934"/>
      <c r="AA600" s="935"/>
      <c r="AB600" s="936"/>
      <c r="AC600" s="931"/>
      <c r="AD600" s="1026"/>
      <c r="AE600" s="938"/>
      <c r="AF600" s="1027"/>
      <c r="AG600" s="940"/>
      <c r="AH600" s="941"/>
      <c r="AI600" s="942"/>
      <c r="AJ600" s="943"/>
      <c r="AK600" s="1037"/>
      <c r="AL600" s="956"/>
      <c r="AM600" s="946"/>
      <c r="AN600" s="947"/>
      <c r="AO600" s="946"/>
      <c r="AP600" s="947"/>
      <c r="AQ600" s="936"/>
      <c r="AR600" s="948"/>
      <c r="AS600" s="1049"/>
      <c r="AT600" s="946"/>
      <c r="AU600" s="946"/>
      <c r="AV600" s="1051"/>
      <c r="AW600" s="946"/>
      <c r="AX600" s="946"/>
      <c r="AY600" s="946"/>
      <c r="AZ600" s="936"/>
      <c r="BA600" s="950"/>
      <c r="BB600" s="2"/>
      <c r="BC600" s="2"/>
      <c r="BD600" s="950"/>
      <c r="BE600" s="2"/>
      <c r="BF600" s="2"/>
      <c r="BG600" s="950"/>
      <c r="BH600" s="2"/>
      <c r="BI600" s="2"/>
      <c r="BJ600" s="1052"/>
      <c r="BK600" s="2"/>
      <c r="BL600" s="950"/>
      <c r="BM600" s="950"/>
      <c r="BN600" s="2"/>
      <c r="BO600" s="2"/>
      <c r="BP600" s="951"/>
    </row>
    <row r="601" spans="1:68" x14ac:dyDescent="0.4">
      <c r="A601" s="974"/>
      <c r="B601" s="952" t="s">
        <v>1125</v>
      </c>
      <c r="C601" s="1036">
        <v>5.3074074074074074E-3</v>
      </c>
      <c r="D601" s="107">
        <f t="shared" si="30"/>
        <v>1.3268518518518518E-3</v>
      </c>
      <c r="E601" s="921"/>
      <c r="F601" s="916"/>
      <c r="G601" s="917"/>
      <c r="H601" s="1022"/>
      <c r="I601" s="919"/>
      <c r="J601" s="920"/>
      <c r="K601" s="921"/>
      <c r="L601" s="921"/>
      <c r="M601" s="923"/>
      <c r="N601" s="924"/>
      <c r="O601" s="924"/>
      <c r="P601" s="917"/>
      <c r="Q601" s="1025"/>
      <c r="R601" s="927"/>
      <c r="S601" s="917"/>
      <c r="T601" s="928"/>
      <c r="U601" s="929"/>
      <c r="V601" s="1050"/>
      <c r="W601" s="931"/>
      <c r="X601" s="932"/>
      <c r="Y601" s="917"/>
      <c r="Z601" s="934"/>
      <c r="AA601" s="935"/>
      <c r="AB601" s="936"/>
      <c r="AC601" s="931"/>
      <c r="AD601" s="1026"/>
      <c r="AE601" s="938"/>
      <c r="AF601" s="1027"/>
      <c r="AG601" s="940"/>
      <c r="AH601" s="941"/>
      <c r="AI601" s="942"/>
      <c r="AJ601" s="943"/>
      <c r="AK601" s="1037"/>
      <c r="AL601" s="956"/>
      <c r="AM601" s="946"/>
      <c r="AN601" s="947"/>
      <c r="AO601" s="946"/>
      <c r="AP601" s="947"/>
      <c r="AQ601" s="936"/>
      <c r="AR601" s="948"/>
      <c r="AS601" s="1049"/>
      <c r="AT601" s="946"/>
      <c r="AU601" s="946"/>
      <c r="AV601" s="1051"/>
      <c r="AW601" s="946"/>
      <c r="AX601" s="946"/>
      <c r="AY601" s="946"/>
      <c r="AZ601" s="936"/>
      <c r="BA601" s="950"/>
      <c r="BB601" s="2"/>
      <c r="BC601" s="2"/>
      <c r="BD601" s="950"/>
      <c r="BE601" s="2"/>
      <c r="BF601" s="2"/>
      <c r="BG601" s="950"/>
      <c r="BH601" s="2"/>
      <c r="BI601" s="2"/>
      <c r="BJ601" s="1052"/>
      <c r="BK601" s="2"/>
      <c r="BL601" s="950"/>
      <c r="BM601" s="950"/>
      <c r="BN601" s="2"/>
      <c r="BO601" s="2"/>
      <c r="BP601" s="951"/>
    </row>
    <row r="602" spans="1:68" x14ac:dyDescent="0.4">
      <c r="A602" s="974"/>
      <c r="B602" s="952" t="s">
        <v>1126</v>
      </c>
      <c r="C602" s="1036">
        <v>4.587962962962963E-3</v>
      </c>
      <c r="D602" s="107">
        <f t="shared" si="30"/>
        <v>1.1469907407407407E-3</v>
      </c>
      <c r="E602" s="921"/>
      <c r="F602" s="916"/>
      <c r="G602" s="917"/>
      <c r="H602" s="1022"/>
      <c r="I602" s="919"/>
      <c r="J602" s="920"/>
      <c r="K602" s="921"/>
      <c r="L602" s="921"/>
      <c r="M602" s="923"/>
      <c r="N602" s="924"/>
      <c r="O602" s="924"/>
      <c r="P602" s="917"/>
      <c r="Q602" s="1025"/>
      <c r="R602" s="927"/>
      <c r="S602" s="917"/>
      <c r="T602" s="928"/>
      <c r="U602" s="929"/>
      <c r="V602" s="930"/>
      <c r="W602" s="931"/>
      <c r="X602" s="932"/>
      <c r="Y602" s="933"/>
      <c r="Z602" s="934"/>
      <c r="AA602" s="935"/>
      <c r="AB602" s="936"/>
      <c r="AC602" s="931"/>
      <c r="AD602" s="1026"/>
      <c r="AE602" s="938"/>
      <c r="AF602" s="1027"/>
      <c r="AG602" s="940"/>
      <c r="AH602" s="941"/>
      <c r="AI602" s="942"/>
      <c r="AJ602" s="943"/>
      <c r="AK602" s="1037"/>
      <c r="AL602" s="956"/>
      <c r="AM602" s="946"/>
      <c r="AN602" s="947"/>
      <c r="AO602" s="946"/>
      <c r="AP602" s="947"/>
      <c r="AQ602" s="946"/>
      <c r="AR602" s="948"/>
      <c r="AS602" s="946"/>
      <c r="AT602" s="946"/>
      <c r="AU602" s="946"/>
      <c r="AV602" s="916"/>
      <c r="AW602" s="946"/>
      <c r="AX602" s="946"/>
      <c r="AY602" s="946"/>
      <c r="AZ602" s="946"/>
      <c r="BA602" s="949"/>
      <c r="BB602" s="59"/>
      <c r="BC602" s="59"/>
      <c r="BD602" s="949"/>
      <c r="BE602" s="59"/>
      <c r="BF602" s="59"/>
      <c r="BG602" s="949"/>
      <c r="BH602" s="59"/>
      <c r="BI602" s="59"/>
      <c r="BJ602" s="946"/>
      <c r="BK602" s="2"/>
      <c r="BL602" s="950"/>
      <c r="BM602" s="950"/>
      <c r="BN602" s="2"/>
      <c r="BO602" s="2"/>
      <c r="BP602" s="951"/>
    </row>
    <row r="603" spans="1:68" x14ac:dyDescent="0.4">
      <c r="A603" s="974"/>
      <c r="B603" s="952" t="s">
        <v>1127</v>
      </c>
      <c r="C603" s="1036">
        <v>4.9432870370370377E-3</v>
      </c>
      <c r="D603" s="107">
        <f t="shared" si="30"/>
        <v>1.2358217592592594E-3</v>
      </c>
      <c r="E603" s="921"/>
      <c r="F603" s="916"/>
      <c r="G603" s="917"/>
      <c r="H603" s="1022"/>
      <c r="I603" s="919"/>
      <c r="J603" s="920"/>
      <c r="K603" s="921"/>
      <c r="L603" s="921"/>
      <c r="M603" s="923"/>
      <c r="N603" s="924"/>
      <c r="O603" s="924"/>
      <c r="P603" s="917"/>
      <c r="Q603" s="1025"/>
      <c r="R603" s="927"/>
      <c r="S603" s="917"/>
      <c r="T603" s="928"/>
      <c r="U603" s="929"/>
      <c r="V603" s="930"/>
      <c r="W603" s="931"/>
      <c r="X603" s="932"/>
      <c r="Y603" s="933"/>
      <c r="Z603" s="934"/>
      <c r="AA603" s="935"/>
      <c r="AB603" s="936"/>
      <c r="AC603" s="931"/>
      <c r="AD603" s="1026"/>
      <c r="AE603" s="938"/>
      <c r="AF603" s="1027"/>
      <c r="AG603" s="940"/>
      <c r="AH603" s="941"/>
      <c r="AI603" s="942"/>
      <c r="AJ603" s="943"/>
      <c r="AK603" s="1037"/>
      <c r="AL603" s="956"/>
      <c r="AM603" s="946"/>
      <c r="AN603" s="947"/>
      <c r="AO603" s="946"/>
      <c r="AP603" s="947"/>
      <c r="AQ603" s="946"/>
      <c r="AR603" s="948"/>
      <c r="AS603" s="946"/>
      <c r="AT603" s="946"/>
      <c r="AU603" s="946"/>
      <c r="AV603" s="916"/>
      <c r="AW603" s="946"/>
      <c r="AX603" s="946"/>
      <c r="AY603" s="946"/>
      <c r="AZ603" s="946"/>
      <c r="BA603" s="949"/>
      <c r="BB603" s="59"/>
      <c r="BC603" s="59"/>
      <c r="BD603" s="949"/>
      <c r="BE603" s="59"/>
      <c r="BF603" s="59"/>
      <c r="BG603" s="949"/>
      <c r="BH603" s="59"/>
      <c r="BI603" s="59"/>
      <c r="BJ603" s="946"/>
      <c r="BK603" s="2"/>
      <c r="BL603" s="950"/>
      <c r="BM603" s="950"/>
      <c r="BN603" s="2"/>
      <c r="BO603" s="2"/>
      <c r="BP603" s="951"/>
    </row>
    <row r="604" spans="1:68" x14ac:dyDescent="0.4">
      <c r="A604" s="974"/>
      <c r="B604" s="952" t="s">
        <v>1128</v>
      </c>
      <c r="C604" s="1036">
        <v>5.2189814814814816E-3</v>
      </c>
      <c r="D604" s="107">
        <f t="shared" si="30"/>
        <v>1.3047453703703704E-3</v>
      </c>
      <c r="E604" s="921"/>
      <c r="F604" s="916"/>
      <c r="G604" s="917"/>
      <c r="H604" s="1022"/>
      <c r="I604" s="919"/>
      <c r="J604" s="920"/>
      <c r="K604" s="921"/>
      <c r="L604" s="921"/>
      <c r="M604" s="923"/>
      <c r="N604" s="924"/>
      <c r="O604" s="924"/>
      <c r="P604" s="917"/>
      <c r="Q604" s="1025"/>
      <c r="R604" s="927"/>
      <c r="S604" s="917"/>
      <c r="T604" s="928"/>
      <c r="U604" s="929"/>
      <c r="V604" s="930"/>
      <c r="W604" s="931"/>
      <c r="X604" s="932"/>
      <c r="Y604" s="933"/>
      <c r="Z604" s="934"/>
      <c r="AA604" s="935"/>
      <c r="AB604" s="936"/>
      <c r="AC604" s="931"/>
      <c r="AD604" s="1026"/>
      <c r="AE604" s="938"/>
      <c r="AF604" s="1027"/>
      <c r="AG604" s="940"/>
      <c r="AH604" s="941"/>
      <c r="AI604" s="942"/>
      <c r="AJ604" s="943"/>
      <c r="AK604" s="1037"/>
      <c r="AL604" s="956"/>
      <c r="AM604" s="946"/>
      <c r="AN604" s="947"/>
      <c r="AO604" s="946"/>
      <c r="AP604" s="947"/>
      <c r="AQ604" s="946"/>
      <c r="AR604" s="948"/>
      <c r="AS604" s="946"/>
      <c r="AT604" s="946"/>
      <c r="AU604" s="946"/>
      <c r="AV604" s="916"/>
      <c r="AW604" s="946"/>
      <c r="AX604" s="946"/>
      <c r="AY604" s="946"/>
      <c r="AZ604" s="946"/>
      <c r="BA604" s="949"/>
      <c r="BB604" s="59"/>
      <c r="BC604" s="59"/>
      <c r="BD604" s="949"/>
      <c r="BE604" s="59"/>
      <c r="BF604" s="59"/>
      <c r="BG604" s="949"/>
      <c r="BH604" s="59"/>
      <c r="BI604" s="59"/>
      <c r="BJ604" s="946"/>
      <c r="BK604" s="2"/>
      <c r="BL604" s="950"/>
      <c r="BM604" s="950"/>
      <c r="BN604" s="2"/>
      <c r="BO604" s="2"/>
      <c r="BP604" s="951"/>
    </row>
    <row r="605" spans="1:68" x14ac:dyDescent="0.4">
      <c r="A605" s="974"/>
      <c r="B605" s="952" t="s">
        <v>1129</v>
      </c>
      <c r="C605" s="1046">
        <v>5.368518518518519E-3</v>
      </c>
      <c r="D605" s="107">
        <f t="shared" si="30"/>
        <v>1.3421296296296297E-3</v>
      </c>
      <c r="E605" s="921"/>
      <c r="F605" s="916"/>
      <c r="G605" s="917"/>
      <c r="H605" s="953"/>
      <c r="I605" s="919"/>
      <c r="J605" s="920"/>
      <c r="K605" s="921"/>
      <c r="L605" s="921"/>
      <c r="M605" s="923"/>
      <c r="N605" s="924"/>
      <c r="O605" s="924"/>
      <c r="P605" s="917"/>
      <c r="Q605" s="929"/>
      <c r="R605" s="927"/>
      <c r="S605" s="917"/>
      <c r="T605" s="928"/>
      <c r="U605" s="929"/>
      <c r="V605" s="930"/>
      <c r="W605" s="931"/>
      <c r="X605" s="932"/>
      <c r="Y605" s="933"/>
      <c r="Z605" s="934"/>
      <c r="AA605" s="935"/>
      <c r="AB605" s="936"/>
      <c r="AC605" s="931"/>
      <c r="AD605" s="954"/>
      <c r="AE605" s="938"/>
      <c r="AF605" s="955"/>
      <c r="AG605" s="940"/>
      <c r="AH605" s="941"/>
      <c r="AI605" s="942"/>
      <c r="AJ605" s="943"/>
      <c r="AK605" s="1037"/>
      <c r="AL605" s="956"/>
      <c r="AM605" s="946"/>
      <c r="AN605" s="947"/>
      <c r="AO605" s="946"/>
      <c r="AP605" s="947"/>
      <c r="AQ605" s="946"/>
      <c r="AR605" s="948"/>
      <c r="AS605" s="946"/>
      <c r="AT605" s="946"/>
      <c r="AU605" s="946"/>
      <c r="AV605" s="916"/>
      <c r="AW605" s="946"/>
      <c r="AX605" s="946"/>
      <c r="AY605" s="946"/>
      <c r="AZ605" s="946"/>
      <c r="BA605" s="949"/>
      <c r="BB605" s="59"/>
      <c r="BC605" s="59"/>
      <c r="BD605" s="949"/>
      <c r="BE605" s="59"/>
      <c r="BF605" s="59"/>
      <c r="BG605" s="949"/>
      <c r="BH605" s="59"/>
      <c r="BI605" s="59"/>
      <c r="BJ605" s="946"/>
      <c r="BK605" s="2"/>
      <c r="BL605" s="950"/>
      <c r="BM605" s="950"/>
      <c r="BN605" s="2"/>
      <c r="BO605" s="2"/>
      <c r="BP605" s="951"/>
    </row>
    <row r="606" spans="1:68" x14ac:dyDescent="0.4">
      <c r="A606" s="974"/>
      <c r="B606" s="1045" t="s">
        <v>1130</v>
      </c>
      <c r="C606" s="1046">
        <v>5.0925925925925921E-3</v>
      </c>
      <c r="D606" s="107">
        <f t="shared" si="30"/>
        <v>1.273148148148148E-3</v>
      </c>
      <c r="E606" s="921"/>
      <c r="F606" s="916"/>
      <c r="G606" s="917"/>
      <c r="H606" s="953"/>
      <c r="I606" s="919"/>
      <c r="J606" s="920"/>
      <c r="K606" s="921"/>
      <c r="L606" s="921"/>
      <c r="M606" s="923"/>
      <c r="N606" s="924"/>
      <c r="O606" s="924"/>
      <c r="P606" s="917"/>
      <c r="Q606" s="929"/>
      <c r="R606" s="927"/>
      <c r="S606" s="917"/>
      <c r="T606" s="928"/>
      <c r="U606" s="929"/>
      <c r="V606" s="930"/>
      <c r="W606" s="931"/>
      <c r="X606" s="932"/>
      <c r="Y606" s="933"/>
      <c r="Z606" s="934"/>
      <c r="AA606" s="935"/>
      <c r="AB606" s="936"/>
      <c r="AC606" s="931"/>
      <c r="AD606" s="954"/>
      <c r="AE606" s="938"/>
      <c r="AF606" s="955"/>
      <c r="AG606" s="940"/>
      <c r="AH606" s="941"/>
      <c r="AI606" s="942"/>
      <c r="AJ606" s="943"/>
      <c r="AK606" s="1037"/>
      <c r="AL606" s="956"/>
      <c r="AM606" s="946"/>
      <c r="AN606" s="947"/>
      <c r="AO606" s="946"/>
      <c r="AP606" s="947"/>
      <c r="AQ606" s="946"/>
      <c r="AR606" s="948"/>
      <c r="AS606" s="946"/>
      <c r="AT606" s="946"/>
      <c r="AU606" s="946"/>
      <c r="AV606" s="916"/>
      <c r="AW606" s="946"/>
      <c r="AX606" s="946"/>
      <c r="AY606" s="946"/>
      <c r="AZ606" s="946"/>
      <c r="BA606" s="949"/>
      <c r="BB606" s="59"/>
      <c r="BC606" s="59"/>
      <c r="BD606" s="949"/>
      <c r="BE606" s="59"/>
      <c r="BF606" s="59"/>
      <c r="BG606" s="949"/>
      <c r="BH606" s="59"/>
      <c r="BI606" s="59"/>
      <c r="BJ606" s="946"/>
      <c r="BK606" s="2"/>
      <c r="BL606" s="950"/>
      <c r="BM606" s="950"/>
      <c r="BN606" s="2"/>
      <c r="BO606" s="2"/>
      <c r="BP606" s="951"/>
    </row>
    <row r="607" spans="1:68" x14ac:dyDescent="0.4">
      <c r="A607" s="974"/>
      <c r="B607" s="1045" t="s">
        <v>1131</v>
      </c>
      <c r="C607" s="1046">
        <v>4.7569444444444447E-3</v>
      </c>
      <c r="D607" s="107">
        <f t="shared" si="30"/>
        <v>1.1892361111111112E-3</v>
      </c>
      <c r="E607" s="921"/>
      <c r="F607" s="916"/>
      <c r="G607" s="917"/>
      <c r="H607" s="953"/>
      <c r="I607" s="919"/>
      <c r="J607" s="920"/>
      <c r="K607" s="921"/>
      <c r="L607" s="921"/>
      <c r="M607" s="923"/>
      <c r="N607" s="924"/>
      <c r="O607" s="924"/>
      <c r="P607" s="917"/>
      <c r="Q607" s="929"/>
      <c r="R607" s="927"/>
      <c r="S607" s="917"/>
      <c r="T607" s="928"/>
      <c r="U607" s="929"/>
      <c r="V607" s="930"/>
      <c r="W607" s="931"/>
      <c r="X607" s="932"/>
      <c r="Y607" s="933"/>
      <c r="Z607" s="934"/>
      <c r="AA607" s="935"/>
      <c r="AB607" s="936"/>
      <c r="AC607" s="931"/>
      <c r="AD607" s="954"/>
      <c r="AE607" s="938"/>
      <c r="AF607" s="955"/>
      <c r="AG607" s="940"/>
      <c r="AH607" s="941"/>
      <c r="AI607" s="942"/>
      <c r="AJ607" s="943"/>
      <c r="AK607" s="1037"/>
      <c r="AL607" s="956"/>
      <c r="AM607" s="946"/>
      <c r="AN607" s="947"/>
      <c r="AO607" s="946"/>
      <c r="AP607" s="947"/>
      <c r="AQ607" s="946"/>
      <c r="AR607" s="948"/>
      <c r="AS607" s="946"/>
      <c r="AT607" s="946"/>
      <c r="AU607" s="946"/>
      <c r="AV607" s="916"/>
      <c r="AW607" s="946"/>
      <c r="AX607" s="946"/>
      <c r="AY607" s="946"/>
      <c r="AZ607" s="946"/>
      <c r="BA607" s="949"/>
      <c r="BB607" s="59"/>
      <c r="BC607" s="59"/>
      <c r="BD607" s="949"/>
      <c r="BE607" s="59"/>
      <c r="BF607" s="59"/>
      <c r="BG607" s="949"/>
      <c r="BH607" s="59"/>
      <c r="BI607" s="59"/>
      <c r="BJ607" s="946"/>
      <c r="BK607" s="2"/>
      <c r="BL607" s="950"/>
      <c r="BM607" s="950"/>
      <c r="BN607" s="2"/>
      <c r="BO607" s="2"/>
      <c r="BP607" s="951"/>
    </row>
    <row r="608" spans="1:68" x14ac:dyDescent="0.4">
      <c r="A608" s="974"/>
      <c r="B608" s="1045" t="s">
        <v>1132</v>
      </c>
      <c r="C608" s="1046">
        <v>5.1736111111111115E-3</v>
      </c>
      <c r="D608" s="107">
        <f t="shared" si="30"/>
        <v>1.2934027777777779E-3</v>
      </c>
      <c r="E608" s="921"/>
      <c r="F608" s="916"/>
      <c r="G608" s="917"/>
      <c r="H608" s="953"/>
      <c r="I608" s="919"/>
      <c r="J608" s="920"/>
      <c r="K608" s="921"/>
      <c r="L608" s="921"/>
      <c r="M608" s="923"/>
      <c r="N608" s="924"/>
      <c r="O608" s="924"/>
      <c r="P608" s="917"/>
      <c r="Q608" s="929"/>
      <c r="R608" s="927"/>
      <c r="S608" s="917"/>
      <c r="T608" s="928"/>
      <c r="U608" s="929"/>
      <c r="V608" s="930"/>
      <c r="W608" s="931"/>
      <c r="X608" s="932"/>
      <c r="Y608" s="933"/>
      <c r="Z608" s="934"/>
      <c r="AA608" s="935"/>
      <c r="AB608" s="936"/>
      <c r="AC608" s="931"/>
      <c r="AD608" s="954"/>
      <c r="AE608" s="938"/>
      <c r="AF608" s="955"/>
      <c r="AG608" s="940"/>
      <c r="AH608" s="941"/>
      <c r="AI608" s="942"/>
      <c r="AJ608" s="943"/>
      <c r="AK608" s="1037"/>
      <c r="AL608" s="956"/>
      <c r="AM608" s="946"/>
      <c r="AN608" s="947"/>
      <c r="AO608" s="946"/>
      <c r="AP608" s="947"/>
      <c r="AQ608" s="946"/>
      <c r="AR608" s="948"/>
      <c r="AS608" s="946"/>
      <c r="AT608" s="946"/>
      <c r="AU608" s="946"/>
      <c r="AV608" s="916"/>
      <c r="AW608" s="946"/>
      <c r="AX608" s="946"/>
      <c r="AY608" s="946"/>
      <c r="AZ608" s="946"/>
      <c r="BA608" s="949"/>
      <c r="BB608" s="59"/>
      <c r="BC608" s="59"/>
      <c r="BD608" s="949"/>
      <c r="BE608" s="59"/>
      <c r="BF608" s="59"/>
      <c r="BG608" s="949"/>
      <c r="BH608" s="59"/>
      <c r="BI608" s="59"/>
      <c r="BJ608" s="946"/>
      <c r="BK608" s="2"/>
      <c r="BL608" s="950"/>
      <c r="BM608" s="950"/>
      <c r="BN608" s="2"/>
      <c r="BO608" s="2"/>
      <c r="BP608" s="951"/>
    </row>
    <row r="609" spans="1:68" x14ac:dyDescent="0.4">
      <c r="A609" s="974"/>
      <c r="B609" s="1045" t="s">
        <v>1133</v>
      </c>
      <c r="C609" s="1046">
        <v>4.7337962962962958E-3</v>
      </c>
      <c r="D609" s="107">
        <f t="shared" si="30"/>
        <v>1.183449074074074E-3</v>
      </c>
      <c r="E609" s="921"/>
      <c r="F609" s="916"/>
      <c r="G609" s="917"/>
      <c r="H609" s="953"/>
      <c r="I609" s="919"/>
      <c r="J609" s="920"/>
      <c r="K609" s="921"/>
      <c r="L609" s="921"/>
      <c r="M609" s="923"/>
      <c r="N609" s="924"/>
      <c r="O609" s="924"/>
      <c r="P609" s="917"/>
      <c r="Q609" s="929"/>
      <c r="R609" s="927"/>
      <c r="S609" s="917"/>
      <c r="T609" s="928"/>
      <c r="U609" s="929"/>
      <c r="V609" s="930"/>
      <c r="W609" s="931"/>
      <c r="X609" s="932"/>
      <c r="Y609" s="933"/>
      <c r="Z609" s="934"/>
      <c r="AA609" s="935"/>
      <c r="AB609" s="936"/>
      <c r="AC609" s="931"/>
      <c r="AD609" s="954"/>
      <c r="AE609" s="938"/>
      <c r="AF609" s="955"/>
      <c r="AG609" s="940"/>
      <c r="AH609" s="941"/>
      <c r="AI609" s="942"/>
      <c r="AJ609" s="943"/>
      <c r="AK609" s="1037"/>
      <c r="AL609" s="956"/>
      <c r="AM609" s="946"/>
      <c r="AN609" s="947"/>
      <c r="AO609" s="946"/>
      <c r="AP609" s="947"/>
      <c r="AQ609" s="946"/>
      <c r="AR609" s="948"/>
      <c r="AS609" s="946"/>
      <c r="AT609" s="946"/>
      <c r="AU609" s="946"/>
      <c r="AV609" s="916"/>
      <c r="AW609" s="946"/>
      <c r="AX609" s="946"/>
      <c r="AY609" s="946"/>
      <c r="AZ609" s="946"/>
      <c r="BA609" s="949"/>
      <c r="BB609" s="59"/>
      <c r="BC609" s="59"/>
      <c r="BD609" s="949"/>
      <c r="BE609" s="59"/>
      <c r="BF609" s="59"/>
      <c r="BG609" s="949"/>
      <c r="BH609" s="59"/>
      <c r="BI609" s="59"/>
      <c r="BJ609" s="946"/>
      <c r="BK609" s="2"/>
      <c r="BL609" s="950"/>
      <c r="BM609" s="950"/>
      <c r="BN609" s="2"/>
      <c r="BO609" s="2"/>
      <c r="BP609" s="951"/>
    </row>
    <row r="610" spans="1:68" x14ac:dyDescent="0.4">
      <c r="A610" s="974"/>
      <c r="B610" s="1045" t="s">
        <v>1134</v>
      </c>
      <c r="C610" s="1046">
        <v>5.1504629629629635E-3</v>
      </c>
      <c r="D610" s="107">
        <f t="shared" si="30"/>
        <v>1.2876157407407409E-3</v>
      </c>
      <c r="E610" s="921"/>
      <c r="F610" s="916"/>
      <c r="G610" s="917"/>
      <c r="H610" s="953"/>
      <c r="I610" s="919"/>
      <c r="J610" s="920"/>
      <c r="K610" s="921"/>
      <c r="L610" s="921"/>
      <c r="M610" s="923"/>
      <c r="N610" s="924"/>
      <c r="O610" s="924"/>
      <c r="P610" s="917"/>
      <c r="Q610" s="929"/>
      <c r="R610" s="927"/>
      <c r="S610" s="917"/>
      <c r="T610" s="928"/>
      <c r="U610" s="929"/>
      <c r="V610" s="930"/>
      <c r="W610" s="931"/>
      <c r="X610" s="932"/>
      <c r="Y610" s="933"/>
      <c r="Z610" s="934"/>
      <c r="AA610" s="935"/>
      <c r="AB610" s="936"/>
      <c r="AC610" s="931"/>
      <c r="AD610" s="954"/>
      <c r="AE610" s="938"/>
      <c r="AF610" s="955"/>
      <c r="AG610" s="940"/>
      <c r="AH610" s="941"/>
      <c r="AI610" s="942"/>
      <c r="AJ610" s="943"/>
      <c r="AK610" s="1037"/>
      <c r="AL610" s="956"/>
      <c r="AM610" s="946"/>
      <c r="AN610" s="947"/>
      <c r="AO610" s="946"/>
      <c r="AP610" s="947"/>
      <c r="AQ610" s="946"/>
      <c r="AR610" s="948"/>
      <c r="AS610" s="946"/>
      <c r="AT610" s="946"/>
      <c r="AU610" s="946"/>
      <c r="AV610" s="916"/>
      <c r="AW610" s="946"/>
      <c r="AX610" s="946"/>
      <c r="AY610" s="946"/>
      <c r="AZ610" s="946"/>
      <c r="BA610" s="949"/>
      <c r="BB610" s="59"/>
      <c r="BC610" s="59"/>
      <c r="BD610" s="949"/>
      <c r="BE610" s="59"/>
      <c r="BF610" s="59"/>
      <c r="BG610" s="949"/>
      <c r="BH610" s="59"/>
      <c r="BI610" s="59"/>
      <c r="BJ610" s="946"/>
      <c r="BK610" s="2"/>
      <c r="BL610" s="950"/>
      <c r="BM610" s="950"/>
      <c r="BN610" s="2"/>
      <c r="BO610" s="2"/>
      <c r="BP610" s="951"/>
    </row>
    <row r="611" spans="1:68" x14ac:dyDescent="0.4">
      <c r="A611" s="974"/>
      <c r="B611" s="1045" t="s">
        <v>1135</v>
      </c>
      <c r="C611" s="1046">
        <v>4.8148148148148152E-3</v>
      </c>
      <c r="D611" s="107">
        <f t="shared" si="30"/>
        <v>1.2037037037037038E-3</v>
      </c>
      <c r="E611" s="921"/>
      <c r="F611" s="916"/>
      <c r="G611" s="917"/>
      <c r="H611" s="953"/>
      <c r="I611" s="919"/>
      <c r="J611" s="920"/>
      <c r="K611" s="921"/>
      <c r="L611" s="921"/>
      <c r="M611" s="923"/>
      <c r="N611" s="924"/>
      <c r="O611" s="924"/>
      <c r="P611" s="917"/>
      <c r="Q611" s="929"/>
      <c r="R611" s="927"/>
      <c r="S611" s="917"/>
      <c r="T611" s="928"/>
      <c r="U611" s="929"/>
      <c r="V611" s="930"/>
      <c r="W611" s="931"/>
      <c r="X611" s="932"/>
      <c r="Y611" s="933"/>
      <c r="Z611" s="934"/>
      <c r="AA611" s="935"/>
      <c r="AB611" s="936"/>
      <c r="AC611" s="931"/>
      <c r="AD611" s="954"/>
      <c r="AE611" s="938"/>
      <c r="AF611" s="955"/>
      <c r="AG611" s="940"/>
      <c r="AH611" s="941"/>
      <c r="AI611" s="942"/>
      <c r="AJ611" s="943"/>
      <c r="AK611" s="1037"/>
      <c r="AL611" s="956"/>
      <c r="AM611" s="946"/>
      <c r="AN611" s="947"/>
      <c r="AO611" s="946"/>
      <c r="AP611" s="947"/>
      <c r="AQ611" s="946"/>
      <c r="AR611" s="948"/>
      <c r="AS611" s="946"/>
      <c r="AT611" s="946"/>
      <c r="AU611" s="946"/>
      <c r="AV611" s="916"/>
      <c r="AW611" s="946"/>
      <c r="AX611" s="946"/>
      <c r="AY611" s="946"/>
      <c r="AZ611" s="946"/>
      <c r="BA611" s="949"/>
      <c r="BB611" s="59"/>
      <c r="BC611" s="59"/>
      <c r="BD611" s="949"/>
      <c r="BE611" s="59"/>
      <c r="BF611" s="59"/>
      <c r="BG611" s="949"/>
      <c r="BH611" s="59"/>
      <c r="BI611" s="59"/>
      <c r="BJ611" s="946"/>
      <c r="BK611" s="2"/>
      <c r="BL611" s="950"/>
      <c r="BM611" s="950"/>
      <c r="BN611" s="2"/>
      <c r="BO611" s="2"/>
      <c r="BP611" s="951"/>
    </row>
    <row r="612" spans="1:68" x14ac:dyDescent="0.4">
      <c r="A612" s="974"/>
      <c r="B612" s="1045" t="s">
        <v>1136</v>
      </c>
      <c r="C612" s="1046">
        <v>5.2314814814814819E-3</v>
      </c>
      <c r="D612" s="107">
        <f t="shared" si="30"/>
        <v>1.3078703703703705E-3</v>
      </c>
      <c r="E612" s="921"/>
      <c r="F612" s="916"/>
      <c r="G612" s="917"/>
      <c r="H612" s="953"/>
      <c r="I612" s="919"/>
      <c r="J612" s="920"/>
      <c r="K612" s="921"/>
      <c r="L612" s="921"/>
      <c r="M612" s="923"/>
      <c r="N612" s="924"/>
      <c r="O612" s="924"/>
      <c r="P612" s="917"/>
      <c r="Q612" s="929"/>
      <c r="R612" s="927"/>
      <c r="S612" s="917"/>
      <c r="T612" s="928"/>
      <c r="U612" s="929"/>
      <c r="V612" s="930"/>
      <c r="W612" s="931"/>
      <c r="X612" s="932"/>
      <c r="Y612" s="933"/>
      <c r="Z612" s="934"/>
      <c r="AA612" s="935"/>
      <c r="AB612" s="936"/>
      <c r="AC612" s="931"/>
      <c r="AD612" s="954"/>
      <c r="AE612" s="938"/>
      <c r="AF612" s="955"/>
      <c r="AG612" s="940"/>
      <c r="AH612" s="941"/>
      <c r="AI612" s="942"/>
      <c r="AJ612" s="943"/>
      <c r="AK612" s="1037"/>
      <c r="AL612" s="956"/>
      <c r="AM612" s="946"/>
      <c r="AN612" s="947"/>
      <c r="AO612" s="946"/>
      <c r="AP612" s="947"/>
      <c r="AQ612" s="946"/>
      <c r="AR612" s="948"/>
      <c r="AS612" s="946"/>
      <c r="AT612" s="946"/>
      <c r="AU612" s="946"/>
      <c r="AV612" s="916"/>
      <c r="AW612" s="946"/>
      <c r="AX612" s="946"/>
      <c r="AY612" s="946"/>
      <c r="AZ612" s="946"/>
      <c r="BA612" s="949"/>
      <c r="BB612" s="59"/>
      <c r="BC612" s="59"/>
      <c r="BD612" s="949"/>
      <c r="BE612" s="59"/>
      <c r="BF612" s="59"/>
      <c r="BG612" s="949"/>
      <c r="BH612" s="59"/>
      <c r="BI612" s="59"/>
      <c r="BJ612" s="946"/>
      <c r="BK612" s="2"/>
      <c r="BL612" s="950"/>
      <c r="BM612" s="950"/>
      <c r="BN612" s="2"/>
      <c r="BO612" s="2"/>
      <c r="BP612" s="951"/>
    </row>
    <row r="613" spans="1:68" x14ac:dyDescent="0.4">
      <c r="A613" s="974"/>
      <c r="B613" s="1045" t="s">
        <v>1137</v>
      </c>
      <c r="C613" s="1046">
        <v>4.8263888888888887E-3</v>
      </c>
      <c r="D613" s="107">
        <f t="shared" si="30"/>
        <v>1.2065972222222222E-3</v>
      </c>
      <c r="E613" s="921"/>
      <c r="F613" s="916"/>
      <c r="G613" s="917"/>
      <c r="H613" s="953"/>
      <c r="I613" s="919"/>
      <c r="J613" s="920"/>
      <c r="K613" s="921"/>
      <c r="L613" s="921"/>
      <c r="M613" s="923"/>
      <c r="N613" s="924"/>
      <c r="O613" s="924"/>
      <c r="P613" s="917"/>
      <c r="Q613" s="929"/>
      <c r="R613" s="927"/>
      <c r="S613" s="917"/>
      <c r="T613" s="928"/>
      <c r="U613" s="929"/>
      <c r="V613" s="930"/>
      <c r="W613" s="931"/>
      <c r="X613" s="932"/>
      <c r="Y613" s="933"/>
      <c r="Z613" s="934"/>
      <c r="AA613" s="935"/>
      <c r="AB613" s="936"/>
      <c r="AC613" s="931"/>
      <c r="AD613" s="954"/>
      <c r="AE613" s="938"/>
      <c r="AF613" s="955"/>
      <c r="AG613" s="940"/>
      <c r="AH613" s="941"/>
      <c r="AI613" s="942"/>
      <c r="AJ613" s="943"/>
      <c r="AK613" s="1037"/>
      <c r="AL613" s="956"/>
      <c r="AM613" s="946"/>
      <c r="AN613" s="947"/>
      <c r="AO613" s="946"/>
      <c r="AP613" s="947"/>
      <c r="AQ613" s="946"/>
      <c r="AR613" s="948"/>
      <c r="AS613" s="946"/>
      <c r="AT613" s="946"/>
      <c r="AU613" s="946"/>
      <c r="AV613" s="916"/>
      <c r="AW613" s="946"/>
      <c r="AX613" s="946"/>
      <c r="AY613" s="946"/>
      <c r="AZ613" s="946"/>
      <c r="BA613" s="949"/>
      <c r="BB613" s="59"/>
      <c r="BC613" s="59"/>
      <c r="BD613" s="949"/>
      <c r="BE613" s="59"/>
      <c r="BF613" s="59"/>
      <c r="BG613" s="949"/>
      <c r="BH613" s="59"/>
      <c r="BI613" s="59"/>
      <c r="BJ613" s="946"/>
      <c r="BK613" s="2"/>
      <c r="BL613" s="950"/>
      <c r="BM613" s="950"/>
      <c r="BN613" s="2"/>
      <c r="BO613" s="2"/>
      <c r="BP613" s="951"/>
    </row>
    <row r="614" spans="1:68" x14ac:dyDescent="0.4">
      <c r="A614" s="974"/>
      <c r="B614" s="1045" t="s">
        <v>1138</v>
      </c>
      <c r="C614" s="1046">
        <v>5.2546296296296299E-3</v>
      </c>
      <c r="D614" s="107">
        <f t="shared" si="30"/>
        <v>1.3136574074074075E-3</v>
      </c>
      <c r="E614" s="921"/>
      <c r="F614" s="916"/>
      <c r="G614" s="917"/>
      <c r="H614" s="953"/>
      <c r="I614" s="919"/>
      <c r="J614" s="920"/>
      <c r="K614" s="921"/>
      <c r="L614" s="921"/>
      <c r="M614" s="923"/>
      <c r="N614" s="924"/>
      <c r="O614" s="924"/>
      <c r="P614" s="917"/>
      <c r="Q614" s="929"/>
      <c r="R614" s="927"/>
      <c r="S614" s="917"/>
      <c r="T614" s="928"/>
      <c r="U614" s="929"/>
      <c r="V614" s="930"/>
      <c r="W614" s="931"/>
      <c r="X614" s="932"/>
      <c r="Y614" s="933"/>
      <c r="Z614" s="934"/>
      <c r="AA614" s="935"/>
      <c r="AB614" s="936"/>
      <c r="AC614" s="931"/>
      <c r="AD614" s="954"/>
      <c r="AE614" s="938"/>
      <c r="AF614" s="955"/>
      <c r="AG614" s="940"/>
      <c r="AH614" s="941"/>
      <c r="AI614" s="942"/>
      <c r="AJ614" s="943"/>
      <c r="AK614" s="1037"/>
      <c r="AL614" s="956"/>
      <c r="AM614" s="946"/>
      <c r="AN614" s="947"/>
      <c r="AO614" s="946"/>
      <c r="AP614" s="947"/>
      <c r="AQ614" s="946"/>
      <c r="AR614" s="948"/>
      <c r="AS614" s="946"/>
      <c r="AT614" s="946"/>
      <c r="AU614" s="946"/>
      <c r="AV614" s="916"/>
      <c r="AW614" s="946"/>
      <c r="AX614" s="946"/>
      <c r="AY614" s="946"/>
      <c r="AZ614" s="946"/>
      <c r="BA614" s="949"/>
      <c r="BB614" s="59"/>
      <c r="BC614" s="59"/>
      <c r="BD614" s="949"/>
      <c r="BE614" s="59"/>
      <c r="BF614" s="59"/>
      <c r="BG614" s="949"/>
      <c r="BH614" s="59"/>
      <c r="BI614" s="59"/>
      <c r="BJ614" s="946"/>
      <c r="BK614" s="2"/>
      <c r="BL614" s="950"/>
      <c r="BM614" s="950"/>
      <c r="BN614" s="2"/>
      <c r="BO614" s="2"/>
      <c r="BP614" s="951"/>
    </row>
    <row r="615" spans="1:68" x14ac:dyDescent="0.4">
      <c r="B615" s="1045" t="s">
        <v>1139</v>
      </c>
      <c r="C615" s="1046">
        <v>4.9074074074074072E-3</v>
      </c>
      <c r="D615" s="107">
        <f t="shared" si="30"/>
        <v>1.2268518518518518E-3</v>
      </c>
      <c r="E615" s="921"/>
      <c r="F615" s="916"/>
      <c r="G615" s="917"/>
      <c r="H615" s="953"/>
      <c r="I615" s="919"/>
      <c r="J615" s="920"/>
      <c r="K615" s="921"/>
      <c r="L615" s="921"/>
      <c r="M615" s="923"/>
      <c r="N615" s="924"/>
      <c r="O615" s="924"/>
      <c r="P615" s="917"/>
      <c r="Q615" s="929"/>
      <c r="R615" s="927"/>
      <c r="S615" s="917"/>
      <c r="T615" s="928"/>
      <c r="U615" s="929"/>
      <c r="V615" s="930"/>
      <c r="W615" s="931"/>
      <c r="X615" s="932"/>
      <c r="Y615" s="933"/>
      <c r="Z615" s="934"/>
      <c r="AA615" s="935"/>
      <c r="AB615" s="936"/>
      <c r="AC615" s="931"/>
      <c r="AD615" s="954"/>
      <c r="AE615" s="938"/>
      <c r="AF615" s="955"/>
      <c r="AG615" s="940"/>
      <c r="AH615" s="941"/>
      <c r="AI615" s="942"/>
      <c r="AJ615" s="943"/>
      <c r="AK615" s="1037"/>
      <c r="AL615" s="956"/>
      <c r="AM615" s="946"/>
      <c r="AN615" s="947"/>
      <c r="AO615" s="946"/>
      <c r="AP615" s="947"/>
      <c r="AQ615" s="946"/>
      <c r="AR615" s="948"/>
      <c r="AS615" s="946"/>
      <c r="AT615" s="946"/>
      <c r="AU615" s="946"/>
      <c r="AV615" s="916"/>
      <c r="AW615" s="946"/>
      <c r="AX615" s="946"/>
      <c r="AY615" s="946"/>
      <c r="AZ615" s="946"/>
      <c r="BA615" s="949"/>
      <c r="BB615" s="59"/>
      <c r="BC615" s="59"/>
      <c r="BD615" s="949"/>
      <c r="BE615" s="59"/>
      <c r="BF615" s="59"/>
      <c r="BG615" s="949"/>
      <c r="BH615" s="59"/>
      <c r="BI615" s="59"/>
      <c r="BJ615" s="951"/>
      <c r="BK615" s="2"/>
      <c r="BL615" s="950"/>
      <c r="BM615" s="950"/>
      <c r="BN615" s="2"/>
      <c r="BO615" s="2"/>
      <c r="BP615" s="951"/>
    </row>
    <row r="616" spans="1:68" x14ac:dyDescent="0.4">
      <c r="B616" s="1045" t="s">
        <v>1140</v>
      </c>
      <c r="C616" s="1046">
        <v>5.3356481481481484E-3</v>
      </c>
      <c r="D616" s="107">
        <f t="shared" si="30"/>
        <v>1.3339120370370371E-3</v>
      </c>
      <c r="E616" s="921"/>
      <c r="F616" s="916"/>
      <c r="G616" s="917"/>
      <c r="H616" s="953"/>
      <c r="I616" s="919"/>
      <c r="J616" s="920"/>
      <c r="K616" s="921"/>
      <c r="L616" s="921"/>
      <c r="M616" s="923"/>
      <c r="N616" s="924"/>
      <c r="O616" s="924"/>
      <c r="P616" s="917"/>
      <c r="Q616" s="929"/>
      <c r="R616" s="927"/>
      <c r="S616" s="917"/>
      <c r="T616" s="928"/>
      <c r="U616" s="929"/>
      <c r="V616" s="930"/>
      <c r="W616" s="931"/>
      <c r="X616" s="932"/>
      <c r="Y616" s="933"/>
      <c r="Z616" s="934"/>
      <c r="AA616" s="935"/>
      <c r="AB616" s="936"/>
      <c r="AC616" s="931"/>
      <c r="AD616" s="954"/>
      <c r="AE616" s="938"/>
      <c r="AF616" s="955"/>
      <c r="AG616" s="940"/>
      <c r="AH616" s="941"/>
      <c r="AI616" s="942"/>
      <c r="AJ616" s="943"/>
      <c r="AK616" s="1037"/>
      <c r="AL616" s="956"/>
      <c r="AM616" s="946"/>
      <c r="AN616" s="947"/>
      <c r="AO616" s="946"/>
      <c r="AP616" s="947"/>
      <c r="AQ616" s="946"/>
      <c r="AR616" s="948"/>
      <c r="AS616" s="946"/>
      <c r="AT616" s="946"/>
      <c r="AU616" s="946"/>
      <c r="AV616" s="916"/>
      <c r="AW616" s="946"/>
      <c r="AX616" s="946"/>
      <c r="AY616" s="946"/>
      <c r="AZ616" s="946"/>
      <c r="BA616" s="949"/>
      <c r="BB616" s="59"/>
      <c r="BC616" s="59"/>
      <c r="BD616" s="949"/>
      <c r="BE616" s="59"/>
      <c r="BF616" s="59"/>
      <c r="BG616" s="949"/>
      <c r="BH616" s="59"/>
      <c r="BI616" s="59"/>
      <c r="BJ616" s="951"/>
      <c r="BK616" s="2"/>
      <c r="BL616" s="950"/>
      <c r="BM616" s="950"/>
      <c r="BN616" s="2"/>
      <c r="BO616" s="2"/>
      <c r="BP616" s="951"/>
    </row>
    <row r="617" spans="1:68" x14ac:dyDescent="0.4">
      <c r="B617" s="1045" t="s">
        <v>1141</v>
      </c>
      <c r="C617" s="1036" t="s">
        <v>1142</v>
      </c>
      <c r="D617" s="107" t="e">
        <f>C618/4</f>
        <v>#VALUE!</v>
      </c>
      <c r="E617" s="921"/>
      <c r="F617" s="916"/>
      <c r="G617" s="917"/>
      <c r="H617" s="953"/>
      <c r="I617" s="919"/>
      <c r="J617" s="920"/>
      <c r="K617" s="921"/>
      <c r="L617" s="921"/>
      <c r="M617" s="923"/>
      <c r="N617" s="924"/>
      <c r="O617" s="924"/>
      <c r="P617" s="917"/>
      <c r="Q617" s="929"/>
      <c r="R617" s="927"/>
      <c r="S617" s="917"/>
      <c r="T617" s="928"/>
      <c r="U617" s="929"/>
      <c r="V617" s="1050"/>
      <c r="W617" s="931"/>
      <c r="X617" s="1053"/>
      <c r="Y617" s="917"/>
      <c r="Z617" s="1054"/>
      <c r="AA617" s="1055"/>
      <c r="AB617" s="936"/>
      <c r="AC617" s="931"/>
      <c r="AD617" s="954"/>
      <c r="AE617" s="938"/>
      <c r="AF617" s="955"/>
      <c r="AG617" s="940"/>
      <c r="AH617" s="941"/>
      <c r="AI617" s="942"/>
      <c r="AJ617" s="943"/>
      <c r="AK617" s="1037"/>
      <c r="AL617" s="956"/>
      <c r="AM617" s="946"/>
      <c r="AN617" s="947"/>
      <c r="AO617" s="946"/>
      <c r="AP617" s="947"/>
      <c r="AQ617" s="936"/>
      <c r="AR617" s="948"/>
      <c r="AS617" s="1049"/>
      <c r="AT617" s="946"/>
      <c r="AU617" s="946"/>
      <c r="AV617" s="1051"/>
      <c r="AW617" s="946"/>
      <c r="AX617" s="946"/>
      <c r="AY617" s="946"/>
      <c r="AZ617" s="936"/>
      <c r="BA617" s="950"/>
      <c r="BB617" s="2"/>
      <c r="BC617" s="2"/>
      <c r="BD617" s="950"/>
      <c r="BE617" s="2"/>
      <c r="BF617" s="2"/>
      <c r="BG617" s="950"/>
      <c r="BH617" s="2"/>
      <c r="BI617" s="2"/>
      <c r="BJ617" s="1052"/>
      <c r="BK617" s="2"/>
      <c r="BL617" s="950"/>
      <c r="BM617" s="950"/>
      <c r="BN617" s="2"/>
      <c r="BO617" s="2"/>
      <c r="BP617" s="951"/>
    </row>
    <row r="618" spans="1:68" x14ac:dyDescent="0.4">
      <c r="B618" s="1045" t="s">
        <v>1143</v>
      </c>
      <c r="C618" s="1036" t="s">
        <v>1142</v>
      </c>
      <c r="D618" s="1056" t="e">
        <f>Table4[[#This Row],[GMS]]/4</f>
        <v>#VALUE!</v>
      </c>
      <c r="E618" s="921"/>
      <c r="F618" s="916"/>
      <c r="G618" s="917"/>
      <c r="H618" s="953"/>
      <c r="I618" s="919"/>
      <c r="J618" s="920"/>
      <c r="K618" s="921"/>
      <c r="L618" s="921"/>
      <c r="M618" s="923"/>
      <c r="N618" s="924"/>
      <c r="O618" s="924"/>
      <c r="P618" s="917"/>
      <c r="Q618" s="929"/>
      <c r="R618" s="927"/>
      <c r="S618" s="917"/>
      <c r="T618" s="928"/>
      <c r="U618" s="929"/>
      <c r="V618" s="1050"/>
      <c r="W618" s="931"/>
      <c r="X618" s="1053"/>
      <c r="Y618" s="917"/>
      <c r="Z618" s="1054"/>
      <c r="AA618" s="1055"/>
      <c r="AB618" s="936"/>
      <c r="AC618" s="931"/>
      <c r="AD618" s="954"/>
      <c r="AE618" s="938"/>
      <c r="AF618" s="955"/>
      <c r="AG618" s="940"/>
      <c r="AH618" s="941"/>
      <c r="AI618" s="942"/>
      <c r="AJ618" s="943"/>
      <c r="AK618" s="1037"/>
      <c r="AL618" s="956"/>
      <c r="AM618" s="946"/>
      <c r="AN618" s="947"/>
      <c r="AO618" s="946"/>
      <c r="AP618" s="947"/>
      <c r="AQ618" s="936"/>
      <c r="AR618" s="948"/>
      <c r="AS618" s="1049"/>
      <c r="AT618" s="946"/>
      <c r="AU618" s="946"/>
      <c r="AV618" s="1051"/>
      <c r="AW618" s="946"/>
      <c r="AX618" s="946"/>
      <c r="AY618" s="946"/>
      <c r="AZ618" s="936"/>
      <c r="BA618" s="950"/>
      <c r="BB618" s="2"/>
      <c r="BC618" s="2"/>
      <c r="BD618" s="950"/>
      <c r="BE618" s="2"/>
      <c r="BF618" s="2"/>
      <c r="BG618" s="950"/>
      <c r="BH618" s="2"/>
      <c r="BI618" s="2"/>
      <c r="BJ618" s="1052"/>
      <c r="BK618" s="2"/>
      <c r="BL618" s="950"/>
      <c r="BM618" s="950"/>
      <c r="BN618" s="2"/>
      <c r="BO618" s="2"/>
      <c r="BP618" s="951"/>
    </row>
    <row r="619" spans="1:68" x14ac:dyDescent="0.4">
      <c r="B619" s="1045"/>
      <c r="C619" s="1036"/>
      <c r="D619" s="1056">
        <f>Table4[[#This Row],[GMS]]/4</f>
        <v>0</v>
      </c>
      <c r="E619" s="921"/>
      <c r="F619" s="916"/>
      <c r="G619" s="917"/>
      <c r="H619" s="953"/>
      <c r="I619" s="919"/>
      <c r="J619" s="920"/>
      <c r="K619" s="921"/>
      <c r="L619" s="921"/>
      <c r="M619" s="923"/>
      <c r="N619" s="924"/>
      <c r="O619" s="924"/>
      <c r="P619" s="917"/>
      <c r="Q619" s="929"/>
      <c r="R619" s="927"/>
      <c r="S619" s="917"/>
      <c r="T619" s="928"/>
      <c r="U619" s="929"/>
      <c r="V619" s="1050"/>
      <c r="W619" s="931"/>
      <c r="X619" s="1053"/>
      <c r="Y619" s="917"/>
      <c r="Z619" s="1054"/>
      <c r="AA619" s="1055"/>
      <c r="AB619" s="936"/>
      <c r="AC619" s="931"/>
      <c r="AD619" s="954"/>
      <c r="AE619" s="938"/>
      <c r="AF619" s="955"/>
      <c r="AG619" s="940"/>
      <c r="AH619" s="941"/>
      <c r="AI619" s="942"/>
      <c r="AJ619" s="943"/>
      <c r="AK619" s="1037"/>
      <c r="AL619" s="956"/>
      <c r="AM619" s="946"/>
      <c r="AN619" s="947"/>
      <c r="AO619" s="946"/>
      <c r="AP619" s="947"/>
      <c r="AQ619" s="936"/>
      <c r="AR619" s="948"/>
      <c r="AS619" s="1049"/>
      <c r="AT619" s="946"/>
      <c r="AU619" s="946"/>
      <c r="AV619" s="1051"/>
      <c r="AW619" s="946"/>
      <c r="AX619" s="946"/>
      <c r="AY619" s="946"/>
      <c r="AZ619" s="936"/>
      <c r="BA619" s="950"/>
      <c r="BB619" s="2"/>
      <c r="BC619" s="2"/>
      <c r="BD619" s="950"/>
      <c r="BE619" s="2"/>
      <c r="BF619" s="2"/>
      <c r="BG619" s="950"/>
      <c r="BH619" s="2"/>
      <c r="BI619" s="2"/>
      <c r="BJ619" s="1052"/>
      <c r="BK619" s="2"/>
      <c r="BL619" s="950"/>
      <c r="BM619" s="950"/>
      <c r="BN619" s="2"/>
      <c r="BO619" s="2"/>
      <c r="BP619" s="951"/>
    </row>
    <row r="620" spans="1:68" x14ac:dyDescent="0.4">
      <c r="B620" s="1045"/>
      <c r="C620" s="1036"/>
      <c r="D620" s="1056">
        <f>Table4[[#This Row],[GMS]]/4</f>
        <v>0</v>
      </c>
      <c r="E620" s="921"/>
      <c r="F620" s="916"/>
      <c r="G620" s="917"/>
      <c r="H620" s="953"/>
      <c r="I620" s="919"/>
      <c r="J620" s="920"/>
      <c r="K620" s="921"/>
      <c r="L620" s="921"/>
      <c r="M620" s="923"/>
      <c r="N620" s="924"/>
      <c r="O620" s="924"/>
      <c r="P620" s="917"/>
      <c r="Q620" s="929"/>
      <c r="R620" s="927"/>
      <c r="S620" s="917"/>
      <c r="T620" s="928"/>
      <c r="U620" s="929"/>
      <c r="V620" s="1050"/>
      <c r="W620" s="931"/>
      <c r="X620" s="1053"/>
      <c r="Y620" s="917"/>
      <c r="Z620" s="1054"/>
      <c r="AA620" s="1055"/>
      <c r="AB620" s="936"/>
      <c r="AC620" s="931"/>
      <c r="AD620" s="954"/>
      <c r="AE620" s="938"/>
      <c r="AF620" s="955"/>
      <c r="AG620" s="940"/>
      <c r="AH620" s="941"/>
      <c r="AI620" s="942"/>
      <c r="AJ620" s="943"/>
      <c r="AK620" s="1037"/>
      <c r="AL620" s="956"/>
      <c r="AM620" s="946"/>
      <c r="AN620" s="947"/>
      <c r="AO620" s="946"/>
      <c r="AP620" s="947"/>
      <c r="AQ620" s="936"/>
      <c r="AR620" s="948"/>
      <c r="AS620" s="1049"/>
      <c r="AT620" s="946"/>
      <c r="AU620" s="946"/>
      <c r="AV620" s="1051"/>
      <c r="AW620" s="946"/>
      <c r="AX620" s="946"/>
      <c r="AY620" s="946"/>
      <c r="AZ620" s="936"/>
      <c r="BA620" s="950"/>
      <c r="BB620" s="2"/>
      <c r="BC620" s="2"/>
      <c r="BD620" s="950"/>
      <c r="BE620" s="2"/>
      <c r="BF620" s="2"/>
      <c r="BG620" s="950"/>
      <c r="BH620" s="2"/>
      <c r="BI620" s="2"/>
      <c r="BJ620" s="1052"/>
      <c r="BK620" s="2"/>
      <c r="BL620" s="950"/>
      <c r="BM620" s="950"/>
      <c r="BN620" s="2"/>
      <c r="BO620" s="2"/>
      <c r="BP620" s="951"/>
    </row>
    <row r="621" spans="1:68" x14ac:dyDescent="0.4">
      <c r="B621" s="1057"/>
      <c r="C621" s="107"/>
      <c r="D621" s="917"/>
      <c r="E621" s="916"/>
      <c r="F621" s="917"/>
      <c r="G621" s="1058"/>
      <c r="H621" s="1059"/>
      <c r="I621" s="917"/>
      <c r="J621" s="917"/>
      <c r="K621" s="917"/>
      <c r="L621" s="1060"/>
      <c r="M621" s="1061"/>
      <c r="N621" s="917"/>
      <c r="O621" s="917"/>
      <c r="P621" s="1062"/>
      <c r="Q621" s="1060"/>
      <c r="R621" s="917"/>
      <c r="S621" s="1060"/>
      <c r="T621" s="1063"/>
      <c r="U621" s="1058"/>
      <c r="V621" s="70"/>
      <c r="W621" s="70"/>
      <c r="X621" s="1064"/>
      <c r="Y621" s="1065"/>
      <c r="Z621" s="70"/>
      <c r="AA621" s="1058"/>
      <c r="AB621" s="1066"/>
      <c r="AC621" s="1067"/>
      <c r="AH621" s="907"/>
      <c r="AL621" s="626"/>
      <c r="AY621" s="77"/>
      <c r="BA621" s="949"/>
      <c r="BB621" s="77"/>
      <c r="BC621" s="77"/>
      <c r="BD621" s="949"/>
      <c r="BE621" s="77"/>
      <c r="BF621" s="77"/>
      <c r="BG621" s="77"/>
      <c r="BH621" s="77"/>
      <c r="BI621" s="77"/>
    </row>
    <row r="622" spans="1:68" x14ac:dyDescent="0.4">
      <c r="AA622" s="63"/>
      <c r="AB622" s="63"/>
      <c r="AC622" s="63"/>
      <c r="AD622" s="63"/>
      <c r="AE622" s="63"/>
      <c r="AF622" s="63"/>
      <c r="AG622" s="63"/>
      <c r="AH622" s="63"/>
      <c r="AI622" s="63"/>
      <c r="AR622" s="63"/>
      <c r="AS622" s="63"/>
      <c r="AT622" s="63"/>
      <c r="AU622" s="63"/>
      <c r="AV622" s="63"/>
    </row>
  </sheetData>
  <mergeCells count="86">
    <mergeCell ref="BM491:BM498"/>
    <mergeCell ref="BN491:BN498"/>
    <mergeCell ref="BO491:BO498"/>
    <mergeCell ref="BP491:BP498"/>
    <mergeCell ref="E499:J499"/>
    <mergeCell ref="BH491:BH498"/>
    <mergeCell ref="BI491:BI498"/>
    <mergeCell ref="BJ491:BJ498"/>
    <mergeCell ref="BK491:BK498"/>
    <mergeCell ref="BL491:BL498"/>
    <mergeCell ref="BC491:BC498"/>
    <mergeCell ref="BD491:BD498"/>
    <mergeCell ref="BE491:BE498"/>
    <mergeCell ref="BF491:BF498"/>
    <mergeCell ref="BG491:BG498"/>
    <mergeCell ref="AX491:AX498"/>
    <mergeCell ref="AY491:AY498"/>
    <mergeCell ref="AZ491:AZ498"/>
    <mergeCell ref="BA491:BA498"/>
    <mergeCell ref="BB491:BB498"/>
    <mergeCell ref="AS491:AS498"/>
    <mergeCell ref="AT491:AT498"/>
    <mergeCell ref="AU491:AU498"/>
    <mergeCell ref="AV491:AV498"/>
    <mergeCell ref="AW491:AW498"/>
    <mergeCell ref="AN491:AN498"/>
    <mergeCell ref="AO491:AO498"/>
    <mergeCell ref="AP491:AP498"/>
    <mergeCell ref="AQ491:AQ498"/>
    <mergeCell ref="AR491:AR498"/>
    <mergeCell ref="AI491:AI498"/>
    <mergeCell ref="AJ491:AJ498"/>
    <mergeCell ref="AK491:AK498"/>
    <mergeCell ref="AL491:AL498"/>
    <mergeCell ref="AM491:AM498"/>
    <mergeCell ref="AD491:AD498"/>
    <mergeCell ref="AE491:AE498"/>
    <mergeCell ref="AF491:AF498"/>
    <mergeCell ref="AG491:AG498"/>
    <mergeCell ref="AH491:AH498"/>
    <mergeCell ref="Y491:Y498"/>
    <mergeCell ref="Z491:Z498"/>
    <mergeCell ref="AA491:AA498"/>
    <mergeCell ref="AB491:AB498"/>
    <mergeCell ref="AC491:AC498"/>
    <mergeCell ref="T491:T498"/>
    <mergeCell ref="U491:U498"/>
    <mergeCell ref="V491:V498"/>
    <mergeCell ref="W491:W498"/>
    <mergeCell ref="X491:X498"/>
    <mergeCell ref="O491:O498"/>
    <mergeCell ref="P491:P498"/>
    <mergeCell ref="Q491:Q498"/>
    <mergeCell ref="R491:R498"/>
    <mergeCell ref="S491:S498"/>
    <mergeCell ref="J491:J498"/>
    <mergeCell ref="K491:K498"/>
    <mergeCell ref="L491:L498"/>
    <mergeCell ref="M491:M498"/>
    <mergeCell ref="N491:N498"/>
    <mergeCell ref="E491:E498"/>
    <mergeCell ref="F491:F498"/>
    <mergeCell ref="G491:G498"/>
    <mergeCell ref="H491:H498"/>
    <mergeCell ref="I491:I498"/>
    <mergeCell ref="M68:N68"/>
    <mergeCell ref="B1:N1"/>
    <mergeCell ref="AF1:AG1"/>
    <mergeCell ref="AH1:AI1"/>
    <mergeCell ref="N13:O13"/>
    <mergeCell ref="N19:O19"/>
    <mergeCell ref="N25:O25"/>
    <mergeCell ref="N31:O31"/>
    <mergeCell ref="N37:O37"/>
    <mergeCell ref="N43:O43"/>
    <mergeCell ref="N55:O55"/>
    <mergeCell ref="N61:O61"/>
    <mergeCell ref="P237:Q237"/>
    <mergeCell ref="P242:R242"/>
    <mergeCell ref="B260:N261"/>
    <mergeCell ref="M264:N264"/>
    <mergeCell ref="F106:J106"/>
    <mergeCell ref="B230:E230"/>
    <mergeCell ref="F230:H230"/>
    <mergeCell ref="I230:K230"/>
    <mergeCell ref="L230:N230"/>
  </mergeCells>
  <conditionalFormatting sqref="H30:K30">
    <cfRule type="cellIs" dxfId="87" priority="25" operator="lessThan">
      <formula>0</formula>
    </cfRule>
  </conditionalFormatting>
  <conditionalFormatting sqref="K49:L49">
    <cfRule type="cellIs" dxfId="86" priority="16" operator="lessThan">
      <formula>$L$49</formula>
    </cfRule>
  </conditionalFormatting>
  <conditionalFormatting sqref="K59:L59">
    <cfRule type="cellIs" dxfId="85" priority="17" operator="lessThan">
      <formula>$L$59</formula>
    </cfRule>
  </conditionalFormatting>
  <conditionalFormatting sqref="L32:L33">
    <cfRule type="cellIs" dxfId="84" priority="36" operator="lessThan">
      <formula>0</formula>
    </cfRule>
  </conditionalFormatting>
  <conditionalFormatting sqref="O268:O276 O278 O280:O286 O288 O290">
    <cfRule type="cellIs" dxfId="83" priority="41" operator="lessThan">
      <formula>$L$49</formula>
    </cfRule>
  </conditionalFormatting>
  <conditionalFormatting sqref="Z2:Z158">
    <cfRule type="cellIs" dxfId="82" priority="3" operator="equal">
      <formula>$T$63</formula>
    </cfRule>
    <cfRule type="cellIs" dxfId="81" priority="4" operator="equal">
      <formula>$T$68</formula>
    </cfRule>
  </conditionalFormatting>
  <conditionalFormatting sqref="AA2:AA257">
    <cfRule type="cellIs" dxfId="80" priority="27" operator="equal">
      <formula>$T$63</formula>
    </cfRule>
  </conditionalFormatting>
  <conditionalFormatting sqref="AA2:AA395">
    <cfRule type="cellIs" dxfId="79" priority="40" operator="equal">
      <formula>$T$68</formula>
    </cfRule>
  </conditionalFormatting>
  <conditionalFormatting sqref="AA4:AA26">
    <cfRule type="cellIs" dxfId="78" priority="39" operator="equal">
      <formula>$T$64</formula>
    </cfRule>
  </conditionalFormatting>
  <conditionalFormatting sqref="AA31:AA395">
    <cfRule type="cellIs" dxfId="77" priority="38" operator="equal">
      <formula>$T$67</formula>
    </cfRule>
  </conditionalFormatting>
  <conditionalFormatting sqref="AA50:AA395">
    <cfRule type="cellIs" dxfId="76" priority="37" operator="equal">
      <formula>$T$71</formula>
    </cfRule>
  </conditionalFormatting>
  <conditionalFormatting sqref="AA51:AA395">
    <cfRule type="cellIs" dxfId="75" priority="26" operator="equal">
      <formula>$T$70</formula>
    </cfRule>
  </conditionalFormatting>
  <conditionalFormatting sqref="AE2:AE158">
    <cfRule type="cellIs" dxfId="74" priority="1" operator="equal">
      <formula>$T$63</formula>
    </cfRule>
    <cfRule type="cellIs" dxfId="73" priority="2" operator="equal">
      <formula>$T$68</formula>
    </cfRule>
  </conditionalFormatting>
  <conditionalFormatting sqref="AG11:AG90">
    <cfRule type="cellIs" dxfId="72" priority="18" operator="lessThan">
      <formula>0</formula>
    </cfRule>
  </conditionalFormatting>
  <conditionalFormatting sqref="AI11:AI90">
    <cfRule type="cellIs" dxfId="71" priority="19" operator="lessThan">
      <formula>0</formula>
    </cfRule>
  </conditionalFormatting>
  <conditionalFormatting sqref="AP17:AP123">
    <cfRule type="cellIs" dxfId="70" priority="32" operator="equal">
      <formula>$T$71</formula>
    </cfRule>
    <cfRule type="cellIs" dxfId="69" priority="33" operator="equal">
      <formula>$T$64</formula>
    </cfRule>
  </conditionalFormatting>
  <conditionalFormatting sqref="AV2:AV187">
    <cfRule type="cellIs" dxfId="68" priority="34" operator="equal">
      <formula>$T$71</formula>
    </cfRule>
    <cfRule type="cellIs" dxfId="67" priority="35" operator="equal">
      <formula>$T$64</formula>
    </cfRule>
  </conditionalFormatting>
  <dataValidations disablePrompts="1" count="1">
    <dataValidation type="list" allowBlank="1" showInputMessage="1" showErrorMessage="1" sqref="J45" xr:uid="{3823CB1D-8B6A-4A3F-9739-F3CB16D8D619}">
      <formula1>$B$503:$B$620</formula1>
    </dataValidation>
  </dataValidations>
  <printOptions horizontalCentered="1" verticalCentered="1"/>
  <pageMargins left="0.11811023622047245" right="0.11811023622047245" top="0.11811023622047245" bottom="0.11811023622047245" header="0" footer="0"/>
  <pageSetup paperSize="9" scale="84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Boat Length</vt:lpstr>
      <vt:lpstr>Dist to Speed</vt:lpstr>
      <vt:lpstr>Inputs</vt:lpstr>
      <vt:lpstr>CurveSheet</vt:lpstr>
      <vt:lpstr>CurveSheet!Print_Area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Purcer</dc:creator>
  <cp:lastModifiedBy>Mike Purcer</cp:lastModifiedBy>
  <cp:lastPrinted>2025-06-23T14:19:40Z</cp:lastPrinted>
  <dcterms:created xsi:type="dcterms:W3CDTF">2017-07-10T14:32:07Z</dcterms:created>
  <dcterms:modified xsi:type="dcterms:W3CDTF">2025-06-23T14:20:01Z</dcterms:modified>
</cp:coreProperties>
</file>