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rce\Dropbox\Mike Business\Books\4 Coaching\Seat Racing Spreadsheets\"/>
    </mc:Choice>
  </mc:AlternateContent>
  <xr:revisionPtr revIDLastSave="0" documentId="13_ncr:1_{4263A4E3-DC76-4078-A8C2-5F2C75B53B8B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3 Doubles 6 Athletes" sheetId="21" r:id="rId1"/>
    <sheet name="GMS" sheetId="22" r:id="rId2"/>
  </sheets>
  <externalReferences>
    <externalReference r:id="rId3"/>
  </externalReferences>
  <definedNames>
    <definedName name="boatcategory">[1]STANDARDS!$A$38:$A$157</definedName>
    <definedName name="_xlnm.Print_Area" localSheetId="0">'3 Doubles 6 Athletes'!$A$1:$K$58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5" i="22" l="1"/>
  <c r="C264" i="22"/>
  <c r="C263" i="22"/>
  <c r="C262" i="22"/>
  <c r="C261" i="22"/>
  <c r="C260" i="22"/>
  <c r="C259" i="22"/>
  <c r="C258" i="22"/>
  <c r="C257" i="22"/>
  <c r="C256" i="22"/>
  <c r="C255" i="22"/>
  <c r="C254" i="22"/>
  <c r="C253" i="22"/>
  <c r="C252" i="22"/>
  <c r="C251" i="22"/>
  <c r="C250" i="22"/>
  <c r="C249" i="22"/>
  <c r="C248" i="22"/>
  <c r="C247" i="22"/>
  <c r="C246" i="22"/>
  <c r="C245" i="22"/>
  <c r="C244" i="22"/>
  <c r="C243" i="22"/>
  <c r="C242" i="22"/>
  <c r="C241" i="22"/>
  <c r="C240" i="22"/>
  <c r="C239" i="22"/>
  <c r="C238" i="22"/>
  <c r="C237" i="22"/>
  <c r="C236" i="22"/>
  <c r="C235" i="22"/>
  <c r="C234" i="22"/>
  <c r="C233" i="22"/>
  <c r="C232" i="22"/>
  <c r="C231" i="22"/>
  <c r="C230" i="22"/>
  <c r="C229" i="22"/>
  <c r="C228" i="22"/>
  <c r="C227" i="22"/>
  <c r="C226" i="22"/>
  <c r="C225" i="22"/>
  <c r="C224" i="22"/>
  <c r="C223" i="22"/>
  <c r="C222" i="22"/>
  <c r="C221" i="22"/>
  <c r="C220" i="22"/>
  <c r="C219" i="22"/>
  <c r="C218" i="22"/>
  <c r="C217" i="22"/>
  <c r="C216" i="22"/>
  <c r="C215" i="22"/>
  <c r="C214" i="22"/>
  <c r="C213" i="22"/>
  <c r="C212" i="22"/>
  <c r="C211" i="22"/>
  <c r="C210" i="22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6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Z50" i="21" l="1"/>
  <c r="Y50" i="21"/>
  <c r="X50" i="21"/>
  <c r="W50" i="21"/>
  <c r="V50" i="21"/>
  <c r="U50" i="21"/>
  <c r="T56" i="21"/>
  <c r="T55" i="21"/>
  <c r="T54" i="21"/>
  <c r="T53" i="21"/>
  <c r="T52" i="21"/>
  <c r="T51" i="21"/>
  <c r="C15" i="21" l="1"/>
  <c r="J19" i="21"/>
  <c r="G34" i="21"/>
  <c r="G35" i="21"/>
  <c r="F34" i="21"/>
  <c r="F35" i="21"/>
  <c r="E35" i="21"/>
  <c r="D34" i="21"/>
  <c r="D35" i="21"/>
  <c r="C34" i="21"/>
  <c r="C35" i="21"/>
  <c r="B34" i="21"/>
  <c r="B35" i="21"/>
  <c r="J15" i="21"/>
  <c r="J16" i="21"/>
  <c r="I16" i="21"/>
  <c r="I15" i="21"/>
  <c r="H16" i="21"/>
  <c r="H15" i="21"/>
  <c r="G15" i="21"/>
  <c r="G16" i="21"/>
  <c r="F16" i="21"/>
  <c r="F15" i="21"/>
  <c r="E34" i="21"/>
  <c r="G38" i="21"/>
  <c r="F38" i="21"/>
  <c r="E38" i="21"/>
  <c r="D38" i="21"/>
  <c r="C38" i="21"/>
  <c r="B38" i="21"/>
  <c r="G33" i="21"/>
  <c r="D33" i="21"/>
  <c r="J14" i="21"/>
  <c r="G14" i="21"/>
  <c r="D14" i="21"/>
  <c r="F33" i="21"/>
  <c r="E33" i="21"/>
  <c r="C33" i="21"/>
  <c r="B33" i="21"/>
  <c r="I14" i="21"/>
  <c r="H14" i="21"/>
  <c r="G19" i="21"/>
  <c r="E16" i="21"/>
  <c r="E15" i="21"/>
  <c r="F14" i="21"/>
  <c r="E14" i="21"/>
  <c r="N14" i="21"/>
  <c r="N13" i="21"/>
  <c r="D19" i="21"/>
  <c r="D16" i="21"/>
  <c r="D15" i="21"/>
  <c r="I19" i="21"/>
  <c r="H19" i="21"/>
  <c r="F19" i="21"/>
  <c r="E19" i="21"/>
  <c r="C19" i="21"/>
  <c r="B19" i="21"/>
  <c r="C16" i="21"/>
  <c r="B16" i="21"/>
  <c r="B15" i="21"/>
  <c r="C14" i="21"/>
  <c r="B14" i="21"/>
  <c r="N12" i="21"/>
  <c r="N11" i="21"/>
  <c r="N10" i="21"/>
  <c r="N9" i="21"/>
  <c r="H29" i="21" l="1"/>
  <c r="H27" i="21"/>
  <c r="D22" i="21"/>
  <c r="D29" i="21"/>
  <c r="D27" i="21"/>
  <c r="J22" i="21"/>
  <c r="J27" i="21"/>
  <c r="J29" i="21"/>
  <c r="B41" i="21"/>
  <c r="B46" i="21"/>
  <c r="B48" i="21"/>
  <c r="D41" i="21"/>
  <c r="D46" i="21"/>
  <c r="D48" i="21"/>
  <c r="E41" i="21"/>
  <c r="E46" i="21"/>
  <c r="E48" i="21"/>
  <c r="F41" i="21"/>
  <c r="F46" i="21"/>
  <c r="F48" i="21"/>
  <c r="B22" i="21"/>
  <c r="B29" i="21"/>
  <c r="B27" i="21"/>
  <c r="E22" i="21"/>
  <c r="E29" i="21"/>
  <c r="E27" i="21"/>
  <c r="I22" i="21"/>
  <c r="I27" i="21"/>
  <c r="I29" i="21"/>
  <c r="G22" i="21"/>
  <c r="G29" i="21"/>
  <c r="G27" i="21"/>
  <c r="C41" i="21"/>
  <c r="C46" i="21"/>
  <c r="C48" i="21"/>
  <c r="G46" i="21"/>
  <c r="G48" i="21"/>
  <c r="C22" i="21"/>
  <c r="C29" i="21"/>
  <c r="C27" i="21"/>
  <c r="F22" i="21"/>
  <c r="F29" i="21"/>
  <c r="F27" i="21"/>
  <c r="I21" i="21"/>
  <c r="H22" i="21"/>
  <c r="G41" i="21"/>
  <c r="O14" i="21"/>
  <c r="O12" i="21"/>
  <c r="O13" i="21"/>
  <c r="O10" i="21"/>
  <c r="O9" i="21"/>
  <c r="O11" i="21"/>
  <c r="G20" i="21"/>
  <c r="E20" i="21"/>
  <c r="F20" i="21"/>
  <c r="G21" i="21"/>
  <c r="E21" i="21"/>
  <c r="F21" i="21"/>
  <c r="D21" i="21"/>
  <c r="C20" i="21"/>
  <c r="E40" i="21"/>
  <c r="E39" i="21"/>
  <c r="F40" i="21"/>
  <c r="F39" i="21"/>
  <c r="G40" i="21"/>
  <c r="G39" i="21"/>
  <c r="D20" i="21"/>
  <c r="B21" i="21"/>
  <c r="B20" i="21"/>
  <c r="C21" i="21"/>
  <c r="B40" i="21"/>
  <c r="C40" i="21"/>
  <c r="D39" i="21"/>
  <c r="B39" i="21"/>
  <c r="D40" i="21"/>
  <c r="C39" i="21"/>
  <c r="I20" i="21"/>
  <c r="J21" i="21"/>
  <c r="J20" i="21"/>
  <c r="H21" i="21"/>
  <c r="H20" i="21"/>
  <c r="F47" i="21" l="1"/>
  <c r="F45" i="21"/>
  <c r="E47" i="21"/>
  <c r="D47" i="21"/>
  <c r="F28" i="21"/>
  <c r="J28" i="21"/>
  <c r="G47" i="21"/>
  <c r="G45" i="21"/>
  <c r="C47" i="21"/>
  <c r="C45" i="21"/>
  <c r="H28" i="21"/>
  <c r="G26" i="21"/>
  <c r="I28" i="21"/>
  <c r="E26" i="21"/>
  <c r="B26" i="21"/>
  <c r="E45" i="21"/>
  <c r="D45" i="21"/>
  <c r="B47" i="21"/>
  <c r="F26" i="21"/>
  <c r="B45" i="21"/>
  <c r="D26" i="21"/>
  <c r="C26" i="21"/>
  <c r="J26" i="21"/>
  <c r="H26" i="21"/>
  <c r="G28" i="21"/>
  <c r="I26" i="21"/>
  <c r="E28" i="21"/>
  <c r="T10" i="21"/>
  <c r="Q10" i="21"/>
  <c r="T13" i="21"/>
  <c r="Q13" i="21"/>
  <c r="T11" i="21"/>
  <c r="Q11" i="21"/>
  <c r="T12" i="21"/>
  <c r="Q12" i="21"/>
  <c r="T9" i="21"/>
  <c r="Q9" i="21"/>
  <c r="T14" i="21"/>
  <c r="Q14" i="21"/>
  <c r="U10" i="21"/>
  <c r="U13" i="21"/>
  <c r="U11" i="21"/>
  <c r="U9" i="21"/>
  <c r="U12" i="21"/>
  <c r="U14" i="21"/>
  <c r="M9" i="21"/>
  <c r="M10" i="21"/>
  <c r="M12" i="21"/>
  <c r="M11" i="21"/>
  <c r="P10" i="21"/>
  <c r="P9" i="21"/>
  <c r="P14" i="21"/>
  <c r="P12" i="21"/>
  <c r="P11" i="21"/>
  <c r="M13" i="21"/>
  <c r="P13" i="21"/>
  <c r="M14" i="21"/>
  <c r="R14" i="21" l="1"/>
  <c r="R11" i="21"/>
  <c r="S12" i="21"/>
  <c r="R12" i="21"/>
  <c r="R13" i="21"/>
  <c r="R10" i="21"/>
  <c r="D52" i="21"/>
  <c r="G57" i="21"/>
  <c r="G55" i="21"/>
  <c r="G52" i="21"/>
  <c r="W14" i="21"/>
  <c r="W11" i="21"/>
  <c r="W9" i="21"/>
  <c r="R9" i="21"/>
  <c r="I53" i="21" s="1"/>
  <c r="H52" i="21"/>
  <c r="G56" i="21"/>
  <c r="G54" i="21"/>
  <c r="G53" i="21"/>
  <c r="W13" i="21"/>
  <c r="X14" i="21" s="1"/>
  <c r="S14" i="21" s="1"/>
  <c r="W12" i="21"/>
  <c r="X13" i="21" s="1"/>
  <c r="S11" i="21" s="1"/>
  <c r="W10" i="21"/>
  <c r="X11" i="21" s="1"/>
  <c r="S10" i="21" s="1"/>
  <c r="E42" i="21"/>
  <c r="C42" i="21"/>
  <c r="C43" i="21" s="1"/>
  <c r="F23" i="21"/>
  <c r="I23" i="21"/>
  <c r="B23" i="21"/>
  <c r="F42" i="21"/>
  <c r="J23" i="21"/>
  <c r="E23" i="21"/>
  <c r="D42" i="21"/>
  <c r="D43" i="21" s="1"/>
  <c r="G42" i="21"/>
  <c r="G43" i="21" s="1"/>
  <c r="H23" i="21"/>
  <c r="C23" i="21"/>
  <c r="B42" i="21"/>
  <c r="B43" i="21" s="1"/>
  <c r="B44" i="21" s="1"/>
  <c r="G23" i="21"/>
  <c r="D23" i="21"/>
  <c r="J52" i="21"/>
  <c r="C52" i="21"/>
  <c r="E56" i="21"/>
  <c r="E52" i="21"/>
  <c r="F54" i="21"/>
  <c r="I56" i="21"/>
  <c r="I52" i="21"/>
  <c r="E55" i="21"/>
  <c r="F57" i="21"/>
  <c r="F53" i="21"/>
  <c r="I55" i="21"/>
  <c r="E54" i="21"/>
  <c r="F56" i="21"/>
  <c r="F52" i="21"/>
  <c r="I54" i="21"/>
  <c r="E57" i="21"/>
  <c r="E53" i="21"/>
  <c r="F55" i="21"/>
  <c r="I57" i="21"/>
  <c r="C57" i="21"/>
  <c r="D54" i="21"/>
  <c r="C54" i="21"/>
  <c r="D55" i="21"/>
  <c r="C53" i="21"/>
  <c r="C56" i="21"/>
  <c r="D53" i="21"/>
  <c r="C55" i="21"/>
  <c r="D57" i="21"/>
  <c r="D56" i="21"/>
  <c r="E24" i="21"/>
  <c r="C24" i="21"/>
  <c r="I24" i="21"/>
  <c r="B24" i="21"/>
  <c r="J54" i="21" l="1"/>
  <c r="H54" i="21"/>
  <c r="H56" i="21"/>
  <c r="J56" i="21"/>
  <c r="J57" i="21"/>
  <c r="H57" i="21"/>
  <c r="X12" i="21"/>
  <c r="S13" i="21" s="1"/>
  <c r="X10" i="21"/>
  <c r="S9" i="21" s="1"/>
  <c r="D44" i="21"/>
  <c r="C44" i="21"/>
  <c r="E43" i="21"/>
  <c r="F24" i="21"/>
  <c r="J24" i="21"/>
  <c r="D24" i="21"/>
  <c r="D25" i="21" s="1"/>
  <c r="G24" i="21"/>
  <c r="H24" i="21"/>
  <c r="F43" i="21"/>
  <c r="J53" i="21" l="1"/>
  <c r="H53" i="21"/>
  <c r="J55" i="21"/>
  <c r="H55" i="21"/>
  <c r="H25" i="21"/>
  <c r="J25" i="21"/>
  <c r="I25" i="21"/>
  <c r="C25" i="21"/>
  <c r="B25" i="21"/>
  <c r="G44" i="21"/>
  <c r="E44" i="21"/>
  <c r="F44" i="21"/>
  <c r="F25" i="21"/>
  <c r="E25" i="21"/>
  <c r="G25" i="21"/>
  <c r="B28" i="21" l="1"/>
  <c r="D28" i="21"/>
  <c r="C2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Purcer</author>
  </authors>
  <commentList>
    <comment ref="B5" authorId="0" shapeId="0" xr:uid="{A666AFF8-8CE2-4CF4-B85E-BB2A38D459F9}">
      <text>
        <r>
          <rPr>
            <b/>
            <sz val="9"/>
            <color indexed="81"/>
            <rFont val="Tahoma"/>
            <family val="2"/>
          </rPr>
          <t xml:space="preserve">designate Starboard or Port
</t>
        </r>
      </text>
    </comment>
    <comment ref="J6" authorId="0" shapeId="0" xr:uid="{BEA05A20-62CB-4704-9339-E81A8108A1B3}">
      <text>
        <r>
          <rPr>
            <b/>
            <sz val="9"/>
            <color indexed="81"/>
            <rFont val="Tahoma"/>
            <family val="2"/>
          </rPr>
          <t xml:space="preserve">boat name
</t>
        </r>
      </text>
    </comment>
    <comment ref="J7" authorId="0" shapeId="0" xr:uid="{8BF9056D-7358-454B-8D7D-13656CEBD774}">
      <text>
        <r>
          <rPr>
            <b/>
            <sz val="9"/>
            <color indexed="81"/>
            <rFont val="Tahoma"/>
            <family val="2"/>
          </rPr>
          <t>boat name</t>
        </r>
      </text>
    </comment>
    <comment ref="J8" authorId="0" shapeId="0" xr:uid="{C7FAE669-3251-4438-A88E-480FEDB86C4E}">
      <text>
        <r>
          <rPr>
            <b/>
            <sz val="9"/>
            <color indexed="81"/>
            <rFont val="Tahoma"/>
            <family val="2"/>
          </rPr>
          <t>boat name</t>
        </r>
      </text>
    </comment>
    <comment ref="R9" authorId="0" shapeId="0" xr:uid="{90E35060-AEA8-4855-94E2-230571FC7B4C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J10" authorId="0" shapeId="0" xr:uid="{9BD47A89-2C7D-4CC8-BBC0-88AB8BF448D1}">
      <text>
        <r>
          <rPr>
            <b/>
            <sz val="9"/>
            <color indexed="81"/>
            <rFont val="Tahoma"/>
            <family val="2"/>
          </rPr>
          <t xml:space="preserve">race distance in meters
</t>
        </r>
      </text>
    </comment>
    <comment ref="R10" authorId="0" shapeId="0" xr:uid="{E027A1B5-4A6B-4962-A545-37423F3F7B99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R11" authorId="0" shapeId="0" xr:uid="{808612A1-35B6-44EB-A5D1-CE070C4C76FE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R12" authorId="0" shapeId="0" xr:uid="{35780FB6-8319-4969-AFC0-DC1D16131DE1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R13" authorId="0" shapeId="0" xr:uid="{7444276E-E528-40FA-AD63-FD9B98EC5681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R14" authorId="0" shapeId="0" xr:uid="{203B0096-FF42-4294-AC73-EFDF58D9B77F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P15" authorId="0" shapeId="0" xr:uid="{19712FBB-5933-4660-8F98-CCF0DFC3E76B}">
      <text>
        <r>
          <rPr>
            <b/>
            <sz val="9"/>
            <color indexed="81"/>
            <rFont val="Tahoma"/>
            <family val="2"/>
          </rPr>
          <t>array
ctrl+shift+enter</t>
        </r>
      </text>
    </comment>
    <comment ref="G51" authorId="0" shapeId="0" xr:uid="{E63FE4C7-A8C5-4FDF-8A66-397A096E0358}">
      <text>
        <r>
          <rPr>
            <b/>
            <sz val="9"/>
            <color indexed="81"/>
            <rFont val="Tahoma"/>
            <family val="2"/>
          </rPr>
          <t>time difference from previous lowest.</t>
        </r>
      </text>
    </comment>
    <comment ref="H51" authorId="0" shapeId="0" xr:uid="{DB610F2E-972C-4DAA-A49B-A18FE3D0668A}">
      <text>
        <r>
          <rPr>
            <b/>
            <sz val="9"/>
            <color indexed="81"/>
            <rFont val="Tahoma"/>
            <family val="2"/>
          </rPr>
          <t xml:space="preserve">percent of split time.
less than 0.30% is insignificant
</t>
        </r>
      </text>
    </comment>
  </commentList>
</comments>
</file>

<file path=xl/sharedStrings.xml><?xml version="1.0" encoding="utf-8"?>
<sst xmlns="http://schemas.openxmlformats.org/spreadsheetml/2006/main" count="385" uniqueCount="345">
  <si>
    <t>TOTAL</t>
  </si>
  <si>
    <t>AVERAGE</t>
  </si>
  <si>
    <t>DIFF</t>
  </si>
  <si>
    <t>RESULTS</t>
  </si>
  <si>
    <t>A</t>
  </si>
  <si>
    <t>B</t>
  </si>
  <si>
    <t>C</t>
  </si>
  <si>
    <t>Athletes</t>
  </si>
  <si>
    <t>Tom</t>
  </si>
  <si>
    <t>Scott</t>
  </si>
  <si>
    <t>Race 1</t>
  </si>
  <si>
    <t>Race 2</t>
  </si>
  <si>
    <t>Race 3</t>
  </si>
  <si>
    <t>Race 4</t>
  </si>
  <si>
    <t>Raw Time</t>
  </si>
  <si>
    <t>% GMS</t>
  </si>
  <si>
    <t>Athlete</t>
  </si>
  <si>
    <t>Total Time</t>
  </si>
  <si>
    <t>Boats</t>
  </si>
  <si>
    <t>Start 
Time</t>
  </si>
  <si>
    <t>Finish 
Time</t>
  </si>
  <si>
    <t xml:space="preserve">Boat 1:   </t>
  </si>
  <si>
    <t xml:space="preserve">Boat 2:   </t>
  </si>
  <si>
    <t xml:space="preserve">race distance </t>
  </si>
  <si>
    <t xml:space="preserve"> m</t>
  </si>
  <si>
    <t xml:space="preserve">Ranking </t>
  </si>
  <si>
    <t xml:space="preserve">Date: </t>
  </si>
  <si>
    <t xml:space="preserve">Program: </t>
  </si>
  <si>
    <t xml:space="preserve">High Performance Men </t>
  </si>
  <si>
    <t xml:space="preserve">Boat 3:   </t>
  </si>
  <si>
    <t>NAME:</t>
  </si>
  <si>
    <t>Tim</t>
  </si>
  <si>
    <t>Notes:</t>
  </si>
  <si>
    <t>3) Input 1 hour and x minutes as 6x minutes (example:  1:05:27.42    is    65:27.42)</t>
  </si>
  <si>
    <t>RANK</t>
  </si>
  <si>
    <t>OVERALL</t>
  </si>
  <si>
    <t>Projected</t>
  </si>
  <si>
    <t>D</t>
  </si>
  <si>
    <t>BOAT</t>
  </si>
  <si>
    <t>DIFF.</t>
  </si>
  <si>
    <t>Race 5</t>
  </si>
  <si>
    <t>Time Diff.</t>
  </si>
  <si>
    <t>Frank</t>
  </si>
  <si>
    <t xml:space="preserve">   &lt;- This is the Finish time of the crew in the race</t>
  </si>
  <si>
    <t xml:space="preserve">   &lt;- This is the placing of the crew in the race</t>
  </si>
  <si>
    <t xml:space="preserve">   &lt;- This is the time behind the first place time of each race</t>
  </si>
  <si>
    <t xml:space="preserve">   &lt;- This is the percent of GMS for the crew's time </t>
  </si>
  <si>
    <t xml:space="preserve">   &lt;- Projected time is the average time of the athlete's average times. </t>
  </si>
  <si>
    <t xml:space="preserve">   &lt;- The actual race time was above or under the projected time </t>
  </si>
  <si>
    <r>
      <t xml:space="preserve">   &lt;- This is the difference between the race time and the projected time. </t>
    </r>
    <r>
      <rPr>
        <sz val="10"/>
        <color rgb="FFFF0000"/>
        <rFont val="Calibri"/>
        <family val="2"/>
        <scheme val="minor"/>
      </rPr>
      <t>Note text turns red if over four seconds</t>
    </r>
  </si>
  <si>
    <t>Ben</t>
  </si>
  <si>
    <t>E</t>
  </si>
  <si>
    <t>F</t>
  </si>
  <si>
    <t>Tasha</t>
  </si>
  <si>
    <t>boat 2</t>
  </si>
  <si>
    <t>boat 3</t>
  </si>
  <si>
    <t>boat 1</t>
  </si>
  <si>
    <t>Category GMS:</t>
  </si>
  <si>
    <r>
      <t xml:space="preserve">Seat Racing Record Sheet </t>
    </r>
    <r>
      <rPr>
        <b/>
        <sz val="14"/>
        <color theme="1"/>
        <rFont val="Arial"/>
        <family val="2"/>
      </rPr>
      <t>(3 Doubles, 6 Athletes)</t>
    </r>
  </si>
  <si>
    <t>1) Six athletes seat racing in three doubles</t>
  </si>
  <si>
    <t xml:space="preserve">2) Five races to use: a) three boats, b) stroke/bow seats, </t>
  </si>
  <si>
    <t>GMS</t>
  </si>
  <si>
    <t>AVG GMS</t>
  </si>
  <si>
    <t>RANK TM</t>
  </si>
  <si>
    <t>Compared</t>
  </si>
  <si>
    <t>Crew</t>
  </si>
  <si>
    <t>AVG TIME</t>
  </si>
  <si>
    <t>Matt</t>
  </si>
  <si>
    <t>Fred</t>
  </si>
  <si>
    <t>% Diff.</t>
  </si>
  <si>
    <t>`AVG GMS</t>
  </si>
  <si>
    <t>RACE</t>
  </si>
  <si>
    <t xml:space="preserve">   &lt;- This is the difference in race time above the fastest time of the day.</t>
  </si>
  <si>
    <t xml:space="preserve">   &lt;- This is a ranking of the finish time compared to all finish times for all races. </t>
  </si>
  <si>
    <t xml:space="preserve">   &lt;- This is a ranking of the finish time compared to the other finish times in the race. Number 1 would be the fastest combination.</t>
  </si>
  <si>
    <t xml:space="preserve">   &lt;- This is the margin of winning compared to the average of the other times for each race. </t>
  </si>
  <si>
    <t>No Name</t>
  </si>
  <si>
    <t>boat category class</t>
  </si>
  <si>
    <t>Time (2000)</t>
  </si>
  <si>
    <t>speed (m/s)</t>
  </si>
  <si>
    <t>SM8+</t>
  </si>
  <si>
    <t>SM4x</t>
  </si>
  <si>
    <t>SM4-</t>
  </si>
  <si>
    <t>SM4+</t>
  </si>
  <si>
    <t>SM2x</t>
  </si>
  <si>
    <t>SM2-</t>
  </si>
  <si>
    <t>SM1x</t>
  </si>
  <si>
    <t>SLM8+</t>
  </si>
  <si>
    <t>SLM4x</t>
  </si>
  <si>
    <t>SLM4-</t>
  </si>
  <si>
    <t>SLM4+</t>
  </si>
  <si>
    <t>SLM2x</t>
  </si>
  <si>
    <t>SLM2-</t>
  </si>
  <si>
    <t>SLM1x</t>
  </si>
  <si>
    <t>SW8+</t>
  </si>
  <si>
    <t>SW4x</t>
  </si>
  <si>
    <t>SW4-</t>
  </si>
  <si>
    <t>SW4+</t>
  </si>
  <si>
    <t>SW2x</t>
  </si>
  <si>
    <t>SW2-</t>
  </si>
  <si>
    <t>SW1x</t>
  </si>
  <si>
    <t>SLW8+</t>
  </si>
  <si>
    <t>SLW4x</t>
  </si>
  <si>
    <t>SLW4-</t>
  </si>
  <si>
    <t>SLW4+</t>
  </si>
  <si>
    <t>SLW2x</t>
  </si>
  <si>
    <t>SLW2-</t>
  </si>
  <si>
    <t>SLW1x</t>
  </si>
  <si>
    <t>PR3_4+</t>
  </si>
  <si>
    <t>PR2_Mix2x</t>
  </si>
  <si>
    <t>PR3_Mix2x</t>
  </si>
  <si>
    <t>PR1_M1x</t>
  </si>
  <si>
    <t>PR2_M1x</t>
  </si>
  <si>
    <t>PR1_W1x</t>
  </si>
  <si>
    <t>PR2_W1x</t>
  </si>
  <si>
    <t>BM8+</t>
  </si>
  <si>
    <t>BM4x</t>
  </si>
  <si>
    <t>BM4-</t>
  </si>
  <si>
    <t>BM4+</t>
  </si>
  <si>
    <t>BM2x</t>
  </si>
  <si>
    <t>BM2-</t>
  </si>
  <si>
    <t>BM1x</t>
  </si>
  <si>
    <t>BLM8+</t>
  </si>
  <si>
    <t>BLM4x</t>
  </si>
  <si>
    <t>BLM4-</t>
  </si>
  <si>
    <t>BLM4+</t>
  </si>
  <si>
    <t>BLM2x</t>
  </si>
  <si>
    <t>BLM2-</t>
  </si>
  <si>
    <t>BLM1x</t>
  </si>
  <si>
    <t>BW8+</t>
  </si>
  <si>
    <t>BW4x</t>
  </si>
  <si>
    <t>BW4-</t>
  </si>
  <si>
    <t>BW4+</t>
  </si>
  <si>
    <t>BW2x</t>
  </si>
  <si>
    <t>BW2-</t>
  </si>
  <si>
    <t>BW1x</t>
  </si>
  <si>
    <t>BLW8+</t>
  </si>
  <si>
    <t>BLW4x</t>
  </si>
  <si>
    <t>BLW4-</t>
  </si>
  <si>
    <t>BLW4+</t>
  </si>
  <si>
    <t>BLW2x</t>
  </si>
  <si>
    <t>BLW2-</t>
  </si>
  <si>
    <t>BLW1x</t>
  </si>
  <si>
    <t>U21M8+</t>
  </si>
  <si>
    <t>U21M4x</t>
  </si>
  <si>
    <t>U21M4-</t>
  </si>
  <si>
    <t>U21M4+</t>
  </si>
  <si>
    <t>U21M2x</t>
  </si>
  <si>
    <t>U21M2-</t>
  </si>
  <si>
    <t>U21M1x</t>
  </si>
  <si>
    <t>U21LM8+</t>
  </si>
  <si>
    <t>U21LM4x</t>
  </si>
  <si>
    <t>U21LM4-</t>
  </si>
  <si>
    <t>U21LM4+</t>
  </si>
  <si>
    <t>U21LM2x</t>
  </si>
  <si>
    <t>U21LM2-</t>
  </si>
  <si>
    <t>U21LM1x</t>
  </si>
  <si>
    <t>U21W8+</t>
  </si>
  <si>
    <t>U21W4x</t>
  </si>
  <si>
    <t>U21W4-</t>
  </si>
  <si>
    <t>U21W4+</t>
  </si>
  <si>
    <t>U21W2x</t>
  </si>
  <si>
    <t>U21W2-</t>
  </si>
  <si>
    <t>U21W1x</t>
  </si>
  <si>
    <t>U21LW8+</t>
  </si>
  <si>
    <t>U21LW4x</t>
  </si>
  <si>
    <t>U21LW4-</t>
  </si>
  <si>
    <t>U21LW4+</t>
  </si>
  <si>
    <t>U21LW2x</t>
  </si>
  <si>
    <t>U21LW2-</t>
  </si>
  <si>
    <t>U21LW1x</t>
  </si>
  <si>
    <t>JM8+</t>
  </si>
  <si>
    <t>JM4x</t>
  </si>
  <si>
    <t>JM4-</t>
  </si>
  <si>
    <t>JM4+</t>
  </si>
  <si>
    <t>JM2x</t>
  </si>
  <si>
    <t>JM2-</t>
  </si>
  <si>
    <t>JM1x</t>
  </si>
  <si>
    <t>JLM8+</t>
  </si>
  <si>
    <t>JLM4x</t>
  </si>
  <si>
    <t>JLM4-</t>
  </si>
  <si>
    <t>JLM4+</t>
  </si>
  <si>
    <t>JLM2x</t>
  </si>
  <si>
    <t>JLM2-</t>
  </si>
  <si>
    <t>JLM1x</t>
  </si>
  <si>
    <t>JW8+</t>
  </si>
  <si>
    <t>JW4x</t>
  </si>
  <si>
    <t>JW4-</t>
  </si>
  <si>
    <t>JW4+</t>
  </si>
  <si>
    <t>JW2x</t>
  </si>
  <si>
    <t>JW2-</t>
  </si>
  <si>
    <t>JW1x</t>
  </si>
  <si>
    <t>JLW8+</t>
  </si>
  <si>
    <t>JLW4x</t>
  </si>
  <si>
    <t>JLW4-</t>
  </si>
  <si>
    <t>JLW4+</t>
  </si>
  <si>
    <t>JLW2x</t>
  </si>
  <si>
    <t>JLW2-</t>
  </si>
  <si>
    <t>JLW1x</t>
  </si>
  <si>
    <t>U17M8+</t>
  </si>
  <si>
    <t>U17M4x</t>
  </si>
  <si>
    <t>U17M4-</t>
  </si>
  <si>
    <t>U17M4+</t>
  </si>
  <si>
    <t>U17M2x</t>
  </si>
  <si>
    <t>U17M2-</t>
  </si>
  <si>
    <t>U17M1x</t>
  </si>
  <si>
    <t>U17LM8+</t>
  </si>
  <si>
    <t>U17LM4x</t>
  </si>
  <si>
    <t>U17LM4-</t>
  </si>
  <si>
    <t>U17LM4+</t>
  </si>
  <si>
    <t>U17LM2x</t>
  </si>
  <si>
    <t>U17LM2-</t>
  </si>
  <si>
    <t>U17LM1x</t>
  </si>
  <si>
    <t>U17W8+</t>
  </si>
  <si>
    <t>U17W4x</t>
  </si>
  <si>
    <t>U17W4-</t>
  </si>
  <si>
    <t>U17W4+</t>
  </si>
  <si>
    <t>U17W2x</t>
  </si>
  <si>
    <t>U17W2-</t>
  </si>
  <si>
    <t>U17W1x</t>
  </si>
  <si>
    <t>U17LW8+</t>
  </si>
  <si>
    <t>U17LW4x</t>
  </si>
  <si>
    <t>U17LW4-</t>
  </si>
  <si>
    <t>U17LW4+</t>
  </si>
  <si>
    <t>U17LW2x</t>
  </si>
  <si>
    <t>U17LW2-</t>
  </si>
  <si>
    <t>U17LW1x</t>
  </si>
  <si>
    <t>MMA8+</t>
  </si>
  <si>
    <t>MMA4x</t>
  </si>
  <si>
    <t>MMA4-</t>
  </si>
  <si>
    <t>MMA4+</t>
  </si>
  <si>
    <t>MMA2x</t>
  </si>
  <si>
    <t>MMA2-</t>
  </si>
  <si>
    <t>MM1Ax</t>
  </si>
  <si>
    <t>MWA8+</t>
  </si>
  <si>
    <t>MWA4x</t>
  </si>
  <si>
    <t>MWA4-</t>
  </si>
  <si>
    <t>MWA4+</t>
  </si>
  <si>
    <t>MWA2x</t>
  </si>
  <si>
    <t>MWA2-</t>
  </si>
  <si>
    <t>MWA1x</t>
  </si>
  <si>
    <t>MMB8+</t>
  </si>
  <si>
    <t>MMB4x</t>
  </si>
  <si>
    <t>MMB4-</t>
  </si>
  <si>
    <t>MMB4+</t>
  </si>
  <si>
    <t>MMB2x</t>
  </si>
  <si>
    <t>MMB2-</t>
  </si>
  <si>
    <t>MM1Bx</t>
  </si>
  <si>
    <t>MWB8+</t>
  </si>
  <si>
    <t>MWB4x</t>
  </si>
  <si>
    <t>MWB4-</t>
  </si>
  <si>
    <t>MWB4+</t>
  </si>
  <si>
    <t>MWB2x</t>
  </si>
  <si>
    <t>MWB2-</t>
  </si>
  <si>
    <t>MWB1x</t>
  </si>
  <si>
    <t>MMC8+</t>
  </si>
  <si>
    <t>MMC4x</t>
  </si>
  <si>
    <t>MMC4-</t>
  </si>
  <si>
    <t>MMC4+</t>
  </si>
  <si>
    <t>MMC2x</t>
  </si>
  <si>
    <t>MMC2-</t>
  </si>
  <si>
    <t>MM1Cx</t>
  </si>
  <si>
    <t>MWC8+</t>
  </si>
  <si>
    <t>MWC4x</t>
  </si>
  <si>
    <t>MWC4-</t>
  </si>
  <si>
    <t>MWC4+</t>
  </si>
  <si>
    <t>MWC2x</t>
  </si>
  <si>
    <t>MWC2-</t>
  </si>
  <si>
    <t>MWC1x</t>
  </si>
  <si>
    <t>MMD8+</t>
  </si>
  <si>
    <t>MMD4x</t>
  </si>
  <si>
    <t>MMD4-</t>
  </si>
  <si>
    <t>MMD4+</t>
  </si>
  <si>
    <t>MMD2x</t>
  </si>
  <si>
    <t>MMD2-</t>
  </si>
  <si>
    <t>MM1Dx</t>
  </si>
  <si>
    <t>MWD8+</t>
  </si>
  <si>
    <t>MWD4x</t>
  </si>
  <si>
    <t>MWD4-</t>
  </si>
  <si>
    <t>MWD4+</t>
  </si>
  <si>
    <t>MWD2x</t>
  </si>
  <si>
    <t>MWD2-</t>
  </si>
  <si>
    <t>MWD1x</t>
  </si>
  <si>
    <t>MME8+</t>
  </si>
  <si>
    <t>MME4x</t>
  </si>
  <si>
    <t>MME4-</t>
  </si>
  <si>
    <t>MME4+</t>
  </si>
  <si>
    <t>MME2x</t>
  </si>
  <si>
    <t>MME2-</t>
  </si>
  <si>
    <t>MM1Ex</t>
  </si>
  <si>
    <t>MWE8+</t>
  </si>
  <si>
    <t>MWE4x</t>
  </si>
  <si>
    <t>MWE4-</t>
  </si>
  <si>
    <t>MWE4+</t>
  </si>
  <si>
    <t>MWE2x</t>
  </si>
  <si>
    <t>MWE2-</t>
  </si>
  <si>
    <t>MWE1x</t>
  </si>
  <si>
    <t>MMF8+</t>
  </si>
  <si>
    <t>MMF4x</t>
  </si>
  <si>
    <t>MMF4-</t>
  </si>
  <si>
    <t>MMF4+</t>
  </si>
  <si>
    <t>MMF2x</t>
  </si>
  <si>
    <t>MMF2-</t>
  </si>
  <si>
    <t>MM1Fx</t>
  </si>
  <si>
    <t>MWF8+</t>
  </si>
  <si>
    <t>MWF4x</t>
  </si>
  <si>
    <t>MWF4-</t>
  </si>
  <si>
    <t>MWF4+</t>
  </si>
  <si>
    <t>MWF2x</t>
  </si>
  <si>
    <t>MWF2-</t>
  </si>
  <si>
    <t>MWF1x</t>
  </si>
  <si>
    <t>MMG2x</t>
  </si>
  <si>
    <t>MM1Gx</t>
  </si>
  <si>
    <t>MWG2x</t>
  </si>
  <si>
    <t>MWG1x</t>
  </si>
  <si>
    <t>MMH2x</t>
  </si>
  <si>
    <t>MM1Hx</t>
  </si>
  <si>
    <t>MWH2x</t>
  </si>
  <si>
    <t>MWH1x</t>
  </si>
  <si>
    <t>MMI2x</t>
  </si>
  <si>
    <t>MMixA8+</t>
  </si>
  <si>
    <t>MMixA4x</t>
  </si>
  <si>
    <t>MMixA2x</t>
  </si>
  <si>
    <t>MMixB8+</t>
  </si>
  <si>
    <t>MMixB4x</t>
  </si>
  <si>
    <t>MMixB2x</t>
  </si>
  <si>
    <t>MMixC8+</t>
  </si>
  <si>
    <t>MMixC4x</t>
  </si>
  <si>
    <t>MMixC2x</t>
  </si>
  <si>
    <t>MMixD8+</t>
  </si>
  <si>
    <t>MMixD4x</t>
  </si>
  <si>
    <t>MMixD2x</t>
  </si>
  <si>
    <t>MMixE8+</t>
  </si>
  <si>
    <t>MMixE4x</t>
  </si>
  <si>
    <t>MMixE2x</t>
  </si>
  <si>
    <t>MMixF8+</t>
  </si>
  <si>
    <t>MMixF4x</t>
  </si>
  <si>
    <t>MMixF2x</t>
  </si>
  <si>
    <t>MMixG2x</t>
  </si>
  <si>
    <t>MMixH2x</t>
  </si>
  <si>
    <t>MMixI2x</t>
  </si>
  <si>
    <t>Split Diff</t>
  </si>
  <si>
    <t>Split %</t>
  </si>
  <si>
    <t>Split Time Diff.</t>
  </si>
  <si>
    <t>Split % Diff.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</si>
</sst>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:ss.00"/>
    <numFmt numFmtId="165" formatCode="m:ss.00"/>
    <numFmt numFmtId="166" formatCode="0.0%"/>
    <numFmt numFmtId="167" formatCode="\+0.00;\-0.00"/>
    <numFmt numFmtId="168" formatCode="m:ss.0"/>
    <numFmt numFmtId="169" formatCode="0.000"/>
  </numFmts>
  <fonts count="4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33CC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0033CC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rgb="FF7030A0"/>
      <name val="Arial"/>
      <family val="2"/>
    </font>
    <font>
      <sz val="8"/>
      <color rgb="FF0033CC"/>
      <name val="Calibri"/>
      <family val="2"/>
      <scheme val="minor"/>
    </font>
    <font>
      <sz val="11"/>
      <color theme="1"/>
      <name val="Arial"/>
      <family val="2"/>
    </font>
    <font>
      <sz val="11"/>
      <color rgb="FF0033CC"/>
      <name val="Calibri"/>
      <family val="2"/>
      <scheme val="minor"/>
    </font>
    <font>
      <sz val="9"/>
      <name val="Arial"/>
      <family val="2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i/>
      <sz val="8"/>
      <name val="Arial"/>
      <family val="2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0033CC"/>
      <name val="Calibri"/>
      <family val="2"/>
      <scheme val="minor"/>
    </font>
    <font>
      <sz val="8"/>
      <name val="Arial Narrow"/>
      <family val="2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7" fillId="0" borderId="0"/>
  </cellStyleXfs>
  <cellXfs count="272">
    <xf numFmtId="0" fontId="0" fillId="0" borderId="0" xfId="0"/>
    <xf numFmtId="0" fontId="11" fillId="0" borderId="22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1" fontId="11" fillId="0" borderId="25" xfId="0" applyNumberFormat="1" applyFont="1" applyBorder="1" applyAlignment="1" applyProtection="1">
      <alignment horizontal="center" vertical="center"/>
      <protection locked="0"/>
    </xf>
    <xf numFmtId="164" fontId="13" fillId="0" borderId="32" xfId="0" applyNumberFormat="1" applyFont="1" applyBorder="1" applyAlignment="1" applyProtection="1">
      <alignment horizontal="center" vertical="center"/>
      <protection locked="0"/>
    </xf>
    <xf numFmtId="164" fontId="13" fillId="0" borderId="15" xfId="0" applyNumberFormat="1" applyFont="1" applyBorder="1" applyAlignment="1" applyProtection="1">
      <alignment horizontal="center" vertical="center"/>
      <protection locked="0"/>
    </xf>
    <xf numFmtId="10" fontId="10" fillId="0" borderId="24" xfId="1" applyNumberFormat="1" applyFont="1" applyBorder="1" applyAlignment="1" applyProtection="1">
      <alignment horizontal="center"/>
    </xf>
    <xf numFmtId="10" fontId="10" fillId="0" borderId="21" xfId="1" applyNumberFormat="1" applyFont="1" applyBorder="1" applyAlignment="1" applyProtection="1">
      <alignment horizontal="center"/>
    </xf>
    <xf numFmtId="10" fontId="10" fillId="0" borderId="22" xfId="1" applyNumberFormat="1" applyFont="1" applyBorder="1" applyAlignment="1" applyProtection="1">
      <alignment horizontal="center"/>
    </xf>
    <xf numFmtId="14" fontId="27" fillId="0" borderId="0" xfId="0" applyNumberFormat="1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36" xfId="0" applyFont="1" applyBorder="1" applyAlignment="1" applyProtection="1">
      <alignment horizontal="left"/>
      <protection locked="0"/>
    </xf>
    <xf numFmtId="164" fontId="13" fillId="0" borderId="5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12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9" fillId="0" borderId="36" xfId="0" applyFont="1" applyBorder="1"/>
    <xf numFmtId="0" fontId="7" fillId="0" borderId="35" xfId="0" applyFont="1" applyBorder="1" applyAlignment="1">
      <alignment horizontal="right"/>
    </xf>
    <xf numFmtId="0" fontId="7" fillId="0" borderId="36" xfId="0" applyFont="1" applyBorder="1"/>
    <xf numFmtId="0" fontId="7" fillId="0" borderId="35" xfId="0" applyFont="1" applyBorder="1"/>
    <xf numFmtId="0" fontId="7" fillId="0" borderId="35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35" xfId="0" applyFont="1" applyBorder="1" applyAlignment="1">
      <alignment horizontal="right" wrapText="1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6" xfId="0" applyFont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8" fillId="0" borderId="0" xfId="0" applyFont="1"/>
    <xf numFmtId="0" fontId="7" fillId="0" borderId="36" xfId="0" applyFont="1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0" fontId="9" fillId="0" borderId="26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10" fillId="0" borderId="35" xfId="0" applyFont="1" applyBorder="1" applyAlignment="1">
      <alignment horizontal="right"/>
    </xf>
    <xf numFmtId="164" fontId="13" fillId="0" borderId="0" xfId="0" applyNumberFormat="1" applyFont="1" applyAlignment="1">
      <alignment horizontal="center" vertical="center"/>
    </xf>
    <xf numFmtId="0" fontId="10" fillId="0" borderId="36" xfId="0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6" fillId="0" borderId="0" xfId="0" applyFont="1" applyAlignment="1">
      <alignment horizontal="center"/>
    </xf>
    <xf numFmtId="164" fontId="1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36" xfId="0" applyFont="1" applyBorder="1" applyAlignment="1">
      <alignment horizontal="left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3" fillId="0" borderId="18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41" xfId="0" applyFont="1" applyBorder="1" applyAlignment="1">
      <alignment horizontal="right" vertical="center"/>
    </xf>
    <xf numFmtId="0" fontId="9" fillId="0" borderId="46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57" xfId="0" applyFont="1" applyBorder="1" applyAlignment="1">
      <alignment horizontal="right"/>
    </xf>
    <xf numFmtId="0" fontId="28" fillId="0" borderId="36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19" fillId="0" borderId="35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52" xfId="0" applyFont="1" applyBorder="1" applyAlignment="1">
      <alignment horizontal="right"/>
    </xf>
    <xf numFmtId="0" fontId="7" fillId="0" borderId="53" xfId="0" applyFont="1" applyBorder="1"/>
    <xf numFmtId="0" fontId="7" fillId="0" borderId="40" xfId="0" applyFont="1" applyBorder="1"/>
    <xf numFmtId="0" fontId="12" fillId="0" borderId="0" xfId="0" applyFont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166" fontId="7" fillId="0" borderId="0" xfId="0" applyNumberFormat="1" applyFont="1"/>
    <xf numFmtId="164" fontId="13" fillId="0" borderId="26" xfId="0" applyNumberFormat="1" applyFont="1" applyBorder="1" applyAlignment="1" applyProtection="1">
      <alignment horizontal="center" vertical="center"/>
      <protection locked="0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25" xfId="0" applyNumberFormat="1" applyFont="1" applyBorder="1" applyAlignment="1" applyProtection="1">
      <alignment horizontal="center" vertical="center"/>
      <protection locked="0"/>
    </xf>
    <xf numFmtId="164" fontId="13" fillId="0" borderId="60" xfId="0" applyNumberFormat="1" applyFont="1" applyBorder="1" applyAlignment="1" applyProtection="1">
      <alignment horizontal="center" vertical="center"/>
      <protection locked="0"/>
    </xf>
    <xf numFmtId="164" fontId="13" fillId="0" borderId="30" xfId="0" applyNumberFormat="1" applyFont="1" applyBorder="1" applyAlignment="1" applyProtection="1">
      <alignment horizontal="center" vertical="center"/>
      <protection locked="0"/>
    </xf>
    <xf numFmtId="0" fontId="11" fillId="0" borderId="25" xfId="0" applyFont="1" applyBorder="1" applyProtection="1">
      <protection locked="0"/>
    </xf>
    <xf numFmtId="0" fontId="11" fillId="0" borderId="19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15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right" shrinkToFit="1"/>
    </xf>
    <xf numFmtId="0" fontId="32" fillId="0" borderId="24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right"/>
    </xf>
    <xf numFmtId="0" fontId="29" fillId="0" borderId="16" xfId="0" applyFont="1" applyBorder="1" applyAlignment="1">
      <alignment horizontal="center"/>
    </xf>
    <xf numFmtId="0" fontId="29" fillId="0" borderId="0" xfId="0" applyFont="1" applyAlignment="1">
      <alignment horizontal="center"/>
    </xf>
    <xf numFmtId="164" fontId="13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20" fillId="0" borderId="36" xfId="0" applyFont="1" applyBorder="1" applyAlignment="1">
      <alignment horizontal="left"/>
    </xf>
    <xf numFmtId="0" fontId="0" fillId="2" borderId="0" xfId="0" applyFill="1"/>
    <xf numFmtId="0" fontId="0" fillId="5" borderId="0" xfId="0" applyFill="1"/>
    <xf numFmtId="0" fontId="0" fillId="6" borderId="0" xfId="0" applyFill="1"/>
    <xf numFmtId="0" fontId="8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4" fillId="0" borderId="18" xfId="0" applyFont="1" applyBorder="1" applyAlignment="1">
      <alignment horizontal="center" vertical="center"/>
    </xf>
    <xf numFmtId="9" fontId="7" fillId="0" borderId="0" xfId="1" applyFont="1" applyProtection="1"/>
    <xf numFmtId="0" fontId="0" fillId="2" borderId="0" xfId="0" quotePrefix="1" applyFill="1" applyAlignment="1">
      <alignment horizontal="center"/>
    </xf>
    <xf numFmtId="0" fontId="0" fillId="4" borderId="0" xfId="0" applyFill="1" applyAlignment="1">
      <alignment horizontal="center"/>
    </xf>
    <xf numFmtId="0" fontId="11" fillId="0" borderId="36" xfId="0" applyFont="1" applyBorder="1" applyAlignment="1">
      <alignment vertical="top" wrapText="1"/>
    </xf>
    <xf numFmtId="166" fontId="7" fillId="0" borderId="0" xfId="1" applyNumberFormat="1" applyFont="1" applyProtection="1"/>
    <xf numFmtId="0" fontId="0" fillId="7" borderId="0" xfId="0" quotePrefix="1" applyFill="1" applyAlignment="1">
      <alignment horizontal="center"/>
    </xf>
    <xf numFmtId="0" fontId="24" fillId="0" borderId="21" xfId="0" applyFont="1" applyBorder="1" applyAlignment="1">
      <alignment horizontal="center" vertical="center"/>
    </xf>
    <xf numFmtId="0" fontId="7" fillId="0" borderId="0" xfId="0" applyFont="1" applyProtection="1">
      <protection locked="0"/>
    </xf>
    <xf numFmtId="10" fontId="3" fillId="0" borderId="19" xfId="1" applyNumberFormat="1" applyFont="1" applyBorder="1" applyAlignment="1">
      <alignment horizontal="center" vertical="center"/>
    </xf>
    <xf numFmtId="0" fontId="33" fillId="0" borderId="61" xfId="0" applyFont="1" applyBorder="1" applyAlignment="1">
      <alignment horizontal="right"/>
    </xf>
    <xf numFmtId="0" fontId="33" fillId="0" borderId="39" xfId="0" applyFont="1" applyBorder="1" applyAlignment="1">
      <alignment horizontal="right"/>
    </xf>
    <xf numFmtId="0" fontId="33" fillId="0" borderId="59" xfId="0" applyFont="1" applyBorder="1" applyAlignment="1">
      <alignment horizontal="right"/>
    </xf>
    <xf numFmtId="0" fontId="33" fillId="0" borderId="47" xfId="0" applyFont="1" applyBorder="1" applyAlignment="1">
      <alignment horizontal="left"/>
    </xf>
    <xf numFmtId="10" fontId="3" fillId="0" borderId="22" xfId="1" applyNumberFormat="1" applyFont="1" applyBorder="1" applyAlignment="1">
      <alignment horizontal="center" vertical="center"/>
    </xf>
    <xf numFmtId="0" fontId="34" fillId="0" borderId="39" xfId="0" applyFont="1" applyBorder="1" applyAlignment="1">
      <alignment horizontal="right"/>
    </xf>
    <xf numFmtId="0" fontId="34" fillId="0" borderId="47" xfId="0" applyFont="1" applyBorder="1" applyAlignment="1">
      <alignment horizontal="left"/>
    </xf>
    <xf numFmtId="0" fontId="8" fillId="0" borderId="2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10" fontId="3" fillId="0" borderId="25" xfId="1" applyNumberFormat="1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0" fontId="3" fillId="0" borderId="7" xfId="1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4" fillId="0" borderId="35" xfId="0" applyFont="1" applyBorder="1" applyAlignment="1">
      <alignment horizontal="right"/>
    </xf>
    <xf numFmtId="0" fontId="34" fillId="0" borderId="38" xfId="0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168" fontId="11" fillId="0" borderId="22" xfId="0" applyNumberFormat="1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>
      <alignment horizontal="right"/>
    </xf>
    <xf numFmtId="0" fontId="33" fillId="0" borderId="58" xfId="0" applyFont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3" fillId="0" borderId="43" xfId="0" applyFont="1" applyBorder="1" applyAlignment="1">
      <alignment horizontal="left"/>
    </xf>
    <xf numFmtId="0" fontId="33" fillId="0" borderId="62" xfId="0" applyFont="1" applyBorder="1" applyAlignment="1">
      <alignment horizontal="left"/>
    </xf>
    <xf numFmtId="164" fontId="6" fillId="0" borderId="17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2" fontId="25" fillId="0" borderId="24" xfId="0" applyNumberFormat="1" applyFont="1" applyBorder="1" applyAlignment="1">
      <alignment horizontal="center" vertical="center"/>
    </xf>
    <xf numFmtId="167" fontId="25" fillId="0" borderId="21" xfId="0" applyNumberFormat="1" applyFont="1" applyBorder="1" applyAlignment="1">
      <alignment horizontal="center" vertical="center"/>
    </xf>
    <xf numFmtId="167" fontId="25" fillId="0" borderId="22" xfId="0" applyNumberFormat="1" applyFont="1" applyBorder="1" applyAlignment="1">
      <alignment horizontal="center" vertical="center"/>
    </xf>
    <xf numFmtId="167" fontId="25" fillId="0" borderId="23" xfId="0" applyNumberFormat="1" applyFont="1" applyBorder="1" applyAlignment="1">
      <alignment horizontal="center"/>
    </xf>
    <xf numFmtId="167" fontId="25" fillId="0" borderId="18" xfId="0" applyNumberFormat="1" applyFont="1" applyBorder="1" applyAlignment="1">
      <alignment horizontal="center"/>
    </xf>
    <xf numFmtId="167" fontId="25" fillId="0" borderId="19" xfId="0" applyNumberFormat="1" applyFont="1" applyBorder="1" applyAlignment="1">
      <alignment horizontal="center"/>
    </xf>
    <xf numFmtId="167" fontId="25" fillId="0" borderId="33" xfId="0" applyNumberFormat="1" applyFont="1" applyBorder="1" applyAlignment="1">
      <alignment horizontal="center"/>
    </xf>
    <xf numFmtId="167" fontId="25" fillId="0" borderId="51" xfId="0" applyNumberFormat="1" applyFont="1" applyBorder="1" applyAlignment="1">
      <alignment horizontal="center" vertical="center"/>
    </xf>
    <xf numFmtId="0" fontId="35" fillId="0" borderId="23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34" fillId="0" borderId="49" xfId="0" applyFont="1" applyBorder="1" applyAlignment="1">
      <alignment horizontal="right"/>
    </xf>
    <xf numFmtId="0" fontId="34" fillId="0" borderId="63" xfId="0" applyFont="1" applyBorder="1" applyAlignment="1">
      <alignment horizontal="right"/>
    </xf>
    <xf numFmtId="0" fontId="0" fillId="0" borderId="23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2" fontId="9" fillId="0" borderId="50" xfId="0" applyNumberFormat="1" applyFont="1" applyBorder="1" applyAlignment="1">
      <alignment horizontal="center"/>
    </xf>
    <xf numFmtId="2" fontId="9" fillId="0" borderId="60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34" fillId="0" borderId="36" xfId="0" applyFont="1" applyBorder="1" applyAlignment="1">
      <alignment horizontal="left"/>
    </xf>
    <xf numFmtId="2" fontId="9" fillId="0" borderId="32" xfId="0" applyNumberFormat="1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/>
    </xf>
    <xf numFmtId="165" fontId="25" fillId="0" borderId="8" xfId="0" applyNumberFormat="1" applyFont="1" applyBorder="1" applyAlignment="1">
      <alignment horizontal="center"/>
    </xf>
    <xf numFmtId="165" fontId="25" fillId="0" borderId="1" xfId="0" applyNumberFormat="1" applyFont="1" applyBorder="1" applyAlignment="1">
      <alignment horizontal="center"/>
    </xf>
    <xf numFmtId="165" fontId="25" fillId="0" borderId="7" xfId="0" applyNumberFormat="1" applyFont="1" applyBorder="1" applyAlignment="1">
      <alignment horizontal="center"/>
    </xf>
    <xf numFmtId="167" fontId="25" fillId="0" borderId="20" xfId="0" applyNumberFormat="1" applyFont="1" applyBorder="1" applyAlignment="1">
      <alignment horizontal="center"/>
    </xf>
    <xf numFmtId="2" fontId="25" fillId="0" borderId="48" xfId="0" applyNumberFormat="1" applyFont="1" applyBorder="1" applyAlignment="1">
      <alignment horizontal="center" vertical="center"/>
    </xf>
    <xf numFmtId="0" fontId="35" fillId="0" borderId="18" xfId="0" applyFont="1" applyBorder="1" applyAlignment="1">
      <alignment horizontal="center"/>
    </xf>
    <xf numFmtId="165" fontId="25" fillId="0" borderId="14" xfId="0" applyNumberFormat="1" applyFont="1" applyBorder="1" applyAlignment="1">
      <alignment horizontal="center"/>
    </xf>
    <xf numFmtId="165" fontId="25" fillId="0" borderId="6" xfId="0" applyNumberFormat="1" applyFont="1" applyBorder="1" applyAlignment="1">
      <alignment horizontal="center"/>
    </xf>
    <xf numFmtId="0" fontId="36" fillId="0" borderId="24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169" fontId="6" fillId="0" borderId="0" xfId="0" applyNumberFormat="1" applyFont="1" applyAlignment="1">
      <alignment horizontal="center"/>
    </xf>
    <xf numFmtId="0" fontId="37" fillId="2" borderId="0" xfId="2" applyFill="1"/>
    <xf numFmtId="168" fontId="37" fillId="2" borderId="0" xfId="2" applyNumberFormat="1" applyFill="1" applyAlignment="1">
      <alignment horizontal="center" vertical="center"/>
    </xf>
    <xf numFmtId="169" fontId="37" fillId="2" borderId="0" xfId="2" applyNumberFormat="1" applyFill="1" applyAlignment="1">
      <alignment horizontal="center" vertical="center"/>
    </xf>
    <xf numFmtId="0" fontId="37" fillId="5" borderId="0" xfId="2" applyFill="1"/>
    <xf numFmtId="168" fontId="37" fillId="5" borderId="0" xfId="2" applyNumberFormat="1" applyFill="1" applyAlignment="1">
      <alignment horizontal="center" vertical="center"/>
    </xf>
    <xf numFmtId="169" fontId="37" fillId="5" borderId="0" xfId="2" applyNumberFormat="1" applyFill="1" applyAlignment="1">
      <alignment horizontal="center" vertical="center"/>
    </xf>
    <xf numFmtId="0" fontId="37" fillId="8" borderId="0" xfId="2" applyFill="1"/>
    <xf numFmtId="168" fontId="37" fillId="8" borderId="0" xfId="2" applyNumberFormat="1" applyFill="1" applyAlignment="1">
      <alignment horizontal="center" vertical="center"/>
    </xf>
    <xf numFmtId="169" fontId="37" fillId="8" borderId="0" xfId="2" applyNumberFormat="1" applyFill="1" applyAlignment="1">
      <alignment horizontal="center" vertical="center"/>
    </xf>
    <xf numFmtId="0" fontId="0" fillId="8" borderId="0" xfId="0" applyFill="1"/>
    <xf numFmtId="47" fontId="0" fillId="0" borderId="0" xfId="0" applyNumberFormat="1" applyAlignment="1">
      <alignment horizontal="center"/>
    </xf>
    <xf numFmtId="169" fontId="38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0" fontId="0" fillId="3" borderId="0" xfId="0" applyFill="1"/>
    <xf numFmtId="0" fontId="30" fillId="0" borderId="35" xfId="0" applyFont="1" applyBorder="1" applyAlignment="1">
      <alignment horizontal="center" vertical="top" wrapText="1"/>
    </xf>
    <xf numFmtId="0" fontId="30" fillId="0" borderId="35" xfId="0" applyFont="1" applyBorder="1" applyAlignment="1">
      <alignment horizontal="center" vertical="top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39" fillId="0" borderId="0" xfId="0" applyNumberFormat="1" applyFont="1"/>
    <xf numFmtId="10" fontId="39" fillId="0" borderId="0" xfId="0" applyNumberFormat="1" applyFont="1" applyAlignment="1">
      <alignment horizontal="center"/>
    </xf>
    <xf numFmtId="10" fontId="39" fillId="0" borderId="0" xfId="1" applyNumberFormat="1" applyFont="1" applyBorder="1" applyAlignment="1">
      <alignment horizontal="center"/>
    </xf>
    <xf numFmtId="10" fontId="9" fillId="0" borderId="1" xfId="1" applyNumberFormat="1" applyFont="1" applyBorder="1" applyAlignment="1">
      <alignment horizontal="center" vertical="top" wrapText="1"/>
    </xf>
    <xf numFmtId="10" fontId="9" fillId="0" borderId="33" xfId="1" applyNumberFormat="1" applyFont="1" applyBorder="1" applyAlignment="1">
      <alignment horizontal="center" vertical="top" wrapText="1"/>
    </xf>
    <xf numFmtId="10" fontId="9" fillId="0" borderId="51" xfId="1" applyNumberFormat="1" applyFont="1" applyBorder="1" applyAlignment="1">
      <alignment horizontal="center" vertical="top" wrapText="1"/>
    </xf>
    <xf numFmtId="165" fontId="3" fillId="0" borderId="64" xfId="0" applyNumberFormat="1" applyFont="1" applyBorder="1" applyAlignment="1">
      <alignment horizontal="center" vertical="center"/>
    </xf>
    <xf numFmtId="165" fontId="3" fillId="0" borderId="65" xfId="0" applyNumberFormat="1" applyFont="1" applyBorder="1" applyAlignment="1">
      <alignment horizontal="center" vertical="center"/>
    </xf>
    <xf numFmtId="165" fontId="3" fillId="0" borderId="66" xfId="0" applyNumberFormat="1" applyFont="1" applyBorder="1" applyAlignment="1">
      <alignment horizontal="center" vertical="center"/>
    </xf>
    <xf numFmtId="167" fontId="3" fillId="0" borderId="26" xfId="0" applyNumberFormat="1" applyFont="1" applyBorder="1" applyAlignment="1">
      <alignment horizontal="center" vertical="center"/>
    </xf>
    <xf numFmtId="167" fontId="3" fillId="0" borderId="23" xfId="0" applyNumberFormat="1" applyFont="1" applyBorder="1" applyAlignment="1">
      <alignment horizontal="center" vertical="center"/>
    </xf>
    <xf numFmtId="167" fontId="3" fillId="0" borderId="24" xfId="0" applyNumberFormat="1" applyFont="1" applyBorder="1" applyAlignment="1">
      <alignment horizontal="center" vertical="center"/>
    </xf>
    <xf numFmtId="10" fontId="0" fillId="0" borderId="25" xfId="1" applyNumberFormat="1" applyFont="1" applyBorder="1" applyAlignment="1">
      <alignment horizontal="center"/>
    </xf>
    <xf numFmtId="10" fontId="0" fillId="0" borderId="19" xfId="1" applyNumberFormat="1" applyFont="1" applyBorder="1" applyAlignment="1">
      <alignment horizontal="center"/>
    </xf>
    <xf numFmtId="10" fontId="0" fillId="0" borderId="22" xfId="1" applyNumberFormat="1" applyFont="1" applyBorder="1" applyAlignment="1">
      <alignment horizontal="center"/>
    </xf>
    <xf numFmtId="167" fontId="1" fillId="0" borderId="23" xfId="0" applyNumberFormat="1" applyFont="1" applyBorder="1" applyAlignment="1">
      <alignment horizontal="center" vertical="center"/>
    </xf>
    <xf numFmtId="167" fontId="1" fillId="0" borderId="24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10" fontId="9" fillId="0" borderId="25" xfId="1" applyNumberFormat="1" applyFont="1" applyBorder="1" applyAlignment="1">
      <alignment horizontal="center" vertical="top" wrapText="1"/>
    </xf>
    <xf numFmtId="2" fontId="8" fillId="0" borderId="23" xfId="0" applyNumberFormat="1" applyFont="1" applyBorder="1" applyAlignment="1">
      <alignment horizontal="center" vertical="center"/>
    </xf>
    <xf numFmtId="10" fontId="9" fillId="0" borderId="19" xfId="1" applyNumberFormat="1" applyFont="1" applyBorder="1" applyAlignment="1">
      <alignment horizontal="center" vertical="top" wrapText="1"/>
    </xf>
    <xf numFmtId="2" fontId="8" fillId="0" borderId="24" xfId="0" applyNumberFormat="1" applyFont="1" applyBorder="1" applyAlignment="1">
      <alignment horizontal="center" vertical="center"/>
    </xf>
    <xf numFmtId="10" fontId="9" fillId="0" borderId="22" xfId="1" applyNumberFormat="1" applyFont="1" applyBorder="1" applyAlignment="1">
      <alignment horizontal="center" vertical="top" wrapText="1"/>
    </xf>
    <xf numFmtId="0" fontId="14" fillId="0" borderId="44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34" xfId="0" applyFont="1" applyBorder="1" applyAlignment="1">
      <alignment horizontal="center"/>
    </xf>
  </cellXfs>
  <cellStyles count="3">
    <cellStyle name="Normal" xfId="0" builtinId="0"/>
    <cellStyle name="Normal_05-08 Gold Medal Times" xfId="2" xr:uid="{F55C8A8C-B461-44ED-86D1-DCACAA521C16}"/>
    <cellStyle name="Per cent" xfId="1" builtinId="5"/>
  </cellStyles>
  <dxfs count="7">
    <dxf>
      <font>
        <color rgb="FFFF0000"/>
      </font>
    </dxf>
    <dxf>
      <font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CC"/>
      <color rgb="FF0033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ke\Dropbox%20(Personal)\Time%20Standards\Time%20Trials%202013.xlsx" TargetMode="External"/><Relationship Id="rId1" Type="http://schemas.openxmlformats.org/officeDocument/2006/relationships/externalLinkPath" Target="/Users/mike/Dropbox%20(Personal)/Time%20Standards/Time%20Trial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ARDS"/>
      <sheetName val="2013"/>
      <sheetName val="Sheet1"/>
      <sheetName val="Sheet2"/>
      <sheetName val="Sheet3"/>
    </sheetNames>
    <sheetDataSet>
      <sheetData sheetId="0">
        <row r="38">
          <cell r="A38" t="str">
            <v>SM8+</v>
          </cell>
        </row>
        <row r="39">
          <cell r="A39" t="str">
            <v>SM4X</v>
          </cell>
        </row>
        <row r="40">
          <cell r="A40" t="str">
            <v>SM4-</v>
          </cell>
        </row>
        <row r="41">
          <cell r="A41" t="str">
            <v>SM4+</v>
          </cell>
        </row>
        <row r="42">
          <cell r="A42" t="str">
            <v>SM2X</v>
          </cell>
        </row>
        <row r="43">
          <cell r="A43" t="str">
            <v>SM2-</v>
          </cell>
        </row>
        <row r="44">
          <cell r="A44" t="str">
            <v>SM1X</v>
          </cell>
        </row>
        <row r="45">
          <cell r="A45" t="str">
            <v>SM2+</v>
          </cell>
        </row>
        <row r="46">
          <cell r="A46" t="str">
            <v>SLM8+</v>
          </cell>
        </row>
        <row r="47">
          <cell r="A47" t="str">
            <v>SLM4X</v>
          </cell>
        </row>
        <row r="48">
          <cell r="A48" t="str">
            <v>SLM4-</v>
          </cell>
        </row>
        <row r="49">
          <cell r="A49" t="str">
            <v>SLM4+</v>
          </cell>
        </row>
        <row r="50">
          <cell r="A50" t="str">
            <v>SLM2X</v>
          </cell>
        </row>
        <row r="51">
          <cell r="A51" t="str">
            <v>SLM2-</v>
          </cell>
        </row>
        <row r="52">
          <cell r="A52" t="str">
            <v>SLM1X</v>
          </cell>
        </row>
        <row r="53">
          <cell r="A53" t="str">
            <v>SBM8+</v>
          </cell>
        </row>
        <row r="54">
          <cell r="A54" t="str">
            <v>SBM4X</v>
          </cell>
        </row>
        <row r="55">
          <cell r="A55" t="str">
            <v>SBM4-</v>
          </cell>
        </row>
        <row r="56">
          <cell r="A56" t="str">
            <v>SBM4+</v>
          </cell>
        </row>
        <row r="57">
          <cell r="A57" t="str">
            <v>SBM2X</v>
          </cell>
        </row>
        <row r="58">
          <cell r="A58" t="str">
            <v>SBM2-</v>
          </cell>
        </row>
        <row r="59">
          <cell r="A59" t="str">
            <v>SBM1X</v>
          </cell>
        </row>
        <row r="60">
          <cell r="A60" t="str">
            <v>SBLM8+</v>
          </cell>
        </row>
        <row r="61">
          <cell r="A61" t="str">
            <v>SBLM4X</v>
          </cell>
        </row>
        <row r="62">
          <cell r="A62" t="str">
            <v>SBLM4-</v>
          </cell>
        </row>
        <row r="63">
          <cell r="A63" t="str">
            <v>SBLM4+</v>
          </cell>
        </row>
        <row r="64">
          <cell r="A64" t="str">
            <v>SBLM2X</v>
          </cell>
        </row>
        <row r="65">
          <cell r="A65" t="str">
            <v>SBLM2-</v>
          </cell>
        </row>
        <row r="66">
          <cell r="A66" t="str">
            <v>SBLM1X</v>
          </cell>
        </row>
        <row r="67">
          <cell r="A67" t="str">
            <v>S64M4+</v>
          </cell>
        </row>
        <row r="68">
          <cell r="A68" t="str">
            <v>S64M1X</v>
          </cell>
        </row>
        <row r="69">
          <cell r="A69" t="str">
            <v>JM8+</v>
          </cell>
        </row>
        <row r="70">
          <cell r="A70" t="str">
            <v>JM4X</v>
          </cell>
        </row>
        <row r="71">
          <cell r="A71" t="str">
            <v>JM4-</v>
          </cell>
        </row>
        <row r="72">
          <cell r="A72" t="str">
            <v>JM4+</v>
          </cell>
        </row>
        <row r="73">
          <cell r="A73" t="str">
            <v>JM2X</v>
          </cell>
        </row>
        <row r="74">
          <cell r="A74" t="str">
            <v>JM2-</v>
          </cell>
        </row>
        <row r="75">
          <cell r="A75" t="str">
            <v>JM1X</v>
          </cell>
        </row>
        <row r="76">
          <cell r="A76" t="str">
            <v>JLM8+</v>
          </cell>
        </row>
        <row r="77">
          <cell r="A77" t="str">
            <v>JLM4X</v>
          </cell>
        </row>
        <row r="78">
          <cell r="A78" t="str">
            <v>JLM4-</v>
          </cell>
        </row>
        <row r="79">
          <cell r="A79" t="str">
            <v>JLM4+</v>
          </cell>
        </row>
        <row r="80">
          <cell r="A80" t="str">
            <v>JLM2X</v>
          </cell>
        </row>
        <row r="81">
          <cell r="A81" t="str">
            <v>JLM2-</v>
          </cell>
        </row>
        <row r="82">
          <cell r="A82" t="str">
            <v>JLM1X</v>
          </cell>
        </row>
        <row r="83">
          <cell r="A83" t="str">
            <v>JBM8+</v>
          </cell>
        </row>
        <row r="84">
          <cell r="A84" t="str">
            <v>JBM4X</v>
          </cell>
        </row>
        <row r="85">
          <cell r="A85" t="str">
            <v>JBM4-</v>
          </cell>
        </row>
        <row r="86">
          <cell r="A86" t="str">
            <v>JBM4+</v>
          </cell>
        </row>
        <row r="87">
          <cell r="A87" t="str">
            <v>JBM2X</v>
          </cell>
        </row>
        <row r="88">
          <cell r="A88" t="str">
            <v>JBM2-</v>
          </cell>
        </row>
        <row r="89">
          <cell r="A89" t="str">
            <v>JBM1X</v>
          </cell>
        </row>
        <row r="90">
          <cell r="A90" t="str">
            <v>JBLM8+</v>
          </cell>
        </row>
        <row r="91">
          <cell r="A91" t="str">
            <v>JBLM4X</v>
          </cell>
        </row>
        <row r="92">
          <cell r="A92" t="str">
            <v>JBLM4-</v>
          </cell>
        </row>
        <row r="93">
          <cell r="A93" t="str">
            <v>JBLM4+</v>
          </cell>
        </row>
        <row r="94">
          <cell r="A94" t="str">
            <v>JBLM2X</v>
          </cell>
        </row>
        <row r="95">
          <cell r="A95" t="str">
            <v>JBLM2-</v>
          </cell>
        </row>
        <row r="96">
          <cell r="A96" t="str">
            <v>JBLM1X</v>
          </cell>
        </row>
        <row r="97">
          <cell r="A97" t="str">
            <v>SW8+</v>
          </cell>
        </row>
        <row r="98">
          <cell r="A98" t="str">
            <v>SW4X</v>
          </cell>
        </row>
        <row r="99">
          <cell r="A99" t="str">
            <v>SW4-</v>
          </cell>
        </row>
        <row r="100">
          <cell r="A100" t="str">
            <v>SW4+</v>
          </cell>
        </row>
        <row r="101">
          <cell r="A101" t="str">
            <v>SW2X</v>
          </cell>
        </row>
        <row r="102">
          <cell r="A102" t="str">
            <v>SW2-</v>
          </cell>
        </row>
        <row r="103">
          <cell r="A103" t="str">
            <v>SW1X</v>
          </cell>
        </row>
        <row r="104">
          <cell r="A104" t="str">
            <v>SLW8+</v>
          </cell>
        </row>
        <row r="105">
          <cell r="A105" t="str">
            <v>SLW4X</v>
          </cell>
        </row>
        <row r="106">
          <cell r="A106" t="str">
            <v>SLW4-</v>
          </cell>
        </row>
        <row r="107">
          <cell r="A107" t="str">
            <v>SLW4+</v>
          </cell>
        </row>
        <row r="108">
          <cell r="A108" t="str">
            <v>SLW2X</v>
          </cell>
        </row>
        <row r="109">
          <cell r="A109" t="str">
            <v>SLW2-</v>
          </cell>
        </row>
        <row r="110">
          <cell r="A110" t="str">
            <v>SLW1X</v>
          </cell>
        </row>
        <row r="111">
          <cell r="A111" t="str">
            <v>SBW8+</v>
          </cell>
        </row>
        <row r="112">
          <cell r="A112" t="str">
            <v>SBW4X</v>
          </cell>
        </row>
        <row r="113">
          <cell r="A113" t="str">
            <v>SBW4-</v>
          </cell>
        </row>
        <row r="114">
          <cell r="A114" t="str">
            <v>SBW4+</v>
          </cell>
        </row>
        <row r="115">
          <cell r="A115" t="str">
            <v>SBW2X</v>
          </cell>
        </row>
        <row r="116">
          <cell r="A116" t="str">
            <v>SBW2-</v>
          </cell>
        </row>
        <row r="117">
          <cell r="A117" t="str">
            <v>SBW1X</v>
          </cell>
        </row>
        <row r="118">
          <cell r="A118" t="str">
            <v>SBLW8+</v>
          </cell>
        </row>
        <row r="119">
          <cell r="A119" t="str">
            <v>SBLW4X</v>
          </cell>
        </row>
        <row r="120">
          <cell r="A120" t="str">
            <v>SBLW4-</v>
          </cell>
        </row>
        <row r="121">
          <cell r="A121" t="str">
            <v>SBLW4+</v>
          </cell>
        </row>
        <row r="122">
          <cell r="A122" t="str">
            <v>SBLW2X</v>
          </cell>
        </row>
        <row r="123">
          <cell r="A123" t="str">
            <v>SBLW2-</v>
          </cell>
        </row>
        <row r="124">
          <cell r="A124" t="str">
            <v>SBLW1X</v>
          </cell>
        </row>
        <row r="125">
          <cell r="A125" t="str">
            <v>S15W4+</v>
          </cell>
        </row>
        <row r="126">
          <cell r="A126" t="str">
            <v>JW8+</v>
          </cell>
        </row>
        <row r="127">
          <cell r="A127" t="str">
            <v>JW4X</v>
          </cell>
        </row>
        <row r="128">
          <cell r="A128" t="str">
            <v>JW4-</v>
          </cell>
        </row>
        <row r="129">
          <cell r="A129" t="str">
            <v>JW4+</v>
          </cell>
        </row>
        <row r="130">
          <cell r="A130" t="str">
            <v>JW2X</v>
          </cell>
        </row>
        <row r="131">
          <cell r="A131" t="str">
            <v>JW2-</v>
          </cell>
        </row>
        <row r="132">
          <cell r="A132" t="str">
            <v>JW1X</v>
          </cell>
        </row>
        <row r="133">
          <cell r="A133" t="str">
            <v>JLW8+</v>
          </cell>
        </row>
        <row r="134">
          <cell r="A134" t="str">
            <v>JLW4X</v>
          </cell>
        </row>
        <row r="135">
          <cell r="A135" t="str">
            <v>JLW4-</v>
          </cell>
        </row>
        <row r="136">
          <cell r="A136" t="str">
            <v>JLW4+</v>
          </cell>
        </row>
        <row r="137">
          <cell r="A137" t="str">
            <v>JLW2X</v>
          </cell>
        </row>
        <row r="138">
          <cell r="A138" t="str">
            <v>JLW2-</v>
          </cell>
        </row>
        <row r="139">
          <cell r="A139" t="str">
            <v>JLW1X</v>
          </cell>
        </row>
        <row r="140">
          <cell r="A140" t="str">
            <v>JBW8+</v>
          </cell>
        </row>
        <row r="141">
          <cell r="A141" t="str">
            <v>JBW4X</v>
          </cell>
        </row>
        <row r="142">
          <cell r="A142" t="str">
            <v>JBW4-</v>
          </cell>
        </row>
        <row r="143">
          <cell r="A143" t="str">
            <v>JBW4+</v>
          </cell>
        </row>
        <row r="144">
          <cell r="A144" t="str">
            <v>JBW2X</v>
          </cell>
        </row>
        <row r="145">
          <cell r="A145" t="str">
            <v>JBW2-</v>
          </cell>
        </row>
        <row r="146">
          <cell r="A146" t="str">
            <v>JBW1X</v>
          </cell>
        </row>
        <row r="147">
          <cell r="A147" t="str">
            <v>JBLW8+</v>
          </cell>
        </row>
        <row r="148">
          <cell r="A148" t="str">
            <v>JBLW4X</v>
          </cell>
        </row>
        <row r="149">
          <cell r="A149" t="str">
            <v>JBLW4-</v>
          </cell>
        </row>
        <row r="150">
          <cell r="A150" t="str">
            <v>JBLW4+</v>
          </cell>
        </row>
        <row r="151">
          <cell r="A151" t="str">
            <v>JBLW2X</v>
          </cell>
        </row>
        <row r="152">
          <cell r="A152" t="str">
            <v>JBLW2-</v>
          </cell>
        </row>
        <row r="153">
          <cell r="A153" t="str">
            <v>JBLW1X</v>
          </cell>
        </row>
        <row r="154">
          <cell r="A154" t="str">
            <v>LTA4+</v>
          </cell>
        </row>
        <row r="155">
          <cell r="A155" t="str">
            <v>TAMix2x</v>
          </cell>
        </row>
        <row r="156">
          <cell r="A156" t="str">
            <v>ASM1x</v>
          </cell>
        </row>
        <row r="157">
          <cell r="A157" t="str">
            <v>ASW1x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0358-ED4C-4665-9D52-DFA3E8A40F68}">
  <sheetPr>
    <tabColor rgb="FFFF0000"/>
    <pageSetUpPr fitToPage="1"/>
  </sheetPr>
  <dimension ref="A1:Z62"/>
  <sheetViews>
    <sheetView tabSelected="1" topLeftCell="D1" zoomScale="145" zoomScaleNormal="145" zoomScalePageLayoutView="80" workbookViewId="0">
      <selection activeCell="F21" sqref="F21"/>
    </sheetView>
  </sheetViews>
  <sheetFormatPr defaultColWidth="8.84375" defaultRowHeight="14.6" x14ac:dyDescent="0.4"/>
  <cols>
    <col min="1" max="1" width="9.23046875" style="15" customWidth="1"/>
    <col min="2" max="10" width="10.69140625" style="15" customWidth="1"/>
    <col min="11" max="11" width="9.23046875" style="15" customWidth="1"/>
    <col min="12" max="12" width="12.84375" style="15" customWidth="1"/>
    <col min="13" max="13" width="13.3046875" style="15" customWidth="1"/>
    <col min="14" max="16" width="9.23046875" style="15" customWidth="1"/>
    <col min="17" max="21" width="9.23046875" customWidth="1"/>
  </cols>
  <sheetData>
    <row r="1" spans="1:24" ht="21.9" customHeight="1" thickTop="1" thickBot="1" x14ac:dyDescent="0.45">
      <c r="A1" s="227" t="s">
        <v>58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  <c r="M1" s="50">
        <v>1</v>
      </c>
      <c r="N1" s="50">
        <v>2</v>
      </c>
      <c r="O1" s="50">
        <v>3</v>
      </c>
      <c r="P1" s="50">
        <v>4</v>
      </c>
      <c r="Q1" s="50">
        <v>5</v>
      </c>
      <c r="R1" s="50"/>
      <c r="S1" s="50"/>
      <c r="T1" s="50">
        <v>6</v>
      </c>
    </row>
    <row r="2" spans="1:24" ht="4.8499999999999996" customHeight="1" x14ac:dyDescent="0.4">
      <c r="A2" s="45"/>
      <c r="B2" s="37"/>
      <c r="C2" s="37"/>
      <c r="D2" s="37"/>
      <c r="E2" s="37"/>
      <c r="I2" s="51"/>
      <c r="J2" s="51"/>
      <c r="K2" s="52"/>
    </row>
    <row r="3" spans="1:24" ht="14.15" customHeight="1" x14ac:dyDescent="0.4">
      <c r="A3" s="16"/>
      <c r="B3" s="53" t="s">
        <v>26</v>
      </c>
      <c r="C3" s="10">
        <v>44759</v>
      </c>
      <c r="D3" s="10"/>
      <c r="E3" s="73"/>
      <c r="F3" s="128"/>
      <c r="G3" s="53" t="s">
        <v>27</v>
      </c>
      <c r="H3" s="11" t="s">
        <v>28</v>
      </c>
      <c r="I3" s="12"/>
      <c r="J3" s="12"/>
      <c r="K3" s="13"/>
    </row>
    <row r="4" spans="1:24" ht="6.9" customHeight="1" thickBot="1" x14ac:dyDescent="0.45">
      <c r="A4" s="16"/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24" ht="14.15" customHeight="1" thickBot="1" x14ac:dyDescent="0.45">
      <c r="A5" s="21"/>
      <c r="B5" s="232" t="s">
        <v>7</v>
      </c>
      <c r="C5" s="233"/>
      <c r="D5" s="54"/>
      <c r="E5" s="178"/>
      <c r="F5" s="178"/>
      <c r="G5" s="178"/>
      <c r="H5" s="54"/>
      <c r="I5" s="230" t="s">
        <v>18</v>
      </c>
      <c r="J5" s="231"/>
      <c r="K5" s="22"/>
      <c r="M5"/>
      <c r="N5"/>
      <c r="O5"/>
      <c r="P5"/>
    </row>
    <row r="6" spans="1:24" ht="14.15" customHeight="1" x14ac:dyDescent="0.4">
      <c r="A6" s="23"/>
      <c r="B6" s="32" t="s">
        <v>4</v>
      </c>
      <c r="C6" s="87" t="s">
        <v>31</v>
      </c>
      <c r="D6" s="55"/>
      <c r="E6" s="106"/>
      <c r="F6" s="106"/>
      <c r="G6" s="179"/>
      <c r="I6" s="38" t="s">
        <v>21</v>
      </c>
      <c r="J6" s="3" t="s">
        <v>76</v>
      </c>
      <c r="K6" s="22"/>
      <c r="M6"/>
      <c r="N6"/>
      <c r="O6"/>
      <c r="P6"/>
    </row>
    <row r="7" spans="1:24" ht="14.15" customHeight="1" thickBot="1" x14ac:dyDescent="0.45">
      <c r="A7" s="23"/>
      <c r="B7" s="57" t="s">
        <v>5</v>
      </c>
      <c r="C7" s="88" t="s">
        <v>8</v>
      </c>
      <c r="D7" s="55"/>
      <c r="E7" s="106"/>
      <c r="F7" s="106"/>
      <c r="G7" s="179"/>
      <c r="I7" s="39" t="s">
        <v>22</v>
      </c>
      <c r="J7" s="2" t="s">
        <v>42</v>
      </c>
      <c r="K7" s="22"/>
      <c r="M7"/>
      <c r="N7"/>
      <c r="O7"/>
      <c r="P7"/>
    </row>
    <row r="8" spans="1:24" ht="14.15" customHeight="1" thickBot="1" x14ac:dyDescent="0.45">
      <c r="A8" s="23"/>
      <c r="B8" s="57" t="s">
        <v>6</v>
      </c>
      <c r="C8" s="88" t="s">
        <v>9</v>
      </c>
      <c r="D8" s="55"/>
      <c r="E8" s="106"/>
      <c r="F8" s="106"/>
      <c r="G8" s="179"/>
      <c r="I8" s="40" t="s">
        <v>29</v>
      </c>
      <c r="J8" s="1" t="s">
        <v>53</v>
      </c>
      <c r="K8" s="22"/>
      <c r="M8" s="207" t="s">
        <v>34</v>
      </c>
      <c r="N8" s="208" t="s">
        <v>7</v>
      </c>
      <c r="O8" s="209" t="s">
        <v>0</v>
      </c>
      <c r="P8" s="209" t="s">
        <v>2</v>
      </c>
      <c r="Q8" s="143" t="s">
        <v>69</v>
      </c>
      <c r="R8" s="240" t="s">
        <v>341</v>
      </c>
      <c r="S8" s="241" t="s">
        <v>342</v>
      </c>
      <c r="T8" s="173" t="s">
        <v>1</v>
      </c>
      <c r="U8" s="144" t="s">
        <v>70</v>
      </c>
    </row>
    <row r="9" spans="1:24" ht="14.15" customHeight="1" thickBot="1" x14ac:dyDescent="0.45">
      <c r="A9" s="23"/>
      <c r="B9" s="57" t="s">
        <v>37</v>
      </c>
      <c r="C9" s="88" t="s">
        <v>67</v>
      </c>
      <c r="D9" s="55"/>
      <c r="E9" s="106"/>
      <c r="F9" s="106"/>
      <c r="G9" s="179"/>
      <c r="J9" s="128"/>
      <c r="K9" s="22"/>
      <c r="M9" s="203">
        <f t="shared" ref="M9:M14" si="0">RANK(O9,$O$9:$O$14,1)</f>
        <v>2</v>
      </c>
      <c r="N9" s="204" t="str">
        <f t="shared" ref="N9:N14" si="1">C6</f>
        <v>Tim</v>
      </c>
      <c r="O9" s="205">
        <f>SUM(B19,F19,I19,B38,G38)</f>
        <v>1.6777777777777777E-2</v>
      </c>
      <c r="P9" s="206">
        <f>IF(O9=MIN(O9:O14),0,O9-MIN(O9:O14))*86400</f>
        <v>4.3099999999997589</v>
      </c>
      <c r="Q9" s="245">
        <f>((MIN(O$9:O$14)*86400)-(O9*86400))/(O9*86400)*-1</f>
        <v>2.9732339955847948E-3</v>
      </c>
      <c r="R9" s="251">
        <f>IF(M9=1,0,
IF(M9=2,(SMALL(O$9:O$14,2)-SMALL(O$9:O$14,1))*86400,
IF(M9=3,(SMALL(O$9:O$14,3)-SMALL(O$9:O$14,2))*86400,
IF(M9=4,(SMALL(O$9:O$14,4)-SMALL(O$9:O$14,3))*86400,
IF(M9=5,(SMALL(O$9:O$14,5)-SMALL(O$9:O$14,4))*86400,
(SMALL(O$9:O$14,6)-SMALL(O$9:O$14,5))*86400)))))</f>
        <v>4.3099999999997589</v>
      </c>
      <c r="S9" s="254">
        <f>IF(M9=1,X$9,    IF(M9=2,X$10,  IF(M9=3,X$11,    IF(M9=4,X$12, IF(M9=5,X$13,X$14)))))</f>
        <v>2.9732339955848008E-3</v>
      </c>
      <c r="T9" s="248">
        <f>O9/COUNT(B19,F19,H19,C38,E38)</f>
        <v>3.3555555555555552E-3</v>
      </c>
      <c r="U9" s="142">
        <f>AVERAGE(B22,F22,I22,B41,G41)</f>
        <v>0.86027504317650294</v>
      </c>
      <c r="W9" s="242">
        <f>VLOOKUP(1,$M$9:$O$14,3,FALSE)*86400</f>
        <v>1445.2900000000002</v>
      </c>
      <c r="X9" s="243">
        <v>0</v>
      </c>
    </row>
    <row r="10" spans="1:24" ht="14.15" customHeight="1" x14ac:dyDescent="0.4">
      <c r="A10" s="23"/>
      <c r="B10" s="57" t="s">
        <v>51</v>
      </c>
      <c r="C10" s="88" t="s">
        <v>50</v>
      </c>
      <c r="D10" s="55"/>
      <c r="E10" s="106"/>
      <c r="F10" s="106"/>
      <c r="G10" s="179"/>
      <c r="I10" s="19" t="s">
        <v>23</v>
      </c>
      <c r="J10" s="4">
        <v>1250</v>
      </c>
      <c r="K10" s="20" t="s">
        <v>24</v>
      </c>
      <c r="M10" s="177">
        <f t="shared" si="0"/>
        <v>3</v>
      </c>
      <c r="N10" s="90" t="str">
        <f t="shared" si="1"/>
        <v>Tom</v>
      </c>
      <c r="O10" s="48">
        <f>SUM(B19,E19,J19,D38,F38)</f>
        <v>1.6783101851851855E-2</v>
      </c>
      <c r="P10" s="49">
        <f>IF(O10=MIN(O9:O14),0,O10-MIN(O9:O14))*86400</f>
        <v>4.7700000000000742</v>
      </c>
      <c r="Q10" s="246">
        <f t="shared" ref="Q10:Q14" si="2">((MIN(O$9:O$14)*86400)-(O10*86400))/(O10*86400)*-1</f>
        <v>3.2895190543839434E-3</v>
      </c>
      <c r="R10" s="252">
        <f>IF(M10=1,0,
IF(M10=2,(SMALL(O$9:O$14,2)-SMALL(O$9:O$14,1))*86400,
IF(M10=3,(SMALL(O$9:O$14,3)-SMALL(O$9:O$14,2))*86400,
IF(M10=4,(SMALL(O$9:O$14,4)-SMALL(O$9:O$14,3))*86400,
IF(M10=5,(SMALL(O$9:O$14,5)-SMALL(O$9:O$14,4))*86400,
(SMALL(O$9:O$14,6)-SMALL(O$9:O$14,5))*86400)))))</f>
        <v>0.46000000000031571</v>
      </c>
      <c r="S10" s="255">
        <f>IF(M10=1,X$9,    IF(M10=2,X$10,  IF(M10=3,X$11,    IF(M10=4,X$12, IF(M10=5,X$13,X$14)))))</f>
        <v>3.1722825262425758E-4</v>
      </c>
      <c r="T10" s="249">
        <f>O10/COUNT(B19,E19,I19,B38,F38)</f>
        <v>3.3566203703703709E-3</v>
      </c>
      <c r="U10" s="129">
        <f>AVERAGE(B22,E22,J22,D41,F41)</f>
        <v>0.8597413451683803</v>
      </c>
      <c r="W10" s="242">
        <f>VLOOKUP(2,$M$9:$O$14,3,FALSE)*86400</f>
        <v>1449.6</v>
      </c>
      <c r="X10" s="244">
        <f>(W9/W10-1)*-1</f>
        <v>2.9732339955848008E-3</v>
      </c>
    </row>
    <row r="11" spans="1:24" ht="14.15" customHeight="1" thickBot="1" x14ac:dyDescent="0.45">
      <c r="A11" s="23"/>
      <c r="B11" s="58" t="s">
        <v>52</v>
      </c>
      <c r="C11" s="89" t="s">
        <v>68</v>
      </c>
      <c r="D11" s="55"/>
      <c r="E11" s="106"/>
      <c r="F11" s="106"/>
      <c r="G11" s="179"/>
      <c r="I11" s="91" t="s">
        <v>57</v>
      </c>
      <c r="J11" s="150">
        <v>4.6064814814814814E-3</v>
      </c>
      <c r="K11" s="20" t="s">
        <v>61</v>
      </c>
      <c r="M11" s="177">
        <f t="shared" si="0"/>
        <v>5</v>
      </c>
      <c r="N11" s="90" t="str">
        <f t="shared" si="1"/>
        <v>Scott</v>
      </c>
      <c r="O11" s="48">
        <f>SUM(C19,E19,H19,C38,G38)</f>
        <v>1.6860300925925928E-2</v>
      </c>
      <c r="P11" s="49">
        <f>IF(O11=MIN(O9:O14),0,O11-MIN(O9:O14))*86400</f>
        <v>11.440000000000005</v>
      </c>
      <c r="Q11" s="246">
        <f t="shared" si="2"/>
        <v>7.853205467039227E-3</v>
      </c>
      <c r="R11" s="252">
        <f>IF(M11=1,0,
IF(M11=2,(SMALL(O$9:O$14,2)-SMALL(O$9:O$14,1))*86400,
IF(M11=3,(SMALL(O$9:O$14,3)-SMALL(O$9:O$14,2))*86400,
IF(M11=4,(SMALL(O$9:O$14,4)-SMALL(O$9:O$14,3))*86400,
IF(M11=5,(SMALL(O$9:O$14,5)-SMALL(O$9:O$14,4))*86400,
(SMALL(O$9:O$14,6)-SMALL(O$9:O$14,5))*86400)))))</f>
        <v>1.839999999999764</v>
      </c>
      <c r="S11" s="255">
        <f>IF(M11=1,X$9,    IF(M11=2,X$10,  IF(M11=3,X$11,    IF(M11=4,X$12, IF(M11=5,X$13,X$14)))))</f>
        <v>1.2631029772159907E-3</v>
      </c>
      <c r="T11" s="249">
        <f>O11/COUNT(C19,E19,H19,C38,F38)</f>
        <v>3.3720601851851854E-3</v>
      </c>
      <c r="U11" s="129">
        <f>AVERAGE(C22,E22,H22,C41,G41)</f>
        <v>0.85585301517792745</v>
      </c>
      <c r="W11" s="242">
        <f>VLOOKUP(3,$M$9:$O$14,3,FALSE)*86400</f>
        <v>1450.0600000000002</v>
      </c>
      <c r="X11" s="244">
        <f t="shared" ref="X11:X14" si="3">(W10/W11-1)*-1</f>
        <v>3.1722825262425758E-4</v>
      </c>
    </row>
    <row r="12" spans="1:24" ht="12.45" customHeight="1" thickBot="1" x14ac:dyDescent="0.45">
      <c r="A12" s="23"/>
      <c r="K12" s="22"/>
      <c r="M12" s="177">
        <f t="shared" si="0"/>
        <v>1</v>
      </c>
      <c r="N12" s="90" t="str">
        <f t="shared" si="1"/>
        <v>Matt</v>
      </c>
      <c r="O12" s="48">
        <f>SUM(C19,G19,I19,D38,E38)</f>
        <v>1.672789351851852E-2</v>
      </c>
      <c r="P12" s="49">
        <f>IF(O12=MIN(O9:O14),0,O12-MIN(O9:O14))*86400</f>
        <v>0</v>
      </c>
      <c r="Q12" s="246">
        <f t="shared" si="2"/>
        <v>0</v>
      </c>
      <c r="R12" s="252">
        <f>IF(M12=1,0,
IF(M12=2,(SMALL(O$9:O$14,2)-SMALL(O$9:O$14,1))*86400,
IF(M12=3,(SMALL(O$9:O$14,3)-SMALL(O$9:O$14,2))*86400,
IF(M12=4,(SMALL(O$9:O$14,4)-SMALL(O$9:O$14,3))*86400,
IF(M12=5,(SMALL(O$9:O$14,5)-SMALL(O$9:O$14,4))*86400,
(SMALL(O$9:O$14,6)-SMALL(O$9:O$14,5))*86400)))))</f>
        <v>0</v>
      </c>
      <c r="S12" s="255">
        <f>IF(M12=1,X$9,    IF(M12=2,X$10,  IF(M12=3,X$11,    IF(M12=4,X$12, IF(M12=5,X$13,X$14)))))</f>
        <v>0</v>
      </c>
      <c r="T12" s="249">
        <f>O12/COUNT(C19,F19,I19,B38,E38)</f>
        <v>3.3455787037037039E-3</v>
      </c>
      <c r="U12" s="129">
        <f>AVERAGE(C22,G22,I22,D41,E41)</f>
        <v>0.86239369404797661</v>
      </c>
      <c r="W12" s="242">
        <f>VLOOKUP(4,$M$9:$O$14,3,FALSE)*86400</f>
        <v>1454.8900000000003</v>
      </c>
      <c r="X12" s="244">
        <f t="shared" si="3"/>
        <v>3.3198386132285984E-3</v>
      </c>
    </row>
    <row r="13" spans="1:24" x14ac:dyDescent="0.4">
      <c r="A13" s="24"/>
      <c r="B13" s="234" t="s">
        <v>10</v>
      </c>
      <c r="C13" s="235"/>
      <c r="D13" s="236"/>
      <c r="E13" s="234" t="s">
        <v>11</v>
      </c>
      <c r="F13" s="235"/>
      <c r="G13" s="236"/>
      <c r="H13" s="234" t="s">
        <v>12</v>
      </c>
      <c r="I13" s="235"/>
      <c r="J13" s="236"/>
      <c r="K13" s="22"/>
      <c r="M13" s="177">
        <f t="shared" si="0"/>
        <v>4</v>
      </c>
      <c r="N13" s="90" t="str">
        <f t="shared" si="1"/>
        <v>Ben</v>
      </c>
      <c r="O13" s="48">
        <f>SUM(D19,G19,H19,B38,F38)</f>
        <v>1.6839004629629634E-2</v>
      </c>
      <c r="P13" s="49">
        <f>IF(O13=MIN(O9:O14),0,O13-MIN(O9:O14))*86400</f>
        <v>9.6000000000002412</v>
      </c>
      <c r="Q13" s="246">
        <f t="shared" si="2"/>
        <v>6.5984369952368453E-3</v>
      </c>
      <c r="R13" s="252">
        <f>IF(M13=1,0,
IF(M13=2,(SMALL(O$9:O$14,2)-SMALL(O$9:O$14,1))*86400,
IF(M13=3,(SMALL(O$9:O$14,3)-SMALL(O$9:O$14,2))*86400,
IF(M13=4,(SMALL(O$9:O$14,4)-SMALL(O$9:O$14,3))*86400,
IF(M13=5,(SMALL(O$9:O$14,5)-SMALL(O$9:O$14,4))*86400,
(SMALL(O$9:O$14,6)-SMALL(O$9:O$14,5))*86400)))))</f>
        <v>4.830000000000167</v>
      </c>
      <c r="S13" s="255">
        <f>IF(M13=1,X$9,    IF(M13=2,X$10,  IF(M13=3,X$11,    IF(M13=4,X$12, IF(M13=5,X$13,X$14)))))</f>
        <v>3.3198386132285984E-3</v>
      </c>
      <c r="T13" s="249">
        <f>O13/COUNT(C19,F19,I19,B38,E38)</f>
        <v>3.3678009259259269E-3</v>
      </c>
      <c r="U13" s="129">
        <f>AVERAGE(D22,G22,H22,B41,F41)</f>
        <v>0.85694566781559778</v>
      </c>
      <c r="W13" s="242">
        <f>VLOOKUP(5,$M$9:$O$14,3,FALSE)*86400</f>
        <v>1456.7300000000002</v>
      </c>
      <c r="X13" s="244">
        <f t="shared" si="3"/>
        <v>1.2631029772159907E-3</v>
      </c>
    </row>
    <row r="14" spans="1:24" ht="15" thickBot="1" x14ac:dyDescent="0.45">
      <c r="A14" s="41" t="s">
        <v>38</v>
      </c>
      <c r="B14" s="92" t="str">
        <f>$J$6</f>
        <v>No Name</v>
      </c>
      <c r="C14" s="93" t="str">
        <f>$J$7</f>
        <v>Frank</v>
      </c>
      <c r="D14" s="94" t="str">
        <f>$J$8</f>
        <v>Tasha</v>
      </c>
      <c r="E14" s="92" t="str">
        <f>$J$6</f>
        <v>No Name</v>
      </c>
      <c r="F14" s="93" t="str">
        <f>$J$7</f>
        <v>Frank</v>
      </c>
      <c r="G14" s="94" t="str">
        <f>$J$8</f>
        <v>Tasha</v>
      </c>
      <c r="H14" s="92" t="str">
        <f>$J$6</f>
        <v>No Name</v>
      </c>
      <c r="I14" s="93" t="str">
        <f>$J$7</f>
        <v>Frank</v>
      </c>
      <c r="J14" s="94" t="str">
        <f>$J$8</f>
        <v>Tasha</v>
      </c>
      <c r="K14" s="31" t="s">
        <v>38</v>
      </c>
      <c r="M14" s="171">
        <f t="shared" si="0"/>
        <v>6</v>
      </c>
      <c r="N14" s="145" t="str">
        <f t="shared" si="1"/>
        <v>Fred</v>
      </c>
      <c r="O14" s="172">
        <f>SUM(D19,F19,J19,C38,E38)</f>
        <v>1.6863541666666669E-2</v>
      </c>
      <c r="P14" s="146">
        <f>IF(O14=MIN(O9:O14),0,O14-MIN(O9:O14))*86400</f>
        <v>11.720000000000041</v>
      </c>
      <c r="Q14" s="247">
        <f t="shared" si="2"/>
        <v>8.0438706666392315E-3</v>
      </c>
      <c r="R14" s="253">
        <f>IF(M14=1,0,
IF(M14=2,(SMALL(O$9:O$14,2)-SMALL(O$9:O$14,1))*86400,
IF(M14=3,(SMALL(O$9:O$14,3)-SMALL(O$9:O$14,2))*86400,
IF(M14=4,(SMALL(O$9:O$14,4)-SMALL(O$9:O$14,3))*86400,
IF(M14=5,(SMALL(O$9:O$14,5)-SMALL(O$9:O$14,4))*86400,
(SMALL(O$9:O$14,6)-SMALL(O$9:O$14,5))*86400)))))</f>
        <v>0.28000000000003578</v>
      </c>
      <c r="S14" s="256">
        <f>IF(M14=1,X$9,    IF(M14=2,X$10,  IF(M14=3,X$11,    IF(M14=4,X$12, IF(M14=5,X$13,X$14)))))</f>
        <v>1.9217438452723279E-4</v>
      </c>
      <c r="T14" s="250">
        <f>O14/COUNT(D19,F19,J19,C38,E38)</f>
        <v>3.3727083333333339E-3</v>
      </c>
      <c r="U14" s="134">
        <f>AVERAGE(D22,F22,J22,C41,E41)</f>
        <v>0.8559015613837383</v>
      </c>
      <c r="W14" s="242">
        <f>VLOOKUP(6,$M$9:$O$14,3,FALSE)*86400</f>
        <v>1457.0100000000002</v>
      </c>
      <c r="X14" s="244">
        <f t="shared" si="3"/>
        <v>1.9217438452723279E-4</v>
      </c>
    </row>
    <row r="15" spans="1:24" x14ac:dyDescent="0.4">
      <c r="A15" s="41" t="s">
        <v>30</v>
      </c>
      <c r="B15" s="95" t="str">
        <f>C6</f>
        <v>Tim</v>
      </c>
      <c r="C15" s="96" t="str">
        <f>C8</f>
        <v>Scott</v>
      </c>
      <c r="D15" s="97" t="str">
        <f>C10</f>
        <v>Ben</v>
      </c>
      <c r="E15" s="95" t="str">
        <f>C7</f>
        <v>Tom</v>
      </c>
      <c r="F15" s="96" t="str">
        <f>C11</f>
        <v>Fred</v>
      </c>
      <c r="G15" s="97" t="str">
        <f>C9</f>
        <v>Matt</v>
      </c>
      <c r="H15" s="95" t="str">
        <f>C8</f>
        <v>Scott</v>
      </c>
      <c r="I15" s="96" t="str">
        <f>C6</f>
        <v>Tim</v>
      </c>
      <c r="J15" s="97" t="str">
        <f>C7</f>
        <v>Tom</v>
      </c>
      <c r="K15" s="31" t="s">
        <v>30</v>
      </c>
      <c r="M15" s="59"/>
    </row>
    <row r="16" spans="1:24" ht="15" customHeight="1" thickBot="1" x14ac:dyDescent="0.45">
      <c r="A16" s="41" t="s">
        <v>30</v>
      </c>
      <c r="B16" s="98" t="str">
        <f>C7</f>
        <v>Tom</v>
      </c>
      <c r="C16" s="99" t="str">
        <f>C9</f>
        <v>Matt</v>
      </c>
      <c r="D16" s="100" t="str">
        <f>C11</f>
        <v>Fred</v>
      </c>
      <c r="E16" s="98" t="str">
        <f>C8</f>
        <v>Scott</v>
      </c>
      <c r="F16" s="99" t="str">
        <f>C6</f>
        <v>Tim</v>
      </c>
      <c r="G16" s="100" t="str">
        <f>C10</f>
        <v>Ben</v>
      </c>
      <c r="H16" s="98" t="str">
        <f>C10</f>
        <v>Ben</v>
      </c>
      <c r="I16" s="99" t="str">
        <f>C9</f>
        <v>Matt</v>
      </c>
      <c r="J16" s="100" t="str">
        <f>C11</f>
        <v>Fred</v>
      </c>
      <c r="K16" s="31" t="s">
        <v>30</v>
      </c>
    </row>
    <row r="17" spans="1:20" ht="25.1" customHeight="1" x14ac:dyDescent="0.4">
      <c r="A17" s="27" t="s">
        <v>19</v>
      </c>
      <c r="B17" s="82">
        <v>1.0394328703703703E-2</v>
      </c>
      <c r="C17" s="83">
        <v>1.0928935185185186E-2</v>
      </c>
      <c r="D17" s="86">
        <v>1.1079282407407407E-2</v>
      </c>
      <c r="E17" s="82">
        <v>5.9767361111111106E-3</v>
      </c>
      <c r="F17" s="83">
        <v>5.3930555555555563E-3</v>
      </c>
      <c r="G17" s="84">
        <v>5.4658564814814813E-3</v>
      </c>
      <c r="H17" s="82">
        <v>5.9767361111111106E-3</v>
      </c>
      <c r="I17" s="83">
        <v>5.3930555555555563E-3</v>
      </c>
      <c r="J17" s="84">
        <v>5.4658564814814813E-3</v>
      </c>
      <c r="K17" s="43" t="s">
        <v>19</v>
      </c>
    </row>
    <row r="18" spans="1:20" ht="25.1" customHeight="1" thickBot="1" x14ac:dyDescent="0.45">
      <c r="A18" s="27" t="s">
        <v>20</v>
      </c>
      <c r="B18" s="14">
        <v>1.3605902777777778E-2</v>
      </c>
      <c r="C18" s="85">
        <v>1.4167939814814815E-2</v>
      </c>
      <c r="D18" s="6">
        <v>1.4312037037037035E-2</v>
      </c>
      <c r="E18" s="14">
        <v>9.5371527777777781E-3</v>
      </c>
      <c r="F18" s="85">
        <v>9.008796296296296E-3</v>
      </c>
      <c r="G18" s="5">
        <v>9.0199074074074088E-3</v>
      </c>
      <c r="H18" s="14">
        <v>9.5667824074074075E-3</v>
      </c>
      <c r="I18" s="85">
        <v>8.9099537037037029E-3</v>
      </c>
      <c r="J18" s="5">
        <v>9.0202546296296298E-3</v>
      </c>
      <c r="K18" s="43" t="s">
        <v>20</v>
      </c>
    </row>
    <row r="19" spans="1:20" s="15" customFormat="1" ht="18" customHeight="1" thickBot="1" x14ac:dyDescent="0.45">
      <c r="A19" s="60" t="s">
        <v>14</v>
      </c>
      <c r="B19" s="101">
        <f t="shared" ref="B19:J19" si="4">IF(B18="","",B18-B17)</f>
        <v>3.211574074074075E-3</v>
      </c>
      <c r="C19" s="102">
        <f t="shared" si="4"/>
        <v>3.2390046296296299E-3</v>
      </c>
      <c r="D19" s="103">
        <f t="shared" si="4"/>
        <v>3.2327546296296271E-3</v>
      </c>
      <c r="E19" s="191">
        <f t="shared" si="4"/>
        <v>3.5604166666666675E-3</v>
      </c>
      <c r="F19" s="102">
        <f t="shared" si="4"/>
        <v>3.6157407407407397E-3</v>
      </c>
      <c r="G19" s="158">
        <f t="shared" si="4"/>
        <v>3.5540509259259275E-3</v>
      </c>
      <c r="H19" s="191">
        <f t="shared" si="4"/>
        <v>3.5900462962962969E-3</v>
      </c>
      <c r="I19" s="102">
        <f t="shared" si="4"/>
        <v>3.5168981481481466E-3</v>
      </c>
      <c r="J19" s="158">
        <f t="shared" si="4"/>
        <v>3.5543981481481485E-3</v>
      </c>
      <c r="K19" s="61" t="s">
        <v>14</v>
      </c>
      <c r="L19" s="174" t="s">
        <v>43</v>
      </c>
      <c r="Q19"/>
      <c r="R19"/>
      <c r="S19"/>
      <c r="T19"/>
    </row>
    <row r="20" spans="1:20" s="15" customFormat="1" ht="12" customHeight="1" x14ac:dyDescent="0.4">
      <c r="A20" s="41" t="s">
        <v>34</v>
      </c>
      <c r="B20" s="28">
        <f>RANK(B19,B19:D19,1)</f>
        <v>1</v>
      </c>
      <c r="C20" s="29">
        <f>RANK(C19,B19:D19,1)</f>
        <v>3</v>
      </c>
      <c r="D20" s="30">
        <f>RANK(D19,B19:D19,1)</f>
        <v>2</v>
      </c>
      <c r="E20" s="28">
        <f>RANK(E19,E19:G19,1)</f>
        <v>2</v>
      </c>
      <c r="F20" s="29">
        <f>RANK(F19,E19:G19,1)</f>
        <v>3</v>
      </c>
      <c r="G20" s="30">
        <f>RANK(G19,E19:G19,1)</f>
        <v>1</v>
      </c>
      <c r="H20" s="28">
        <f>RANK(H19,H19:J19,1)</f>
        <v>3</v>
      </c>
      <c r="I20" s="29">
        <f>RANK(I19,H19:J19,1)</f>
        <v>1</v>
      </c>
      <c r="J20" s="30">
        <f>RANK(J19,H19:J19,1)</f>
        <v>2</v>
      </c>
      <c r="K20" s="31" t="s">
        <v>34</v>
      </c>
      <c r="L20" s="78" t="s">
        <v>44</v>
      </c>
      <c r="Q20"/>
      <c r="R20"/>
      <c r="S20"/>
      <c r="T20"/>
    </row>
    <row r="21" spans="1:20" s="15" customFormat="1" ht="12" customHeight="1" x14ac:dyDescent="0.4">
      <c r="A21" s="41" t="s">
        <v>39</v>
      </c>
      <c r="B21" s="169">
        <f>IF(B19=MIN(B19:D19),0,B19-MIN(B19:D19))*86400</f>
        <v>0</v>
      </c>
      <c r="C21" s="197">
        <f>IF(C19=MIN(B19:D19),0,C19-MIN(B19:D19))*86400</f>
        <v>2.3699999999999388</v>
      </c>
      <c r="D21" s="170">
        <f>IF(D19=MIN(B19:D19),0,D19-MIN(B19:D19))*86400</f>
        <v>1.8299999999996985</v>
      </c>
      <c r="E21" s="169">
        <f>IF(E19=MIN(E19:G19),0,E19-MIN(E19:G19))*86400</f>
        <v>0.5499999999999311</v>
      </c>
      <c r="F21" s="197">
        <f>IF(F19=MIN(E19:G19),0,F19-MIN(E19:G19))*86400</f>
        <v>5.3299999999997709</v>
      </c>
      <c r="G21" s="170">
        <f>IF(G19=MIN(E19:G19),0,G19-MIN(E19:G19))*86400</f>
        <v>0</v>
      </c>
      <c r="H21" s="169">
        <f>IF(H19=MIN(H19:J19),0,H19-MIN(H19:J19))*86400</f>
        <v>6.3200000000001868</v>
      </c>
      <c r="I21" s="197">
        <f>IF(I19=MIN(H19:J19),0,I19-MIN(H19:J19))*86400</f>
        <v>0</v>
      </c>
      <c r="J21" s="170">
        <f>IF(J19=MIN(H19:J19),0,J19-MIN(H19:J19))*86400</f>
        <v>3.2400000000001676</v>
      </c>
      <c r="K21" s="31" t="s">
        <v>39</v>
      </c>
      <c r="L21" s="78" t="s">
        <v>45</v>
      </c>
      <c r="Q21"/>
      <c r="R21"/>
      <c r="S21"/>
      <c r="T21"/>
    </row>
    <row r="22" spans="1:20" s="15" customFormat="1" ht="12" customHeight="1" thickBot="1" x14ac:dyDescent="0.45">
      <c r="A22" s="41" t="s">
        <v>15</v>
      </c>
      <c r="B22" s="7">
        <f t="shared" ref="B22:J22" si="5">IFERROR(($J$11*86400/2000)/(B19*86400/$J$10),"")</f>
        <v>0.89646100619864466</v>
      </c>
      <c r="C22" s="8">
        <f t="shared" si="5"/>
        <v>0.88886903698409858</v>
      </c>
      <c r="D22" s="9">
        <f t="shared" si="5"/>
        <v>0.89058751924385171</v>
      </c>
      <c r="E22" s="7">
        <f t="shared" si="5"/>
        <v>0.80862752746895517</v>
      </c>
      <c r="F22" s="8">
        <f t="shared" si="5"/>
        <v>0.79625480153649186</v>
      </c>
      <c r="G22" s="9">
        <f t="shared" si="5"/>
        <v>0.81007587846419349</v>
      </c>
      <c r="H22" s="7">
        <f t="shared" si="5"/>
        <v>0.80195370430072843</v>
      </c>
      <c r="I22" s="8">
        <f t="shared" si="5"/>
        <v>0.81863358125452557</v>
      </c>
      <c r="J22" s="9">
        <f t="shared" si="5"/>
        <v>0.80999674373168351</v>
      </c>
      <c r="K22" s="31" t="s">
        <v>15</v>
      </c>
      <c r="L22" s="78" t="s">
        <v>46</v>
      </c>
      <c r="Q22"/>
      <c r="R22"/>
      <c r="S22"/>
      <c r="T22"/>
    </row>
    <row r="23" spans="1:20" s="15" customFormat="1" ht="14.15" customHeight="1" x14ac:dyDescent="0.4">
      <c r="A23" s="151" t="s">
        <v>36</v>
      </c>
      <c r="B23" s="198">
        <f>AVERAGE(T9,T10)</f>
        <v>3.3560879629629631E-3</v>
      </c>
      <c r="C23" s="199">
        <f>AVERAGE(T11,T12)</f>
        <v>3.3588194444444447E-3</v>
      </c>
      <c r="D23" s="193">
        <f>AVERAGE(T13,T14)</f>
        <v>3.3702546296296302E-3</v>
      </c>
      <c r="E23" s="198">
        <f>AVERAGE(T10,T11)</f>
        <v>3.3643402777777782E-3</v>
      </c>
      <c r="F23" s="199">
        <f>AVERAGE(T14,T9)</f>
        <v>3.3641319444444448E-3</v>
      </c>
      <c r="G23" s="193">
        <f>AVERAGE(T13,T12)</f>
        <v>3.3566898148148154E-3</v>
      </c>
      <c r="H23" s="198">
        <f>AVERAGE(T11,T13)</f>
        <v>3.3699305555555561E-3</v>
      </c>
      <c r="I23" s="199">
        <f>AVERAGE(T9,T12)</f>
        <v>3.3505671296296296E-3</v>
      </c>
      <c r="J23" s="194">
        <f>AVERAGE(T10,T14)</f>
        <v>3.3646643518518522E-3</v>
      </c>
      <c r="K23" s="156" t="s">
        <v>36</v>
      </c>
      <c r="L23" s="78" t="s">
        <v>47</v>
      </c>
      <c r="Q23"/>
      <c r="R23"/>
      <c r="S23"/>
      <c r="T23"/>
    </row>
    <row r="24" spans="1:20" s="15" customFormat="1" ht="14.15" customHeight="1" x14ac:dyDescent="0.4">
      <c r="A24" s="152" t="s">
        <v>65</v>
      </c>
      <c r="B24" s="164">
        <f t="shared" ref="B24:J24" si="6">ABS(B23-B19)*86400 * IF(B19&lt;B23,-1,1)</f>
        <v>-12.485999999999926</v>
      </c>
      <c r="C24" s="165">
        <f t="shared" si="6"/>
        <v>-10.351999999999997</v>
      </c>
      <c r="D24" s="167">
        <f t="shared" si="6"/>
        <v>-11.880000000000265</v>
      </c>
      <c r="E24" s="164">
        <f t="shared" si="6"/>
        <v>16.941000000000034</v>
      </c>
      <c r="F24" s="165">
        <f t="shared" si="6"/>
        <v>21.73899999999988</v>
      </c>
      <c r="G24" s="167">
        <f t="shared" si="6"/>
        <v>17.052000000000088</v>
      </c>
      <c r="H24" s="164">
        <f t="shared" si="6"/>
        <v>19.018000000000004</v>
      </c>
      <c r="I24" s="165">
        <f t="shared" si="6"/>
        <v>14.370999999999873</v>
      </c>
      <c r="J24" s="166">
        <f t="shared" si="6"/>
        <v>16.393000000000004</v>
      </c>
      <c r="K24" s="157" t="s">
        <v>65</v>
      </c>
      <c r="L24" s="78" t="s">
        <v>48</v>
      </c>
      <c r="Q24"/>
      <c r="R24"/>
      <c r="S24"/>
      <c r="T24"/>
    </row>
    <row r="25" spans="1:20" s="15" customFormat="1" ht="14.15" customHeight="1" thickBot="1" x14ac:dyDescent="0.45">
      <c r="A25" s="131" t="s">
        <v>64</v>
      </c>
      <c r="B25" s="161">
        <f>IF(AND(B24&lt;=0,AVERAGE(C24,D24)&lt;=0),B24-AVERAGE(C24,D24),
IF(AND(B24&lt;=0,AVERAGE(C24,D24)&gt;=0),B24-AVERAGE(C24,D24),
IF(AND(B24&gt;=0,AVERAGE(C24,D24)&gt;=0),B24-AVERAGE(C24,D24),
IF(AND(B24&gt;=0,AVERAGE(C24,D24)&lt;=0),B24-AVERAGE(C24,D24),"n"))))</f>
        <v>-1.3699999999997949</v>
      </c>
      <c r="C25" s="162">
        <f>IF(AND(C24&lt;=0,AVERAGE(B24,D24)&lt;=0),C24-AVERAGE(B24,D24),
IF(AND(C24&lt;=0,AVERAGE(B24,D24)&gt;=0),C24-AVERAGE(B24,D24),
IF(AND(C24&gt;=0,AVERAGE(B24,D24)&gt;=0),C24-AVERAGE(B24,D24),
IF(AND(C24&gt;=0,AVERAGE(B24,D24)&lt;=0),C24-AVERAGE(B24,D24),"n"))))</f>
        <v>1.831000000000099</v>
      </c>
      <c r="D25" s="168">
        <f>IF(AND(D24&lt;=0,AVERAGE(B24,C24)&lt;=0),D24-AVERAGE(B24,C24),
IF(AND(D24&lt;=0,AVERAGE(B24,C24)&gt;=0),D24-AVERAGE(B24,C24),
IF(AND(D24&gt;=0,AVERAGE(B24,C24)&gt;=0),D24-AVERAGE(B24,C24),
IF(AND(D24&gt;=0,AVERAGE(B24,C24)&lt;=0),D24-AVERAGE(B24,C24),"n"))))</f>
        <v>-0.46100000000030406</v>
      </c>
      <c r="E25" s="161">
        <f>IF(AND(E24&lt;=0,AVERAGE(F24,G24)&lt;=0),E24-AVERAGE(F24,G24),
IF(AND(E24&lt;=0,AVERAGE(F24,G24)&gt;=0),E24-AVERAGE(F24,G24),
IF(AND(E24&gt;=0,AVERAGE(F24,G24)&gt;=0),E24-AVERAGE(F24,G24),
IF(AND(E24&gt;=0,AVERAGE(F24,G24)&lt;=0),E24-AVERAGE(F24,G24),"n"))))</f>
        <v>-2.4544999999999497</v>
      </c>
      <c r="F25" s="162">
        <f>IF(AND(F24&lt;=0,AVERAGE(E24,G24)&lt;=0),F24-AVERAGE(E24,G24),
IF(AND(F24&lt;=0,AVERAGE(E24,G24)&gt;=0),F24-AVERAGE(E24,G24),
IF(AND(F24&gt;=0,AVERAGE(E24,G24)&gt;=0),F24-AVERAGE(E24,G24),
IF(AND(F24&gt;=0,AVERAGE(E24,G24)&lt;=0),F24-AVERAGE(E24,G24),"n"))))</f>
        <v>4.7424999999998185</v>
      </c>
      <c r="G25" s="168">
        <f>IF(AND(G24&lt;=0,AVERAGE(E24,F24)&lt;=0),G24-AVERAGE(E24,F24),
IF(AND(G24&lt;=0,AVERAGE(E24,F24)&gt;=0),G24-AVERAGE(E24,F24),
IF(AND(G24&gt;=0,AVERAGE(E24,F24)&gt;=0),G24-AVERAGE(E24,F24),
IF(AND(G24&gt;=0,AVERAGE(E24,F24)&lt;=0),G24-AVERAGE(E24,F24),"n"))))</f>
        <v>-2.2879999999998688</v>
      </c>
      <c r="H25" s="161">
        <f>IF(AND(H24&lt;=0,AVERAGE(I24,J24)&lt;=0),H24-AVERAGE(I24,J24),
IF(AND(H24&lt;=0,AVERAGE(I24,J24)&gt;=0),H24-AVERAGE(I24,J24),
IF(AND(H24&gt;=0,AVERAGE(I24,J24)&gt;=0),H24-AVERAGE(I24,J24),
IF(AND(H24&gt;=0,AVERAGE(I24,J24)&lt;=0),H24-AVERAGE(I24,J24),"n"))))</f>
        <v>3.6360000000000667</v>
      </c>
      <c r="I25" s="162">
        <f>IF(AND(I24&lt;=0,AVERAGE(H24,J24)&lt;=0),I24-AVERAGE(H24,J24),
IF(AND(I24&lt;=0,AVERAGE(H24,J24)&gt;=0),I24-AVERAGE(H24,J24),
IF(AND(I24&gt;=0,AVERAGE(H24,J24)&gt;=0),I24-AVERAGE(H24,J24),
IF(AND(I24&gt;=0,AVERAGE(H24,J24)&lt;=0),I24-AVERAGE(H24,J24),"n"))))</f>
        <v>-3.3345000000001317</v>
      </c>
      <c r="J25" s="163">
        <f>IF(AND(J24&lt;=0,AVERAGE(H24,I24)&lt;=0),J24-AVERAGE(H24,I24),
IF(AND(J24&lt;=0,AVERAGE(H24,I24)&gt;=0),J24-AVERAGE(H24,I24),
IF(AND(J24&gt;=0,AVERAGE(H24,I24)&gt;=0),J24-AVERAGE(H24,I24),
IF(AND(J24&gt;=0,AVERAGE(H24,I24)&lt;=0),J24-AVERAGE(H24,I24),"n"))))</f>
        <v>-0.30149999999993327</v>
      </c>
      <c r="K25" s="133" t="s">
        <v>64</v>
      </c>
      <c r="L25" s="78" t="s">
        <v>49</v>
      </c>
      <c r="Q25"/>
      <c r="R25"/>
      <c r="S25"/>
      <c r="T25"/>
    </row>
    <row r="26" spans="1:20" s="15" customFormat="1" ht="14.15" customHeight="1" x14ac:dyDescent="0.4">
      <c r="A26" s="175" t="s">
        <v>34</v>
      </c>
      <c r="B26" s="153">
        <f>RANK(B27,($B$27:$J$27,$B$46:$G$46),-1)</f>
        <v>5</v>
      </c>
      <c r="C26" s="154">
        <f>RANK(C27,($B$27:$J$27,$B$46:$G$46),-1)</f>
        <v>11</v>
      </c>
      <c r="D26" s="155">
        <f>RANK(D27,($B$27:$J$27,$B$46:$G$46),-1)</f>
        <v>10</v>
      </c>
      <c r="E26" s="153">
        <f>RANK(E27,($B$27:$J$27,$B$46:$G$46),-1)</f>
        <v>3</v>
      </c>
      <c r="F26" s="154">
        <f>RANK(F27,($B$27:$J$27,$B$46:$G$46),-1)</f>
        <v>15</v>
      </c>
      <c r="G26" s="155">
        <f>RANK(G27,($B$27:$J$27,$B$46:$G$46),-1)</f>
        <v>2</v>
      </c>
      <c r="H26" s="74">
        <f>RANK(H27,($B$27:$J$27,$B$46:$G$46),-1)</f>
        <v>14</v>
      </c>
      <c r="I26" s="183">
        <f>RANK(I27,($B$27:$J$27,$B$46:$G$46),-1)</f>
        <v>1</v>
      </c>
      <c r="J26" s="75">
        <f>RANK(J27,($B$27:$J$27,$B$46:$G$46),-1)</f>
        <v>9</v>
      </c>
      <c r="K26" s="149" t="s">
        <v>34</v>
      </c>
      <c r="L26" s="78" t="s">
        <v>74</v>
      </c>
      <c r="Q26"/>
      <c r="R26"/>
      <c r="S26"/>
      <c r="T26"/>
    </row>
    <row r="27" spans="1:20" s="15" customFormat="1" ht="14.15" customHeight="1" thickBot="1" x14ac:dyDescent="0.45">
      <c r="A27" s="176" t="s">
        <v>71</v>
      </c>
      <c r="B27" s="184">
        <f>B19*86400- AVERAGE(C19*86400,D19*86400)</f>
        <v>-2.0999999999998522</v>
      </c>
      <c r="C27" s="185">
        <f>C19*86400- AVERAGE(B19*86400,D19*86400)</f>
        <v>1.4550000000000978</v>
      </c>
      <c r="D27" s="186">
        <f>D19*86400- AVERAGE(B19*86400,C19*86400)</f>
        <v>0.64499999999969759</v>
      </c>
      <c r="E27" s="184">
        <f>E19*86400- AVERAGE(F19*86400,G19*86400)</f>
        <v>-2.1149999999999523</v>
      </c>
      <c r="F27" s="185">
        <f>F19*86400- AVERAGE(E19*86400,G19*86400)</f>
        <v>5.0549999999997794</v>
      </c>
      <c r="G27" s="186">
        <f>G19*86400- AVERAGE(E19*86400,F19*86400)</f>
        <v>-2.9399999999998272</v>
      </c>
      <c r="H27" s="184">
        <f>H19*86400- AVERAGE(I19*86400,J19*86400)</f>
        <v>4.7000000000001592</v>
      </c>
      <c r="I27" s="185">
        <f>I19*86400- AVERAGE(H19*86400,J19*86400)</f>
        <v>-4.7800000000002001</v>
      </c>
      <c r="J27" s="188">
        <f>J19*86400- AVERAGE(H19*86400,I19*86400)</f>
        <v>8.0000000000040927E-2</v>
      </c>
      <c r="K27" s="148" t="s">
        <v>71</v>
      </c>
      <c r="L27" s="78" t="s">
        <v>75</v>
      </c>
      <c r="Q27"/>
      <c r="R27"/>
      <c r="S27"/>
      <c r="T27"/>
    </row>
    <row r="28" spans="1:20" s="15" customFormat="1" ht="13.1" customHeight="1" x14ac:dyDescent="0.4">
      <c r="A28" s="147" t="s">
        <v>63</v>
      </c>
      <c r="B28" s="76">
        <f>RANK(B29,($B$29:$J$29,$B$48:$G$48),1)</f>
        <v>3</v>
      </c>
      <c r="C28" s="189">
        <f>RANK(C29,($B$29:$J$29,$B$48:$G$48),1)</f>
        <v>7</v>
      </c>
      <c r="D28" s="77">
        <f>RANK(D29,($B$29:$J$29,$B$48:$G$48),1)</f>
        <v>6</v>
      </c>
      <c r="E28" s="76">
        <f>RANK(E29,($B$29:$J$29,$B$48:$G$48),1)</f>
        <v>13</v>
      </c>
      <c r="F28" s="189">
        <f>RANK(F29,($B$29:$J$29,$B$48:$G$48),1)</f>
        <v>15</v>
      </c>
      <c r="G28" s="77">
        <f>RANK(G29,($B$29:$J$29,$B$48:$G$48),1)</f>
        <v>11</v>
      </c>
      <c r="H28" s="76">
        <f>RANK(H29,($B$29:$J$29,$B$48:$G$48),1)</f>
        <v>14</v>
      </c>
      <c r="I28" s="189">
        <f>RANK(I29,($B$29:$J$29,$B$48:$G$48),1)</f>
        <v>10</v>
      </c>
      <c r="J28" s="77">
        <f>RANK(J29,($B$29:$J$29,$B$48:$G$48),1)</f>
        <v>12</v>
      </c>
      <c r="K28" s="187" t="s">
        <v>63</v>
      </c>
      <c r="L28" s="78" t="s">
        <v>73</v>
      </c>
      <c r="Q28"/>
      <c r="R28"/>
      <c r="S28"/>
      <c r="T28"/>
    </row>
    <row r="29" spans="1:20" s="15" customFormat="1" ht="13.1" customHeight="1" thickBot="1" x14ac:dyDescent="0.45">
      <c r="A29" s="135" t="s">
        <v>35</v>
      </c>
      <c r="B29" s="200">
        <f t="shared" ref="B29:J29" si="7">IF(B19=MIN($B$19:$J$19,$B$38:$G$38),0,B19-MIN($B$19:$J$19,$B$38:$G$38))*86400</f>
        <v>0.96999999999990982</v>
      </c>
      <c r="C29" s="201">
        <f t="shared" si="7"/>
        <v>3.3399999999998489</v>
      </c>
      <c r="D29" s="202">
        <f t="shared" si="7"/>
        <v>2.7999999999996081</v>
      </c>
      <c r="E29" s="200">
        <f t="shared" si="7"/>
        <v>31.109999999999896</v>
      </c>
      <c r="F29" s="201">
        <f t="shared" si="7"/>
        <v>35.889999999999738</v>
      </c>
      <c r="G29" s="202">
        <f t="shared" si="7"/>
        <v>30.559999999999967</v>
      </c>
      <c r="H29" s="200">
        <f t="shared" si="7"/>
        <v>33.669999999999881</v>
      </c>
      <c r="I29" s="201">
        <f t="shared" si="7"/>
        <v>27.349999999999692</v>
      </c>
      <c r="J29" s="202">
        <f t="shared" si="7"/>
        <v>30.589999999999861</v>
      </c>
      <c r="K29" s="136" t="s">
        <v>35</v>
      </c>
      <c r="L29" s="78" t="s">
        <v>72</v>
      </c>
      <c r="Q29"/>
      <c r="R29"/>
      <c r="S29"/>
      <c r="T29"/>
    </row>
    <row r="30" spans="1:20" s="15" customFormat="1" ht="4.8499999999999996" customHeight="1" x14ac:dyDescent="0.4">
      <c r="A30" s="23"/>
      <c r="B30" s="46"/>
      <c r="C30" s="46"/>
      <c r="D30" s="46"/>
      <c r="E30" s="46"/>
      <c r="F30" s="46"/>
      <c r="G30" s="46"/>
      <c r="H30" s="46"/>
      <c r="I30" s="46"/>
      <c r="J30" s="46"/>
      <c r="K30" s="34"/>
      <c r="Q30"/>
      <c r="R30"/>
      <c r="S30"/>
      <c r="T30"/>
    </row>
    <row r="31" spans="1:20" s="15" customFormat="1" ht="7.1" customHeight="1" thickBot="1" x14ac:dyDescent="0.45">
      <c r="A31" s="23"/>
      <c r="K31" s="34"/>
      <c r="Q31"/>
      <c r="R31"/>
      <c r="S31"/>
      <c r="T31"/>
    </row>
    <row r="32" spans="1:20" s="15" customFormat="1" x14ac:dyDescent="0.4">
      <c r="A32" s="23"/>
      <c r="B32" s="234" t="s">
        <v>13</v>
      </c>
      <c r="C32" s="235"/>
      <c r="D32" s="236"/>
      <c r="E32" s="234" t="s">
        <v>40</v>
      </c>
      <c r="F32" s="235"/>
      <c r="G32" s="236"/>
      <c r="H32" s="104"/>
      <c r="I32" s="33"/>
      <c r="J32" s="33"/>
      <c r="K32" s="34"/>
      <c r="Q32"/>
      <c r="R32"/>
      <c r="S32"/>
      <c r="T32"/>
    </row>
    <row r="33" spans="1:23" s="15" customFormat="1" ht="15" customHeight="1" thickBot="1" x14ac:dyDescent="0.45">
      <c r="A33" s="41" t="s">
        <v>38</v>
      </c>
      <c r="B33" s="92" t="str">
        <f>$J$6</f>
        <v>No Name</v>
      </c>
      <c r="C33" s="93" t="str">
        <f>$J$7</f>
        <v>Frank</v>
      </c>
      <c r="D33" s="94" t="str">
        <f>$J$8</f>
        <v>Tasha</v>
      </c>
      <c r="E33" s="92" t="str">
        <f>$J$6</f>
        <v>No Name</v>
      </c>
      <c r="F33" s="93" t="str">
        <f>$J$7</f>
        <v>Frank</v>
      </c>
      <c r="G33" s="94" t="str">
        <f>$J$8</f>
        <v>Tasha</v>
      </c>
      <c r="H33" s="25"/>
      <c r="I33" s="26"/>
      <c r="J33" s="26"/>
      <c r="K33" s="31"/>
      <c r="Q33"/>
      <c r="R33"/>
      <c r="S33"/>
      <c r="T33"/>
    </row>
    <row r="34" spans="1:23" s="15" customFormat="1" ht="15" customHeight="1" x14ac:dyDescent="0.4">
      <c r="A34" s="41" t="s">
        <v>30</v>
      </c>
      <c r="B34" s="95" t="str">
        <f>C10</f>
        <v>Ben</v>
      </c>
      <c r="C34" s="96" t="str">
        <f>C11</f>
        <v>Fred</v>
      </c>
      <c r="D34" s="97" t="str">
        <f>C9</f>
        <v>Matt</v>
      </c>
      <c r="E34" s="95" t="str">
        <f>C11</f>
        <v>Fred</v>
      </c>
      <c r="F34" s="96" t="str">
        <f>C7</f>
        <v>Tom</v>
      </c>
      <c r="G34" s="97" t="str">
        <f>C8</f>
        <v>Scott</v>
      </c>
      <c r="H34" s="105"/>
      <c r="I34" s="106"/>
      <c r="J34" s="106"/>
      <c r="K34" s="31"/>
      <c r="Q34"/>
      <c r="R34"/>
      <c r="S34"/>
      <c r="T34"/>
    </row>
    <row r="35" spans="1:23" s="15" customFormat="1" ht="15" customHeight="1" thickBot="1" x14ac:dyDescent="0.45">
      <c r="A35" s="41" t="s">
        <v>30</v>
      </c>
      <c r="B35" s="98" t="str">
        <f>C6</f>
        <v>Tim</v>
      </c>
      <c r="C35" s="99" t="str">
        <f>C8</f>
        <v>Scott</v>
      </c>
      <c r="D35" s="100" t="str">
        <f>C7</f>
        <v>Tom</v>
      </c>
      <c r="E35" s="98" t="str">
        <f>C9</f>
        <v>Matt</v>
      </c>
      <c r="F35" s="99" t="str">
        <f>C10</f>
        <v>Ben</v>
      </c>
      <c r="G35" s="100" t="str">
        <f>C6</f>
        <v>Tim</v>
      </c>
      <c r="H35" s="105"/>
      <c r="I35" s="106"/>
      <c r="J35" s="106"/>
      <c r="K35" s="31"/>
      <c r="Q35"/>
      <c r="R35"/>
      <c r="S35"/>
      <c r="T35"/>
    </row>
    <row r="36" spans="1:23" s="15" customFormat="1" ht="25.1" customHeight="1" x14ac:dyDescent="0.4">
      <c r="A36" s="27" t="s">
        <v>19</v>
      </c>
      <c r="B36" s="82">
        <v>1.0394328703703703E-2</v>
      </c>
      <c r="C36" s="83">
        <v>1.0928935185185186E-2</v>
      </c>
      <c r="D36" s="86">
        <v>1.1079282407407407E-2</v>
      </c>
      <c r="E36" s="82">
        <v>1.0394328703703703E-2</v>
      </c>
      <c r="F36" s="83">
        <v>1.0928935185185186E-2</v>
      </c>
      <c r="G36" s="86">
        <v>1.1079282407407407E-2</v>
      </c>
      <c r="H36" s="107"/>
      <c r="I36" s="42"/>
      <c r="J36" s="42"/>
      <c r="K36" s="43"/>
      <c r="Q36"/>
      <c r="R36"/>
      <c r="S36"/>
      <c r="T36"/>
    </row>
    <row r="37" spans="1:23" s="15" customFormat="1" ht="25.1" customHeight="1" thickBot="1" x14ac:dyDescent="0.45">
      <c r="A37" s="27" t="s">
        <v>20</v>
      </c>
      <c r="B37" s="14">
        <v>1.3617361111111113E-2</v>
      </c>
      <c r="C37" s="85">
        <v>1.4189236111111113E-2</v>
      </c>
      <c r="D37" s="6">
        <v>1.4296874999999999E-2</v>
      </c>
      <c r="E37" s="14">
        <v>1.3594675925925927E-2</v>
      </c>
      <c r="F37" s="85">
        <v>1.4168055555555557E-2</v>
      </c>
      <c r="G37" s="6">
        <v>1.4289814814814812E-2</v>
      </c>
      <c r="H37" s="107"/>
      <c r="I37" s="42"/>
      <c r="J37" s="42"/>
      <c r="K37" s="43"/>
      <c r="Q37" s="47"/>
      <c r="R37" s="47"/>
      <c r="S37" s="47"/>
      <c r="T37" s="47"/>
      <c r="U37" s="47"/>
      <c r="V37" s="47"/>
      <c r="W37" s="47"/>
    </row>
    <row r="38" spans="1:23" s="15" customFormat="1" ht="15" thickBot="1" x14ac:dyDescent="0.45">
      <c r="A38" s="60" t="s">
        <v>14</v>
      </c>
      <c r="B38" s="191">
        <f t="shared" ref="B38:G38" si="8">IF(B37="","",B37-B36)</f>
        <v>3.2230324074074106E-3</v>
      </c>
      <c r="C38" s="102">
        <f t="shared" si="8"/>
        <v>3.2603009259259269E-3</v>
      </c>
      <c r="D38" s="103">
        <f t="shared" si="8"/>
        <v>3.2175925925925913E-3</v>
      </c>
      <c r="E38" s="191">
        <f t="shared" si="8"/>
        <v>3.2003472222222242E-3</v>
      </c>
      <c r="F38" s="102">
        <f t="shared" si="8"/>
        <v>3.2391203703703714E-3</v>
      </c>
      <c r="G38" s="158">
        <f t="shared" si="8"/>
        <v>3.210532407407405E-3</v>
      </c>
      <c r="H38" s="108"/>
      <c r="I38" s="109"/>
      <c r="J38" s="109"/>
      <c r="K38" s="110"/>
      <c r="P38" s="79"/>
      <c r="Q38" s="36"/>
      <c r="R38" s="36"/>
      <c r="S38" s="36"/>
      <c r="T38" s="36"/>
      <c r="U38" s="36"/>
      <c r="V38" s="36"/>
      <c r="W38" s="36"/>
    </row>
    <row r="39" spans="1:23" s="15" customFormat="1" ht="12" customHeight="1" x14ac:dyDescent="0.4">
      <c r="A39" s="41" t="s">
        <v>34</v>
      </c>
      <c r="B39" s="28">
        <f>RANK(B38,B38:D38,1)</f>
        <v>2</v>
      </c>
      <c r="C39" s="29">
        <f>RANK(C38,B38:D38,1)</f>
        <v>3</v>
      </c>
      <c r="D39" s="30">
        <f>RANK(D38,B38:D38,1)</f>
        <v>1</v>
      </c>
      <c r="E39" s="28">
        <f>RANK(E38,E38:G38,1)</f>
        <v>1</v>
      </c>
      <c r="F39" s="29">
        <f>RANK(F38,E38:G38,1)</f>
        <v>3</v>
      </c>
      <c r="G39" s="30">
        <f>RANK(G38,E38:G38,1)</f>
        <v>2</v>
      </c>
      <c r="H39" s="44"/>
      <c r="I39" s="44"/>
      <c r="J39" s="44"/>
      <c r="K39" s="31"/>
      <c r="P39" s="79"/>
      <c r="Q39" s="36"/>
      <c r="R39" s="36"/>
      <c r="S39" s="36"/>
      <c r="T39" s="36"/>
      <c r="U39" s="36"/>
      <c r="V39" s="36"/>
      <c r="W39" s="36"/>
    </row>
    <row r="40" spans="1:23" s="15" customFormat="1" ht="12" customHeight="1" x14ac:dyDescent="0.4">
      <c r="A40" s="41" t="s">
        <v>39</v>
      </c>
      <c r="B40" s="181">
        <f>IF(B38=MIN(B38:D38),0,B38-MIN(B38:D38))*86400</f>
        <v>0.47000000000038122</v>
      </c>
      <c r="C40" s="180">
        <f>IF(C38=MIN(B38:D38),0,C38-MIN(B38:D38))*86400</f>
        <v>3.6900000000001931</v>
      </c>
      <c r="D40" s="182">
        <f>IF(D38=MIN(B38:D38),0,D38-MIN(B38:D38))*86400</f>
        <v>0</v>
      </c>
      <c r="E40" s="181">
        <f>IF(E38=MIN(E38:G38),0,E38-MIN(E38:G38))*86400</f>
        <v>0</v>
      </c>
      <c r="F40" s="180">
        <f>IF(F38=MIN(E38:G38),0,F38-MIN(E38:G38))*86400</f>
        <v>3.3499999999999144</v>
      </c>
      <c r="G40" s="182">
        <f>IF(G38=MIN(E38:G38),0,G38-MIN(E38:G38))*86400</f>
        <v>0.87999999999961998</v>
      </c>
      <c r="H40" s="44"/>
      <c r="I40" s="44"/>
      <c r="J40" s="44"/>
      <c r="K40" s="31"/>
      <c r="P40" s="79"/>
      <c r="Q40" s="36"/>
      <c r="R40" s="36"/>
      <c r="S40" s="36"/>
      <c r="T40" s="36"/>
      <c r="U40" s="36"/>
      <c r="V40" s="36"/>
      <c r="W40" s="36"/>
    </row>
    <row r="41" spans="1:23" s="15" customFormat="1" ht="12" customHeight="1" thickBot="1" x14ac:dyDescent="0.45">
      <c r="A41" s="63" t="s">
        <v>15</v>
      </c>
      <c r="B41" s="7">
        <f t="shared" ref="B41:G41" si="9">IFERROR(($J$11*86400/2000)/(B38*86400/$J$10),"")</f>
        <v>0.89327396128846837</v>
      </c>
      <c r="C41" s="8">
        <f t="shared" si="9"/>
        <v>0.88306294153147047</v>
      </c>
      <c r="D41" s="9">
        <f t="shared" si="9"/>
        <v>0.89478417266187094</v>
      </c>
      <c r="E41" s="7">
        <f t="shared" si="9"/>
        <v>0.89960580087519393</v>
      </c>
      <c r="F41" s="8">
        <f t="shared" si="9"/>
        <v>0.88883727578074734</v>
      </c>
      <c r="G41" s="9">
        <f t="shared" si="9"/>
        <v>0.89675186560438436</v>
      </c>
      <c r="H41" s="44"/>
      <c r="I41" s="44"/>
      <c r="J41" s="44"/>
      <c r="K41" s="31"/>
      <c r="P41" s="79"/>
      <c r="Q41" s="36"/>
      <c r="R41" s="36"/>
      <c r="S41" s="36"/>
      <c r="T41" s="36"/>
      <c r="U41" s="36"/>
      <c r="V41" s="36"/>
      <c r="W41" s="36"/>
    </row>
    <row r="42" spans="1:23" s="15" customFormat="1" ht="14.15" customHeight="1" x14ac:dyDescent="0.4">
      <c r="A42" s="132" t="s">
        <v>36</v>
      </c>
      <c r="B42" s="192">
        <f>AVERAGE(T13,T9)</f>
        <v>3.361678240740741E-3</v>
      </c>
      <c r="C42" s="193">
        <f>AVERAGE(T14,T11)</f>
        <v>3.3723842592592599E-3</v>
      </c>
      <c r="D42" s="194">
        <f>AVERAGE(T12,T10)</f>
        <v>3.3510995370370374E-3</v>
      </c>
      <c r="E42" s="192">
        <f>AVERAGE(T14,T12)</f>
        <v>3.3591435185185191E-3</v>
      </c>
      <c r="F42" s="193">
        <f>AVERAGE(T10,T13)</f>
        <v>3.3622106481481489E-3</v>
      </c>
      <c r="G42" s="194">
        <f>AVERAGE(T11,T9)</f>
        <v>3.3638078703703703E-3</v>
      </c>
      <c r="H42" s="62"/>
      <c r="I42" s="44"/>
      <c r="J42" s="44"/>
      <c r="K42" s="64"/>
      <c r="P42" s="79"/>
      <c r="Q42" s="36"/>
      <c r="R42" s="36"/>
      <c r="S42" s="36"/>
      <c r="T42" s="36"/>
      <c r="U42" s="36"/>
      <c r="V42" s="36"/>
      <c r="W42" s="36"/>
    </row>
    <row r="43" spans="1:23" s="15" customFormat="1" ht="14.15" customHeight="1" x14ac:dyDescent="0.4">
      <c r="A43" s="130" t="s">
        <v>65</v>
      </c>
      <c r="B43" s="195">
        <f t="shared" ref="B43:G43" si="10">ABS(B42-B38)*86400 * IF(B38&lt;B42,-1,1)</f>
        <v>-11.978999999999752</v>
      </c>
      <c r="C43" s="167">
        <f t="shared" si="10"/>
        <v>-9.6839999999999673</v>
      </c>
      <c r="D43" s="166">
        <f t="shared" si="10"/>
        <v>-11.53500000000014</v>
      </c>
      <c r="E43" s="195">
        <f t="shared" si="10"/>
        <v>-13.71999999999988</v>
      </c>
      <c r="F43" s="167">
        <f t="shared" si="10"/>
        <v>-10.634999999999978</v>
      </c>
      <c r="G43" s="166">
        <f t="shared" si="10"/>
        <v>-13.243000000000201</v>
      </c>
      <c r="H43" s="62"/>
      <c r="I43" s="44"/>
      <c r="J43" s="44"/>
      <c r="K43" s="65"/>
      <c r="P43" s="79"/>
      <c r="Q43" s="36"/>
      <c r="R43" s="36"/>
      <c r="S43" s="36"/>
      <c r="T43" s="36"/>
      <c r="U43" s="36"/>
      <c r="V43" s="36"/>
      <c r="W43" s="36"/>
    </row>
    <row r="44" spans="1:23" s="15" customFormat="1" ht="14.15" customHeight="1" thickBot="1" x14ac:dyDescent="0.45">
      <c r="A44" s="131" t="s">
        <v>64</v>
      </c>
      <c r="B44" s="196">
        <f>IF(AND(B43&lt;=0,AVERAGE(C43,D43)&lt;=0),B43-AVERAGE(C43,D43),
IF(AND(B43&lt;=0,AVERAGE(C43,D43)&gt;=0),B43-AVERAGE(C43,D43),
IF(AND(B43&gt;=0,AVERAGE(C43,D43)&gt;=0),B43-AVERAGE(C43,D43),
IF(AND(B43&gt;=0,AVERAGE(C43,D43)&lt;=0),B43-AVERAGE(C43,D43),"n"))))</f>
        <v>-1.3694999999996984</v>
      </c>
      <c r="C44" s="168">
        <f>IF(AND(C43&lt;=0,AVERAGE(B43,D43)&lt;=0),C43-AVERAGE(B43,D43),
IF(AND(C43&lt;=0,AVERAGE(B43,D43)&gt;=0),C43-AVERAGE(B43,D43),
IF(AND(C43&gt;=0,AVERAGE(B43,D43)&gt;=0),C43-AVERAGE(B43,D43),
IF(AND(C43&gt;=0,AVERAGE(B43,D43)&lt;=0),C43-AVERAGE(B43,D43),"n"))))</f>
        <v>2.0729999999999791</v>
      </c>
      <c r="D44" s="163">
        <f>IF(AND(D43&lt;=0,AVERAGE(B43,C43)&lt;=0),D43-AVERAGE(B43,C43),
IF(AND(D43&lt;=0,AVERAGE(B43,C43)&gt;=0),D43-AVERAGE(B43,C43),
IF(AND(D43&gt;=0,AVERAGE(B43,C43)&gt;=0),D43-AVERAGE(B43,C43),
IF(AND(D43&gt;=0,AVERAGE(B43,C43)&lt;=0),D43-AVERAGE(B43,C43),"n"))))</f>
        <v>-0.70350000000028068</v>
      </c>
      <c r="E44" s="196">
        <f>IF(AND(E43&lt;=0,AVERAGE(F43,G43)&lt;=0),E43-AVERAGE(F43,G43),
IF(AND(E43&lt;=0,AVERAGE(F43,G43)&gt;=0),E43-AVERAGE(F43,G43),
IF(AND(E43&gt;=0,AVERAGE(F43,G43)&gt;=0),E43-AVERAGE(F43,G43),
IF(AND(E43&gt;=0,AVERAGE(F43,G43)&lt;=0),E43-AVERAGE(F43,G43),"n"))))</f>
        <v>-1.780999999999791</v>
      </c>
      <c r="F44" s="168">
        <f>IF(AND(F43&lt;=0,AVERAGE(E43,G43)&lt;=0),F43-AVERAGE(E43,G43),
IF(AND(F43&lt;=0,AVERAGE(E43,G43)&gt;=0),F43-AVERAGE(E43,G43),
IF(AND(F43&gt;=0,AVERAGE(E43,G43)&gt;=0),F43-AVERAGE(E43,G43),
IF(AND(F43&gt;=0,AVERAGE(E43,G43)&lt;=0),F43-AVERAGE(E43,G43),"n"))))</f>
        <v>2.8465000000000611</v>
      </c>
      <c r="G44" s="163">
        <f>IF(AND(G43&lt;=0,AVERAGE(E43,F43)&lt;=0),G43-AVERAGE(E43,F43),
IF(AND(G43&lt;=0,AVERAGE(E43,F43)&gt;=0),G43-AVERAGE(E43,F43),
IF(AND(G43&gt;=0,AVERAGE(E43,F43)&gt;=0),G43-AVERAGE(E43,F43),
IF(AND(G43&gt;=0,AVERAGE(E43,F43)&lt;=0),G43-AVERAGE(E43,F43),"n"))))</f>
        <v>-1.0655000000002719</v>
      </c>
      <c r="H44" s="62"/>
      <c r="I44" s="44"/>
      <c r="J44" s="44"/>
      <c r="K44" s="111"/>
      <c r="Q44"/>
      <c r="R44"/>
      <c r="S44"/>
      <c r="T44"/>
    </row>
    <row r="45" spans="1:23" s="15" customFormat="1" ht="14.15" customHeight="1" x14ac:dyDescent="0.4">
      <c r="A45" s="175" t="s">
        <v>34</v>
      </c>
      <c r="B45" s="153">
        <f>RANK(B46,($B$27:$J$27,$B$46:$G$46),-1)</f>
        <v>7</v>
      </c>
      <c r="C45" s="154">
        <f>RANK(C46,($B$27:$J$27,$B$46:$G$46),-1)</f>
        <v>13</v>
      </c>
      <c r="D45" s="155">
        <f>RANK(D46,($B$27:$J$27,$B$46:$G$46),-1)</f>
        <v>6</v>
      </c>
      <c r="E45" s="153">
        <f>RANK(E46,($B$27:$J$27,$B$46:$G$46),-1)</f>
        <v>4</v>
      </c>
      <c r="F45" s="154">
        <f>RANK(F46,($B$27:$J$27,$B$46:$G$46),-1)</f>
        <v>12</v>
      </c>
      <c r="G45" s="155">
        <f>RANK(G46,($B$27:$J$27,$B$46:$G$46),-1)</f>
        <v>8</v>
      </c>
      <c r="H45" s="62"/>
      <c r="I45" s="44"/>
      <c r="J45" s="44"/>
      <c r="K45" s="111"/>
      <c r="Q45"/>
      <c r="R45"/>
      <c r="S45"/>
      <c r="T45"/>
    </row>
    <row r="46" spans="1:23" s="15" customFormat="1" ht="14.15" customHeight="1" thickBot="1" x14ac:dyDescent="0.45">
      <c r="A46" s="176" t="s">
        <v>71</v>
      </c>
      <c r="B46" s="184">
        <f>B38*86400- AVERAGE(C38*86400,D38*86400)</f>
        <v>-1.3749999999997726</v>
      </c>
      <c r="C46" s="185">
        <f>C38*86400- AVERAGE(B38*86400,D38*86400)</f>
        <v>3.4550000000000409</v>
      </c>
      <c r="D46" s="186">
        <f>D38*86400- AVERAGE(B38*86400,C38*86400)</f>
        <v>-2.0800000000002683</v>
      </c>
      <c r="E46" s="184">
        <f>E38*86400- AVERAGE(F38*86400,G38*86400)</f>
        <v>-2.1149999999997817</v>
      </c>
      <c r="F46" s="185">
        <f>F38*86400- AVERAGE(E38*86400,G38*86400)</f>
        <v>2.9100000000000819</v>
      </c>
      <c r="G46" s="186">
        <f>G38*86400- AVERAGE(E38*86400,F38*86400)</f>
        <v>-0.79500000000030013</v>
      </c>
      <c r="H46" s="62"/>
      <c r="I46" s="44"/>
      <c r="J46" s="44"/>
      <c r="K46" s="111"/>
      <c r="Q46"/>
      <c r="R46"/>
      <c r="S46"/>
      <c r="T46"/>
    </row>
    <row r="47" spans="1:23" s="15" customFormat="1" ht="13.1" customHeight="1" x14ac:dyDescent="0.4">
      <c r="A47" s="147" t="s">
        <v>63</v>
      </c>
      <c r="B47" s="76">
        <f>RANK(B48,($B$29:$J$29,$B$48:$G$48),1)</f>
        <v>5</v>
      </c>
      <c r="C47" s="189">
        <f>RANK(C48,($B$29:$J$29,$B$48:$G$48),1)</f>
        <v>9</v>
      </c>
      <c r="D47" s="77">
        <f>RANK(D48,($B$29:$J$29,$B$48:$G$48),1)</f>
        <v>4</v>
      </c>
      <c r="E47" s="76">
        <f>RANK(E48,($B$29:$J$29,$B$48:$G$48),1)</f>
        <v>1</v>
      </c>
      <c r="F47" s="189">
        <f>RANK(F48,($B$29:$J$29,$B$48:$G$48),1)</f>
        <v>8</v>
      </c>
      <c r="G47" s="77">
        <f>RANK(G48,($B$29:$J$29,$B$48:$G$48),1)</f>
        <v>2</v>
      </c>
      <c r="H47" s="44"/>
      <c r="I47" s="44"/>
      <c r="J47" s="44"/>
      <c r="K47" s="66"/>
      <c r="Q47"/>
      <c r="R47"/>
      <c r="S47"/>
      <c r="T47"/>
    </row>
    <row r="48" spans="1:23" s="15" customFormat="1" ht="13.1" customHeight="1" thickBot="1" x14ac:dyDescent="0.45">
      <c r="A48" s="135" t="s">
        <v>35</v>
      </c>
      <c r="B48" s="159">
        <f t="shared" ref="B48:G48" si="11">IF(B38=MIN($B$19:$J$19,$B$38:$G$38),0,B38-MIN($B$19:$J$19,$B$38:$G$38))*86400</f>
        <v>1.9600000000001006</v>
      </c>
      <c r="C48" s="190">
        <f t="shared" si="11"/>
        <v>5.1799999999999127</v>
      </c>
      <c r="D48" s="160">
        <f t="shared" si="11"/>
        <v>1.4899999999997193</v>
      </c>
      <c r="E48" s="159">
        <f t="shared" si="11"/>
        <v>0</v>
      </c>
      <c r="F48" s="190">
        <f t="shared" si="11"/>
        <v>3.3499999999999144</v>
      </c>
      <c r="G48" s="160">
        <f t="shared" si="11"/>
        <v>0.87999999999961998</v>
      </c>
      <c r="H48" s="44"/>
      <c r="I48" s="44"/>
      <c r="J48" s="44"/>
      <c r="K48" s="66"/>
      <c r="U48" s="112" t="s">
        <v>56</v>
      </c>
      <c r="V48" s="113" t="s">
        <v>54</v>
      </c>
      <c r="W48" s="114" t="s">
        <v>55</v>
      </c>
    </row>
    <row r="49" spans="1:26" s="15" customFormat="1" ht="6.9" customHeight="1" thickBot="1" x14ac:dyDescent="0.45">
      <c r="A49" s="23"/>
      <c r="K49" s="66"/>
      <c r="U49"/>
      <c r="V49"/>
    </row>
    <row r="50" spans="1:26" s="15" customFormat="1" ht="14.15" customHeight="1" thickBot="1" x14ac:dyDescent="0.45">
      <c r="A50" s="225"/>
      <c r="B50" s="237" t="s">
        <v>3</v>
      </c>
      <c r="C50" s="238"/>
      <c r="D50" s="238"/>
      <c r="E50" s="238"/>
      <c r="F50" s="238"/>
      <c r="G50" s="238"/>
      <c r="H50" s="239"/>
      <c r="I50" s="115"/>
      <c r="J50" s="115"/>
      <c r="K50" s="66"/>
      <c r="T50"/>
      <c r="U50" s="36" t="str">
        <f>$C6</f>
        <v>Tim</v>
      </c>
      <c r="V50" s="36" t="str">
        <f>$C7</f>
        <v>Tom</v>
      </c>
      <c r="W50" s="36" t="str">
        <f>$C8</f>
        <v>Scott</v>
      </c>
      <c r="X50" s="36" t="str">
        <f>$C9</f>
        <v>Matt</v>
      </c>
      <c r="Y50" s="36" t="str">
        <f>$C10</f>
        <v>Ben</v>
      </c>
      <c r="Z50" s="36" t="str">
        <f>$C11</f>
        <v>Fred</v>
      </c>
    </row>
    <row r="51" spans="1:26" s="15" customFormat="1" ht="14.15" customHeight="1" thickBot="1" x14ac:dyDescent="0.45">
      <c r="A51" s="226"/>
      <c r="B51" s="269" t="s">
        <v>25</v>
      </c>
      <c r="C51" s="143" t="s">
        <v>16</v>
      </c>
      <c r="D51" s="143" t="s">
        <v>17</v>
      </c>
      <c r="E51" s="143" t="s">
        <v>41</v>
      </c>
      <c r="F51" s="143" t="s">
        <v>69</v>
      </c>
      <c r="G51" s="270" t="s">
        <v>343</v>
      </c>
      <c r="H51" s="271" t="s">
        <v>344</v>
      </c>
      <c r="I51" s="173" t="s">
        <v>66</v>
      </c>
      <c r="J51" s="144" t="s">
        <v>62</v>
      </c>
      <c r="K51" s="66"/>
      <c r="N51" s="79"/>
      <c r="T51" s="80" t="str">
        <f>C6</f>
        <v>Tim</v>
      </c>
      <c r="U51" s="116"/>
      <c r="V51" s="117">
        <v>1</v>
      </c>
      <c r="W51" s="118">
        <v>5</v>
      </c>
      <c r="X51" s="119">
        <v>3</v>
      </c>
      <c r="Y51" s="117">
        <v>4</v>
      </c>
      <c r="Z51" s="119">
        <v>2</v>
      </c>
    </row>
    <row r="52" spans="1:26" s="15" customFormat="1" ht="16.100000000000001" customHeight="1" x14ac:dyDescent="0.4">
      <c r="A52" s="67"/>
      <c r="B52" s="137">
        <v>1</v>
      </c>
      <c r="C52" s="138" t="str">
        <f>VLOOKUP(1,$M$9:$T$14,2,FALSE)</f>
        <v>Matt</v>
      </c>
      <c r="D52" s="260">
        <f>VLOOKUP(1,$M$9:$T$14,3,FALSE)</f>
        <v>1.672789351851852E-2</v>
      </c>
      <c r="E52" s="263">
        <f>VLOOKUP(1,$M$9:$T$14,4,FALSE)</f>
        <v>0</v>
      </c>
      <c r="F52" s="264">
        <f>VLOOKUP(1,$M$9:$T$14,5,FALSE)</f>
        <v>0</v>
      </c>
      <c r="G52" s="259">
        <f>VLOOKUP(B52,$M$9:$S$14,6,FALSE)</f>
        <v>0</v>
      </c>
      <c r="H52" s="139">
        <f>VLOOKUP(B52,$M$9:$S$14,7,FALSE)</f>
        <v>0</v>
      </c>
      <c r="I52" s="140">
        <f>VLOOKUP(1,$M$9:$T$14,6,FALSE)</f>
        <v>0</v>
      </c>
      <c r="J52" s="139">
        <f>VLOOKUP(1,$M$9:$U$14,7,FALSE)</f>
        <v>0</v>
      </c>
      <c r="K52" s="66"/>
      <c r="N52" s="121"/>
      <c r="T52" s="80" t="str">
        <f>C7</f>
        <v>Tom</v>
      </c>
      <c r="U52" s="117">
        <v>1</v>
      </c>
      <c r="V52" s="116"/>
      <c r="W52" s="122">
        <v>2</v>
      </c>
      <c r="X52" s="118">
        <v>4</v>
      </c>
      <c r="Y52" s="119">
        <v>5</v>
      </c>
      <c r="Z52" s="118">
        <v>3</v>
      </c>
    </row>
    <row r="53" spans="1:26" s="15" customFormat="1" ht="16.100000000000001" customHeight="1" x14ac:dyDescent="0.4">
      <c r="A53" s="67"/>
      <c r="B53" s="68">
        <v>2</v>
      </c>
      <c r="C53" s="120" t="str">
        <f>VLOOKUP(2,$M$9:$T$14,2,FALSE)</f>
        <v>Tim</v>
      </c>
      <c r="D53" s="261">
        <f>VLOOKUP(2,$M$9:$T$14,3,FALSE)</f>
        <v>1.6777777777777777E-2</v>
      </c>
      <c r="E53" s="265">
        <f>VLOOKUP(2,$M$9:$T$14,4,FALSE)</f>
        <v>4.3099999999997589</v>
      </c>
      <c r="F53" s="266">
        <f>VLOOKUP(2,$M$9:$T$14,5,FALSE)</f>
        <v>2.9732339955847948E-3</v>
      </c>
      <c r="G53" s="257">
        <f>VLOOKUP(B53,$M$9:$S$14,6,FALSE)</f>
        <v>4.3099999999997589</v>
      </c>
      <c r="H53" s="129">
        <f>VLOOKUP(B53,$M$9:$S$14,7,FALSE)</f>
        <v>2.9732339955848008E-3</v>
      </c>
      <c r="I53" s="56">
        <f>VLOOKUP(2,$M$9:$T$14,6,FALSE)</f>
        <v>4.3099999999997589</v>
      </c>
      <c r="J53" s="129">
        <f>VLOOKUP(2,$M$9:$U$14,7,FALSE)</f>
        <v>2.9732339955848008E-3</v>
      </c>
      <c r="K53" s="66"/>
      <c r="N53" s="81"/>
      <c r="T53" s="80" t="str">
        <f>C8</f>
        <v>Scott</v>
      </c>
      <c r="U53" s="118">
        <v>5</v>
      </c>
      <c r="V53" s="122">
        <v>2</v>
      </c>
      <c r="W53" s="116"/>
      <c r="X53" s="123">
        <v>1</v>
      </c>
      <c r="Y53" s="117">
        <v>3</v>
      </c>
      <c r="Z53" s="119">
        <v>4</v>
      </c>
    </row>
    <row r="54" spans="1:26" s="15" customFormat="1" ht="16.100000000000001" customHeight="1" x14ac:dyDescent="0.4">
      <c r="A54" s="67"/>
      <c r="B54" s="68">
        <v>3</v>
      </c>
      <c r="C54" s="120" t="str">
        <f>VLOOKUP(3,$M$9:$T$14,2,FALSE)</f>
        <v>Tom</v>
      </c>
      <c r="D54" s="261">
        <f>VLOOKUP(3,$M$9:$T$14,3,FALSE)</f>
        <v>1.6783101851851855E-2</v>
      </c>
      <c r="E54" s="265">
        <f>VLOOKUP(3,$M$9:$T$14,4,FALSE)</f>
        <v>4.7700000000000742</v>
      </c>
      <c r="F54" s="266">
        <f>VLOOKUP(3,$M$9:$T$14,5,FALSE)</f>
        <v>3.2895190543839434E-3</v>
      </c>
      <c r="G54" s="257">
        <f>VLOOKUP(B54,$M$9:$S$14,6,FALSE)</f>
        <v>0.46000000000031571</v>
      </c>
      <c r="H54" s="129">
        <f>VLOOKUP(B54,$M$9:$S$14,7,FALSE)</f>
        <v>3.1722825262425758E-4</v>
      </c>
      <c r="I54" s="56">
        <f>VLOOKUP(3,$M$9:$T$14,6,FALSE)</f>
        <v>0.46000000000031571</v>
      </c>
      <c r="J54" s="129">
        <f>VLOOKUP(3,$M$9:$U$14,7,FALSE)</f>
        <v>3.1722825262425758E-4</v>
      </c>
      <c r="K54" s="124"/>
      <c r="N54" s="125"/>
      <c r="T54" s="80" t="str">
        <f>C9</f>
        <v>Matt</v>
      </c>
      <c r="U54" s="119">
        <v>3</v>
      </c>
      <c r="V54" s="118">
        <v>4</v>
      </c>
      <c r="W54" s="123">
        <v>1</v>
      </c>
      <c r="X54" s="116"/>
      <c r="Y54" s="118">
        <v>2</v>
      </c>
      <c r="Z54" s="117">
        <v>5</v>
      </c>
    </row>
    <row r="55" spans="1:26" s="15" customFormat="1" ht="16.100000000000001" customHeight="1" x14ac:dyDescent="0.4">
      <c r="A55" s="67"/>
      <c r="B55" s="68">
        <v>4</v>
      </c>
      <c r="C55" s="120" t="str">
        <f>VLOOKUP(4,$M$9:$T$14,2,FALSE)</f>
        <v>Ben</v>
      </c>
      <c r="D55" s="261">
        <f>VLOOKUP(4,$M$9:$T$14,3,FALSE)</f>
        <v>1.6839004629629634E-2</v>
      </c>
      <c r="E55" s="265">
        <f>VLOOKUP(4,$M$9:$T$14,4,FALSE)</f>
        <v>9.6000000000002412</v>
      </c>
      <c r="F55" s="266">
        <f>VLOOKUP(4,$M$9:$T$14,5,FALSE)</f>
        <v>6.5984369952368453E-3</v>
      </c>
      <c r="G55" s="257">
        <f>VLOOKUP(B55,$M$9:$S$14,6,FALSE)</f>
        <v>4.830000000000167</v>
      </c>
      <c r="H55" s="129">
        <f>VLOOKUP(B55,$M$9:$S$14,7,FALSE)</f>
        <v>3.3198386132285984E-3</v>
      </c>
      <c r="I55" s="56">
        <f>VLOOKUP(4,$M$9:$T$14,6,FALSE)</f>
        <v>4.830000000000167</v>
      </c>
      <c r="J55" s="129">
        <f>VLOOKUP(4,$M$9:$U$14,7,FALSE)</f>
        <v>3.3198386132285984E-3</v>
      </c>
      <c r="K55" s="124"/>
      <c r="N55" s="125"/>
      <c r="T55" s="80" t="str">
        <f>C10</f>
        <v>Ben</v>
      </c>
      <c r="U55" s="117">
        <v>4</v>
      </c>
      <c r="V55" s="119">
        <v>5</v>
      </c>
      <c r="W55" s="117">
        <v>3</v>
      </c>
      <c r="X55" s="118">
        <v>2</v>
      </c>
      <c r="Y55" s="116"/>
      <c r="Z55" s="126">
        <v>1</v>
      </c>
    </row>
    <row r="56" spans="1:26" s="15" customFormat="1" ht="16.100000000000001" customHeight="1" x14ac:dyDescent="0.4">
      <c r="A56" s="67"/>
      <c r="B56" s="68">
        <v>5</v>
      </c>
      <c r="C56" s="120" t="str">
        <f>VLOOKUP(5,$M$9:$T$14,2,FALSE)</f>
        <v>Scott</v>
      </c>
      <c r="D56" s="261">
        <f>VLOOKUP(5,$M$9:$T$14,3,FALSE)</f>
        <v>1.6860300925925928E-2</v>
      </c>
      <c r="E56" s="265">
        <f>VLOOKUP(5,$M$9:$T$14,4,FALSE)</f>
        <v>11.440000000000005</v>
      </c>
      <c r="F56" s="266">
        <f>VLOOKUP(5,$M$9:$T$14,5,FALSE)</f>
        <v>7.853205467039227E-3</v>
      </c>
      <c r="G56" s="257">
        <f>VLOOKUP(B56,$M$9:$S$14,6,FALSE)</f>
        <v>1.839999999999764</v>
      </c>
      <c r="H56" s="129">
        <f>VLOOKUP(B56,$M$9:$S$14,7,FALSE)</f>
        <v>1.2631029772159907E-3</v>
      </c>
      <c r="I56" s="56">
        <f>VLOOKUP(5,$M$9:$T$14,6,FALSE)</f>
        <v>1.839999999999764</v>
      </c>
      <c r="J56" s="129">
        <f>VLOOKUP(5,$M$9:$U$14,7,FALSE)</f>
        <v>1.2631029772159907E-3</v>
      </c>
      <c r="K56" s="124"/>
      <c r="N56" s="125"/>
      <c r="T56" s="80" t="str">
        <f>C11</f>
        <v>Fred</v>
      </c>
      <c r="U56" s="119">
        <v>2</v>
      </c>
      <c r="V56" s="118">
        <v>3</v>
      </c>
      <c r="W56" s="119">
        <v>4</v>
      </c>
      <c r="X56" s="117">
        <v>5</v>
      </c>
      <c r="Y56" s="126">
        <v>1</v>
      </c>
      <c r="Z56" s="116"/>
    </row>
    <row r="57" spans="1:26" s="15" customFormat="1" ht="16.100000000000001" customHeight="1" thickBot="1" x14ac:dyDescent="0.45">
      <c r="A57" s="67"/>
      <c r="B57" s="69">
        <v>6</v>
      </c>
      <c r="C57" s="127" t="str">
        <f>VLOOKUP(6,$M$9:$T$14,2,FALSE)</f>
        <v>Fred</v>
      </c>
      <c r="D57" s="262">
        <f>VLOOKUP(6,$M$9:$T$14,3,FALSE)</f>
        <v>1.6863541666666669E-2</v>
      </c>
      <c r="E57" s="267">
        <f>VLOOKUP(6,$M$9:$T$14,4,FALSE)</f>
        <v>11.720000000000041</v>
      </c>
      <c r="F57" s="268">
        <f>VLOOKUP(6,$M$9:$T$14,5,FALSE)</f>
        <v>8.0438706666392315E-3</v>
      </c>
      <c r="G57" s="258">
        <f>VLOOKUP(B57,$M$9:$S$14,6,FALSE)</f>
        <v>0.28000000000003578</v>
      </c>
      <c r="H57" s="134">
        <f>VLOOKUP(B57,$M$9:$S$14,7,FALSE)</f>
        <v>1.9217438452723279E-4</v>
      </c>
      <c r="I57" s="141">
        <f>VLOOKUP(6,$M$9:$T$14,6,FALSE)</f>
        <v>0.28000000000003578</v>
      </c>
      <c r="J57" s="134">
        <f>VLOOKUP(6,$M$9:$U$14,7,FALSE)</f>
        <v>1.9217438452723279E-4</v>
      </c>
      <c r="K57" s="124"/>
      <c r="N57" s="125"/>
      <c r="Q57"/>
      <c r="R57"/>
      <c r="S57"/>
      <c r="T57"/>
    </row>
    <row r="58" spans="1:26" s="15" customFormat="1" ht="6.9" customHeight="1" thickBot="1" x14ac:dyDescent="0.45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2"/>
      <c r="Q58"/>
      <c r="R58"/>
      <c r="S58"/>
      <c r="T58"/>
    </row>
    <row r="59" spans="1:26" s="15" customFormat="1" ht="15" thickTop="1" x14ac:dyDescent="0.4">
      <c r="B59" s="35" t="s">
        <v>32</v>
      </c>
      <c r="Q59"/>
      <c r="R59"/>
      <c r="S59"/>
      <c r="T59"/>
    </row>
    <row r="60" spans="1:26" s="15" customFormat="1" x14ac:dyDescent="0.4">
      <c r="B60" s="33" t="s">
        <v>59</v>
      </c>
      <c r="Q60"/>
      <c r="R60"/>
      <c r="S60"/>
      <c r="T60"/>
    </row>
    <row r="61" spans="1:26" s="15" customFormat="1" x14ac:dyDescent="0.4">
      <c r="B61" s="33" t="s">
        <v>60</v>
      </c>
      <c r="Q61"/>
      <c r="R61"/>
      <c r="S61"/>
      <c r="T61"/>
    </row>
    <row r="62" spans="1:26" s="15" customFormat="1" x14ac:dyDescent="0.4">
      <c r="B62" s="33" t="s">
        <v>33</v>
      </c>
      <c r="Q62"/>
      <c r="R62"/>
      <c r="S62"/>
      <c r="T62"/>
    </row>
  </sheetData>
  <sheetProtection sheet="1" objects="1" scenarios="1"/>
  <mergeCells count="10">
    <mergeCell ref="A50:A51"/>
    <mergeCell ref="A1:K1"/>
    <mergeCell ref="I5:J5"/>
    <mergeCell ref="B5:C5"/>
    <mergeCell ref="B13:D13"/>
    <mergeCell ref="E13:G13"/>
    <mergeCell ref="H13:J13"/>
    <mergeCell ref="B32:D32"/>
    <mergeCell ref="E32:G32"/>
    <mergeCell ref="B50:H50"/>
  </mergeCells>
  <conditionalFormatting sqref="B44:G44">
    <cfRule type="cellIs" dxfId="6" priority="8" operator="lessThan">
      <formula>-4</formula>
    </cfRule>
    <cfRule type="cellIs" dxfId="5" priority="9" operator="greaterThan">
      <formula>4</formula>
    </cfRule>
  </conditionalFormatting>
  <conditionalFormatting sqref="B45:G45">
    <cfRule type="cellIs" dxfId="4" priority="4" operator="equal">
      <formula>1</formula>
    </cfRule>
  </conditionalFormatting>
  <conditionalFormatting sqref="B26:J26">
    <cfRule type="cellIs" dxfId="3" priority="6" operator="equal">
      <formula>1</formula>
    </cfRule>
  </conditionalFormatting>
  <conditionalFormatting sqref="B28:J28 B47:G47">
    <cfRule type="cellIs" dxfId="2" priority="3" operator="equal">
      <formula>1</formula>
    </cfRule>
  </conditionalFormatting>
  <conditionalFormatting sqref="B25:J25">
    <cfRule type="cellIs" dxfId="1" priority="2" operator="greaterThan">
      <formula>4</formula>
    </cfRule>
    <cfRule type="cellIs" dxfId="0" priority="1" operator="lessThan">
      <formula>-4</formula>
    </cfRule>
  </conditionalFormatting>
  <printOptions horizontalCentered="1" verticalCentered="1"/>
  <pageMargins left="0.11811023622047245" right="0.11811023622047245" top="0.11811023622047245" bottom="0.11811023622047245" header="0" footer="0"/>
  <pageSetup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5DA6-2042-4489-967E-3569C29C204D}">
  <dimension ref="A1:C265"/>
  <sheetViews>
    <sheetView workbookViewId="0">
      <selection sqref="A1:XFD1048576"/>
    </sheetView>
  </sheetViews>
  <sheetFormatPr defaultRowHeight="14.6" x14ac:dyDescent="0.4"/>
  <cols>
    <col min="1" max="1" width="20.23046875" customWidth="1"/>
    <col min="2" max="2" width="12.07421875" style="36" customWidth="1"/>
    <col min="3" max="3" width="16.07421875" style="223" customWidth="1"/>
  </cols>
  <sheetData>
    <row r="1" spans="1:3" x14ac:dyDescent="0.4">
      <c r="A1" s="47" t="s">
        <v>77</v>
      </c>
      <c r="B1" s="47" t="s">
        <v>78</v>
      </c>
      <c r="C1" s="210" t="s">
        <v>79</v>
      </c>
    </row>
    <row r="2" spans="1:3" x14ac:dyDescent="0.4">
      <c r="A2" s="211" t="s">
        <v>80</v>
      </c>
      <c r="B2" s="212">
        <v>3.6805555555555554E-3</v>
      </c>
      <c r="C2" s="213">
        <f>2000/(B2*86400)</f>
        <v>6.2893081761006293</v>
      </c>
    </row>
    <row r="3" spans="1:3" x14ac:dyDescent="0.4">
      <c r="A3" s="211" t="s">
        <v>81</v>
      </c>
      <c r="B3" s="212">
        <v>3.8310185185185183E-3</v>
      </c>
      <c r="C3" s="213">
        <f t="shared" ref="C3:C15" si="0">2000/(B3*86400)</f>
        <v>6.0422960725075532</v>
      </c>
    </row>
    <row r="4" spans="1:3" x14ac:dyDescent="0.4">
      <c r="A4" s="211" t="s">
        <v>82</v>
      </c>
      <c r="B4" s="212">
        <v>4.0624999999999993E-3</v>
      </c>
      <c r="C4" s="213">
        <f t="shared" si="0"/>
        <v>5.6980056980056988</v>
      </c>
    </row>
    <row r="5" spans="1:3" x14ac:dyDescent="0.4">
      <c r="A5" s="211" t="s">
        <v>83</v>
      </c>
      <c r="B5" s="212">
        <v>4.0856481481481481E-3</v>
      </c>
      <c r="C5" s="213">
        <f t="shared" si="0"/>
        <v>5.6657223796033991</v>
      </c>
    </row>
    <row r="6" spans="1:3" x14ac:dyDescent="0.4">
      <c r="A6" s="211" t="s">
        <v>84</v>
      </c>
      <c r="B6" s="212">
        <v>4.1666666666666666E-3</v>
      </c>
      <c r="C6" s="213">
        <f t="shared" si="0"/>
        <v>5.5555555555555554</v>
      </c>
    </row>
    <row r="7" spans="1:3" x14ac:dyDescent="0.4">
      <c r="A7" s="211" t="s">
        <v>85</v>
      </c>
      <c r="B7" s="212">
        <v>4.2939814814814811E-3</v>
      </c>
      <c r="C7" s="213">
        <f t="shared" si="0"/>
        <v>5.3908355795148255</v>
      </c>
    </row>
    <row r="8" spans="1:3" x14ac:dyDescent="0.4">
      <c r="A8" s="211" t="s">
        <v>86</v>
      </c>
      <c r="B8" s="212">
        <v>4.5370370370370365E-3</v>
      </c>
      <c r="C8" s="213">
        <f t="shared" si="0"/>
        <v>5.1020408163265314</v>
      </c>
    </row>
    <row r="9" spans="1:3" x14ac:dyDescent="0.4">
      <c r="A9" s="211" t="s">
        <v>87</v>
      </c>
      <c r="B9" s="212">
        <v>3.7731481481481483E-3</v>
      </c>
      <c r="C9" s="213">
        <f t="shared" si="0"/>
        <v>6.1349693251533743</v>
      </c>
    </row>
    <row r="10" spans="1:3" x14ac:dyDescent="0.4">
      <c r="A10" s="211" t="s">
        <v>88</v>
      </c>
      <c r="B10" s="212">
        <v>3.9236111111111112E-3</v>
      </c>
      <c r="C10" s="213">
        <f t="shared" si="0"/>
        <v>5.8997050147492622</v>
      </c>
    </row>
    <row r="11" spans="1:3" x14ac:dyDescent="0.4">
      <c r="A11" s="211" t="s">
        <v>89</v>
      </c>
      <c r="B11" s="212">
        <v>4.0046296296296297E-3</v>
      </c>
      <c r="C11" s="213">
        <f t="shared" si="0"/>
        <v>5.7803468208092488</v>
      </c>
    </row>
    <row r="12" spans="1:3" x14ac:dyDescent="0.4">
      <c r="A12" s="211" t="s">
        <v>90</v>
      </c>
      <c r="B12" s="212">
        <v>4.1782407407407402E-3</v>
      </c>
      <c r="C12" s="213">
        <f t="shared" si="0"/>
        <v>5.5401662049861509</v>
      </c>
    </row>
    <row r="13" spans="1:3" x14ac:dyDescent="0.4">
      <c r="A13" s="211" t="s">
        <v>91</v>
      </c>
      <c r="B13" s="212">
        <v>4.2476851851851851E-3</v>
      </c>
      <c r="C13" s="213">
        <f t="shared" si="0"/>
        <v>5.4495912806539506</v>
      </c>
    </row>
    <row r="14" spans="1:3" x14ac:dyDescent="0.4">
      <c r="A14" s="211" t="s">
        <v>92</v>
      </c>
      <c r="B14" s="212">
        <v>4.3981481481481484E-3</v>
      </c>
      <c r="C14" s="213">
        <f t="shared" si="0"/>
        <v>5.2631578947368425</v>
      </c>
    </row>
    <row r="15" spans="1:3" x14ac:dyDescent="0.4">
      <c r="A15" s="211" t="s">
        <v>93</v>
      </c>
      <c r="B15" s="212">
        <v>4.6064814814814814E-3</v>
      </c>
      <c r="C15" s="213">
        <f t="shared" si="0"/>
        <v>5.025125628140704</v>
      </c>
    </row>
    <row r="16" spans="1:3" x14ac:dyDescent="0.4">
      <c r="A16" s="214" t="s">
        <v>94</v>
      </c>
      <c r="B16" s="215">
        <v>4.0856481481481481E-3</v>
      </c>
      <c r="C16" s="216">
        <f>2000/(B16*86400)</f>
        <v>5.6657223796033991</v>
      </c>
    </row>
    <row r="17" spans="1:3" x14ac:dyDescent="0.4">
      <c r="A17" s="214" t="s">
        <v>95</v>
      </c>
      <c r="B17" s="215">
        <v>4.2361111111111106E-3</v>
      </c>
      <c r="C17" s="216">
        <f t="shared" ref="C17:C80" si="1">2000/(B17*86400)</f>
        <v>5.4644808743169406</v>
      </c>
    </row>
    <row r="18" spans="1:3" x14ac:dyDescent="0.4">
      <c r="A18" s="214" t="s">
        <v>96</v>
      </c>
      <c r="B18" s="215">
        <v>4.3749999999999995E-3</v>
      </c>
      <c r="C18" s="216">
        <f t="shared" si="1"/>
        <v>5.291005291005292</v>
      </c>
    </row>
    <row r="19" spans="1:3" x14ac:dyDescent="0.4">
      <c r="A19" s="113" t="s">
        <v>97</v>
      </c>
      <c r="B19" s="215">
        <v>4.5370370370370365E-3</v>
      </c>
      <c r="C19" s="216">
        <f t="shared" si="1"/>
        <v>5.1020408163265314</v>
      </c>
    </row>
    <row r="20" spans="1:3" x14ac:dyDescent="0.4">
      <c r="A20" s="113" t="s">
        <v>98</v>
      </c>
      <c r="B20" s="215">
        <v>4.6064814814814814E-3</v>
      </c>
      <c r="C20" s="216">
        <f t="shared" si="1"/>
        <v>5.025125628140704</v>
      </c>
    </row>
    <row r="21" spans="1:3" x14ac:dyDescent="0.4">
      <c r="A21" s="113" t="s">
        <v>99</v>
      </c>
      <c r="B21" s="215">
        <v>4.7569444444444447E-3</v>
      </c>
      <c r="C21" s="216">
        <f t="shared" si="1"/>
        <v>4.8661800486618008</v>
      </c>
    </row>
    <row r="22" spans="1:3" x14ac:dyDescent="0.4">
      <c r="A22" s="113" t="s">
        <v>100</v>
      </c>
      <c r="B22" s="215">
        <v>4.9652777777777777E-3</v>
      </c>
      <c r="C22" s="216">
        <f t="shared" si="1"/>
        <v>4.6620046620046622</v>
      </c>
    </row>
    <row r="23" spans="1:3" x14ac:dyDescent="0.4">
      <c r="A23" s="113" t="s">
        <v>101</v>
      </c>
      <c r="B23" s="215">
        <v>4.2476851851851851E-3</v>
      </c>
      <c r="C23" s="216">
        <f t="shared" si="1"/>
        <v>5.4495912806539506</v>
      </c>
    </row>
    <row r="24" spans="1:3" x14ac:dyDescent="0.4">
      <c r="A24" s="113" t="s">
        <v>102</v>
      </c>
      <c r="B24" s="215">
        <v>4.340277777777778E-3</v>
      </c>
      <c r="C24" s="216">
        <f t="shared" si="1"/>
        <v>5.333333333333333</v>
      </c>
    </row>
    <row r="25" spans="1:3" x14ac:dyDescent="0.4">
      <c r="A25" s="113" t="s">
        <v>103</v>
      </c>
      <c r="B25" s="215">
        <v>4.4791666666666669E-3</v>
      </c>
      <c r="C25" s="216">
        <f t="shared" si="1"/>
        <v>5.1679586563307494</v>
      </c>
    </row>
    <row r="26" spans="1:3" x14ac:dyDescent="0.4">
      <c r="A26" s="113" t="s">
        <v>104</v>
      </c>
      <c r="B26" s="215">
        <v>4.6180555555555558E-3</v>
      </c>
      <c r="C26" s="216">
        <f t="shared" si="1"/>
        <v>5.0125313283208017</v>
      </c>
    </row>
    <row r="27" spans="1:3" x14ac:dyDescent="0.4">
      <c r="A27" s="113" t="s">
        <v>105</v>
      </c>
      <c r="B27" s="215">
        <v>4.6874999999999998E-3</v>
      </c>
      <c r="C27" s="216">
        <f t="shared" si="1"/>
        <v>4.9382716049382713</v>
      </c>
    </row>
    <row r="28" spans="1:3" x14ac:dyDescent="0.4">
      <c r="A28" s="113" t="s">
        <v>106</v>
      </c>
      <c r="B28" s="215">
        <v>4.8611111111111112E-3</v>
      </c>
      <c r="C28" s="216">
        <f t="shared" si="1"/>
        <v>4.7619047619047619</v>
      </c>
    </row>
    <row r="29" spans="1:3" x14ac:dyDescent="0.4">
      <c r="A29" s="113" t="s">
        <v>107</v>
      </c>
      <c r="B29" s="215">
        <v>5.0347222222222225E-3</v>
      </c>
      <c r="C29" s="216">
        <f t="shared" si="1"/>
        <v>4.5977011494252871</v>
      </c>
    </row>
    <row r="30" spans="1:3" x14ac:dyDescent="0.4">
      <c r="A30" s="217" t="s">
        <v>108</v>
      </c>
      <c r="B30" s="218">
        <v>4.7361111111111111E-3</v>
      </c>
      <c r="C30" s="219">
        <f t="shared" si="1"/>
        <v>4.8875855327468232</v>
      </c>
    </row>
    <row r="31" spans="1:3" x14ac:dyDescent="0.4">
      <c r="A31" s="220" t="s">
        <v>109</v>
      </c>
      <c r="B31" s="218">
        <v>5.627314814814815E-3</v>
      </c>
      <c r="C31" s="219">
        <f t="shared" si="1"/>
        <v>4.113533525298231</v>
      </c>
    </row>
    <row r="32" spans="1:3" x14ac:dyDescent="0.4">
      <c r="A32" s="220" t="s">
        <v>110</v>
      </c>
      <c r="B32" s="218">
        <v>5.627314814814815E-3</v>
      </c>
      <c r="C32" s="219">
        <f t="shared" si="1"/>
        <v>4.113533525298231</v>
      </c>
    </row>
    <row r="33" spans="1:3" x14ac:dyDescent="0.4">
      <c r="A33" s="217" t="s">
        <v>111</v>
      </c>
      <c r="B33" s="218">
        <v>6.3993055555555548E-3</v>
      </c>
      <c r="C33" s="219">
        <f t="shared" si="1"/>
        <v>3.6172906493036718</v>
      </c>
    </row>
    <row r="34" spans="1:3" x14ac:dyDescent="0.4">
      <c r="A34" s="217" t="s">
        <v>112</v>
      </c>
      <c r="B34" s="218">
        <v>5.8842592592592592E-3</v>
      </c>
      <c r="C34" s="219">
        <f t="shared" si="1"/>
        <v>3.9339103068450041</v>
      </c>
    </row>
    <row r="35" spans="1:3" x14ac:dyDescent="0.4">
      <c r="A35" s="217" t="s">
        <v>113</v>
      </c>
      <c r="B35" s="218">
        <v>7.1018518518518522E-3</v>
      </c>
      <c r="C35" s="219">
        <f t="shared" si="1"/>
        <v>3.259452411994785</v>
      </c>
    </row>
    <row r="36" spans="1:3" x14ac:dyDescent="0.4">
      <c r="A36" s="217" t="s">
        <v>114</v>
      </c>
      <c r="B36" s="218">
        <v>6.5381944444444437E-3</v>
      </c>
      <c r="C36" s="219">
        <f t="shared" si="1"/>
        <v>3.5404496371039125</v>
      </c>
    </row>
    <row r="37" spans="1:3" x14ac:dyDescent="0.4">
      <c r="A37" s="211" t="s">
        <v>115</v>
      </c>
      <c r="B37" s="221">
        <v>3.7615740740740739E-3</v>
      </c>
      <c r="C37" s="222">
        <f t="shared" si="1"/>
        <v>6.1538461538461542</v>
      </c>
    </row>
    <row r="38" spans="1:3" x14ac:dyDescent="0.4">
      <c r="A38" s="211" t="s">
        <v>116</v>
      </c>
      <c r="B38" s="221">
        <v>3.9236111111111112E-3</v>
      </c>
      <c r="C38" s="222">
        <f t="shared" si="1"/>
        <v>5.8997050147492622</v>
      </c>
    </row>
    <row r="39" spans="1:3" x14ac:dyDescent="0.4">
      <c r="A39" s="211" t="s">
        <v>117</v>
      </c>
      <c r="B39" s="221">
        <v>4.0277777777777777E-3</v>
      </c>
      <c r="C39" s="222">
        <f t="shared" si="1"/>
        <v>5.7471264367816088</v>
      </c>
    </row>
    <row r="40" spans="1:3" x14ac:dyDescent="0.4">
      <c r="A40" s="211" t="s">
        <v>118</v>
      </c>
      <c r="B40" s="221">
        <v>4.1666666666666666E-3</v>
      </c>
      <c r="C40" s="222">
        <f t="shared" si="1"/>
        <v>5.5555555555555554</v>
      </c>
    </row>
    <row r="41" spans="1:3" x14ac:dyDescent="0.4">
      <c r="A41" s="211" t="s">
        <v>119</v>
      </c>
      <c r="B41" s="221">
        <v>4.2476851851851851E-3</v>
      </c>
      <c r="C41" s="222">
        <f t="shared" si="1"/>
        <v>5.4495912806539506</v>
      </c>
    </row>
    <row r="42" spans="1:3" x14ac:dyDescent="0.4">
      <c r="A42" s="211" t="s">
        <v>120</v>
      </c>
      <c r="B42" s="221">
        <v>4.3981481481481484E-3</v>
      </c>
      <c r="C42" s="222">
        <f t="shared" si="1"/>
        <v>5.2631578947368425</v>
      </c>
    </row>
    <row r="43" spans="1:3" x14ac:dyDescent="0.4">
      <c r="A43" s="211" t="s">
        <v>121</v>
      </c>
      <c r="B43" s="221">
        <v>4.6412037037037038E-3</v>
      </c>
      <c r="C43" s="222">
        <f t="shared" si="1"/>
        <v>4.9875311720698257</v>
      </c>
    </row>
    <row r="44" spans="1:3" x14ac:dyDescent="0.4">
      <c r="A44" s="211" t="s">
        <v>122</v>
      </c>
      <c r="B44" s="221">
        <v>3.8425925925925923E-3</v>
      </c>
      <c r="C44" s="222">
        <f t="shared" si="1"/>
        <v>6.024096385542169</v>
      </c>
    </row>
    <row r="45" spans="1:3" x14ac:dyDescent="0.4">
      <c r="A45" s="211" t="s">
        <v>123</v>
      </c>
      <c r="B45" s="221">
        <v>3.9930555555555561E-3</v>
      </c>
      <c r="C45" s="223">
        <f t="shared" si="1"/>
        <v>5.7971014492753614</v>
      </c>
    </row>
    <row r="46" spans="1:3" x14ac:dyDescent="0.4">
      <c r="A46" s="211" t="s">
        <v>124</v>
      </c>
      <c r="B46" s="221">
        <v>4.0740740740740746E-3</v>
      </c>
      <c r="C46" s="223">
        <f t="shared" si="1"/>
        <v>5.6818181818181808</v>
      </c>
    </row>
    <row r="47" spans="1:3" x14ac:dyDescent="0.4">
      <c r="A47" s="211" t="s">
        <v>125</v>
      </c>
      <c r="B47" s="221">
        <v>4.2476851851851851E-3</v>
      </c>
      <c r="C47" s="223">
        <f t="shared" si="1"/>
        <v>5.4495912806539506</v>
      </c>
    </row>
    <row r="48" spans="1:3" x14ac:dyDescent="0.4">
      <c r="A48" s="211" t="s">
        <v>126</v>
      </c>
      <c r="B48" s="221">
        <v>4.31712962962963E-3</v>
      </c>
      <c r="C48" s="223">
        <f t="shared" si="1"/>
        <v>5.3619302949061654</v>
      </c>
    </row>
    <row r="49" spans="1:3" x14ac:dyDescent="0.4">
      <c r="A49" s="211" t="s">
        <v>127</v>
      </c>
      <c r="B49" s="221">
        <v>4.4675925925925933E-3</v>
      </c>
      <c r="C49" s="223">
        <f t="shared" si="1"/>
        <v>5.1813471502590662</v>
      </c>
    </row>
    <row r="50" spans="1:3" x14ac:dyDescent="0.4">
      <c r="A50" s="211" t="s">
        <v>128</v>
      </c>
      <c r="B50" s="221">
        <v>4.6990740740740743E-3</v>
      </c>
      <c r="C50" s="223">
        <f t="shared" si="1"/>
        <v>4.9261083743842367</v>
      </c>
    </row>
    <row r="51" spans="1:3" x14ac:dyDescent="0.4">
      <c r="A51" s="214" t="s">
        <v>129</v>
      </c>
      <c r="B51" s="221">
        <v>4.155092592592593E-3</v>
      </c>
      <c r="C51" s="223">
        <f t="shared" si="1"/>
        <v>5.571030640668523</v>
      </c>
    </row>
    <row r="52" spans="1:3" x14ac:dyDescent="0.4">
      <c r="A52" s="214" t="s">
        <v>130</v>
      </c>
      <c r="B52" s="221">
        <v>4.3287037037037035E-3</v>
      </c>
      <c r="C52" s="223">
        <f t="shared" si="1"/>
        <v>5.3475935828877006</v>
      </c>
    </row>
    <row r="53" spans="1:3" x14ac:dyDescent="0.4">
      <c r="A53" s="214" t="s">
        <v>131</v>
      </c>
      <c r="B53" s="221">
        <v>4.4444444444444444E-3</v>
      </c>
      <c r="C53" s="223">
        <f t="shared" si="1"/>
        <v>5.208333333333333</v>
      </c>
    </row>
    <row r="54" spans="1:3" x14ac:dyDescent="0.4">
      <c r="A54" s="113" t="s">
        <v>132</v>
      </c>
      <c r="B54" s="221">
        <v>4.6180555555555558E-3</v>
      </c>
      <c r="C54" s="223">
        <f t="shared" si="1"/>
        <v>5.0125313283208017</v>
      </c>
    </row>
    <row r="55" spans="1:3" x14ac:dyDescent="0.4">
      <c r="A55" s="113" t="s">
        <v>133</v>
      </c>
      <c r="B55" s="221">
        <v>4.6990740740740743E-3</v>
      </c>
      <c r="C55" s="223">
        <f t="shared" si="1"/>
        <v>4.9261083743842367</v>
      </c>
    </row>
    <row r="56" spans="1:3" x14ac:dyDescent="0.4">
      <c r="A56" s="113" t="s">
        <v>134</v>
      </c>
      <c r="B56" s="221">
        <v>7.1527777777777787E-3</v>
      </c>
      <c r="C56" s="223">
        <f t="shared" si="1"/>
        <v>3.2362459546925559</v>
      </c>
    </row>
    <row r="57" spans="1:3" x14ac:dyDescent="0.4">
      <c r="A57" s="113" t="s">
        <v>135</v>
      </c>
      <c r="B57" s="221">
        <v>5.0462962962962961E-3</v>
      </c>
      <c r="C57" s="223">
        <f t="shared" si="1"/>
        <v>4.5871559633027523</v>
      </c>
    </row>
    <row r="58" spans="1:3" x14ac:dyDescent="0.4">
      <c r="A58" s="113" t="s">
        <v>136</v>
      </c>
      <c r="B58" s="221">
        <v>4.2592592592592595E-3</v>
      </c>
      <c r="C58" s="223">
        <f t="shared" si="1"/>
        <v>5.4347826086956523</v>
      </c>
    </row>
    <row r="59" spans="1:3" x14ac:dyDescent="0.4">
      <c r="A59" s="113" t="s">
        <v>137</v>
      </c>
      <c r="B59" s="221">
        <v>4.4212962962962956E-3</v>
      </c>
      <c r="C59" s="223">
        <f t="shared" si="1"/>
        <v>5.2356020942408383</v>
      </c>
    </row>
    <row r="60" spans="1:3" x14ac:dyDescent="0.4">
      <c r="A60" s="113" t="s">
        <v>138</v>
      </c>
      <c r="B60" s="221">
        <v>4.5601851851851853E-3</v>
      </c>
      <c r="C60" s="223">
        <f t="shared" si="1"/>
        <v>5.0761421319796955</v>
      </c>
    </row>
    <row r="61" spans="1:3" x14ac:dyDescent="0.4">
      <c r="A61" s="113" t="s">
        <v>139</v>
      </c>
      <c r="B61" s="221">
        <v>4.6874999999999998E-3</v>
      </c>
      <c r="C61" s="223">
        <f t="shared" si="1"/>
        <v>4.9382716049382713</v>
      </c>
    </row>
    <row r="62" spans="1:3" x14ac:dyDescent="0.4">
      <c r="A62" s="113" t="s">
        <v>140</v>
      </c>
      <c r="B62" s="221">
        <v>4.8148148148148152E-3</v>
      </c>
      <c r="C62" s="223">
        <f t="shared" si="1"/>
        <v>4.8076923076923066</v>
      </c>
    </row>
    <row r="63" spans="1:3" x14ac:dyDescent="0.4">
      <c r="A63" s="113" t="s">
        <v>141</v>
      </c>
      <c r="B63" s="221">
        <v>4.9421296296296288E-3</v>
      </c>
      <c r="C63" s="223">
        <f t="shared" si="1"/>
        <v>4.6838407494145207</v>
      </c>
    </row>
    <row r="64" spans="1:3" x14ac:dyDescent="0.4">
      <c r="A64" s="113" t="s">
        <v>142</v>
      </c>
      <c r="B64" s="221">
        <v>5.1273148148148146E-3</v>
      </c>
      <c r="C64" s="223">
        <f t="shared" si="1"/>
        <v>4.5146726862302486</v>
      </c>
    </row>
    <row r="65" spans="1:3" x14ac:dyDescent="0.4">
      <c r="A65" t="s">
        <v>143</v>
      </c>
      <c r="B65" s="221">
        <v>3.8194444444444443E-3</v>
      </c>
      <c r="C65" s="223">
        <f t="shared" si="1"/>
        <v>6.0606060606060606</v>
      </c>
    </row>
    <row r="66" spans="1:3" x14ac:dyDescent="0.4">
      <c r="A66" t="s">
        <v>144</v>
      </c>
      <c r="B66" s="221">
        <v>3.9814814814814817E-3</v>
      </c>
      <c r="C66" s="223">
        <f t="shared" si="1"/>
        <v>5.8139534883720927</v>
      </c>
    </row>
    <row r="67" spans="1:3" x14ac:dyDescent="0.4">
      <c r="A67" t="s">
        <v>145</v>
      </c>
      <c r="B67" s="221">
        <v>4.0624999999999993E-3</v>
      </c>
      <c r="C67" s="223">
        <f t="shared" si="1"/>
        <v>5.6980056980056988</v>
      </c>
    </row>
    <row r="68" spans="1:3" x14ac:dyDescent="0.4">
      <c r="A68" t="s">
        <v>146</v>
      </c>
      <c r="B68" s="221">
        <v>4.2129629629629626E-3</v>
      </c>
      <c r="C68" s="223">
        <f t="shared" si="1"/>
        <v>5.4945054945054954</v>
      </c>
    </row>
    <row r="69" spans="1:3" x14ac:dyDescent="0.4">
      <c r="A69" t="s">
        <v>147</v>
      </c>
      <c r="B69" s="221">
        <v>4.3055555555555555E-3</v>
      </c>
      <c r="C69" s="223">
        <f t="shared" si="1"/>
        <v>5.376344086021505</v>
      </c>
    </row>
    <row r="70" spans="1:3" x14ac:dyDescent="0.4">
      <c r="A70" t="s">
        <v>148</v>
      </c>
      <c r="B70" s="221">
        <v>4.4444444444444444E-3</v>
      </c>
      <c r="C70" s="223">
        <f t="shared" si="1"/>
        <v>5.208333333333333</v>
      </c>
    </row>
    <row r="71" spans="1:3" x14ac:dyDescent="0.4">
      <c r="A71" t="s">
        <v>149</v>
      </c>
      <c r="B71" s="221">
        <v>4.6874999999999998E-3</v>
      </c>
      <c r="C71" s="223">
        <f t="shared" si="1"/>
        <v>4.9382716049382713</v>
      </c>
    </row>
    <row r="72" spans="1:3" x14ac:dyDescent="0.4">
      <c r="A72" t="s">
        <v>150</v>
      </c>
      <c r="B72" s="221">
        <v>3.9004629629629632E-3</v>
      </c>
      <c r="C72" s="223">
        <f t="shared" si="1"/>
        <v>5.9347181008902075</v>
      </c>
    </row>
    <row r="73" spans="1:3" x14ac:dyDescent="0.4">
      <c r="A73" t="s">
        <v>151</v>
      </c>
      <c r="B73" s="221">
        <v>4.0509259259259257E-3</v>
      </c>
      <c r="C73" s="223">
        <f t="shared" si="1"/>
        <v>5.7142857142857144</v>
      </c>
    </row>
    <row r="74" spans="1:3" x14ac:dyDescent="0.4">
      <c r="A74" t="s">
        <v>152</v>
      </c>
      <c r="B74" s="221">
        <v>4.1377314814814809E-3</v>
      </c>
      <c r="C74" s="223">
        <f t="shared" si="1"/>
        <v>5.594405594405595</v>
      </c>
    </row>
    <row r="75" spans="1:3" x14ac:dyDescent="0.4">
      <c r="A75" t="s">
        <v>153</v>
      </c>
      <c r="B75" s="221">
        <v>4.3055555555555555E-3</v>
      </c>
      <c r="C75" s="223">
        <f t="shared" si="1"/>
        <v>5.376344086021505</v>
      </c>
    </row>
    <row r="76" spans="1:3" x14ac:dyDescent="0.4">
      <c r="A76" t="s">
        <v>154</v>
      </c>
      <c r="B76" s="221">
        <v>4.386574074074074E-3</v>
      </c>
      <c r="C76" s="223">
        <f t="shared" si="1"/>
        <v>5.2770448548812663</v>
      </c>
    </row>
    <row r="77" spans="1:3" x14ac:dyDescent="0.4">
      <c r="A77" t="s">
        <v>155</v>
      </c>
      <c r="B77" s="221">
        <v>4.5254629629629629E-3</v>
      </c>
      <c r="C77" s="223">
        <f t="shared" si="1"/>
        <v>5.1150895140664963</v>
      </c>
    </row>
    <row r="78" spans="1:3" x14ac:dyDescent="0.4">
      <c r="A78" t="s">
        <v>156</v>
      </c>
      <c r="B78" s="221">
        <v>4.7569444444444447E-3</v>
      </c>
      <c r="C78" s="223">
        <f t="shared" si="1"/>
        <v>4.8661800486618008</v>
      </c>
    </row>
    <row r="79" spans="1:3" x14ac:dyDescent="0.4">
      <c r="A79" t="s">
        <v>157</v>
      </c>
      <c r="B79" s="221">
        <v>4.2245370370370371E-3</v>
      </c>
      <c r="C79" s="223">
        <f t="shared" si="1"/>
        <v>5.4794520547945202</v>
      </c>
    </row>
    <row r="80" spans="1:3" x14ac:dyDescent="0.4">
      <c r="A80" t="s">
        <v>158</v>
      </c>
      <c r="B80" s="221">
        <v>4.386574074074074E-3</v>
      </c>
      <c r="C80" s="223">
        <f t="shared" si="1"/>
        <v>5.2770448548812663</v>
      </c>
    </row>
    <row r="81" spans="1:3" x14ac:dyDescent="0.4">
      <c r="A81" t="s">
        <v>159</v>
      </c>
      <c r="B81" s="221">
        <v>4.5138888888888893E-3</v>
      </c>
      <c r="C81" s="223">
        <f t="shared" ref="C81:C148" si="2">2000/(B81*86400)</f>
        <v>5.1282051282051277</v>
      </c>
    </row>
    <row r="82" spans="1:3" x14ac:dyDescent="0.4">
      <c r="A82" t="s">
        <v>160</v>
      </c>
      <c r="B82" s="221">
        <v>4.6874999999999998E-3</v>
      </c>
      <c r="C82" s="223">
        <f t="shared" si="2"/>
        <v>4.9382716049382713</v>
      </c>
    </row>
    <row r="83" spans="1:3" x14ac:dyDescent="0.4">
      <c r="A83" t="s">
        <v>161</v>
      </c>
      <c r="B83" s="221">
        <v>4.7800925925925919E-3</v>
      </c>
      <c r="C83" s="223">
        <f t="shared" si="2"/>
        <v>4.8426150121065383</v>
      </c>
    </row>
    <row r="84" spans="1:3" x14ac:dyDescent="0.4">
      <c r="A84" t="s">
        <v>162</v>
      </c>
      <c r="B84" s="221">
        <v>4.9189814814814816E-3</v>
      </c>
      <c r="C84" s="223">
        <f t="shared" si="2"/>
        <v>4.7058823529411766</v>
      </c>
    </row>
    <row r="85" spans="1:3" x14ac:dyDescent="0.4">
      <c r="A85" t="s">
        <v>163</v>
      </c>
      <c r="B85" s="221">
        <v>5.0925925925925921E-3</v>
      </c>
      <c r="C85" s="223">
        <f t="shared" si="2"/>
        <v>4.5454545454545459</v>
      </c>
    </row>
    <row r="86" spans="1:3" x14ac:dyDescent="0.4">
      <c r="A86" t="s">
        <v>164</v>
      </c>
      <c r="B86" s="221">
        <v>4.31712962962963E-3</v>
      </c>
      <c r="C86" s="223">
        <f t="shared" si="2"/>
        <v>5.3619302949061654</v>
      </c>
    </row>
    <row r="87" spans="1:3" x14ac:dyDescent="0.4">
      <c r="A87" t="s">
        <v>165</v>
      </c>
      <c r="B87" s="221">
        <v>4.4675925925925933E-3</v>
      </c>
      <c r="C87" s="223">
        <f t="shared" si="2"/>
        <v>5.1813471502590662</v>
      </c>
    </row>
    <row r="88" spans="1:3" x14ac:dyDescent="0.4">
      <c r="A88" t="s">
        <v>166</v>
      </c>
      <c r="B88" s="221">
        <v>4.6296296296296302E-3</v>
      </c>
      <c r="C88" s="223">
        <f t="shared" si="2"/>
        <v>4.9999999999999991</v>
      </c>
    </row>
    <row r="89" spans="1:3" x14ac:dyDescent="0.4">
      <c r="A89" t="s">
        <v>167</v>
      </c>
      <c r="B89" s="221">
        <v>4.7569444444444447E-3</v>
      </c>
      <c r="C89" s="223">
        <f t="shared" si="2"/>
        <v>4.8661800486618008</v>
      </c>
    </row>
    <row r="90" spans="1:3" x14ac:dyDescent="0.4">
      <c r="A90" t="s">
        <v>168</v>
      </c>
      <c r="B90" s="221">
        <v>4.8726851851851856E-3</v>
      </c>
      <c r="C90" s="223">
        <f t="shared" si="2"/>
        <v>4.7505938242280275</v>
      </c>
    </row>
    <row r="91" spans="1:3" x14ac:dyDescent="0.4">
      <c r="A91" t="s">
        <v>169</v>
      </c>
      <c r="B91" s="221">
        <v>5.0231481481481481E-3</v>
      </c>
      <c r="C91" s="223">
        <f t="shared" si="2"/>
        <v>4.6082949308755756</v>
      </c>
    </row>
    <row r="92" spans="1:3" x14ac:dyDescent="0.4">
      <c r="A92" t="s">
        <v>170</v>
      </c>
      <c r="B92" s="221">
        <v>5.1736111111111115E-3</v>
      </c>
      <c r="C92" s="223">
        <f t="shared" si="2"/>
        <v>4.4742729306487687</v>
      </c>
    </row>
    <row r="93" spans="1:3" x14ac:dyDescent="0.4">
      <c r="A93" s="211" t="s">
        <v>171</v>
      </c>
      <c r="B93" s="221">
        <v>3.8773148148148143E-3</v>
      </c>
      <c r="C93" s="223">
        <f t="shared" si="2"/>
        <v>5.9701492537313445</v>
      </c>
    </row>
    <row r="94" spans="1:3" x14ac:dyDescent="0.4">
      <c r="A94" s="211" t="s">
        <v>172</v>
      </c>
      <c r="B94" s="221">
        <v>4.0277777777777777E-3</v>
      </c>
      <c r="C94" s="223">
        <f t="shared" si="2"/>
        <v>5.7471264367816088</v>
      </c>
    </row>
    <row r="95" spans="1:3" x14ac:dyDescent="0.4">
      <c r="A95" s="211" t="s">
        <v>173</v>
      </c>
      <c r="B95" s="221">
        <v>4.108796296296297E-3</v>
      </c>
      <c r="C95" s="223">
        <f t="shared" si="2"/>
        <v>5.6338028169014072</v>
      </c>
    </row>
    <row r="96" spans="1:3" x14ac:dyDescent="0.4">
      <c r="A96" s="211" t="s">
        <v>174</v>
      </c>
      <c r="B96" s="221">
        <v>4.2592592592592595E-3</v>
      </c>
      <c r="C96" s="223">
        <f t="shared" si="2"/>
        <v>5.4347826086956523</v>
      </c>
    </row>
    <row r="97" spans="1:3" x14ac:dyDescent="0.4">
      <c r="A97" s="211" t="s">
        <v>175</v>
      </c>
      <c r="B97" s="221">
        <v>4.363425925925926E-3</v>
      </c>
      <c r="C97" s="223">
        <f t="shared" si="2"/>
        <v>5.3050397877984086</v>
      </c>
    </row>
    <row r="98" spans="1:3" x14ac:dyDescent="0.4">
      <c r="A98" s="211" t="s">
        <v>176</v>
      </c>
      <c r="B98" s="221">
        <v>4.4907407407407405E-3</v>
      </c>
      <c r="C98" s="223">
        <f t="shared" si="2"/>
        <v>5.1546391752577323</v>
      </c>
    </row>
    <row r="99" spans="1:3" x14ac:dyDescent="0.4">
      <c r="A99" s="211" t="s">
        <v>177</v>
      </c>
      <c r="B99" s="221">
        <v>4.7337962962962958E-3</v>
      </c>
      <c r="C99" s="223">
        <f t="shared" si="2"/>
        <v>4.8899755501222497</v>
      </c>
    </row>
    <row r="100" spans="1:3" x14ac:dyDescent="0.4">
      <c r="A100" s="211" t="s">
        <v>178</v>
      </c>
      <c r="B100" s="221">
        <v>3.9699074074074072E-3</v>
      </c>
      <c r="C100" s="223">
        <f t="shared" si="2"/>
        <v>5.8309037900874632</v>
      </c>
    </row>
    <row r="101" spans="1:3" x14ac:dyDescent="0.4">
      <c r="A101" s="211" t="s">
        <v>179</v>
      </c>
      <c r="B101" s="221">
        <v>4.1319444444444442E-3</v>
      </c>
      <c r="C101" s="223">
        <f t="shared" si="2"/>
        <v>5.6022408963585431</v>
      </c>
    </row>
    <row r="102" spans="1:3" x14ac:dyDescent="0.4">
      <c r="A102" s="211" t="s">
        <v>180</v>
      </c>
      <c r="B102" s="221">
        <v>4.2013888888888891E-3</v>
      </c>
      <c r="C102" s="223">
        <f t="shared" si="2"/>
        <v>5.5096418732782366</v>
      </c>
    </row>
    <row r="103" spans="1:3" x14ac:dyDescent="0.4">
      <c r="A103" s="211" t="s">
        <v>181</v>
      </c>
      <c r="B103" s="221">
        <v>4.363425925925926E-3</v>
      </c>
      <c r="C103" s="223">
        <f t="shared" si="2"/>
        <v>5.3050397877984086</v>
      </c>
    </row>
    <row r="104" spans="1:3" x14ac:dyDescent="0.4">
      <c r="A104" s="211" t="s">
        <v>182</v>
      </c>
      <c r="B104" s="221">
        <v>4.4560185185185189E-3</v>
      </c>
      <c r="C104" s="223">
        <f t="shared" si="2"/>
        <v>5.1948051948051939</v>
      </c>
    </row>
    <row r="105" spans="1:3" x14ac:dyDescent="0.4">
      <c r="A105" s="211" t="s">
        <v>183</v>
      </c>
      <c r="B105" s="221">
        <v>4.5833333333333334E-3</v>
      </c>
      <c r="C105" s="223">
        <f t="shared" si="2"/>
        <v>5.0505050505050502</v>
      </c>
    </row>
    <row r="106" spans="1:3" x14ac:dyDescent="0.4">
      <c r="A106" s="211" t="s">
        <v>184</v>
      </c>
      <c r="B106" s="221">
        <v>4.8148148148148152E-3</v>
      </c>
      <c r="C106" s="223">
        <f t="shared" si="2"/>
        <v>4.8076923076923066</v>
      </c>
    </row>
    <row r="107" spans="1:3" x14ac:dyDescent="0.4">
      <c r="A107" s="214" t="s">
        <v>185</v>
      </c>
      <c r="B107" s="221">
        <v>4.2939814814814811E-3</v>
      </c>
      <c r="C107" s="223">
        <f t="shared" si="2"/>
        <v>5.3908355795148255</v>
      </c>
    </row>
    <row r="108" spans="1:3" x14ac:dyDescent="0.4">
      <c r="A108" s="214" t="s">
        <v>186</v>
      </c>
      <c r="B108" s="221">
        <v>4.4444444444444444E-3</v>
      </c>
      <c r="C108" s="223">
        <f t="shared" si="2"/>
        <v>5.208333333333333</v>
      </c>
    </row>
    <row r="109" spans="1:3" x14ac:dyDescent="0.4">
      <c r="A109" s="214" t="s">
        <v>187</v>
      </c>
      <c r="B109" s="221">
        <v>4.5833333333333334E-3</v>
      </c>
      <c r="C109" s="223">
        <f t="shared" si="2"/>
        <v>5.0505050505050502</v>
      </c>
    </row>
    <row r="110" spans="1:3" x14ac:dyDescent="0.4">
      <c r="A110" s="113" t="s">
        <v>188</v>
      </c>
      <c r="B110" s="221">
        <v>4.7569444444444447E-3</v>
      </c>
      <c r="C110" s="223">
        <f t="shared" si="2"/>
        <v>4.8661800486618008</v>
      </c>
    </row>
    <row r="111" spans="1:3" x14ac:dyDescent="0.4">
      <c r="A111" s="113" t="s">
        <v>189</v>
      </c>
      <c r="B111" s="221">
        <v>4.8726851851851856E-3</v>
      </c>
      <c r="C111" s="223">
        <f t="shared" si="2"/>
        <v>4.7505938242280275</v>
      </c>
    </row>
    <row r="112" spans="1:3" x14ac:dyDescent="0.4">
      <c r="A112" s="113" t="s">
        <v>190</v>
      </c>
      <c r="B112" s="221">
        <v>5.0000000000000001E-3</v>
      </c>
      <c r="C112" s="223">
        <f t="shared" si="2"/>
        <v>4.6296296296296298</v>
      </c>
    </row>
    <row r="113" spans="1:3" x14ac:dyDescent="0.4">
      <c r="A113" s="113" t="s">
        <v>191</v>
      </c>
      <c r="B113" s="221">
        <v>5.1504629629629635E-3</v>
      </c>
      <c r="C113" s="223">
        <f t="shared" si="2"/>
        <v>4.4943820224719095</v>
      </c>
    </row>
    <row r="114" spans="1:3" x14ac:dyDescent="0.4">
      <c r="A114" s="113" t="s">
        <v>192</v>
      </c>
      <c r="B114" s="221">
        <v>4.3981481481481484E-3</v>
      </c>
      <c r="C114" s="223">
        <f t="shared" si="2"/>
        <v>5.2631578947368425</v>
      </c>
    </row>
    <row r="115" spans="1:3" x14ac:dyDescent="0.4">
      <c r="A115" s="113" t="s">
        <v>193</v>
      </c>
      <c r="B115" s="221">
        <v>4.5601851851851853E-3</v>
      </c>
      <c r="C115" s="223">
        <f t="shared" si="2"/>
        <v>5.0761421319796955</v>
      </c>
    </row>
    <row r="116" spans="1:3" x14ac:dyDescent="0.4">
      <c r="A116" s="113" t="s">
        <v>194</v>
      </c>
      <c r="B116" s="221">
        <v>4.7106481481481478E-3</v>
      </c>
      <c r="C116" s="223">
        <f t="shared" si="2"/>
        <v>4.9140049140049138</v>
      </c>
    </row>
    <row r="117" spans="1:3" x14ac:dyDescent="0.4">
      <c r="A117" s="113" t="s">
        <v>195</v>
      </c>
      <c r="B117" s="221">
        <v>4.8495370370370368E-3</v>
      </c>
      <c r="C117" s="223">
        <f t="shared" si="2"/>
        <v>4.7732696897374698</v>
      </c>
    </row>
    <row r="118" spans="1:3" x14ac:dyDescent="0.4">
      <c r="A118" s="113" t="s">
        <v>196</v>
      </c>
      <c r="B118" s="221">
        <v>4.9652777777777777E-3</v>
      </c>
      <c r="C118" s="223">
        <f t="shared" si="2"/>
        <v>4.6620046620046622</v>
      </c>
    </row>
    <row r="119" spans="1:3" x14ac:dyDescent="0.4">
      <c r="A119" s="113" t="s">
        <v>197</v>
      </c>
      <c r="B119" s="221">
        <v>5.115740740740741E-3</v>
      </c>
      <c r="C119" s="223">
        <f t="shared" si="2"/>
        <v>4.5248868778280542</v>
      </c>
    </row>
    <row r="120" spans="1:3" x14ac:dyDescent="0.4">
      <c r="A120" s="113" t="s">
        <v>198</v>
      </c>
      <c r="B120" s="221">
        <v>5.2314814814814819E-3</v>
      </c>
      <c r="C120" s="223">
        <f t="shared" si="2"/>
        <v>4.4247787610619467</v>
      </c>
    </row>
    <row r="121" spans="1:3" x14ac:dyDescent="0.4">
      <c r="A121" s="211" t="s">
        <v>199</v>
      </c>
      <c r="B121" s="221">
        <v>3.9699074074074072E-3</v>
      </c>
      <c r="C121" s="223">
        <f t="shared" si="2"/>
        <v>5.8309037900874632</v>
      </c>
    </row>
    <row r="122" spans="1:3" x14ac:dyDescent="0.4">
      <c r="A122" s="211" t="s">
        <v>200</v>
      </c>
      <c r="B122" s="221">
        <v>4.1203703703703706E-3</v>
      </c>
      <c r="C122" s="223">
        <f t="shared" si="2"/>
        <v>5.617977528089888</v>
      </c>
    </row>
    <row r="123" spans="1:3" x14ac:dyDescent="0.4">
      <c r="A123" s="211" t="s">
        <v>201</v>
      </c>
      <c r="B123" s="221">
        <v>4.2129629629629626E-3</v>
      </c>
      <c r="C123" s="223">
        <f t="shared" si="2"/>
        <v>5.4945054945054954</v>
      </c>
    </row>
    <row r="124" spans="1:3" x14ac:dyDescent="0.4">
      <c r="A124" s="211" t="s">
        <v>202</v>
      </c>
      <c r="B124" s="221">
        <v>4.3287037037037035E-3</v>
      </c>
      <c r="C124" s="223">
        <f t="shared" si="2"/>
        <v>5.3475935828877006</v>
      </c>
    </row>
    <row r="125" spans="1:3" x14ac:dyDescent="0.4">
      <c r="A125" s="211" t="s">
        <v>203</v>
      </c>
      <c r="B125" s="221">
        <v>4.4560185185185189E-3</v>
      </c>
      <c r="C125" s="223">
        <f t="shared" si="2"/>
        <v>5.1948051948051939</v>
      </c>
    </row>
    <row r="126" spans="1:3" x14ac:dyDescent="0.4">
      <c r="A126" s="211" t="s">
        <v>204</v>
      </c>
      <c r="B126" s="221">
        <v>4.5833333333333334E-3</v>
      </c>
      <c r="C126" s="223">
        <f t="shared" si="2"/>
        <v>5.0505050505050502</v>
      </c>
    </row>
    <row r="127" spans="1:3" x14ac:dyDescent="0.4">
      <c r="A127" s="211" t="s">
        <v>205</v>
      </c>
      <c r="B127" s="221">
        <v>4.8263888888888887E-3</v>
      </c>
      <c r="C127" s="223">
        <f t="shared" si="2"/>
        <v>4.7961630695443649</v>
      </c>
    </row>
    <row r="128" spans="1:3" x14ac:dyDescent="0.4">
      <c r="A128" s="211" t="s">
        <v>206</v>
      </c>
      <c r="B128" s="221">
        <v>4.0856481481481481E-3</v>
      </c>
      <c r="C128" s="223">
        <f t="shared" si="2"/>
        <v>5.6657223796033991</v>
      </c>
    </row>
    <row r="129" spans="1:3" x14ac:dyDescent="0.4">
      <c r="A129" s="211" t="s">
        <v>207</v>
      </c>
      <c r="B129" s="221">
        <v>4.2476851851851851E-3</v>
      </c>
      <c r="C129" s="223">
        <f t="shared" si="2"/>
        <v>5.4495912806539506</v>
      </c>
    </row>
    <row r="130" spans="1:3" x14ac:dyDescent="0.4">
      <c r="A130" s="211" t="s">
        <v>208</v>
      </c>
      <c r="B130" s="221">
        <v>4.31712962962963E-3</v>
      </c>
      <c r="C130" s="223">
        <f t="shared" si="2"/>
        <v>5.3619302949061654</v>
      </c>
    </row>
    <row r="131" spans="1:3" x14ac:dyDescent="0.4">
      <c r="A131" s="211" t="s">
        <v>209</v>
      </c>
      <c r="B131" s="221">
        <v>4.4675925925925933E-3</v>
      </c>
      <c r="C131" s="223">
        <f t="shared" si="2"/>
        <v>5.1813471502590662</v>
      </c>
    </row>
    <row r="132" spans="1:3" x14ac:dyDescent="0.4">
      <c r="A132" s="211" t="s">
        <v>210</v>
      </c>
      <c r="B132" s="221">
        <v>4.5601851851851853E-3</v>
      </c>
      <c r="C132" s="223">
        <f t="shared" si="2"/>
        <v>5.0761421319796955</v>
      </c>
    </row>
    <row r="133" spans="1:3" x14ac:dyDescent="0.4">
      <c r="A133" s="211" t="s">
        <v>211</v>
      </c>
      <c r="B133" s="221">
        <v>4.7106481481481478E-3</v>
      </c>
      <c r="C133" s="223">
        <f t="shared" si="2"/>
        <v>4.9140049140049138</v>
      </c>
    </row>
    <row r="134" spans="1:3" x14ac:dyDescent="0.4">
      <c r="A134" s="211" t="s">
        <v>212</v>
      </c>
      <c r="B134" s="221">
        <v>4.9074074074074072E-3</v>
      </c>
      <c r="C134" s="223">
        <f t="shared" si="2"/>
        <v>4.716981132075472</v>
      </c>
    </row>
    <row r="135" spans="1:3" x14ac:dyDescent="0.4">
      <c r="A135" s="214" t="s">
        <v>213</v>
      </c>
      <c r="B135" s="221">
        <v>4.386574074074074E-3</v>
      </c>
      <c r="C135" s="223">
        <f t="shared" si="2"/>
        <v>5.2770448548812663</v>
      </c>
    </row>
    <row r="136" spans="1:3" x14ac:dyDescent="0.4">
      <c r="A136" s="214" t="s">
        <v>214</v>
      </c>
      <c r="B136" s="221">
        <v>4.5486111111111109E-3</v>
      </c>
      <c r="C136" s="223">
        <f t="shared" si="2"/>
        <v>5.0890585241730282</v>
      </c>
    </row>
    <row r="137" spans="1:3" x14ac:dyDescent="0.4">
      <c r="A137" s="214" t="s">
        <v>215</v>
      </c>
      <c r="B137" s="221">
        <v>4.6874999999999998E-3</v>
      </c>
      <c r="C137" s="223">
        <f t="shared" si="2"/>
        <v>4.9382716049382713</v>
      </c>
    </row>
    <row r="138" spans="1:3" x14ac:dyDescent="0.4">
      <c r="A138" s="113" t="s">
        <v>216</v>
      </c>
      <c r="B138" s="221">
        <v>4.8726851851851856E-3</v>
      </c>
      <c r="C138" s="223">
        <f t="shared" si="2"/>
        <v>4.7505938242280275</v>
      </c>
    </row>
    <row r="139" spans="1:3" x14ac:dyDescent="0.4">
      <c r="A139" s="113" t="s">
        <v>217</v>
      </c>
      <c r="B139" s="221">
        <v>4.9305555555555552E-3</v>
      </c>
      <c r="C139" s="223">
        <f t="shared" si="2"/>
        <v>4.694835680751174</v>
      </c>
    </row>
    <row r="140" spans="1:3" x14ac:dyDescent="0.4">
      <c r="A140" s="113" t="s">
        <v>218</v>
      </c>
      <c r="B140" s="221">
        <v>5.1041666666666666E-3</v>
      </c>
      <c r="C140" s="223">
        <f t="shared" si="2"/>
        <v>4.5351473922902494</v>
      </c>
    </row>
    <row r="141" spans="1:3" x14ac:dyDescent="0.4">
      <c r="A141" s="113" t="s">
        <v>219</v>
      </c>
      <c r="B141" s="221">
        <v>5.2546296296296299E-3</v>
      </c>
      <c r="C141" s="223">
        <f t="shared" si="2"/>
        <v>4.4052863436123344</v>
      </c>
    </row>
    <row r="142" spans="1:3" x14ac:dyDescent="0.4">
      <c r="A142" s="113" t="s">
        <v>220</v>
      </c>
      <c r="B142" s="221">
        <v>4.5138888888888893E-3</v>
      </c>
      <c r="C142" s="223">
        <f t="shared" si="2"/>
        <v>5.1282051282051277</v>
      </c>
    </row>
    <row r="143" spans="1:3" x14ac:dyDescent="0.4">
      <c r="A143" s="113" t="s">
        <v>221</v>
      </c>
      <c r="B143" s="221">
        <v>4.6643518518518518E-3</v>
      </c>
      <c r="C143" s="223">
        <f t="shared" si="2"/>
        <v>4.9627791563275432</v>
      </c>
    </row>
    <row r="144" spans="1:3" x14ac:dyDescent="0.4">
      <c r="A144" s="113" t="s">
        <v>222</v>
      </c>
      <c r="B144" s="221">
        <v>4.8379629629629632E-3</v>
      </c>
      <c r="C144" s="223">
        <f t="shared" si="2"/>
        <v>4.7846889952153111</v>
      </c>
    </row>
    <row r="145" spans="1:3" x14ac:dyDescent="0.4">
      <c r="A145" s="113" t="s">
        <v>223</v>
      </c>
      <c r="B145" s="221">
        <v>4.9884259259259265E-3</v>
      </c>
      <c r="C145" s="223">
        <f t="shared" si="2"/>
        <v>4.640371229698375</v>
      </c>
    </row>
    <row r="146" spans="1:3" x14ac:dyDescent="0.4">
      <c r="A146" s="113" t="s">
        <v>224</v>
      </c>
      <c r="B146" s="221">
        <v>5.0578703703703706E-3</v>
      </c>
      <c r="C146" s="223">
        <f t="shared" si="2"/>
        <v>4.5766590389016022</v>
      </c>
    </row>
    <row r="147" spans="1:3" x14ac:dyDescent="0.4">
      <c r="A147" s="113" t="s">
        <v>225</v>
      </c>
      <c r="B147" s="221">
        <v>5.2430555555555555E-3</v>
      </c>
      <c r="C147" s="223">
        <f t="shared" si="2"/>
        <v>4.4150110375275942</v>
      </c>
    </row>
    <row r="148" spans="1:3" x14ac:dyDescent="0.4">
      <c r="A148" s="113" t="s">
        <v>226</v>
      </c>
      <c r="B148" s="221">
        <v>5.3356481481481484E-3</v>
      </c>
      <c r="C148" s="223">
        <f t="shared" si="2"/>
        <v>4.3383947939262475</v>
      </c>
    </row>
    <row r="149" spans="1:3" x14ac:dyDescent="0.4">
      <c r="A149" s="211" t="s">
        <v>227</v>
      </c>
      <c r="B149" s="221">
        <v>2.0370370370370373E-3</v>
      </c>
      <c r="C149" s="223">
        <f>1000/(B149*86400)</f>
        <v>5.6818181818181808</v>
      </c>
    </row>
    <row r="150" spans="1:3" x14ac:dyDescent="0.4">
      <c r="A150" s="211" t="s">
        <v>228</v>
      </c>
      <c r="B150" s="221">
        <v>2.0833333333333333E-3</v>
      </c>
      <c r="C150" s="223">
        <f>1000/(B150*86400)</f>
        <v>5.5555555555555554</v>
      </c>
    </row>
    <row r="151" spans="1:3" x14ac:dyDescent="0.4">
      <c r="A151" s="211" t="s">
        <v>229</v>
      </c>
      <c r="B151" s="221">
        <v>2.1759259259259258E-3</v>
      </c>
      <c r="C151" s="223">
        <f t="shared" ref="C151:C214" si="3">1000/(B151*86400)</f>
        <v>5.3191489361702127</v>
      </c>
    </row>
    <row r="152" spans="1:3" x14ac:dyDescent="0.4">
      <c r="A152" s="211" t="s">
        <v>230</v>
      </c>
      <c r="B152" s="221">
        <v>2.2453703703703702E-3</v>
      </c>
      <c r="C152" s="223">
        <f t="shared" si="3"/>
        <v>5.1546391752577323</v>
      </c>
    </row>
    <row r="153" spans="1:3" x14ac:dyDescent="0.4">
      <c r="A153" s="211" t="s">
        <v>231</v>
      </c>
      <c r="B153" s="221">
        <v>2.2569444444444447E-3</v>
      </c>
      <c r="C153" s="223">
        <f t="shared" si="3"/>
        <v>5.1282051282051277</v>
      </c>
    </row>
    <row r="154" spans="1:3" x14ac:dyDescent="0.4">
      <c r="A154" s="211" t="s">
        <v>232</v>
      </c>
      <c r="B154" s="221">
        <v>2.3726851851851851E-3</v>
      </c>
      <c r="C154" s="223">
        <f t="shared" si="3"/>
        <v>4.8780487804878048</v>
      </c>
    </row>
    <row r="155" spans="1:3" x14ac:dyDescent="0.4">
      <c r="A155" s="211" t="s">
        <v>233</v>
      </c>
      <c r="B155" s="221">
        <v>2.4537037037037036E-3</v>
      </c>
      <c r="C155" s="223">
        <f t="shared" si="3"/>
        <v>4.716981132075472</v>
      </c>
    </row>
    <row r="156" spans="1:3" x14ac:dyDescent="0.4">
      <c r="A156" s="214" t="s">
        <v>234</v>
      </c>
      <c r="B156" s="221">
        <v>2.3263888888888887E-3</v>
      </c>
      <c r="C156" s="223">
        <f t="shared" si="3"/>
        <v>4.9751243781094532</v>
      </c>
    </row>
    <row r="157" spans="1:3" x14ac:dyDescent="0.4">
      <c r="A157" s="214" t="s">
        <v>235</v>
      </c>
      <c r="B157" s="221">
        <v>2.4074074074074076E-3</v>
      </c>
      <c r="C157" s="223">
        <f t="shared" si="3"/>
        <v>4.8076923076923066</v>
      </c>
    </row>
    <row r="158" spans="1:3" x14ac:dyDescent="0.4">
      <c r="A158" s="214" t="s">
        <v>236</v>
      </c>
      <c r="B158" s="221">
        <v>2.4768518518518516E-3</v>
      </c>
      <c r="C158" s="223">
        <f t="shared" si="3"/>
        <v>4.6728971962616832</v>
      </c>
    </row>
    <row r="159" spans="1:3" x14ac:dyDescent="0.4">
      <c r="A159" s="113" t="s">
        <v>237</v>
      </c>
      <c r="B159" s="221">
        <v>2.5694444444444445E-3</v>
      </c>
      <c r="C159" s="223">
        <f t="shared" si="3"/>
        <v>4.5045045045045047</v>
      </c>
    </row>
    <row r="160" spans="1:3" x14ac:dyDescent="0.4">
      <c r="A160" s="113" t="s">
        <v>238</v>
      </c>
      <c r="B160" s="221">
        <v>2.5578703703703705E-3</v>
      </c>
      <c r="C160" s="223">
        <f t="shared" si="3"/>
        <v>4.5248868778280542</v>
      </c>
    </row>
    <row r="161" spans="1:3" x14ac:dyDescent="0.4">
      <c r="A161" s="113" t="s">
        <v>239</v>
      </c>
      <c r="B161" s="221">
        <v>2.6504629629629625E-3</v>
      </c>
      <c r="C161" s="223">
        <f t="shared" si="3"/>
        <v>4.3668122270742362</v>
      </c>
    </row>
    <row r="162" spans="1:3" x14ac:dyDescent="0.4">
      <c r="A162" s="113" t="s">
        <v>240</v>
      </c>
      <c r="B162" s="221">
        <v>2.7430555555555559E-3</v>
      </c>
      <c r="C162" s="223">
        <f t="shared" si="3"/>
        <v>4.219409282700421</v>
      </c>
    </row>
    <row r="163" spans="1:3" x14ac:dyDescent="0.4">
      <c r="A163" s="211" t="s">
        <v>241</v>
      </c>
      <c r="B163" s="221">
        <v>2.0486111111111113E-3</v>
      </c>
      <c r="C163" s="223">
        <f t="shared" si="3"/>
        <v>5.6497175141242932</v>
      </c>
    </row>
    <row r="164" spans="1:3" x14ac:dyDescent="0.4">
      <c r="A164" s="211" t="s">
        <v>242</v>
      </c>
      <c r="B164" s="221">
        <v>2.1180555555555553E-3</v>
      </c>
      <c r="C164" s="223">
        <f t="shared" si="3"/>
        <v>5.4644808743169406</v>
      </c>
    </row>
    <row r="165" spans="1:3" x14ac:dyDescent="0.4">
      <c r="A165" s="211" t="s">
        <v>243</v>
      </c>
      <c r="B165" s="221">
        <v>2.1874999999999998E-3</v>
      </c>
      <c r="C165" s="223">
        <f t="shared" si="3"/>
        <v>5.291005291005292</v>
      </c>
    </row>
    <row r="166" spans="1:3" x14ac:dyDescent="0.4">
      <c r="A166" s="211" t="s">
        <v>244</v>
      </c>
      <c r="B166" s="221">
        <v>2.2685185185185182E-3</v>
      </c>
      <c r="C166" s="223">
        <f t="shared" si="3"/>
        <v>5.1020408163265314</v>
      </c>
    </row>
    <row r="167" spans="1:3" x14ac:dyDescent="0.4">
      <c r="A167" s="211" t="s">
        <v>245</v>
      </c>
      <c r="B167" s="221">
        <v>2.2916666666666667E-3</v>
      </c>
      <c r="C167" s="223">
        <f t="shared" si="3"/>
        <v>5.0505050505050502</v>
      </c>
    </row>
    <row r="168" spans="1:3" x14ac:dyDescent="0.4">
      <c r="A168" s="211" t="s">
        <v>246</v>
      </c>
      <c r="B168" s="221">
        <v>2.3842592592592591E-3</v>
      </c>
      <c r="C168" s="223">
        <f t="shared" si="3"/>
        <v>4.8543689320388346</v>
      </c>
    </row>
    <row r="169" spans="1:3" x14ac:dyDescent="0.4">
      <c r="A169" s="211" t="s">
        <v>247</v>
      </c>
      <c r="B169" s="221">
        <v>2.488425925925926E-3</v>
      </c>
      <c r="C169" s="223">
        <f t="shared" si="3"/>
        <v>4.6511627906976747</v>
      </c>
    </row>
    <row r="170" spans="1:3" x14ac:dyDescent="0.4">
      <c r="A170" s="214" t="s">
        <v>248</v>
      </c>
      <c r="B170" s="221">
        <v>2.3611111111111111E-3</v>
      </c>
      <c r="C170" s="223">
        <f t="shared" si="3"/>
        <v>4.9019607843137258</v>
      </c>
    </row>
    <row r="171" spans="1:3" x14ac:dyDescent="0.4">
      <c r="A171" s="214" t="s">
        <v>249</v>
      </c>
      <c r="B171" s="221">
        <v>2.4305555555555556E-3</v>
      </c>
      <c r="C171" s="223">
        <f t="shared" si="3"/>
        <v>4.7619047619047619</v>
      </c>
    </row>
    <row r="172" spans="1:3" x14ac:dyDescent="0.4">
      <c r="A172" s="214" t="s">
        <v>250</v>
      </c>
      <c r="B172" s="221">
        <v>2.5000000000000001E-3</v>
      </c>
      <c r="C172" s="223">
        <f t="shared" si="3"/>
        <v>4.6296296296296298</v>
      </c>
    </row>
    <row r="173" spans="1:3" x14ac:dyDescent="0.4">
      <c r="A173" s="113" t="s">
        <v>251</v>
      </c>
      <c r="B173" s="221">
        <v>2.5925925925925925E-3</v>
      </c>
      <c r="C173" s="223">
        <f t="shared" si="3"/>
        <v>4.4642857142857144</v>
      </c>
    </row>
    <row r="174" spans="1:3" x14ac:dyDescent="0.4">
      <c r="A174" s="113" t="s">
        <v>252</v>
      </c>
      <c r="B174" s="221">
        <v>2.5694444444444445E-3</v>
      </c>
      <c r="C174" s="223">
        <f t="shared" si="3"/>
        <v>4.5045045045045047</v>
      </c>
    </row>
    <row r="175" spans="1:3" x14ac:dyDescent="0.4">
      <c r="A175" s="113" t="s">
        <v>253</v>
      </c>
      <c r="B175" s="221">
        <v>2.685185185185185E-3</v>
      </c>
      <c r="C175" s="223">
        <f t="shared" si="3"/>
        <v>4.3103448275862073</v>
      </c>
    </row>
    <row r="176" spans="1:3" x14ac:dyDescent="0.4">
      <c r="A176" s="113" t="s">
        <v>254</v>
      </c>
      <c r="B176" s="221">
        <v>2.7546296296296294E-3</v>
      </c>
      <c r="C176" s="223">
        <f t="shared" si="3"/>
        <v>4.2016806722689077</v>
      </c>
    </row>
    <row r="177" spans="1:3" x14ac:dyDescent="0.4">
      <c r="A177" s="211" t="s">
        <v>255</v>
      </c>
      <c r="B177" s="221">
        <v>2.0601851851851853E-3</v>
      </c>
      <c r="C177" s="223">
        <f t="shared" si="3"/>
        <v>5.617977528089888</v>
      </c>
    </row>
    <row r="178" spans="1:3" x14ac:dyDescent="0.4">
      <c r="A178" s="211" t="s">
        <v>256</v>
      </c>
      <c r="B178" s="221">
        <v>2.1412037037037038E-3</v>
      </c>
      <c r="C178" s="223">
        <f t="shared" si="3"/>
        <v>5.4054054054054053</v>
      </c>
    </row>
    <row r="179" spans="1:3" x14ac:dyDescent="0.4">
      <c r="A179" s="211" t="s">
        <v>257</v>
      </c>
      <c r="B179" s="221">
        <v>2.2106481481481478E-3</v>
      </c>
      <c r="C179" s="223">
        <f t="shared" si="3"/>
        <v>5.2356020942408383</v>
      </c>
    </row>
    <row r="180" spans="1:3" x14ac:dyDescent="0.4">
      <c r="A180" s="211" t="s">
        <v>258</v>
      </c>
      <c r="B180" s="221">
        <v>2.2916666666666667E-3</v>
      </c>
      <c r="C180" s="223">
        <f t="shared" si="3"/>
        <v>5.0505050505050502</v>
      </c>
    </row>
    <row r="181" spans="1:3" x14ac:dyDescent="0.4">
      <c r="A181" s="211" t="s">
        <v>259</v>
      </c>
      <c r="B181" s="221">
        <v>2.3263888888888887E-3</v>
      </c>
      <c r="C181" s="223">
        <f t="shared" si="3"/>
        <v>4.9751243781094532</v>
      </c>
    </row>
    <row r="182" spans="1:3" x14ac:dyDescent="0.4">
      <c r="A182" s="211" t="s">
        <v>260</v>
      </c>
      <c r="B182" s="221">
        <v>2.4074074074074076E-3</v>
      </c>
      <c r="C182" s="223">
        <f t="shared" si="3"/>
        <v>4.8076923076923066</v>
      </c>
    </row>
    <row r="183" spans="1:3" x14ac:dyDescent="0.4">
      <c r="A183" s="211" t="s">
        <v>261</v>
      </c>
      <c r="B183" s="221">
        <v>2.5347222222222221E-3</v>
      </c>
      <c r="C183" s="223">
        <f t="shared" si="3"/>
        <v>4.5662100456621006</v>
      </c>
    </row>
    <row r="184" spans="1:3" x14ac:dyDescent="0.4">
      <c r="A184" s="214" t="s">
        <v>262</v>
      </c>
      <c r="B184" s="221">
        <v>2.3958333333333336E-3</v>
      </c>
      <c r="C184" s="223">
        <f t="shared" si="3"/>
        <v>4.8309178743961345</v>
      </c>
    </row>
    <row r="185" spans="1:3" x14ac:dyDescent="0.4">
      <c r="A185" s="214" t="s">
        <v>263</v>
      </c>
      <c r="B185" s="221">
        <v>2.4537037037037036E-3</v>
      </c>
      <c r="C185" s="223">
        <f t="shared" si="3"/>
        <v>4.716981132075472</v>
      </c>
    </row>
    <row r="186" spans="1:3" x14ac:dyDescent="0.4">
      <c r="A186" s="214" t="s">
        <v>264</v>
      </c>
      <c r="B186" s="221">
        <v>2.5347222222222221E-3</v>
      </c>
      <c r="C186" s="223">
        <f t="shared" si="3"/>
        <v>4.5662100456621006</v>
      </c>
    </row>
    <row r="187" spans="1:3" x14ac:dyDescent="0.4">
      <c r="A187" s="113" t="s">
        <v>265</v>
      </c>
      <c r="B187" s="221">
        <v>2.627314814814815E-3</v>
      </c>
      <c r="C187" s="223">
        <f t="shared" si="3"/>
        <v>4.4052863436123344</v>
      </c>
    </row>
    <row r="188" spans="1:3" x14ac:dyDescent="0.4">
      <c r="A188" s="113" t="s">
        <v>266</v>
      </c>
      <c r="B188" s="221">
        <v>2.5925925925925925E-3</v>
      </c>
      <c r="C188" s="223">
        <f t="shared" si="3"/>
        <v>4.4642857142857144</v>
      </c>
    </row>
    <row r="189" spans="1:3" x14ac:dyDescent="0.4">
      <c r="A189" s="113" t="s">
        <v>267</v>
      </c>
      <c r="B189" s="221">
        <v>2.7314814814814819E-3</v>
      </c>
      <c r="C189" s="223">
        <f t="shared" si="3"/>
        <v>4.2372881355932197</v>
      </c>
    </row>
    <row r="190" spans="1:3" x14ac:dyDescent="0.4">
      <c r="A190" s="113" t="s">
        <v>268</v>
      </c>
      <c r="B190" s="221">
        <v>2.7777777777777779E-3</v>
      </c>
      <c r="C190" s="223">
        <f t="shared" si="3"/>
        <v>4.166666666666667</v>
      </c>
    </row>
    <row r="191" spans="1:3" x14ac:dyDescent="0.4">
      <c r="A191" s="211" t="s">
        <v>269</v>
      </c>
      <c r="B191" s="221">
        <v>2.1180555555555553E-3</v>
      </c>
      <c r="C191" s="223">
        <f t="shared" si="3"/>
        <v>5.4644808743169406</v>
      </c>
    </row>
    <row r="192" spans="1:3" x14ac:dyDescent="0.4">
      <c r="A192" s="211" t="s">
        <v>270</v>
      </c>
      <c r="B192" s="221">
        <v>2.1874999999999998E-3</v>
      </c>
      <c r="C192" s="223">
        <f t="shared" si="3"/>
        <v>5.291005291005292</v>
      </c>
    </row>
    <row r="193" spans="1:3" x14ac:dyDescent="0.4">
      <c r="A193" s="211" t="s">
        <v>271</v>
      </c>
      <c r="B193" s="221">
        <v>2.2569444444444447E-3</v>
      </c>
      <c r="C193" s="223">
        <f t="shared" si="3"/>
        <v>5.1282051282051277</v>
      </c>
    </row>
    <row r="194" spans="1:3" x14ac:dyDescent="0.4">
      <c r="A194" s="211" t="s">
        <v>272</v>
      </c>
      <c r="B194" s="221">
        <v>2.3263888888888887E-3</v>
      </c>
      <c r="C194" s="223">
        <f t="shared" si="3"/>
        <v>4.9751243781094532</v>
      </c>
    </row>
    <row r="195" spans="1:3" x14ac:dyDescent="0.4">
      <c r="A195" s="211" t="s">
        <v>273</v>
      </c>
      <c r="B195" s="221">
        <v>2.3611111111111111E-3</v>
      </c>
      <c r="C195" s="223">
        <f t="shared" si="3"/>
        <v>4.9019607843137258</v>
      </c>
    </row>
    <row r="196" spans="1:3" x14ac:dyDescent="0.4">
      <c r="A196" s="211" t="s">
        <v>274</v>
      </c>
      <c r="B196" s="221">
        <v>2.4537037037037036E-3</v>
      </c>
      <c r="C196" s="223">
        <f t="shared" si="3"/>
        <v>4.716981132075472</v>
      </c>
    </row>
    <row r="197" spans="1:3" x14ac:dyDescent="0.4">
      <c r="A197" s="211" t="s">
        <v>275</v>
      </c>
      <c r="B197" s="221">
        <v>2.5925925925925925E-3</v>
      </c>
      <c r="C197" s="223">
        <f t="shared" si="3"/>
        <v>4.4642857142857144</v>
      </c>
    </row>
    <row r="198" spans="1:3" x14ac:dyDescent="0.4">
      <c r="A198" s="214" t="s">
        <v>276</v>
      </c>
      <c r="B198" s="221">
        <v>2.4305555555555556E-3</v>
      </c>
      <c r="C198" s="223">
        <f t="shared" si="3"/>
        <v>4.7619047619047619</v>
      </c>
    </row>
    <row r="199" spans="1:3" x14ac:dyDescent="0.4">
      <c r="A199" s="214" t="s">
        <v>277</v>
      </c>
      <c r="B199" s="221">
        <v>2.488425925925926E-3</v>
      </c>
      <c r="C199" s="223">
        <f t="shared" si="3"/>
        <v>4.6511627906976747</v>
      </c>
    </row>
    <row r="200" spans="1:3" x14ac:dyDescent="0.4">
      <c r="A200" s="214" t="s">
        <v>278</v>
      </c>
      <c r="B200" s="221">
        <v>2.5925925925925925E-3</v>
      </c>
      <c r="C200" s="223">
        <f t="shared" si="3"/>
        <v>4.4642857142857144</v>
      </c>
    </row>
    <row r="201" spans="1:3" x14ac:dyDescent="0.4">
      <c r="A201" s="113" t="s">
        <v>279</v>
      </c>
      <c r="B201" s="221">
        <v>2.685185185185185E-3</v>
      </c>
      <c r="C201" s="223">
        <f t="shared" si="3"/>
        <v>4.3103448275862073</v>
      </c>
    </row>
    <row r="202" spans="1:3" x14ac:dyDescent="0.4">
      <c r="A202" s="113" t="s">
        <v>280</v>
      </c>
      <c r="B202" s="221">
        <v>2.627314814814815E-3</v>
      </c>
      <c r="C202" s="223">
        <f t="shared" si="3"/>
        <v>4.4052863436123344</v>
      </c>
    </row>
    <row r="203" spans="1:3" x14ac:dyDescent="0.4">
      <c r="A203" s="113" t="s">
        <v>281</v>
      </c>
      <c r="B203" s="221">
        <v>2.7893518518518519E-3</v>
      </c>
      <c r="C203" s="223">
        <f t="shared" si="3"/>
        <v>4.1493775933609962</v>
      </c>
    </row>
    <row r="204" spans="1:3" x14ac:dyDescent="0.4">
      <c r="A204" s="113" t="s">
        <v>282</v>
      </c>
      <c r="B204" s="221">
        <v>2.8356481481481479E-3</v>
      </c>
      <c r="C204" s="223">
        <f t="shared" si="3"/>
        <v>4.0816326530612246</v>
      </c>
    </row>
    <row r="205" spans="1:3" x14ac:dyDescent="0.4">
      <c r="A205" s="211" t="s">
        <v>283</v>
      </c>
      <c r="B205" s="221">
        <v>2.1527777777777778E-3</v>
      </c>
      <c r="C205" s="223">
        <f t="shared" si="3"/>
        <v>5.376344086021505</v>
      </c>
    </row>
    <row r="206" spans="1:3" x14ac:dyDescent="0.4">
      <c r="A206" s="211" t="s">
        <v>284</v>
      </c>
      <c r="B206" s="221">
        <v>2.2453703703703702E-3</v>
      </c>
      <c r="C206" s="223">
        <f t="shared" si="3"/>
        <v>5.1546391752577323</v>
      </c>
    </row>
    <row r="207" spans="1:3" x14ac:dyDescent="0.4">
      <c r="A207" s="211" t="s">
        <v>285</v>
      </c>
      <c r="B207" s="221">
        <v>2.3148148148148151E-3</v>
      </c>
      <c r="C207" s="223">
        <f t="shared" si="3"/>
        <v>4.9999999999999991</v>
      </c>
    </row>
    <row r="208" spans="1:3" x14ac:dyDescent="0.4">
      <c r="A208" s="211" t="s">
        <v>286</v>
      </c>
      <c r="B208" s="221">
        <v>2.4074074074074076E-3</v>
      </c>
      <c r="C208" s="223">
        <f t="shared" si="3"/>
        <v>4.8076923076923066</v>
      </c>
    </row>
    <row r="209" spans="1:3" x14ac:dyDescent="0.4">
      <c r="A209" s="211" t="s">
        <v>287</v>
      </c>
      <c r="B209" s="221">
        <v>2.4074074074074076E-3</v>
      </c>
      <c r="C209" s="223">
        <f t="shared" si="3"/>
        <v>4.8076923076923066</v>
      </c>
    </row>
    <row r="210" spans="1:3" x14ac:dyDescent="0.4">
      <c r="A210" s="211" t="s">
        <v>288</v>
      </c>
      <c r="B210" s="221">
        <v>2.5347222222222221E-3</v>
      </c>
      <c r="C210" s="223">
        <f t="shared" si="3"/>
        <v>4.5662100456621006</v>
      </c>
    </row>
    <row r="211" spans="1:3" x14ac:dyDescent="0.4">
      <c r="A211" s="211" t="s">
        <v>289</v>
      </c>
      <c r="B211" s="221">
        <v>2.6620370370370374E-3</v>
      </c>
      <c r="C211" s="223">
        <f t="shared" si="3"/>
        <v>4.3478260869565215</v>
      </c>
    </row>
    <row r="212" spans="1:3" x14ac:dyDescent="0.4">
      <c r="A212" s="214" t="s">
        <v>290</v>
      </c>
      <c r="B212" s="221">
        <v>2.4652777777777776E-3</v>
      </c>
      <c r="C212" s="223">
        <f t="shared" si="3"/>
        <v>4.694835680751174</v>
      </c>
    </row>
    <row r="213" spans="1:3" x14ac:dyDescent="0.4">
      <c r="A213" s="214" t="s">
        <v>291</v>
      </c>
      <c r="B213" s="221">
        <v>2.5462962962962961E-3</v>
      </c>
      <c r="C213" s="223">
        <f t="shared" si="3"/>
        <v>4.5454545454545459</v>
      </c>
    </row>
    <row r="214" spans="1:3" x14ac:dyDescent="0.4">
      <c r="A214" s="214" t="s">
        <v>292</v>
      </c>
      <c r="B214" s="221">
        <v>2.6620370370370374E-3</v>
      </c>
      <c r="C214" s="223">
        <f t="shared" si="3"/>
        <v>4.3478260869565215</v>
      </c>
    </row>
    <row r="215" spans="1:3" x14ac:dyDescent="0.4">
      <c r="A215" s="113" t="s">
        <v>293</v>
      </c>
      <c r="B215" s="221">
        <v>2.7662037037037034E-3</v>
      </c>
      <c r="C215" s="223">
        <f t="shared" ref="C215:C265" si="4">1000/(B215*86400)</f>
        <v>4.1841004184100425</v>
      </c>
    </row>
    <row r="216" spans="1:3" x14ac:dyDescent="0.4">
      <c r="A216" s="113" t="s">
        <v>294</v>
      </c>
      <c r="B216" s="221">
        <v>2.685185185185185E-3</v>
      </c>
      <c r="C216" s="223">
        <f t="shared" si="4"/>
        <v>4.3103448275862073</v>
      </c>
    </row>
    <row r="217" spans="1:3" x14ac:dyDescent="0.4">
      <c r="A217" s="113" t="s">
        <v>295</v>
      </c>
      <c r="B217" s="221">
        <v>2.9282407407407412E-3</v>
      </c>
      <c r="C217" s="223">
        <f t="shared" si="4"/>
        <v>3.9525691699604732</v>
      </c>
    </row>
    <row r="218" spans="1:3" x14ac:dyDescent="0.4">
      <c r="A218" s="113" t="s">
        <v>296</v>
      </c>
      <c r="B218" s="221">
        <v>2.9398148148148148E-3</v>
      </c>
      <c r="C218" s="223">
        <f t="shared" si="4"/>
        <v>3.9370078740157481</v>
      </c>
    </row>
    <row r="219" spans="1:3" x14ac:dyDescent="0.4">
      <c r="A219" s="211" t="s">
        <v>297</v>
      </c>
      <c r="B219" s="221">
        <v>2.2453703703703702E-3</v>
      </c>
      <c r="C219" s="223">
        <f t="shared" si="4"/>
        <v>5.1546391752577323</v>
      </c>
    </row>
    <row r="220" spans="1:3" x14ac:dyDescent="0.4">
      <c r="A220" s="211" t="s">
        <v>298</v>
      </c>
      <c r="B220" s="221">
        <v>2.3263888888888887E-3</v>
      </c>
      <c r="C220" s="223">
        <f t="shared" si="4"/>
        <v>4.9751243781094532</v>
      </c>
    </row>
    <row r="221" spans="1:3" x14ac:dyDescent="0.4">
      <c r="A221" s="211" t="s">
        <v>299</v>
      </c>
      <c r="B221" s="221">
        <v>2.3842592592592591E-3</v>
      </c>
      <c r="C221" s="223">
        <f t="shared" si="4"/>
        <v>4.8543689320388346</v>
      </c>
    </row>
    <row r="222" spans="1:3" x14ac:dyDescent="0.4">
      <c r="A222" s="211" t="s">
        <v>300</v>
      </c>
      <c r="B222" s="221">
        <v>2.4768518518518516E-3</v>
      </c>
      <c r="C222" s="223">
        <f t="shared" si="4"/>
        <v>4.6728971962616832</v>
      </c>
    </row>
    <row r="223" spans="1:3" x14ac:dyDescent="0.4">
      <c r="A223" s="211" t="s">
        <v>301</v>
      </c>
      <c r="B223" s="221">
        <v>2.4652777777777776E-3</v>
      </c>
      <c r="C223" s="223">
        <f t="shared" si="4"/>
        <v>4.694835680751174</v>
      </c>
    </row>
    <row r="224" spans="1:3" x14ac:dyDescent="0.4">
      <c r="A224" s="211" t="s">
        <v>302</v>
      </c>
      <c r="B224" s="221">
        <v>2.627314814814815E-3</v>
      </c>
      <c r="C224" s="223">
        <f t="shared" si="4"/>
        <v>4.4052863436123344</v>
      </c>
    </row>
    <row r="225" spans="1:3" x14ac:dyDescent="0.4">
      <c r="A225" s="211" t="s">
        <v>303</v>
      </c>
      <c r="B225" s="221">
        <v>2.7314814814814819E-3</v>
      </c>
      <c r="C225" s="223">
        <f t="shared" si="4"/>
        <v>4.2372881355932197</v>
      </c>
    </row>
    <row r="226" spans="1:3" x14ac:dyDescent="0.4">
      <c r="A226" s="214" t="s">
        <v>304</v>
      </c>
      <c r="B226" s="221">
        <v>2.5000000000000001E-3</v>
      </c>
      <c r="C226" s="223">
        <f t="shared" si="4"/>
        <v>4.6296296296296298</v>
      </c>
    </row>
    <row r="227" spans="1:3" x14ac:dyDescent="0.4">
      <c r="A227" s="214" t="s">
        <v>305</v>
      </c>
      <c r="B227" s="221">
        <v>2.6504629629629625E-3</v>
      </c>
      <c r="C227" s="223">
        <f t="shared" si="4"/>
        <v>4.3668122270742362</v>
      </c>
    </row>
    <row r="228" spans="1:3" x14ac:dyDescent="0.4">
      <c r="A228" s="214" t="s">
        <v>306</v>
      </c>
      <c r="B228" s="221">
        <v>2.7430555555555559E-3</v>
      </c>
      <c r="C228" s="223">
        <f t="shared" si="4"/>
        <v>4.219409282700421</v>
      </c>
    </row>
    <row r="229" spans="1:3" x14ac:dyDescent="0.4">
      <c r="A229" s="113" t="s">
        <v>307</v>
      </c>
      <c r="B229" s="221">
        <v>2.8819444444444444E-3</v>
      </c>
      <c r="C229" s="223">
        <f t="shared" si="4"/>
        <v>4.0160642570281126</v>
      </c>
    </row>
    <row r="230" spans="1:3" x14ac:dyDescent="0.4">
      <c r="A230" s="113" t="s">
        <v>308</v>
      </c>
      <c r="B230" s="221">
        <v>2.7777777777777779E-3</v>
      </c>
      <c r="C230" s="223">
        <f t="shared" si="4"/>
        <v>4.166666666666667</v>
      </c>
    </row>
    <row r="231" spans="1:3" x14ac:dyDescent="0.4">
      <c r="A231" s="113" t="s">
        <v>309</v>
      </c>
      <c r="B231" s="221">
        <v>3.1018518518518522E-3</v>
      </c>
      <c r="C231" s="223">
        <f t="shared" si="4"/>
        <v>3.7313432835820897</v>
      </c>
    </row>
    <row r="232" spans="1:3" x14ac:dyDescent="0.4">
      <c r="A232" s="113" t="s">
        <v>310</v>
      </c>
      <c r="B232" s="221">
        <v>3.0671296296296297E-3</v>
      </c>
      <c r="C232" s="223">
        <f t="shared" si="4"/>
        <v>3.7735849056603774</v>
      </c>
    </row>
    <row r="233" spans="1:3" x14ac:dyDescent="0.4">
      <c r="A233" s="211" t="s">
        <v>311</v>
      </c>
      <c r="B233" s="221">
        <v>2.5810185185185185E-3</v>
      </c>
      <c r="C233" s="223">
        <f t="shared" si="4"/>
        <v>4.4843049327354256</v>
      </c>
    </row>
    <row r="234" spans="1:3" x14ac:dyDescent="0.4">
      <c r="A234" s="211" t="s">
        <v>312</v>
      </c>
      <c r="B234" s="221">
        <v>2.8009259259259259E-3</v>
      </c>
      <c r="C234" s="223">
        <f t="shared" si="4"/>
        <v>4.1322314049586772</v>
      </c>
    </row>
    <row r="235" spans="1:3" x14ac:dyDescent="0.4">
      <c r="A235" s="113" t="s">
        <v>313</v>
      </c>
      <c r="B235" s="221">
        <v>2.9861111111111113E-3</v>
      </c>
      <c r="C235" s="223">
        <f t="shared" si="4"/>
        <v>3.8759689922480618</v>
      </c>
    </row>
    <row r="236" spans="1:3" x14ac:dyDescent="0.4">
      <c r="A236" s="113" t="s">
        <v>314</v>
      </c>
      <c r="B236" s="221">
        <v>3.2060185185185191E-3</v>
      </c>
      <c r="C236" s="223">
        <f t="shared" si="4"/>
        <v>3.6101083032490968</v>
      </c>
    </row>
    <row r="237" spans="1:3" x14ac:dyDescent="0.4">
      <c r="A237" s="211" t="s">
        <v>315</v>
      </c>
      <c r="B237" s="221">
        <v>2.685185185185185E-3</v>
      </c>
      <c r="C237" s="223">
        <f t="shared" si="4"/>
        <v>4.3103448275862073</v>
      </c>
    </row>
    <row r="238" spans="1:3" x14ac:dyDescent="0.4">
      <c r="A238" s="211" t="s">
        <v>316</v>
      </c>
      <c r="B238" s="221">
        <v>2.9050925925925928E-3</v>
      </c>
      <c r="C238" s="223">
        <f t="shared" si="4"/>
        <v>3.9840637450199199</v>
      </c>
    </row>
    <row r="239" spans="1:3" x14ac:dyDescent="0.4">
      <c r="A239" s="113" t="s">
        <v>317</v>
      </c>
      <c r="B239" s="221">
        <v>3.1944444444444442E-3</v>
      </c>
      <c r="C239" s="223">
        <f t="shared" si="4"/>
        <v>3.6231884057971016</v>
      </c>
    </row>
    <row r="240" spans="1:3" x14ac:dyDescent="0.4">
      <c r="A240" s="113" t="s">
        <v>318</v>
      </c>
      <c r="B240" s="221">
        <v>3.3449074074074071E-3</v>
      </c>
      <c r="C240" s="223">
        <f t="shared" si="4"/>
        <v>3.4602076124567476</v>
      </c>
    </row>
    <row r="241" spans="1:3" x14ac:dyDescent="0.4">
      <c r="A241" s="211" t="s">
        <v>319</v>
      </c>
      <c r="B241" s="221">
        <v>2.8356481481481479E-3</v>
      </c>
      <c r="C241" s="223">
        <f t="shared" si="4"/>
        <v>4.0816326530612246</v>
      </c>
    </row>
    <row r="242" spans="1:3" x14ac:dyDescent="0.4">
      <c r="A242" s="211" t="s">
        <v>312</v>
      </c>
      <c r="B242" s="221">
        <v>3.0555555555555557E-3</v>
      </c>
      <c r="C242" s="223">
        <f t="shared" si="4"/>
        <v>3.7878787878787881</v>
      </c>
    </row>
    <row r="243" spans="1:3" x14ac:dyDescent="0.4">
      <c r="A243" s="113" t="s">
        <v>313</v>
      </c>
      <c r="B243" s="221">
        <v>3.4375E-3</v>
      </c>
      <c r="C243" s="223">
        <f t="shared" si="4"/>
        <v>3.3670033670033672</v>
      </c>
    </row>
    <row r="244" spans="1:3" x14ac:dyDescent="0.4">
      <c r="A244" s="113" t="s">
        <v>314</v>
      </c>
      <c r="B244" s="221">
        <v>3.5763888888888894E-3</v>
      </c>
      <c r="C244" s="223">
        <f t="shared" si="4"/>
        <v>3.2362459546925559</v>
      </c>
    </row>
    <row r="245" spans="1:3" x14ac:dyDescent="0.4">
      <c r="A245" s="224" t="s">
        <v>320</v>
      </c>
      <c r="B245" s="221">
        <v>2.2685185185185182E-3</v>
      </c>
      <c r="C245" s="223">
        <f t="shared" si="4"/>
        <v>5.1020408163265314</v>
      </c>
    </row>
    <row r="246" spans="1:3" x14ac:dyDescent="0.4">
      <c r="A246" s="224" t="s">
        <v>321</v>
      </c>
      <c r="B246" s="221">
        <v>2.2800925925925927E-3</v>
      </c>
      <c r="C246" s="223">
        <f t="shared" si="4"/>
        <v>5.0761421319796955</v>
      </c>
    </row>
    <row r="247" spans="1:3" x14ac:dyDescent="0.4">
      <c r="A247" s="224" t="s">
        <v>322</v>
      </c>
      <c r="B247" s="221">
        <v>2.5462962962962961E-3</v>
      </c>
      <c r="C247" s="223">
        <f t="shared" si="4"/>
        <v>4.5454545454545459</v>
      </c>
    </row>
    <row r="248" spans="1:3" x14ac:dyDescent="0.4">
      <c r="A248" s="224" t="s">
        <v>323</v>
      </c>
      <c r="B248" s="221">
        <v>2.2800925925925927E-3</v>
      </c>
      <c r="C248" s="223">
        <f t="shared" si="4"/>
        <v>5.0761421319796955</v>
      </c>
    </row>
    <row r="249" spans="1:3" x14ac:dyDescent="0.4">
      <c r="A249" s="224" t="s">
        <v>324</v>
      </c>
      <c r="B249" s="221">
        <v>2.3148148148148151E-3</v>
      </c>
      <c r="C249" s="223">
        <f t="shared" si="4"/>
        <v>4.9999999999999991</v>
      </c>
    </row>
    <row r="250" spans="1:3" x14ac:dyDescent="0.4">
      <c r="A250" s="224" t="s">
        <v>325</v>
      </c>
      <c r="B250" s="221">
        <v>2.5694444444444445E-3</v>
      </c>
      <c r="C250" s="223">
        <f t="shared" si="4"/>
        <v>4.5045045045045047</v>
      </c>
    </row>
    <row r="251" spans="1:3" x14ac:dyDescent="0.4">
      <c r="A251" s="224" t="s">
        <v>326</v>
      </c>
      <c r="B251" s="221">
        <v>2.2916666666666667E-3</v>
      </c>
      <c r="C251" s="223">
        <f t="shared" si="4"/>
        <v>5.0505050505050502</v>
      </c>
    </row>
    <row r="252" spans="1:3" x14ac:dyDescent="0.4">
      <c r="A252" s="224" t="s">
        <v>327</v>
      </c>
      <c r="B252" s="221">
        <v>2.3495370370370371E-3</v>
      </c>
      <c r="C252" s="223">
        <f t="shared" si="4"/>
        <v>4.9261083743842367</v>
      </c>
    </row>
    <row r="253" spans="1:3" x14ac:dyDescent="0.4">
      <c r="A253" s="224" t="s">
        <v>328</v>
      </c>
      <c r="B253" s="221">
        <v>2.6041666666666665E-3</v>
      </c>
      <c r="C253" s="223">
        <f t="shared" si="4"/>
        <v>4.4444444444444446</v>
      </c>
    </row>
    <row r="254" spans="1:3" x14ac:dyDescent="0.4">
      <c r="A254" s="224" t="s">
        <v>329</v>
      </c>
      <c r="B254" s="221">
        <v>2.3611111111111111E-3</v>
      </c>
      <c r="C254" s="223">
        <f t="shared" si="4"/>
        <v>4.9019607843137258</v>
      </c>
    </row>
    <row r="255" spans="1:3" x14ac:dyDescent="0.4">
      <c r="A255" s="224" t="s">
        <v>330</v>
      </c>
      <c r="B255" s="221">
        <v>2.4074074074074076E-3</v>
      </c>
      <c r="C255" s="223">
        <f t="shared" si="4"/>
        <v>4.8076923076923066</v>
      </c>
    </row>
    <row r="256" spans="1:3" x14ac:dyDescent="0.4">
      <c r="A256" s="224" t="s">
        <v>331</v>
      </c>
      <c r="B256" s="221">
        <v>2.6388888888888885E-3</v>
      </c>
      <c r="C256" s="223">
        <f t="shared" si="4"/>
        <v>4.3859649122807021</v>
      </c>
    </row>
    <row r="257" spans="1:3" x14ac:dyDescent="0.4">
      <c r="A257" s="224" t="s">
        <v>332</v>
      </c>
      <c r="B257" s="221">
        <v>2.4421296296296296E-3</v>
      </c>
      <c r="C257" s="223">
        <f t="shared" si="4"/>
        <v>4.7393364928909953</v>
      </c>
    </row>
    <row r="258" spans="1:3" x14ac:dyDescent="0.4">
      <c r="A258" s="224" t="s">
        <v>333</v>
      </c>
      <c r="B258" s="221">
        <v>2.4421296296296296E-3</v>
      </c>
      <c r="C258" s="223">
        <f t="shared" si="4"/>
        <v>4.7393364928909953</v>
      </c>
    </row>
    <row r="259" spans="1:3" x14ac:dyDescent="0.4">
      <c r="A259" s="224" t="s">
        <v>334</v>
      </c>
      <c r="B259" s="221">
        <v>2.685185185185185E-3</v>
      </c>
      <c r="C259" s="223">
        <f t="shared" si="4"/>
        <v>4.3103448275862073</v>
      </c>
    </row>
    <row r="260" spans="1:3" x14ac:dyDescent="0.4">
      <c r="A260" s="224" t="s">
        <v>335</v>
      </c>
      <c r="B260" s="221">
        <v>2.5347222222222221E-3</v>
      </c>
      <c r="C260" s="223">
        <f t="shared" si="4"/>
        <v>4.5662100456621006</v>
      </c>
    </row>
    <row r="261" spans="1:3" x14ac:dyDescent="0.4">
      <c r="A261" s="224" t="s">
        <v>336</v>
      </c>
      <c r="B261" s="221">
        <v>2.5462962962962961E-3</v>
      </c>
      <c r="C261" s="223">
        <f t="shared" si="4"/>
        <v>4.5454545454545459</v>
      </c>
    </row>
    <row r="262" spans="1:3" x14ac:dyDescent="0.4">
      <c r="A262" s="224" t="s">
        <v>337</v>
      </c>
      <c r="B262" s="221">
        <v>2.7430555555555559E-3</v>
      </c>
      <c r="C262" s="223">
        <f t="shared" si="4"/>
        <v>4.219409282700421</v>
      </c>
    </row>
    <row r="263" spans="1:3" x14ac:dyDescent="0.4">
      <c r="A263" s="224" t="s">
        <v>338</v>
      </c>
      <c r="B263" s="221">
        <v>2.8472222222222219E-3</v>
      </c>
      <c r="C263" s="223">
        <f t="shared" si="4"/>
        <v>4.0650406504065044</v>
      </c>
    </row>
    <row r="264" spans="1:3" x14ac:dyDescent="0.4">
      <c r="A264" s="224" t="s">
        <v>339</v>
      </c>
      <c r="B264" s="221">
        <v>3.0787037037037037E-3</v>
      </c>
      <c r="C264" s="223">
        <f t="shared" si="4"/>
        <v>3.7593984962406015</v>
      </c>
    </row>
    <row r="265" spans="1:3" x14ac:dyDescent="0.4">
      <c r="A265" s="224" t="s">
        <v>340</v>
      </c>
      <c r="B265" s="221">
        <v>3.4953703703703705E-3</v>
      </c>
      <c r="C265" s="223">
        <f t="shared" si="4"/>
        <v>3.3112582781456954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 Doubles 6 Athletes</vt:lpstr>
      <vt:lpstr>GMS</vt:lpstr>
      <vt:lpstr>'3 Doubles 6 Athletes'!Print_Area</vt:lpstr>
    </vt:vector>
  </TitlesOfParts>
  <Company>Niagara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purcer</dc:creator>
  <cp:lastModifiedBy>Mike Purcer</cp:lastModifiedBy>
  <cp:lastPrinted>2024-09-01T14:01:05Z</cp:lastPrinted>
  <dcterms:created xsi:type="dcterms:W3CDTF">2011-11-02T16:51:28Z</dcterms:created>
  <dcterms:modified xsi:type="dcterms:W3CDTF">2025-05-25T19:17:56Z</dcterms:modified>
</cp:coreProperties>
</file>